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296A6A55-71EF-3FAC-97E6-161027D96622}"/>
  <workbookPr codeName="Questa_cartella_di_lavoro" autoCompressPictures="0"/>
  <mc:AlternateContent xmlns:mc="http://schemas.openxmlformats.org/markup-compatibility/2006">
    <mc:Choice Requires="x15">
      <x15ac:absPath xmlns:x15ac="http://schemas.microsoft.com/office/spreadsheetml/2010/11/ac" url="C:\Anjelika\WHP work\Biblio\done\"/>
    </mc:Choice>
  </mc:AlternateContent>
  <xr:revisionPtr revIDLastSave="0" documentId="8_{7357EACE-EC46-448E-B74C-A22FF8806306}" xr6:coauthVersionLast="47" xr6:coauthVersionMax="47" xr10:uidLastSave="{00000000-0000-0000-0000-000000000000}"/>
  <bookViews>
    <workbookView xWindow="-120" yWindow="-120" windowWidth="29040" windowHeight="15840" tabRatio="707" xr2:uid="{00000000-000D-0000-FFFF-FFFF00000000}"/>
  </bookViews>
  <sheets>
    <sheet name="TITLE" sheetId="49" r:id="rId1"/>
    <sheet name="Intro and instructions" sheetId="45" r:id="rId2"/>
    <sheet name="Epidemiology" sheetId="26" r:id="rId3"/>
    <sheet name="LAM" sheetId="34" r:id="rId4"/>
    <sheet name="Truenat" sheetId="39" r:id="rId5"/>
    <sheet name="TB-LAMP" sheetId="33" r:id="rId6"/>
    <sheet name="Xpert MTB RIF Ultra" sheetId="14" r:id="rId7"/>
    <sheet name="ZN microscopy" sheetId="15" r:id="rId8"/>
    <sheet name="LED microscopy" sheetId="38" r:id="rId9"/>
    <sheet name="Xpert MTB XDR" sheetId="46" r:id="rId10"/>
    <sheet name="LPA 1st line" sheetId="36" r:id="rId11"/>
    <sheet name="LPA 2nd line" sheetId="37" r:id="rId12"/>
    <sheet name="MAX MDR-TB assay" sheetId="43" r:id="rId13"/>
    <sheet name="FluoroType MTBDR VER 2.0" sheetId="42" r:id="rId14"/>
    <sheet name="Cobas MTB and MTB-RIF-INH" sheetId="41" r:id="rId15"/>
    <sheet name="Abbott RT MTB and MTB RIF-INH" sheetId="40" r:id="rId16"/>
    <sheet name="Processing&amp;solid-liquid culture" sheetId="5" r:id="rId17"/>
    <sheet name="ID" sheetId="30" r:id="rId18"/>
    <sheet name="LJ 1st line DST" sheetId="21" r:id="rId19"/>
    <sheet name="LJ 2nd line DST" sheetId="22" r:id="rId20"/>
    <sheet name="MGIT 1st line DST" sheetId="4" r:id="rId21"/>
    <sheet name="MGIT 2nd line DST" sheetId="23" r:id="rId22"/>
    <sheet name="Biosafety and cleaning" sheetId="7" r:id="rId23"/>
    <sheet name="Maintenance &amp; repair" sheetId="16" r:id="rId24"/>
    <sheet name="Human resources" sheetId="17" state="hidden" r:id="rId25"/>
    <sheet name="QA" sheetId="18" state="hidden" r:id="rId26"/>
    <sheet name="OPERATION" sheetId="19" state="hidden" r:id="rId27"/>
    <sheet name="BUDGET SUMMARY" sheetId="20" r:id="rId28"/>
    <sheet name="LAB ITEM SUMMARY " sheetId="48" r:id="rId29"/>
    <sheet name="Sheet1" sheetId="50" r:id="rId30"/>
    <sheet name="LPA and Tips" sheetId="11" state="hidden" r:id="rId31"/>
    <sheet name="Lab items list" sheetId="1" state="hidden" r:id="rId32"/>
  </sheets>
  <definedNames>
    <definedName name="_xlnm._FilterDatabase" localSheetId="20" hidden="1">'MGIT 1st line DST'!#REF!</definedName>
    <definedName name="batch" localSheetId="15">'Abbott RT MTB and MTB RIF-INH'!#REF!</definedName>
    <definedName name="batch" localSheetId="14">'Cobas MTB and MTB-RIF-INH'!#REF!</definedName>
    <definedName name="batch" localSheetId="13">'FluoroType MTBDR VER 2.0'!#REF!</definedName>
    <definedName name="batch" localSheetId="10">'LPA 1st line'!#REF!</definedName>
    <definedName name="batch" localSheetId="11">'LPA 2nd line'!#REF!</definedName>
    <definedName name="batch" localSheetId="12">'MAX MDR-TB assay'!#REF!</definedName>
    <definedName name="batch" localSheetId="9">'Xpert MTB XDR'!#REF!</definedName>
    <definedName name="batch">#REF!</definedName>
    <definedName name="batch_process">'Processing&amp;solid-liquid culture'!#REF!</definedName>
    <definedName name="BSC">'Biosafety and cleaning'!$C$5</definedName>
    <definedName name="contam_process">'Processing&amp;solid-liquid culture'!#REF!</definedName>
    <definedName name="control" localSheetId="15">'Abbott RT MTB and MTB RIF-INH'!#REF!</definedName>
    <definedName name="control" localSheetId="14">'Cobas MTB and MTB-RIF-INH'!#REF!</definedName>
    <definedName name="control" localSheetId="13">'FluoroType MTBDR VER 2.0'!#REF!</definedName>
    <definedName name="control" localSheetId="10">'LPA 1st line'!#REF!</definedName>
    <definedName name="control" localSheetId="11">'LPA 2nd line'!#REF!</definedName>
    <definedName name="control" localSheetId="12">'MAX MDR-TB assay'!#REF!</definedName>
    <definedName name="control" localSheetId="9">'Xpert MTB XDR'!#REF!</definedName>
    <definedName name="control">#REF!</definedName>
    <definedName name="decontamination_method">#REF!</definedName>
    <definedName name="kit_ordered" localSheetId="15">'Abbott RT MTB and MTB RIF-INH'!$E$30</definedName>
    <definedName name="kit_ordered" localSheetId="14">'Cobas MTB and MTB-RIF-INH'!$E$28</definedName>
    <definedName name="kit_ordered" localSheetId="13">'FluoroType MTBDR VER 2.0'!$E$30</definedName>
    <definedName name="kit_ordered" localSheetId="10">'LPA 1st line'!$E$31</definedName>
    <definedName name="kit_ordered" localSheetId="11">'LPA 2nd line'!$E$30</definedName>
    <definedName name="kit_ordered" localSheetId="12">'MAX MDR-TB assay'!$E$28</definedName>
    <definedName name="kit_ordered" localSheetId="9">'Xpert MTB XDR'!$E$21</definedName>
    <definedName name="kit_ordered">#REF!</definedName>
    <definedName name="lc_contamination">'MGIT 1st line DST'!#REF!</definedName>
    <definedName name="LC_DST_rate">'MGIT 1st line DST'!#REF!</definedName>
    <definedName name="LC_positive">'MGIT 1st line DST'!#REF!</definedName>
    <definedName name="LC_Repeat_culture">'MGIT 1st line DST'!#REF!</definedName>
    <definedName name="LC_repeat_SIRE">'MGIT 1st line DST'!#REF!</definedName>
    <definedName name="LCunit_pack">'MGIT 1st line DST'!#REF!</definedName>
    <definedName name="LJ_Method">#REF!</definedName>
    <definedName name="LPA_Batch" localSheetId="15">'Abbott RT MTB and MTB RIF-INH'!#REF!</definedName>
    <definedName name="LPA_Batch" localSheetId="14">'Cobas MTB and MTB-RIF-INH'!#REF!</definedName>
    <definedName name="LPA_Batch" localSheetId="13">'FluoroType MTBDR VER 2.0'!#REF!</definedName>
    <definedName name="LPA_Batch" localSheetId="10">'LPA 1st line'!#REF!</definedName>
    <definedName name="LPA_Batch" localSheetId="11">'LPA 2nd line'!#REF!</definedName>
    <definedName name="LPA_Batch" localSheetId="12">'MAX MDR-TB assay'!#REF!</definedName>
    <definedName name="LPA_Batch" localSheetId="9">'Xpert MTB XDR'!#REF!</definedName>
    <definedName name="LPA_Batch">#REF!</definedName>
    <definedName name="Months">'Intro and instructions'!$B$32</definedName>
    <definedName name="Nothing">'LPA 1st line'!$C$26</definedName>
    <definedName name="NUM_PZA">'MGIT 1st line DST'!#REF!</definedName>
    <definedName name="NUM_SIRE">'MGIT 1st line DST'!#REF!</definedName>
    <definedName name="period">#REF!</definedName>
    <definedName name="Repeat_PZA">'MGIT 1st line DST'!#REF!</definedName>
    <definedName name="repet" localSheetId="15">'Abbott RT MTB and MTB RIF-INH'!$C$21</definedName>
    <definedName name="repet" localSheetId="14">'Cobas MTB and MTB-RIF-INH'!$C$21</definedName>
    <definedName name="repet" localSheetId="13">'FluoroType MTBDR VER 2.0'!$C$21</definedName>
    <definedName name="repet" localSheetId="10">'LPA 1st line'!$C$20</definedName>
    <definedName name="repet" localSheetId="11">'LPA 2nd line'!$C$20</definedName>
    <definedName name="repet" localSheetId="12">'MAX MDR-TB assay'!$C$21</definedName>
    <definedName name="repet" localSheetId="9">'Xpert MTB XDR'!#REF!</definedName>
    <definedName name="repet">#REF!</definedName>
    <definedName name="repet_process">'Processing&amp;solid-liquid culture'!$E$18</definedName>
    <definedName name="sample">'Processing&amp;solid-liquid culture'!$E$16</definedName>
    <definedName name="SL_LPA_kit">#REF!</definedName>
    <definedName name="slants">'Processing&amp;solid-liquid culture'!#REF!</definedName>
    <definedName name="staff">'Biosafety and cleaning'!$C$3</definedName>
    <definedName name="staff3">'Biosafety and cleaning'!$C$4</definedName>
    <definedName name="staffbsl3">'Biosafety and cleaning'!$C$4</definedName>
    <definedName name="TB_Culture">'MGIT 1st line DST'!#REF!</definedName>
    <definedName name="test_sputum" localSheetId="15">'Abbott RT MTB and MTB RIF-INH'!#REF!</definedName>
    <definedName name="test_sputum" localSheetId="14">'Cobas MTB and MTB-RIF-INH'!#REF!</definedName>
    <definedName name="test_sputum" localSheetId="13">'FluoroType MTBDR VER 2.0'!#REF!</definedName>
    <definedName name="test_sputum" localSheetId="10">'LPA 1st line'!#REF!</definedName>
    <definedName name="test_sputum" localSheetId="11">'LPA 2nd line'!#REF!</definedName>
    <definedName name="test_sputum" localSheetId="12">'MAX MDR-TB assay'!#REF!</definedName>
    <definedName name="test_sputum" localSheetId="9">'Xpert MTB XDR'!#REF!</definedName>
    <definedName name="total_test" localSheetId="15">'Abbott RT MTB and MTB RIF-INH'!$C$24</definedName>
    <definedName name="total_test" localSheetId="14">'Cobas MTB and MTB-RIF-INH'!$C$24</definedName>
    <definedName name="total_test" localSheetId="13">'FluoroType MTBDR VER 2.0'!$C$24</definedName>
    <definedName name="total_test" localSheetId="10">'LPA 1st line'!$C$26</definedName>
    <definedName name="total_test" localSheetId="11">'LPA 2nd line'!$C$26</definedName>
    <definedName name="total_test" localSheetId="12">'MAX MDR-TB assay'!$C$24</definedName>
    <definedName name="total_test" localSheetId="9">'Xpert MTB XDR'!#REF!</definedName>
    <definedName name="total_test">'LPA 1st line'!$C$27:$D$27</definedName>
    <definedName name="unit_pack" localSheetId="15">'Abbott RT MTB and MTB RIF-INH'!$D:$D</definedName>
    <definedName name="unit_pack" localSheetId="14">'Cobas MTB and MTB-RIF-INH'!$D:$D</definedName>
    <definedName name="unit_pack" localSheetId="13">'FluoroType MTBDR VER 2.0'!$D:$D</definedName>
    <definedName name="unit_pack" localSheetId="10">'LPA 1st line'!$D:$D</definedName>
    <definedName name="unit_pack" localSheetId="11">'LPA 2nd line'!$D:$D</definedName>
    <definedName name="unit_pack" localSheetId="12">'MAX MDR-TB assay'!$D:$D</definedName>
    <definedName name="unit_pack" localSheetId="9">'Xpert MTB XDR'!$D:$D</definedName>
    <definedName name="unit_pack">#REF!</definedName>
    <definedName name="volum_specimen">'Processing&amp;solid-liquid culture'!$E$21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2" i="36" l="1"/>
  <c r="E37" i="43"/>
  <c r="E40" i="42"/>
  <c r="E43" i="41"/>
  <c r="E43" i="40"/>
  <c r="E51" i="37"/>
  <c r="C19" i="40"/>
  <c r="E35" i="43"/>
  <c r="C18" i="37"/>
  <c r="C18" i="36"/>
  <c r="C17" i="33"/>
  <c r="F48" i="23" l="1"/>
  <c r="F47" i="23"/>
  <c r="F46" i="23"/>
  <c r="F45" i="23"/>
  <c r="F44" i="23"/>
  <c r="F43" i="23"/>
  <c r="F42" i="23"/>
  <c r="F41" i="23"/>
  <c r="F40" i="23"/>
  <c r="F39" i="23"/>
  <c r="F38" i="23"/>
  <c r="F37" i="23"/>
  <c r="F36" i="23"/>
  <c r="F35" i="23"/>
  <c r="C17" i="23"/>
  <c r="C18" i="23"/>
  <c r="F28" i="23" s="1"/>
  <c r="C21" i="4"/>
  <c r="C22" i="4" s="1"/>
  <c r="E34" i="4" s="1"/>
  <c r="C15" i="4"/>
  <c r="C16" i="4"/>
  <c r="C15" i="22"/>
  <c r="C35" i="22" s="1"/>
  <c r="C16" i="22"/>
  <c r="F25" i="22" s="1"/>
  <c r="C18" i="21"/>
  <c r="C19" i="21"/>
  <c r="F29" i="21" s="1"/>
  <c r="E21" i="30"/>
  <c r="E20" i="30"/>
  <c r="E19" i="30"/>
  <c r="E18" i="30"/>
  <c r="C6" i="30"/>
  <c r="C7" i="30"/>
  <c r="D13" i="30" s="1"/>
  <c r="E25" i="30" s="1"/>
  <c r="F72" i="5"/>
  <c r="F71" i="5"/>
  <c r="F70" i="5"/>
  <c r="F60" i="5"/>
  <c r="F59" i="5"/>
  <c r="F56" i="5"/>
  <c r="F55" i="5"/>
  <c r="F54" i="5"/>
  <c r="F52" i="5"/>
  <c r="F51" i="5"/>
  <c r="F50" i="5"/>
  <c r="F49" i="5"/>
  <c r="F22" i="5"/>
  <c r="F85" i="5" s="1"/>
  <c r="F21" i="5"/>
  <c r="C25" i="5"/>
  <c r="C23" i="5"/>
  <c r="C24" i="5"/>
  <c r="C25" i="40"/>
  <c r="E48" i="40" s="1"/>
  <c r="E31" i="42"/>
  <c r="E42" i="37"/>
  <c r="E35" i="37"/>
  <c r="E48" i="36"/>
  <c r="E42" i="36"/>
  <c r="E36" i="36"/>
  <c r="E30" i="36"/>
  <c r="C15" i="46"/>
  <c r="C16" i="46"/>
  <c r="D19" i="46" s="1"/>
  <c r="D49" i="38"/>
  <c r="D48" i="38"/>
  <c r="D47" i="38"/>
  <c r="D46" i="38"/>
  <c r="D45" i="38"/>
  <c r="D44" i="38"/>
  <c r="D43" i="38"/>
  <c r="D42" i="38"/>
  <c r="D36" i="38"/>
  <c r="D35" i="38"/>
  <c r="D34" i="38"/>
  <c r="D33" i="38"/>
  <c r="D32" i="38"/>
  <c r="C8" i="38"/>
  <c r="C9" i="38"/>
  <c r="C56" i="38" s="1"/>
  <c r="D50" i="15"/>
  <c r="D49" i="15"/>
  <c r="D48" i="15"/>
  <c r="D47" i="15"/>
  <c r="D46" i="15"/>
  <c r="D45" i="15"/>
  <c r="D44" i="15"/>
  <c r="D43" i="15"/>
  <c r="D51" i="15" s="1"/>
  <c r="D37" i="15"/>
  <c r="D36" i="15"/>
  <c r="D35" i="15"/>
  <c r="D34" i="15"/>
  <c r="D33" i="15"/>
  <c r="D32" i="15"/>
  <c r="C21" i="14"/>
  <c r="C22" i="14"/>
  <c r="D27" i="14" s="1"/>
  <c r="C22" i="39"/>
  <c r="C17" i="34"/>
  <c r="C18" i="34"/>
  <c r="C27" i="34" s="1"/>
  <c r="F24" i="21" l="1"/>
  <c r="F30" i="22"/>
  <c r="D25" i="14"/>
  <c r="F22" i="22"/>
  <c r="D21" i="46"/>
  <c r="F66" i="5"/>
  <c r="F23" i="21"/>
  <c r="F26" i="22"/>
  <c r="F25" i="21"/>
  <c r="F26" i="21"/>
  <c r="F30" i="21"/>
  <c r="F27" i="22"/>
  <c r="C27" i="38"/>
  <c r="F28" i="22"/>
  <c r="D38" i="38"/>
  <c r="E22" i="34"/>
  <c r="F21" i="22"/>
  <c r="F29" i="22"/>
  <c r="D51" i="38"/>
  <c r="E23" i="34"/>
  <c r="F65" i="5"/>
  <c r="F53" i="5"/>
  <c r="F27" i="21"/>
  <c r="F23" i="22"/>
  <c r="E26" i="46"/>
  <c r="E21" i="34"/>
  <c r="F28" i="21"/>
  <c r="F24" i="22"/>
  <c r="C35" i="21"/>
  <c r="E26" i="4"/>
  <c r="E29" i="4"/>
  <c r="E28" i="4"/>
  <c r="G49" i="23"/>
  <c r="F25" i="23"/>
  <c r="F29" i="23"/>
  <c r="F26" i="23"/>
  <c r="F23" i="23"/>
  <c r="F27" i="23"/>
  <c r="F24" i="23"/>
  <c r="E30" i="4"/>
  <c r="F68" i="5"/>
  <c r="F74" i="5"/>
  <c r="E34" i="40"/>
  <c r="E32" i="40"/>
  <c r="E29" i="40"/>
  <c r="E35" i="40"/>
  <c r="E30" i="40"/>
  <c r="C30" i="14"/>
  <c r="E30" i="30"/>
  <c r="E38" i="30"/>
  <c r="E32" i="30"/>
  <c r="E31" i="30"/>
  <c r="C23" i="39"/>
  <c r="D27" i="39"/>
  <c r="C31" i="39" s="1"/>
  <c r="E27" i="4"/>
  <c r="C26" i="5"/>
  <c r="F36" i="5" s="1"/>
  <c r="D163" i="48" s="1"/>
  <c r="F44" i="5"/>
  <c r="D170" i="48" s="1"/>
  <c r="F42" i="5"/>
  <c r="D168" i="48" s="1"/>
  <c r="F41" i="5"/>
  <c r="D167" i="48" s="1"/>
  <c r="F39" i="5"/>
  <c r="D165" i="48" s="1"/>
  <c r="F43" i="5"/>
  <c r="D169" i="48" s="1"/>
  <c r="F40" i="5"/>
  <c r="D166" i="48" s="1"/>
  <c r="C19" i="43"/>
  <c r="F31" i="4" l="1"/>
  <c r="F37" i="5"/>
  <c r="D164" i="48" s="1"/>
  <c r="C19" i="42"/>
  <c r="C19" i="41"/>
  <c r="C16" i="33"/>
  <c r="C20" i="33" s="1"/>
  <c r="E23" i="33" s="1"/>
  <c r="E32" i="37" l="1"/>
  <c r="E47" i="36"/>
  <c r="E46" i="36"/>
  <c r="E44" i="36"/>
  <c r="E33" i="36"/>
  <c r="C19" i="33"/>
  <c r="E24" i="33"/>
  <c r="E25" i="33"/>
  <c r="C15" i="48"/>
  <c r="C8" i="48"/>
  <c r="C41" i="20"/>
  <c r="G8" i="40"/>
  <c r="G5" i="40"/>
  <c r="G8" i="41"/>
  <c r="G5" i="41"/>
  <c r="G8" i="42"/>
  <c r="G5" i="42"/>
  <c r="G8" i="43"/>
  <c r="G10" i="14"/>
  <c r="G5" i="43"/>
  <c r="G7" i="14"/>
  <c r="E83" i="16"/>
  <c r="E71" i="16"/>
  <c r="C9" i="14"/>
  <c r="G6" i="34"/>
  <c r="G7" i="34"/>
  <c r="C271" i="48"/>
  <c r="C272" i="48"/>
  <c r="C273" i="48"/>
  <c r="C274" i="48"/>
  <c r="C275" i="48"/>
  <c r="C276" i="48"/>
  <c r="C277" i="48"/>
  <c r="C278" i="48"/>
  <c r="C279" i="48"/>
  <c r="C280" i="48"/>
  <c r="C281" i="48"/>
  <c r="C282" i="48"/>
  <c r="C283" i="48"/>
  <c r="C284" i="48"/>
  <c r="C270" i="48"/>
  <c r="B271" i="48"/>
  <c r="B272" i="48"/>
  <c r="B273" i="48"/>
  <c r="B274" i="48"/>
  <c r="B275" i="48"/>
  <c r="B276" i="48"/>
  <c r="B277" i="48"/>
  <c r="B278" i="48"/>
  <c r="B279" i="48"/>
  <c r="B280" i="48"/>
  <c r="B281" i="48"/>
  <c r="B282" i="48"/>
  <c r="B283" i="48"/>
  <c r="B284" i="48"/>
  <c r="B270" i="48"/>
  <c r="D268" i="48"/>
  <c r="B257" i="48"/>
  <c r="B258" i="48"/>
  <c r="B259" i="48"/>
  <c r="B260" i="48"/>
  <c r="B261" i="48"/>
  <c r="B262" i="48"/>
  <c r="B263" i="48"/>
  <c r="B264" i="48"/>
  <c r="B265" i="48"/>
  <c r="B266" i="48"/>
  <c r="B267" i="48"/>
  <c r="B268" i="48"/>
  <c r="C257" i="48"/>
  <c r="C258" i="48"/>
  <c r="C259" i="48"/>
  <c r="C260" i="48"/>
  <c r="C261" i="48"/>
  <c r="C262" i="48"/>
  <c r="C263" i="48"/>
  <c r="C264" i="48"/>
  <c r="C265" i="48"/>
  <c r="C266" i="48"/>
  <c r="C267" i="48"/>
  <c r="C268" i="48"/>
  <c r="C256" i="48"/>
  <c r="B256" i="48"/>
  <c r="D248" i="48"/>
  <c r="C249" i="48"/>
  <c r="C250" i="48"/>
  <c r="C251" i="48"/>
  <c r="C252" i="48"/>
  <c r="C248" i="48"/>
  <c r="C245" i="48"/>
  <c r="C246" i="48"/>
  <c r="C247" i="48"/>
  <c r="C244" i="48"/>
  <c r="B249" i="48"/>
  <c r="B250" i="48"/>
  <c r="B251" i="48"/>
  <c r="B252" i="48"/>
  <c r="B248" i="48"/>
  <c r="B245" i="48"/>
  <c r="B246" i="48"/>
  <c r="B247" i="48"/>
  <c r="B244" i="48"/>
  <c r="C230" i="48"/>
  <c r="C231" i="48"/>
  <c r="C232" i="48"/>
  <c r="C233" i="48"/>
  <c r="C234" i="48"/>
  <c r="C235" i="48"/>
  <c r="C236" i="48"/>
  <c r="C237" i="48"/>
  <c r="C238" i="48"/>
  <c r="C239" i="48"/>
  <c r="C240" i="48"/>
  <c r="C241" i="48"/>
  <c r="C242" i="48"/>
  <c r="C229" i="48"/>
  <c r="B232" i="48"/>
  <c r="B233" i="48"/>
  <c r="B234" i="48"/>
  <c r="B235" i="48"/>
  <c r="B236" i="48"/>
  <c r="B237" i="48"/>
  <c r="B238" i="48"/>
  <c r="B239" i="48"/>
  <c r="B240" i="48"/>
  <c r="B241" i="48"/>
  <c r="B242" i="48"/>
  <c r="B230" i="48"/>
  <c r="B231" i="48"/>
  <c r="B229" i="48"/>
  <c r="C223" i="48"/>
  <c r="C224" i="48"/>
  <c r="C225" i="48"/>
  <c r="C226" i="48"/>
  <c r="C227" i="48"/>
  <c r="C228" i="48"/>
  <c r="C222" i="48"/>
  <c r="B223" i="48"/>
  <c r="B224" i="48"/>
  <c r="B225" i="48"/>
  <c r="B226" i="48"/>
  <c r="B227" i="48"/>
  <c r="B228" i="48"/>
  <c r="B222" i="48"/>
  <c r="C219" i="48"/>
  <c r="C220" i="48"/>
  <c r="C221" i="48"/>
  <c r="C218" i="48"/>
  <c r="C214" i="48"/>
  <c r="C215" i="48"/>
  <c r="C216" i="48"/>
  <c r="C217" i="48"/>
  <c r="C213" i="48"/>
  <c r="B219" i="48"/>
  <c r="B220" i="48"/>
  <c r="B221" i="48"/>
  <c r="B218" i="48"/>
  <c r="B214" i="48"/>
  <c r="B215" i="48"/>
  <c r="B216" i="48"/>
  <c r="B217" i="48"/>
  <c r="B213" i="48"/>
  <c r="C203" i="48"/>
  <c r="C204" i="48"/>
  <c r="C205" i="48"/>
  <c r="C206" i="48"/>
  <c r="C207" i="48"/>
  <c r="C208" i="48"/>
  <c r="C209" i="48"/>
  <c r="C210" i="48"/>
  <c r="C211" i="48"/>
  <c r="C202" i="48"/>
  <c r="B203" i="48"/>
  <c r="B204" i="48"/>
  <c r="B205" i="48"/>
  <c r="B206" i="48"/>
  <c r="B207" i="48"/>
  <c r="B208" i="48"/>
  <c r="B209" i="48"/>
  <c r="B210" i="48"/>
  <c r="B211" i="48"/>
  <c r="B202" i="48"/>
  <c r="B195" i="48"/>
  <c r="B196" i="48"/>
  <c r="B197" i="48"/>
  <c r="B198" i="48"/>
  <c r="B199" i="48"/>
  <c r="B200" i="48"/>
  <c r="B201" i="48"/>
  <c r="C195" i="48"/>
  <c r="C196" i="48"/>
  <c r="C197" i="48"/>
  <c r="C198" i="48"/>
  <c r="C199" i="48"/>
  <c r="C200" i="48"/>
  <c r="C201" i="48"/>
  <c r="C194" i="48"/>
  <c r="B194" i="48"/>
  <c r="C192" i="48"/>
  <c r="C191" i="48"/>
  <c r="B192" i="48"/>
  <c r="B191" i="48"/>
  <c r="C189" i="48"/>
  <c r="C190" i="48"/>
  <c r="C188" i="48"/>
  <c r="B189" i="48"/>
  <c r="B190" i="48"/>
  <c r="B188" i="48"/>
  <c r="C187" i="48"/>
  <c r="B187" i="48"/>
  <c r="C186" i="48"/>
  <c r="C185" i="48"/>
  <c r="B186" i="48"/>
  <c r="B185" i="48"/>
  <c r="D180" i="48"/>
  <c r="D181" i="48"/>
  <c r="C173" i="48"/>
  <c r="C174" i="48"/>
  <c r="C175" i="48"/>
  <c r="C176" i="48"/>
  <c r="C177" i="48"/>
  <c r="C178" i="48"/>
  <c r="C179" i="48"/>
  <c r="C180" i="48"/>
  <c r="C181" i="48"/>
  <c r="C182" i="48"/>
  <c r="C183" i="48"/>
  <c r="C172" i="48"/>
  <c r="B183" i="48"/>
  <c r="B181" i="48"/>
  <c r="B182" i="48"/>
  <c r="B173" i="48"/>
  <c r="B174" i="48"/>
  <c r="B175" i="48"/>
  <c r="B176" i="48"/>
  <c r="B177" i="48"/>
  <c r="B178" i="48"/>
  <c r="B179" i="48"/>
  <c r="B180" i="48"/>
  <c r="B172" i="48"/>
  <c r="C166" i="48"/>
  <c r="C167" i="48"/>
  <c r="C168" i="48"/>
  <c r="C169" i="48"/>
  <c r="C170" i="48"/>
  <c r="C165" i="48"/>
  <c r="B166" i="48"/>
  <c r="B167" i="48"/>
  <c r="B168" i="48"/>
  <c r="B169" i="48"/>
  <c r="B170" i="48"/>
  <c r="B165" i="48"/>
  <c r="C164" i="48"/>
  <c r="C163" i="48"/>
  <c r="B164" i="48"/>
  <c r="B163" i="48"/>
  <c r="D145" i="48"/>
  <c r="C146" i="48"/>
  <c r="C147" i="48"/>
  <c r="C148" i="48"/>
  <c r="C149" i="48"/>
  <c r="C150" i="48"/>
  <c r="C151" i="48"/>
  <c r="C152" i="48"/>
  <c r="C153" i="48"/>
  <c r="C154" i="48"/>
  <c r="C155" i="48"/>
  <c r="C156" i="48"/>
  <c r="C157" i="48"/>
  <c r="C158" i="48"/>
  <c r="C159" i="48"/>
  <c r="C160" i="48"/>
  <c r="C161" i="48"/>
  <c r="C145" i="48"/>
  <c r="B146" i="48"/>
  <c r="B147" i="48"/>
  <c r="B148" i="48"/>
  <c r="B149" i="48"/>
  <c r="B150" i="48"/>
  <c r="B151" i="48"/>
  <c r="B152" i="48"/>
  <c r="B153" i="48"/>
  <c r="B154" i="48"/>
  <c r="B155" i="48"/>
  <c r="B156" i="48"/>
  <c r="B157" i="48"/>
  <c r="B158" i="48"/>
  <c r="B159" i="48"/>
  <c r="B160" i="48"/>
  <c r="B161" i="48"/>
  <c r="B145" i="48"/>
  <c r="C128" i="48"/>
  <c r="C129" i="48"/>
  <c r="C130" i="48"/>
  <c r="C131" i="48"/>
  <c r="C132" i="48"/>
  <c r="C133" i="48"/>
  <c r="C134" i="48"/>
  <c r="C135" i="48"/>
  <c r="C136" i="48"/>
  <c r="C137" i="48"/>
  <c r="C138" i="48"/>
  <c r="C139" i="48"/>
  <c r="C140" i="48"/>
  <c r="C141" i="48"/>
  <c r="C142" i="48"/>
  <c r="C143" i="48"/>
  <c r="C127" i="48"/>
  <c r="B128" i="48"/>
  <c r="B129" i="48"/>
  <c r="B130" i="48"/>
  <c r="B131" i="48"/>
  <c r="B132" i="48"/>
  <c r="B133" i="48"/>
  <c r="B134" i="48"/>
  <c r="B135" i="48"/>
  <c r="B136" i="48"/>
  <c r="B137" i="48"/>
  <c r="B138" i="48"/>
  <c r="B139" i="48"/>
  <c r="B140" i="48"/>
  <c r="B141" i="48"/>
  <c r="B142" i="48"/>
  <c r="B143" i="48"/>
  <c r="B127" i="48"/>
  <c r="C115" i="48"/>
  <c r="C116" i="48"/>
  <c r="C117" i="48"/>
  <c r="C118" i="48"/>
  <c r="C119" i="48"/>
  <c r="C120" i="48"/>
  <c r="C121" i="48"/>
  <c r="C122" i="48"/>
  <c r="C123" i="48"/>
  <c r="C124" i="48"/>
  <c r="C125" i="48"/>
  <c r="C114" i="48"/>
  <c r="B115" i="48"/>
  <c r="B116" i="48"/>
  <c r="B117" i="48"/>
  <c r="B118" i="48"/>
  <c r="B119" i="48"/>
  <c r="B120" i="48"/>
  <c r="B121" i="48"/>
  <c r="B122" i="48"/>
  <c r="B123" i="48"/>
  <c r="B124" i="48"/>
  <c r="B125" i="48"/>
  <c r="B114" i="48"/>
  <c r="C103" i="48"/>
  <c r="C104" i="48"/>
  <c r="C105" i="48"/>
  <c r="C106" i="48"/>
  <c r="C107" i="48"/>
  <c r="C108" i="48"/>
  <c r="C109" i="48"/>
  <c r="C110" i="48"/>
  <c r="C111" i="48"/>
  <c r="C112" i="48"/>
  <c r="C102" i="48"/>
  <c r="B103" i="48"/>
  <c r="B104" i="48"/>
  <c r="B105" i="48"/>
  <c r="B106" i="48"/>
  <c r="B107" i="48"/>
  <c r="B108" i="48"/>
  <c r="B109" i="48"/>
  <c r="B110" i="48"/>
  <c r="B111" i="48"/>
  <c r="B112" i="48"/>
  <c r="B102" i="48"/>
  <c r="C79" i="48"/>
  <c r="C80" i="48"/>
  <c r="C81" i="48"/>
  <c r="C82" i="48"/>
  <c r="C83" i="48"/>
  <c r="C84" i="48"/>
  <c r="C85" i="48"/>
  <c r="C86" i="48"/>
  <c r="C87" i="48"/>
  <c r="C88" i="48"/>
  <c r="C89" i="48"/>
  <c r="C90" i="48"/>
  <c r="C91" i="48"/>
  <c r="C92" i="48"/>
  <c r="C93" i="48"/>
  <c r="C94" i="48"/>
  <c r="C95" i="48"/>
  <c r="C96" i="48"/>
  <c r="C97" i="48"/>
  <c r="C98" i="48"/>
  <c r="C99" i="48"/>
  <c r="C100" i="48"/>
  <c r="C78" i="48"/>
  <c r="B79" i="48"/>
  <c r="B80" i="48"/>
  <c r="B81" i="48"/>
  <c r="B82" i="48"/>
  <c r="B83" i="48"/>
  <c r="B84" i="48"/>
  <c r="B85" i="48"/>
  <c r="B86" i="48"/>
  <c r="B87" i="48"/>
  <c r="B88" i="48"/>
  <c r="B89" i="48"/>
  <c r="B90" i="48"/>
  <c r="B91" i="48"/>
  <c r="B92" i="48"/>
  <c r="B93" i="48"/>
  <c r="B94" i="48"/>
  <c r="B95" i="48"/>
  <c r="B96" i="48"/>
  <c r="B97" i="48"/>
  <c r="B98" i="48"/>
  <c r="B99" i="48"/>
  <c r="B100" i="48"/>
  <c r="B78" i="48"/>
  <c r="C54" i="48"/>
  <c r="C55" i="48"/>
  <c r="C56" i="48"/>
  <c r="C57" i="48"/>
  <c r="C58" i="48"/>
  <c r="C59" i="48"/>
  <c r="C60" i="48"/>
  <c r="C61" i="48"/>
  <c r="C62" i="48"/>
  <c r="C63" i="48"/>
  <c r="C64" i="48"/>
  <c r="C65" i="48"/>
  <c r="C66" i="48"/>
  <c r="C67" i="48"/>
  <c r="C68" i="48"/>
  <c r="C69" i="48"/>
  <c r="C70" i="48"/>
  <c r="C71" i="48"/>
  <c r="C72" i="48"/>
  <c r="C73" i="48"/>
  <c r="C74" i="48"/>
  <c r="C75" i="48"/>
  <c r="C76" i="48"/>
  <c r="C53" i="48"/>
  <c r="B54" i="48"/>
  <c r="B55" i="48"/>
  <c r="B56" i="48"/>
  <c r="B57" i="48"/>
  <c r="B58" i="48"/>
  <c r="B59" i="48"/>
  <c r="B60" i="48"/>
  <c r="B61" i="48"/>
  <c r="B62" i="48"/>
  <c r="B63" i="48"/>
  <c r="B64" i="48"/>
  <c r="B65" i="48"/>
  <c r="B66" i="48"/>
  <c r="B67" i="48"/>
  <c r="B68" i="48"/>
  <c r="B69" i="48"/>
  <c r="B70" i="48"/>
  <c r="B71" i="48"/>
  <c r="B72" i="48"/>
  <c r="B73" i="48"/>
  <c r="B74" i="48"/>
  <c r="B75" i="48"/>
  <c r="B76" i="48"/>
  <c r="B53" i="48"/>
  <c r="C50" i="48"/>
  <c r="C51" i="48"/>
  <c r="C49" i="48"/>
  <c r="B50" i="48"/>
  <c r="B51" i="48"/>
  <c r="B49" i="48"/>
  <c r="C46" i="48"/>
  <c r="C47" i="48"/>
  <c r="C45" i="48"/>
  <c r="B46" i="48"/>
  <c r="B47" i="48"/>
  <c r="B45" i="48"/>
  <c r="D43" i="48"/>
  <c r="C43" i="48"/>
  <c r="C42" i="48"/>
  <c r="B43" i="48"/>
  <c r="B42" i="48"/>
  <c r="C39" i="48"/>
  <c r="C40" i="48"/>
  <c r="C38" i="48"/>
  <c r="B39" i="48"/>
  <c r="B40" i="48"/>
  <c r="B38" i="48"/>
  <c r="B23" i="48"/>
  <c r="C16" i="48"/>
  <c r="C17" i="48"/>
  <c r="C18" i="48"/>
  <c r="C19" i="48"/>
  <c r="C20" i="48"/>
  <c r="C21" i="48"/>
  <c r="C14" i="48"/>
  <c r="B15" i="48"/>
  <c r="B16" i="48"/>
  <c r="B17" i="48"/>
  <c r="B18" i="48"/>
  <c r="B19" i="48"/>
  <c r="B20" i="48"/>
  <c r="B21" i="48"/>
  <c r="B14" i="48"/>
  <c r="C9" i="48"/>
  <c r="C10" i="48"/>
  <c r="C11" i="48"/>
  <c r="C12" i="48"/>
  <c r="C13" i="48"/>
  <c r="B9" i="48"/>
  <c r="B10" i="48"/>
  <c r="B11" i="48"/>
  <c r="B12" i="48"/>
  <c r="B13" i="48"/>
  <c r="B8" i="48"/>
  <c r="B7" i="48"/>
  <c r="C25" i="48"/>
  <c r="C26" i="48"/>
  <c r="C27" i="48"/>
  <c r="C28" i="48"/>
  <c r="C24" i="48"/>
  <c r="B25" i="48"/>
  <c r="B26" i="48"/>
  <c r="B27" i="48"/>
  <c r="B28" i="48"/>
  <c r="B24" i="48"/>
  <c r="C30" i="48"/>
  <c r="C31" i="48"/>
  <c r="C32" i="48"/>
  <c r="C33" i="48"/>
  <c r="C34" i="48"/>
  <c r="C35" i="48"/>
  <c r="C36" i="48"/>
  <c r="C29" i="48"/>
  <c r="B36" i="48"/>
  <c r="B30" i="48"/>
  <c r="B31" i="48"/>
  <c r="B32" i="48"/>
  <c r="B33" i="48"/>
  <c r="B34" i="48"/>
  <c r="B35" i="48"/>
  <c r="B29" i="48"/>
  <c r="D156" i="16"/>
  <c r="D155" i="16"/>
  <c r="D154" i="16"/>
  <c r="E33" i="41"/>
  <c r="E38" i="43"/>
  <c r="E36" i="43"/>
  <c r="E163" i="16"/>
  <c r="F162" i="16" s="1"/>
  <c r="E160" i="16"/>
  <c r="F159" i="16" s="1"/>
  <c r="E144" i="16"/>
  <c r="F143" i="16" s="1"/>
  <c r="E52" i="37"/>
  <c r="E53" i="36"/>
  <c r="D76" i="48" s="1"/>
  <c r="D35" i="37"/>
  <c r="E37" i="37" s="1"/>
  <c r="E30" i="41" l="1"/>
  <c r="E29" i="41"/>
  <c r="E34" i="41"/>
  <c r="D53" i="48"/>
  <c r="G5" i="46"/>
  <c r="G5" i="37"/>
  <c r="C5" i="46"/>
  <c r="E51" i="36"/>
  <c r="D74" i="48" s="1"/>
  <c r="E60" i="16" l="1"/>
  <c r="E59" i="16"/>
  <c r="E55" i="16"/>
  <c r="E54" i="16"/>
  <c r="E50" i="16"/>
  <c r="E49" i="16"/>
  <c r="E45" i="16"/>
  <c r="E44" i="16"/>
  <c r="E64" i="16"/>
  <c r="E25" i="46" l="1" a="1"/>
  <c r="E25" i="46" s="1"/>
  <c r="E46" i="16"/>
  <c r="D44" i="20" s="1"/>
  <c r="E56" i="16"/>
  <c r="D46" i="20" s="1"/>
  <c r="E51" i="16"/>
  <c r="D45" i="20" s="1"/>
  <c r="E61" i="16"/>
  <c r="D47" i="20" s="1"/>
  <c r="E31" i="43"/>
  <c r="C18" i="43"/>
  <c r="C20" i="43" s="1"/>
  <c r="C5" i="43"/>
  <c r="C5" i="42"/>
  <c r="E41" i="42"/>
  <c r="E39" i="42"/>
  <c r="E38" i="42"/>
  <c r="E34" i="42"/>
  <c r="C18" i="42"/>
  <c r="E44" i="41"/>
  <c r="E42" i="41"/>
  <c r="E41" i="41"/>
  <c r="C18" i="41"/>
  <c r="C20" i="41" s="1"/>
  <c r="C6" i="41"/>
  <c r="C6" i="40"/>
  <c r="E44" i="40"/>
  <c r="D161" i="48" s="1"/>
  <c r="D160" i="48"/>
  <c r="E42" i="40"/>
  <c r="D159" i="48" s="1"/>
  <c r="E41" i="40"/>
  <c r="D158" i="48" s="1"/>
  <c r="C18" i="40"/>
  <c r="D216" i="48"/>
  <c r="D215" i="48"/>
  <c r="E104" i="16"/>
  <c r="E103" i="16"/>
  <c r="E102" i="16"/>
  <c r="E101" i="16"/>
  <c r="E100" i="16"/>
  <c r="C24" i="43" l="1"/>
  <c r="C25" i="43"/>
  <c r="C24" i="41"/>
  <c r="C25" i="41"/>
  <c r="E33" i="40"/>
  <c r="D150" i="48" s="1"/>
  <c r="E31" i="40"/>
  <c r="D148" i="48" s="1"/>
  <c r="E105" i="16"/>
  <c r="D51" i="20" s="1"/>
  <c r="C20" i="42"/>
  <c r="E37" i="40"/>
  <c r="D154" i="48" s="1"/>
  <c r="E37" i="41"/>
  <c r="C20" i="40"/>
  <c r="C24" i="40" s="1"/>
  <c r="E31" i="41" l="1"/>
  <c r="E35" i="41"/>
  <c r="E28" i="41"/>
  <c r="C25" i="42"/>
  <c r="E29" i="43"/>
  <c r="E28" i="43"/>
  <c r="E34" i="43" s="1"/>
  <c r="D151" i="48"/>
  <c r="D152" i="48"/>
  <c r="F18" i="20"/>
  <c r="G18" i="20" s="1"/>
  <c r="D149" i="48"/>
  <c r="F19" i="20"/>
  <c r="G19" i="20" s="1"/>
  <c r="D146" i="48"/>
  <c r="D147" i="48"/>
  <c r="F17" i="20"/>
  <c r="G17" i="20" s="1"/>
  <c r="F16" i="20"/>
  <c r="G16" i="20" s="1"/>
  <c r="C9" i="39"/>
  <c r="C12" i="39" s="1"/>
  <c r="E32" i="42" l="1"/>
  <c r="E30" i="42"/>
  <c r="D121" i="48" s="1"/>
  <c r="E40" i="41"/>
  <c r="D129" i="48"/>
  <c r="D133" i="48"/>
  <c r="D137" i="48"/>
  <c r="D141" i="48"/>
  <c r="D132" i="48"/>
  <c r="D127" i="48"/>
  <c r="D130" i="48"/>
  <c r="D134" i="48"/>
  <c r="D138" i="48"/>
  <c r="D142" i="48"/>
  <c r="D128" i="48"/>
  <c r="D140" i="48"/>
  <c r="D131" i="48"/>
  <c r="D135" i="48"/>
  <c r="D139" i="48"/>
  <c r="D143" i="48"/>
  <c r="D136" i="48"/>
  <c r="D123" i="48"/>
  <c r="D120" i="48"/>
  <c r="D124" i="48"/>
  <c r="E37" i="42"/>
  <c r="E36" i="42"/>
  <c r="E38" i="41"/>
  <c r="E36" i="41"/>
  <c r="E39" i="41"/>
  <c r="E40" i="40"/>
  <c r="D157" i="48" s="1"/>
  <c r="E39" i="40"/>
  <c r="D156" i="48" s="1"/>
  <c r="E38" i="40"/>
  <c r="D155" i="48" s="1"/>
  <c r="E36" i="40"/>
  <c r="D153" i="48" s="1"/>
  <c r="E88" i="16"/>
  <c r="E47" i="41" l="1" a="1"/>
  <c r="E47" i="41" s="1"/>
  <c r="E48" i="41" s="1"/>
  <c r="D119" i="48"/>
  <c r="D122" i="48"/>
  <c r="D125" i="48"/>
  <c r="E33" i="42"/>
  <c r="D117" i="48"/>
  <c r="D114" i="48"/>
  <c r="E35" i="42"/>
  <c r="D116" i="48"/>
  <c r="D115" i="48"/>
  <c r="D118" i="48"/>
  <c r="D103" i="48"/>
  <c r="D107" i="48"/>
  <c r="D111" i="48"/>
  <c r="D104" i="48"/>
  <c r="D108" i="48"/>
  <c r="D112" i="48"/>
  <c r="D110" i="48"/>
  <c r="D105" i="48"/>
  <c r="D109" i="48"/>
  <c r="D102" i="48"/>
  <c r="D106" i="48"/>
  <c r="E33" i="43"/>
  <c r="E32" i="43"/>
  <c r="E30" i="43"/>
  <c r="E47" i="40" a="1"/>
  <c r="E47" i="40" s="1"/>
  <c r="C6" i="33"/>
  <c r="D56" i="48"/>
  <c r="C17" i="36"/>
  <c r="C19" i="36" s="1"/>
  <c r="E44" i="42" l="1" a="1"/>
  <c r="E44" i="42" s="1"/>
  <c r="C27" i="36"/>
  <c r="E57" i="36" s="1"/>
  <c r="C26" i="36"/>
  <c r="E42" i="43" a="1"/>
  <c r="E42" i="43" s="1"/>
  <c r="E43" i="43" s="1"/>
  <c r="D18" i="20"/>
  <c r="D19" i="20"/>
  <c r="G8" i="34"/>
  <c r="G10" i="39"/>
  <c r="G7" i="39"/>
  <c r="F27" i="7"/>
  <c r="D256" i="48" s="1"/>
  <c r="F28" i="7"/>
  <c r="D257" i="48" s="1"/>
  <c r="F29" i="7"/>
  <c r="D258" i="48" s="1"/>
  <c r="F30" i="7"/>
  <c r="D259" i="48" s="1"/>
  <c r="F31" i="7"/>
  <c r="D260" i="48" s="1"/>
  <c r="F32" i="7"/>
  <c r="D261" i="48" s="1"/>
  <c r="F33" i="7"/>
  <c r="D262" i="48" s="1"/>
  <c r="F34" i="7"/>
  <c r="D263" i="48" s="1"/>
  <c r="F35" i="7"/>
  <c r="D264" i="48" s="1"/>
  <c r="F36" i="7"/>
  <c r="D265" i="48" s="1"/>
  <c r="F37" i="7"/>
  <c r="D266" i="48" s="1"/>
  <c r="F38" i="7"/>
  <c r="D267" i="48" s="1"/>
  <c r="D217" i="48"/>
  <c r="F75" i="5"/>
  <c r="G76" i="5" s="1" a="1"/>
  <c r="E48" i="37"/>
  <c r="E49" i="37"/>
  <c r="D71" i="48"/>
  <c r="E49" i="36"/>
  <c r="D72" i="48" s="1"/>
  <c r="D65" i="48"/>
  <c r="D67" i="48"/>
  <c r="D70" i="48"/>
  <c r="D75" i="48"/>
  <c r="D213" i="48"/>
  <c r="D214" i="48"/>
  <c r="D218" i="48"/>
  <c r="E35" i="4"/>
  <c r="D219" i="48" s="1"/>
  <c r="E36" i="4"/>
  <c r="D220" i="48" s="1"/>
  <c r="E37" i="4"/>
  <c r="D221" i="48" s="1"/>
  <c r="F16" i="7"/>
  <c r="D276" i="48" s="1"/>
  <c r="F18" i="7"/>
  <c r="D278" i="48" s="1"/>
  <c r="F19" i="7"/>
  <c r="D279" i="48" s="1"/>
  <c r="F10" i="7"/>
  <c r="D270" i="48" s="1"/>
  <c r="F11" i="7"/>
  <c r="D271" i="48" s="1"/>
  <c r="F12" i="7"/>
  <c r="D272" i="48" s="1"/>
  <c r="F13" i="7"/>
  <c r="D273" i="48" s="1"/>
  <c r="F14" i="7"/>
  <c r="D274" i="48" s="1"/>
  <c r="F15" i="7"/>
  <c r="D275" i="48" s="1"/>
  <c r="F20" i="7"/>
  <c r="D280" i="48" s="1"/>
  <c r="F21" i="7"/>
  <c r="D281" i="48" s="1"/>
  <c r="F22" i="7"/>
  <c r="D282" i="48" s="1"/>
  <c r="F23" i="7"/>
  <c r="D283" i="48" s="1"/>
  <c r="F24" i="7"/>
  <c r="D284" i="48" s="1"/>
  <c r="F13" i="20"/>
  <c r="G13" i="20" s="1"/>
  <c r="D182" i="48"/>
  <c r="D183" i="48"/>
  <c r="F25" i="20"/>
  <c r="G25" i="20" s="1"/>
  <c r="D222" i="48"/>
  <c r="F20" i="20"/>
  <c r="D22" i="20"/>
  <c r="D190" i="48"/>
  <c r="D189" i="48"/>
  <c r="D188" i="48"/>
  <c r="D172" i="48"/>
  <c r="D173" i="48"/>
  <c r="D174" i="48"/>
  <c r="D175" i="48"/>
  <c r="D177" i="48"/>
  <c r="D178" i="48"/>
  <c r="D179" i="48"/>
  <c r="D244" i="48"/>
  <c r="D246" i="48"/>
  <c r="D247" i="48"/>
  <c r="L16" i="7"/>
  <c r="D63" i="23"/>
  <c r="D237" i="48"/>
  <c r="D229" i="48"/>
  <c r="D230" i="48"/>
  <c r="D231" i="48"/>
  <c r="D232" i="48"/>
  <c r="D233" i="48"/>
  <c r="D234" i="48"/>
  <c r="D235" i="48"/>
  <c r="D236" i="48"/>
  <c r="D238" i="48"/>
  <c r="D239" i="48"/>
  <c r="D240" i="48"/>
  <c r="D241" i="48"/>
  <c r="D242" i="48"/>
  <c r="D224" i="48"/>
  <c r="AB11" i="39"/>
  <c r="AK11" i="39"/>
  <c r="AG11" i="39"/>
  <c r="C7" i="26"/>
  <c r="S12" i="39"/>
  <c r="B9" i="26"/>
  <c r="E7" i="26"/>
  <c r="F8" i="20"/>
  <c r="G8" i="20" s="1"/>
  <c r="E22" i="38"/>
  <c r="F22" i="38" s="1"/>
  <c r="D69" i="48"/>
  <c r="G5" i="23"/>
  <c r="C5" i="23"/>
  <c r="D61" i="23"/>
  <c r="D60" i="23"/>
  <c r="G5" i="5"/>
  <c r="G6" i="21"/>
  <c r="G5" i="22"/>
  <c r="G5" i="4"/>
  <c r="C5" i="4"/>
  <c r="C5" i="22"/>
  <c r="C6" i="21"/>
  <c r="D245" i="48"/>
  <c r="C5" i="5"/>
  <c r="C17" i="37"/>
  <c r="C19" i="37" s="1"/>
  <c r="C5" i="37"/>
  <c r="D36" i="36"/>
  <c r="C5" i="36"/>
  <c r="C6" i="34"/>
  <c r="D51" i="48"/>
  <c r="D50" i="48"/>
  <c r="D49" i="48"/>
  <c r="P9" i="34"/>
  <c r="E22" i="15"/>
  <c r="D45" i="48"/>
  <c r="S12" i="14"/>
  <c r="G62" i="23"/>
  <c r="G63" i="23"/>
  <c r="G60" i="23"/>
  <c r="G61" i="23"/>
  <c r="G59" i="23"/>
  <c r="E96" i="16"/>
  <c r="E84" i="16"/>
  <c r="D69" i="18"/>
  <c r="D70" i="18"/>
  <c r="D68" i="18"/>
  <c r="D67" i="18"/>
  <c r="D73" i="18" s="1"/>
  <c r="D121" i="18" s="1"/>
  <c r="D49" i="18"/>
  <c r="D48" i="18"/>
  <c r="D47" i="18"/>
  <c r="D32" i="18"/>
  <c r="D31" i="18"/>
  <c r="D30" i="18"/>
  <c r="D15" i="18"/>
  <c r="D17" i="18"/>
  <c r="D16" i="18"/>
  <c r="D180" i="17"/>
  <c r="D151" i="17"/>
  <c r="D122" i="17"/>
  <c r="D93" i="17"/>
  <c r="D64" i="17"/>
  <c r="D36" i="17"/>
  <c r="D25" i="17"/>
  <c r="D42" i="17" s="1"/>
  <c r="D207" i="17" s="1"/>
  <c r="D184" i="17"/>
  <c r="D182" i="17"/>
  <c r="D179" i="17"/>
  <c r="D178" i="17"/>
  <c r="D177" i="17"/>
  <c r="D175" i="17"/>
  <c r="D174" i="17"/>
  <c r="D173" i="17"/>
  <c r="D171" i="17"/>
  <c r="D170" i="17"/>
  <c r="D169" i="17"/>
  <c r="D186" i="17" s="1"/>
  <c r="D208" i="17" s="1"/>
  <c r="D155" i="17"/>
  <c r="D126" i="17"/>
  <c r="D68" i="17"/>
  <c r="D153" i="17"/>
  <c r="D150" i="17"/>
  <c r="D149" i="17"/>
  <c r="D148" i="17"/>
  <c r="D146" i="17"/>
  <c r="D145" i="17"/>
  <c r="D144" i="17"/>
  <c r="D142" i="17"/>
  <c r="D141" i="17"/>
  <c r="D140" i="17"/>
  <c r="D157" i="17" s="1"/>
  <c r="D211" i="17" s="1"/>
  <c r="D124" i="17"/>
  <c r="D121" i="17"/>
  <c r="D120" i="17"/>
  <c r="D119" i="17"/>
  <c r="D117" i="17"/>
  <c r="D116" i="17"/>
  <c r="D115" i="17"/>
  <c r="D113" i="17"/>
  <c r="D112" i="17"/>
  <c r="D111" i="17"/>
  <c r="D128" i="17" s="1"/>
  <c r="D210" i="17" s="1"/>
  <c r="D97" i="17"/>
  <c r="D95" i="17"/>
  <c r="D92" i="17"/>
  <c r="D91" i="17"/>
  <c r="D90" i="17"/>
  <c r="D88" i="17"/>
  <c r="D87" i="17"/>
  <c r="D86" i="17"/>
  <c r="D84" i="17"/>
  <c r="D83" i="17"/>
  <c r="D82" i="17"/>
  <c r="D99" i="17" s="1"/>
  <c r="D209" i="17" s="1"/>
  <c r="D66" i="17"/>
  <c r="D63" i="17"/>
  <c r="D62" i="17"/>
  <c r="D61" i="17"/>
  <c r="D59" i="17"/>
  <c r="D58" i="17"/>
  <c r="D30" i="17"/>
  <c r="D57" i="17"/>
  <c r="D55" i="17"/>
  <c r="D54" i="17"/>
  <c r="D53" i="17"/>
  <c r="D70" i="17" s="1"/>
  <c r="D40" i="17"/>
  <c r="D38" i="17"/>
  <c r="D35" i="17"/>
  <c r="D34" i="17"/>
  <c r="D33" i="17"/>
  <c r="D31" i="17"/>
  <c r="D29" i="17"/>
  <c r="D27" i="17"/>
  <c r="D26" i="17"/>
  <c r="D197" i="17"/>
  <c r="D200" i="17" s="1"/>
  <c r="D213" i="17" s="1"/>
  <c r="D198" i="17"/>
  <c r="C11" i="19"/>
  <c r="D24" i="19"/>
  <c r="D25" i="19"/>
  <c r="D26" i="19"/>
  <c r="D27" i="19"/>
  <c r="D28" i="19"/>
  <c r="D29" i="19"/>
  <c r="D30" i="19"/>
  <c r="D31" i="19"/>
  <c r="C33" i="19"/>
  <c r="C47" i="19"/>
  <c r="C60" i="19"/>
  <c r="D14" i="18"/>
  <c r="D29" i="18"/>
  <c r="D46" i="18"/>
  <c r="D51" i="18" s="1"/>
  <c r="D120" i="18" s="1"/>
  <c r="D83" i="18"/>
  <c r="D93" i="18"/>
  <c r="D123" i="18" s="1"/>
  <c r="D112" i="18"/>
  <c r="D125" i="18" s="1"/>
  <c r="H6" i="17"/>
  <c r="H7" i="17"/>
  <c r="H8" i="17"/>
  <c r="H9" i="17"/>
  <c r="H10" i="17"/>
  <c r="H11" i="17"/>
  <c r="H12" i="17"/>
  <c r="C213" i="17"/>
  <c r="C212" i="17"/>
  <c r="C208" i="17"/>
  <c r="C207" i="17"/>
  <c r="E183" i="16"/>
  <c r="F182" i="16" s="1"/>
  <c r="E184" i="16"/>
  <c r="F183" i="16" s="1"/>
  <c r="E185" i="16"/>
  <c r="F184" i="16" s="1"/>
  <c r="E186" i="16"/>
  <c r="F185" i="16" s="1"/>
  <c r="E108" i="16"/>
  <c r="E109" i="16"/>
  <c r="E93" i="16"/>
  <c r="E94" i="16"/>
  <c r="E89" i="16"/>
  <c r="E90" i="16"/>
  <c r="E91" i="16"/>
  <c r="E92" i="16"/>
  <c r="E114" i="16"/>
  <c r="E115" i="16"/>
  <c r="E122" i="16"/>
  <c r="E120" i="16"/>
  <c r="E121" i="16"/>
  <c r="E7" i="16"/>
  <c r="E8" i="16"/>
  <c r="E9" i="16"/>
  <c r="E13" i="16"/>
  <c r="E14" i="16"/>
  <c r="E18" i="16"/>
  <c r="E19" i="16"/>
  <c r="E20" i="16"/>
  <c r="E24" i="16"/>
  <c r="E25" i="16"/>
  <c r="E26" i="16"/>
  <c r="E30" i="16"/>
  <c r="E31" i="16"/>
  <c r="E32" i="16"/>
  <c r="E36" i="16"/>
  <c r="E37" i="16"/>
  <c r="E38" i="16"/>
  <c r="E39" i="16"/>
  <c r="E65" i="16"/>
  <c r="E66" i="16"/>
  <c r="E67" i="16"/>
  <c r="E68" i="16"/>
  <c r="E69" i="16"/>
  <c r="E70" i="16"/>
  <c r="E72" i="16"/>
  <c r="E76" i="16"/>
  <c r="E77" i="16"/>
  <c r="E78" i="16"/>
  <c r="E79" i="16"/>
  <c r="E80" i="16"/>
  <c r="E81" i="16"/>
  <c r="E82" i="16"/>
  <c r="E131" i="16"/>
  <c r="E132" i="16"/>
  <c r="F131" i="16" s="1"/>
  <c r="E133" i="16"/>
  <c r="F132" i="16" s="1"/>
  <c r="E134" i="16"/>
  <c r="F133" i="16" s="1"/>
  <c r="E135" i="16"/>
  <c r="F134" i="16" s="1"/>
  <c r="E136" i="16"/>
  <c r="F135" i="16" s="1"/>
  <c r="E137" i="16"/>
  <c r="F136" i="16" s="1"/>
  <c r="E138" i="16"/>
  <c r="F137" i="16" s="1"/>
  <c r="F138" i="16"/>
  <c r="F139" i="16"/>
  <c r="E141" i="16"/>
  <c r="F140" i="16" s="1"/>
  <c r="E142" i="16"/>
  <c r="F141" i="16" s="1"/>
  <c r="E143" i="16"/>
  <c r="F142" i="16" s="1"/>
  <c r="E145" i="16"/>
  <c r="F144" i="16" s="1"/>
  <c r="E146" i="16"/>
  <c r="F145" i="16" s="1"/>
  <c r="E147" i="16"/>
  <c r="F146" i="16" s="1"/>
  <c r="E148" i="16"/>
  <c r="F147" i="16" s="1"/>
  <c r="E149" i="16"/>
  <c r="F148" i="16" s="1"/>
  <c r="E150" i="16"/>
  <c r="F149" i="16" s="1"/>
  <c r="E151" i="16"/>
  <c r="F150" i="16" s="1"/>
  <c r="E152" i="16"/>
  <c r="F151" i="16" s="1"/>
  <c r="E153" i="16"/>
  <c r="F152" i="16" s="1"/>
  <c r="E154" i="16"/>
  <c r="F153" i="16" s="1"/>
  <c r="E155" i="16"/>
  <c r="F154" i="16" s="1"/>
  <c r="E156" i="16"/>
  <c r="F155" i="16" s="1"/>
  <c r="E157" i="16"/>
  <c r="F156" i="16" s="1"/>
  <c r="E158" i="16"/>
  <c r="F157" i="16" s="1"/>
  <c r="E159" i="16"/>
  <c r="F158" i="16" s="1"/>
  <c r="E161" i="16"/>
  <c r="F160" i="16" s="1"/>
  <c r="E162" i="16"/>
  <c r="F161" i="16" s="1"/>
  <c r="E164" i="16"/>
  <c r="F163" i="16" s="1"/>
  <c r="E165" i="16"/>
  <c r="F164" i="16" s="1"/>
  <c r="E166" i="16"/>
  <c r="F165" i="16" s="1"/>
  <c r="E167" i="16"/>
  <c r="F166" i="16" s="1"/>
  <c r="E168" i="16"/>
  <c r="F167" i="16" s="1"/>
  <c r="E169" i="16"/>
  <c r="F168" i="16" s="1"/>
  <c r="E170" i="16"/>
  <c r="F169" i="16" s="1"/>
  <c r="E171" i="16"/>
  <c r="F170" i="16" s="1"/>
  <c r="E172" i="16"/>
  <c r="F171" i="16" s="1"/>
  <c r="E173" i="16"/>
  <c r="F172" i="16" s="1"/>
  <c r="E174" i="16"/>
  <c r="F173" i="16" s="1"/>
  <c r="E175" i="16"/>
  <c r="F174" i="16" s="1"/>
  <c r="E176" i="16"/>
  <c r="F175" i="16" s="1"/>
  <c r="E177" i="16"/>
  <c r="F176" i="16" s="1"/>
  <c r="E178" i="16"/>
  <c r="F177" i="16" s="1"/>
  <c r="E179" i="16"/>
  <c r="F178" i="16" s="1"/>
  <c r="E180" i="16"/>
  <c r="F179" i="16" s="1"/>
  <c r="E181" i="16"/>
  <c r="F180" i="16" s="1"/>
  <c r="E182" i="16"/>
  <c r="F181" i="16" s="1"/>
  <c r="C54" i="20"/>
  <c r="C53" i="20"/>
  <c r="C52" i="20"/>
  <c r="C50" i="20"/>
  <c r="C49" i="20"/>
  <c r="C48" i="20"/>
  <c r="C43" i="20"/>
  <c r="C42" i="20"/>
  <c r="C40" i="20"/>
  <c r="C39" i="20"/>
  <c r="C38" i="20"/>
  <c r="D23" i="19"/>
  <c r="D22" i="19"/>
  <c r="D21" i="19"/>
  <c r="D124" i="18"/>
  <c r="D122" i="18"/>
  <c r="C125" i="18"/>
  <c r="C124" i="18"/>
  <c r="C123" i="18"/>
  <c r="C122" i="18"/>
  <c r="C121" i="18"/>
  <c r="C120" i="18"/>
  <c r="C119" i="18"/>
  <c r="C118" i="18"/>
  <c r="C206" i="17"/>
  <c r="D421" i="1"/>
  <c r="D385" i="1"/>
  <c r="D379" i="1"/>
  <c r="D367" i="1"/>
  <c r="D359" i="1"/>
  <c r="D191" i="1"/>
  <c r="D182" i="1"/>
  <c r="D150" i="1"/>
  <c r="D129" i="1"/>
  <c r="D123" i="1"/>
  <c r="E45" i="42" l="1"/>
  <c r="D17" i="20"/>
  <c r="D19" i="18"/>
  <c r="D118" i="18" s="1"/>
  <c r="D126" i="18" s="1"/>
  <c r="D34" i="18"/>
  <c r="C27" i="37"/>
  <c r="E30" i="37" s="1"/>
  <c r="C26" i="37"/>
  <c r="E32" i="36"/>
  <c r="E31" i="36"/>
  <c r="Y37" i="36"/>
  <c r="D192" i="48"/>
  <c r="G76" i="5"/>
  <c r="F83" i="5" s="1"/>
  <c r="F86" i="5" s="1"/>
  <c r="D16" i="20"/>
  <c r="E47" i="37"/>
  <c r="Z36" i="37"/>
  <c r="G7" i="40"/>
  <c r="G7" i="43"/>
  <c r="G7" i="42"/>
  <c r="G9" i="14"/>
  <c r="G7" i="41"/>
  <c r="G6" i="46"/>
  <c r="G7" i="46" s="1"/>
  <c r="G6" i="37"/>
  <c r="G7" i="37" s="1"/>
  <c r="G6" i="4"/>
  <c r="G7" i="4" s="1"/>
  <c r="G6" i="5"/>
  <c r="G7" i="5" s="1"/>
  <c r="G7" i="21"/>
  <c r="G8" i="21" s="1"/>
  <c r="G6" i="22"/>
  <c r="G7" i="22" s="1"/>
  <c r="G6" i="23"/>
  <c r="G7" i="23" s="1"/>
  <c r="G6" i="40"/>
  <c r="G6" i="42"/>
  <c r="G6" i="43"/>
  <c r="G8" i="14"/>
  <c r="G6" i="41"/>
  <c r="H13" i="17"/>
  <c r="D206" i="17" s="1"/>
  <c r="D214" i="17" s="1"/>
  <c r="D32" i="19"/>
  <c r="C63" i="19" s="1"/>
  <c r="S16" i="39"/>
  <c r="G9" i="43"/>
  <c r="G9" i="42"/>
  <c r="G5" i="36"/>
  <c r="G6" i="36" s="1"/>
  <c r="G11" i="14"/>
  <c r="G9" i="41"/>
  <c r="G9" i="40"/>
  <c r="E85" i="16"/>
  <c r="D49" i="20" s="1"/>
  <c r="E110" i="16"/>
  <c r="D210" i="48"/>
  <c r="D206" i="48"/>
  <c r="D211" i="48"/>
  <c r="D203" i="48"/>
  <c r="D209" i="48"/>
  <c r="D205" i="48"/>
  <c r="D208" i="48"/>
  <c r="D204" i="48"/>
  <c r="D207" i="48"/>
  <c r="D202" i="48"/>
  <c r="D199" i="48"/>
  <c r="D195" i="48"/>
  <c r="D196" i="48"/>
  <c r="D198" i="48"/>
  <c r="D194" i="48"/>
  <c r="D200" i="48"/>
  <c r="D201" i="48"/>
  <c r="D197" i="48"/>
  <c r="D185" i="48"/>
  <c r="C26" i="38"/>
  <c r="D23" i="48"/>
  <c r="D29" i="48"/>
  <c r="F42" i="38"/>
  <c r="F46" i="38"/>
  <c r="D33" i="48"/>
  <c r="F35" i="38"/>
  <c r="D27" i="48"/>
  <c r="F36" i="38"/>
  <c r="D28" i="48"/>
  <c r="F43" i="38"/>
  <c r="D30" i="48"/>
  <c r="F47" i="38"/>
  <c r="D34" i="48"/>
  <c r="F32" i="38"/>
  <c r="D24" i="48"/>
  <c r="D31" i="48"/>
  <c r="F44" i="38"/>
  <c r="D35" i="48"/>
  <c r="F48" i="38"/>
  <c r="F33" i="38"/>
  <c r="D25" i="48"/>
  <c r="D32" i="48"/>
  <c r="F45" i="38"/>
  <c r="D36" i="48"/>
  <c r="F49" i="38"/>
  <c r="F34" i="38"/>
  <c r="D26" i="48"/>
  <c r="F10" i="20"/>
  <c r="G10" i="20" s="1"/>
  <c r="D38" i="48"/>
  <c r="D227" i="48"/>
  <c r="D225" i="48"/>
  <c r="D223" i="48"/>
  <c r="D228" i="48"/>
  <c r="F130" i="16"/>
  <c r="E195" i="16"/>
  <c r="D59" i="23"/>
  <c r="D66" i="23" s="1"/>
  <c r="D70" i="23" s="1"/>
  <c r="D72" i="23" s="1"/>
  <c r="D50" i="38"/>
  <c r="E15" i="16"/>
  <c r="D39" i="20" s="1"/>
  <c r="F28" i="20"/>
  <c r="G28" i="20" s="1"/>
  <c r="D226" i="48"/>
  <c r="F29" i="20"/>
  <c r="G29" i="20" s="1"/>
  <c r="D62" i="23"/>
  <c r="D69" i="23" s="1"/>
  <c r="F38" i="4" a="1"/>
  <c r="F38" i="4" s="1"/>
  <c r="D44" i="4"/>
  <c r="G44" i="7"/>
  <c r="E24" i="30" a="1"/>
  <c r="E24" i="30" s="1"/>
  <c r="F23" i="20"/>
  <c r="G23" i="20" s="1"/>
  <c r="D250" i="48"/>
  <c r="E34" i="30"/>
  <c r="D249" i="48"/>
  <c r="E33" i="30"/>
  <c r="D252" i="48" s="1"/>
  <c r="D251" i="48"/>
  <c r="E97" i="16"/>
  <c r="D50" i="20" s="1"/>
  <c r="E10" i="16"/>
  <c r="E123" i="16"/>
  <c r="D54" i="20" s="1"/>
  <c r="G6" i="33"/>
  <c r="D67" i="23"/>
  <c r="D68" i="23"/>
  <c r="D119" i="18"/>
  <c r="D212" i="17"/>
  <c r="E46" i="37"/>
  <c r="F27" i="20"/>
  <c r="G27" i="20" s="1"/>
  <c r="F24" i="20"/>
  <c r="G24" i="20" s="1"/>
  <c r="G9" i="39"/>
  <c r="F26" i="20"/>
  <c r="G11" i="39"/>
  <c r="E73" i="16"/>
  <c r="D48" i="20" s="1"/>
  <c r="E21" i="16"/>
  <c r="D40" i="20" s="1"/>
  <c r="E44" i="37"/>
  <c r="D187" i="48"/>
  <c r="D191" i="48"/>
  <c r="F21" i="20"/>
  <c r="F9" i="20"/>
  <c r="G9" i="20" s="1"/>
  <c r="C6" i="15"/>
  <c r="F17" i="7"/>
  <c r="G8" i="39"/>
  <c r="D29" i="20"/>
  <c r="D52" i="20"/>
  <c r="E40" i="16"/>
  <c r="D43" i="20" s="1"/>
  <c r="E33" i="16"/>
  <c r="D42" i="20" s="1"/>
  <c r="E27" i="16"/>
  <c r="D41" i="20" s="1"/>
  <c r="D39" i="48"/>
  <c r="D40" i="48"/>
  <c r="F11" i="20"/>
  <c r="G11" i="20" s="1"/>
  <c r="C26" i="34"/>
  <c r="D47" i="48"/>
  <c r="D46" i="48"/>
  <c r="F12" i="20"/>
  <c r="G12" i="20" s="1"/>
  <c r="S10" i="14"/>
  <c r="S10" i="39"/>
  <c r="S16" i="14"/>
  <c r="G9" i="34"/>
  <c r="S11" i="39"/>
  <c r="P13" i="34"/>
  <c r="S11" i="14"/>
  <c r="E40" i="37" l="1"/>
  <c r="E43" i="37"/>
  <c r="E39" i="37"/>
  <c r="E41" i="37"/>
  <c r="E38" i="37"/>
  <c r="E34" i="37"/>
  <c r="E33" i="37"/>
  <c r="D27" i="20"/>
  <c r="D45" i="4"/>
  <c r="D46" i="4" s="1"/>
  <c r="E43" i="36"/>
  <c r="E40" i="36"/>
  <c r="E35" i="36"/>
  <c r="D58" i="48" s="1"/>
  <c r="E38" i="36"/>
  <c r="E50" i="36"/>
  <c r="D73" i="48" s="1"/>
  <c r="E45" i="36"/>
  <c r="E41" i="36"/>
  <c r="E39" i="36"/>
  <c r="E34" i="36"/>
  <c r="D57" i="48" s="1"/>
  <c r="E37" i="36"/>
  <c r="C9" i="15"/>
  <c r="C8" i="15"/>
  <c r="D8" i="20"/>
  <c r="G12" i="14"/>
  <c r="G10" i="42"/>
  <c r="G10" i="40"/>
  <c r="G10" i="41"/>
  <c r="G10" i="43"/>
  <c r="D37" i="38"/>
  <c r="D55" i="48"/>
  <c r="D54" i="48"/>
  <c r="F194" i="16"/>
  <c r="D55" i="20" s="1"/>
  <c r="C34" i="22"/>
  <c r="D25" i="20" s="1"/>
  <c r="C34" i="21" a="1"/>
  <c r="C34" i="21" s="1"/>
  <c r="D24" i="20" s="1"/>
  <c r="G61" i="5" a="1"/>
  <c r="G61" i="5" s="1"/>
  <c r="F82" i="5" s="1"/>
  <c r="D176" i="48"/>
  <c r="G43" i="7"/>
  <c r="D34" i="20" s="1"/>
  <c r="D277" i="48"/>
  <c r="D186" i="48"/>
  <c r="D42" i="48"/>
  <c r="D33" i="20"/>
  <c r="D12" i="20"/>
  <c r="D38" i="20"/>
  <c r="G45" i="5" a="1"/>
  <c r="G45" i="5" s="1"/>
  <c r="F81" i="5" s="1"/>
  <c r="F84" i="5" s="1"/>
  <c r="D13" i="20"/>
  <c r="D26" i="20"/>
  <c r="G26" i="20" s="1"/>
  <c r="G30" i="23"/>
  <c r="E37" i="30"/>
  <c r="G12" i="39"/>
  <c r="E116" i="16"/>
  <c r="E125" i="16" s="1"/>
  <c r="C28" i="33"/>
  <c r="C29" i="33" s="1"/>
  <c r="S14" i="33"/>
  <c r="F22" i="15" l="1"/>
  <c r="C57" i="15"/>
  <c r="D52" i="15"/>
  <c r="D39" i="15"/>
  <c r="D20" i="20"/>
  <c r="G20" i="20" s="1"/>
  <c r="C27" i="15"/>
  <c r="E50" i="37"/>
  <c r="D14" i="48"/>
  <c r="F7" i="20"/>
  <c r="G7" i="20" s="1"/>
  <c r="F37" i="15"/>
  <c r="D19" i="48"/>
  <c r="G45" i="7"/>
  <c r="F6" i="20"/>
  <c r="G6" i="20" s="1"/>
  <c r="D20" i="48"/>
  <c r="F50" i="15"/>
  <c r="C55" i="38"/>
  <c r="D9" i="20" s="1"/>
  <c r="F22" i="20"/>
  <c r="G22" i="20" s="1"/>
  <c r="D10" i="48"/>
  <c r="F47" i="15"/>
  <c r="F44" i="15"/>
  <c r="F45" i="15"/>
  <c r="F46" i="15"/>
  <c r="F35" i="15"/>
  <c r="F33" i="15"/>
  <c r="F36" i="15"/>
  <c r="F32" i="15"/>
  <c r="D35" i="20"/>
  <c r="D79" i="48"/>
  <c r="D83" i="48"/>
  <c r="D87" i="48"/>
  <c r="D91" i="48"/>
  <c r="D95" i="48"/>
  <c r="D99" i="48"/>
  <c r="D80" i="48"/>
  <c r="D84" i="48"/>
  <c r="D88" i="48"/>
  <c r="D92" i="48"/>
  <c r="D96" i="48"/>
  <c r="D100" i="48"/>
  <c r="D86" i="48"/>
  <c r="D94" i="48"/>
  <c r="D81" i="48"/>
  <c r="D85" i="48"/>
  <c r="D89" i="48"/>
  <c r="D93" i="48"/>
  <c r="D97" i="48"/>
  <c r="D78" i="48"/>
  <c r="D82" i="48"/>
  <c r="D90" i="48"/>
  <c r="D98" i="48"/>
  <c r="D10" i="20"/>
  <c r="E36" i="37"/>
  <c r="F15" i="20"/>
  <c r="G15" i="20" s="1"/>
  <c r="D53" i="20"/>
  <c r="D56" i="20" s="1"/>
  <c r="D28" i="20"/>
  <c r="E45" i="37"/>
  <c r="D23" i="20"/>
  <c r="D11" i="20"/>
  <c r="D60" i="48"/>
  <c r="D64" i="48"/>
  <c r="D68" i="48"/>
  <c r="F14" i="20"/>
  <c r="G14" i="20" s="1"/>
  <c r="D62" i="48"/>
  <c r="D66" i="48"/>
  <c r="D59" i="48"/>
  <c r="D61" i="48"/>
  <c r="D63" i="48"/>
  <c r="D21" i="20" l="1"/>
  <c r="G21" i="20" s="1"/>
  <c r="D11" i="48"/>
  <c r="F48" i="15"/>
  <c r="F43" i="15"/>
  <c r="D7" i="48"/>
  <c r="C26" i="15"/>
  <c r="F34" i="15"/>
  <c r="D38" i="15" s="1"/>
  <c r="D16" i="48"/>
  <c r="D13" i="48"/>
  <c r="F49" i="15"/>
  <c r="D17" i="48"/>
  <c r="D8" i="48"/>
  <c r="D21" i="48"/>
  <c r="D18" i="48"/>
  <c r="D12" i="48"/>
  <c r="D15" i="48"/>
  <c r="D9" i="48"/>
  <c r="E31" i="37"/>
  <c r="E55" i="37" s="1" a="1"/>
  <c r="E55" i="37" s="1"/>
  <c r="E56" i="37" s="1"/>
  <c r="E56" i="36" a="1"/>
  <c r="E56" i="36" s="1"/>
  <c r="D6" i="20" l="1"/>
  <c r="C56" i="15"/>
  <c r="D7" i="20" s="1"/>
  <c r="D15" i="20"/>
  <c r="D14" i="20"/>
  <c r="D30" i="20" l="1"/>
  <c r="D59"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Elisabeth Heseltine</author>
  </authors>
  <commentList>
    <comment ref="I37" authorId="0" shapeId="0" xr:uid="{F103521F-0F75-1E40-8B3E-545AC677E4B1}">
      <text>
        <r>
          <rPr>
            <b/>
            <sz val="10"/>
            <color rgb="FF000000"/>
            <rFont val="Tahoma"/>
            <family val="2"/>
          </rPr>
          <t>Elisabeth Heseltine:</t>
        </r>
        <r>
          <rPr>
            <sz val="10"/>
            <color rgb="FF000000"/>
            <rFont val="Tahoma"/>
            <family val="2"/>
          </rPr>
          <t xml:space="preserve">
</t>
        </r>
        <r>
          <rPr>
            <sz val="10"/>
            <color rgb="FF000000"/>
            <rFont val="Tahoma"/>
            <family val="2"/>
          </rPr>
          <t>Please check "tag". Should this be "tip"?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Elisabeth Heseltine</author>
  </authors>
  <commentList>
    <comment ref="I52" authorId="0" shapeId="0" xr:uid="{8576D0B8-E60B-FA40-8560-01E836BB98F3}">
      <text>
        <r>
          <rPr>
            <b/>
            <sz val="10"/>
            <color rgb="FF000000"/>
            <rFont val="Tahoma"/>
            <family val="2"/>
          </rPr>
          <t>Elisabeth Heseltine:</t>
        </r>
        <r>
          <rPr>
            <sz val="10"/>
            <color rgb="FF000000"/>
            <rFont val="Tahoma"/>
            <family val="2"/>
          </rPr>
          <t xml:space="preserve">
</t>
        </r>
        <r>
          <rPr>
            <sz val="10"/>
            <color rgb="FF000000"/>
            <rFont val="Tahoma"/>
            <family val="2"/>
          </rPr>
          <t>Is this correct?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VincentV</author>
    <author>GarciaBaenaI</author>
  </authors>
  <commentList>
    <comment ref="B21" authorId="0" shapeId="0" xr:uid="{00000000-0006-0000-1700-000001000000}">
      <text>
        <r>
          <rPr>
            <sz val="8"/>
            <color indexed="81"/>
            <rFont val="Tahoma"/>
            <family val="2"/>
          </rPr>
          <t xml:space="preserve">precise specifications available upon request
</t>
        </r>
      </text>
    </comment>
    <comment ref="B22" authorId="0" shapeId="0" xr:uid="{00000000-0006-0000-1700-000002000000}">
      <text>
        <r>
          <rPr>
            <sz val="8"/>
            <color indexed="81"/>
            <rFont val="Tahoma"/>
            <family val="2"/>
          </rPr>
          <t xml:space="preserve">precise specifications available upon request
</t>
        </r>
      </text>
    </comment>
    <comment ref="B23" authorId="0" shapeId="0" xr:uid="{00000000-0006-0000-1700-000003000000}">
      <text>
        <r>
          <rPr>
            <sz val="8"/>
            <color indexed="81"/>
            <rFont val="Tahoma"/>
            <family val="2"/>
          </rPr>
          <t xml:space="preserve">precise specifications available upon request
</t>
        </r>
      </text>
    </comment>
    <comment ref="B27" authorId="0" shapeId="0" xr:uid="{00000000-0006-0000-1700-000004000000}">
      <text>
        <r>
          <rPr>
            <sz val="8"/>
            <color indexed="81"/>
            <rFont val="Tahoma"/>
            <family val="2"/>
          </rPr>
          <t xml:space="preserve">precise specifications available upon request
</t>
        </r>
      </text>
    </comment>
    <comment ref="E27" authorId="0" shapeId="0" xr:uid="{00000000-0006-0000-1700-000005000000}">
      <text>
        <r>
          <rPr>
            <sz val="8"/>
            <color indexed="81"/>
            <rFont val="Tahoma"/>
            <family val="2"/>
          </rPr>
          <t xml:space="preserve">precise specifications available upon request
</t>
        </r>
      </text>
    </comment>
    <comment ref="B37" authorId="0" shapeId="0" xr:uid="{00000000-0006-0000-1700-000006000000}">
      <text>
        <r>
          <rPr>
            <sz val="8"/>
            <color indexed="81"/>
            <rFont val="Tahoma"/>
            <family val="2"/>
          </rPr>
          <t xml:space="preserve">precise specifications available upon request
</t>
        </r>
      </text>
    </comment>
    <comment ref="B38" authorId="0" shapeId="0" xr:uid="{00000000-0006-0000-1700-000007000000}">
      <text>
        <r>
          <rPr>
            <sz val="8"/>
            <color indexed="81"/>
            <rFont val="Tahoma"/>
            <family val="2"/>
          </rPr>
          <t xml:space="preserve">precise specifications available upon request
</t>
        </r>
      </text>
    </comment>
    <comment ref="B44" authorId="0" shapeId="0" xr:uid="{00000000-0006-0000-1700-000008000000}">
      <text>
        <r>
          <rPr>
            <sz val="8"/>
            <color indexed="81"/>
            <rFont val="Tahoma"/>
            <family val="2"/>
          </rPr>
          <t xml:space="preserve">precise specifications available upon request
</t>
        </r>
      </text>
    </comment>
    <comment ref="B51" authorId="0" shapeId="0" xr:uid="{00000000-0006-0000-1700-000009000000}">
      <text>
        <r>
          <rPr>
            <sz val="8"/>
            <color indexed="81"/>
            <rFont val="Tahoma"/>
            <family val="2"/>
          </rPr>
          <t xml:space="preserve">precise specifications available upon request
</t>
        </r>
      </text>
    </comment>
    <comment ref="B52" authorId="0" shapeId="0" xr:uid="{00000000-0006-0000-1700-00000A000000}">
      <text>
        <r>
          <rPr>
            <b/>
            <sz val="8"/>
            <color indexed="81"/>
            <rFont val="Tahoma"/>
            <family val="2"/>
          </rPr>
          <t>Optional: in case of hard water</t>
        </r>
        <r>
          <rPr>
            <sz val="8"/>
            <color indexed="81"/>
            <rFont val="Tahoma"/>
            <family val="2"/>
          </rPr>
          <t xml:space="preserve">
</t>
        </r>
      </text>
    </comment>
    <comment ref="B55" authorId="0" shapeId="0" xr:uid="{00000000-0006-0000-1700-00000B000000}">
      <text>
        <r>
          <rPr>
            <sz val="8"/>
            <color indexed="81"/>
            <rFont val="Tahoma"/>
            <family val="2"/>
          </rPr>
          <t xml:space="preserve">precise specifications available upon request
</t>
        </r>
      </text>
    </comment>
    <comment ref="B64" authorId="0" shapeId="0" xr:uid="{00000000-0006-0000-1700-00000C000000}">
      <text>
        <r>
          <rPr>
            <sz val="8"/>
            <color indexed="81"/>
            <rFont val="Tahoma"/>
            <family val="2"/>
          </rPr>
          <t>according to the WHO document WHO/CDS/EPR/2007.2 Guidance on regulations for the transport of infectious substances avaialble at http://www.who.int/csr/resources/publications/biosafety/WHO_CDS_EPR_2007_2cc.pdf</t>
        </r>
      </text>
    </comment>
    <comment ref="B70" authorId="0" shapeId="0" xr:uid="{00000000-0006-0000-1700-00000D000000}">
      <text>
        <r>
          <rPr>
            <sz val="8"/>
            <color indexed="81"/>
            <rFont val="Tahoma"/>
            <family val="2"/>
          </rPr>
          <t xml:space="preserve">precise specifications available upon request
</t>
        </r>
      </text>
    </comment>
    <comment ref="B72" authorId="0" shapeId="0" xr:uid="{00000000-0006-0000-1700-00000E000000}">
      <text>
        <r>
          <rPr>
            <sz val="8"/>
            <color indexed="81"/>
            <rFont val="Tahoma"/>
            <family val="2"/>
          </rPr>
          <t xml:space="preserve">precise specifications available upon request
</t>
        </r>
      </text>
    </comment>
    <comment ref="B73" authorId="0" shapeId="0" xr:uid="{00000000-0006-0000-1700-00000F000000}">
      <text>
        <r>
          <rPr>
            <sz val="8"/>
            <color indexed="81"/>
            <rFont val="Tahoma"/>
            <family val="2"/>
          </rPr>
          <t xml:space="preserve">precise specifications available upon request
</t>
        </r>
      </text>
    </comment>
    <comment ref="B74" authorId="0" shapeId="0" xr:uid="{00000000-0006-0000-1700-000010000000}">
      <text>
        <r>
          <rPr>
            <sz val="8"/>
            <color indexed="81"/>
            <rFont val="Tahoma"/>
            <family val="2"/>
          </rPr>
          <t xml:space="preserve">precise specifications available upon request
</t>
        </r>
      </text>
    </comment>
    <comment ref="B78" authorId="0" shapeId="0" xr:uid="{00000000-0006-0000-1700-000011000000}">
      <text>
        <r>
          <rPr>
            <sz val="8"/>
            <color indexed="81"/>
            <rFont val="Tahoma"/>
            <family val="2"/>
          </rPr>
          <t xml:space="preserve">precise specifications available upon request
</t>
        </r>
      </text>
    </comment>
    <comment ref="B82" authorId="0" shapeId="0" xr:uid="{00000000-0006-0000-1700-000012000000}">
      <text>
        <r>
          <rPr>
            <sz val="8"/>
            <color indexed="81"/>
            <rFont val="Tahoma"/>
            <family val="2"/>
          </rPr>
          <t xml:space="preserve">precise specifications available upon request
</t>
        </r>
      </text>
    </comment>
    <comment ref="B83" authorId="0" shapeId="0" xr:uid="{00000000-0006-0000-1700-000013000000}">
      <text>
        <r>
          <rPr>
            <sz val="8"/>
            <color indexed="81"/>
            <rFont val="Tahoma"/>
            <family val="2"/>
          </rPr>
          <t xml:space="preserve">precise specifications available upon request
</t>
        </r>
      </text>
    </comment>
    <comment ref="D128" authorId="0" shapeId="0" xr:uid="{00000000-0006-0000-1700-000014000000}">
      <text>
        <r>
          <rPr>
            <sz val="8"/>
            <color indexed="81"/>
            <rFont val="Tahoma"/>
            <family val="2"/>
          </rPr>
          <t xml:space="preserve">FIND negotiated prices for the HBCs (except Brazil and Russian Federation) plus Azerbaidjan, Bostwana, Cote d'Ivoire, Djibouti, Georgia, Kyrgyzstan, Lesotho, Malawi, Namibia, Nepal, Moldova, Rwanda, Sierra Leone, Somalia, Swaziland, Taijikistan, Timor-Leste, Uzbekistan, Zambia
</t>
        </r>
      </text>
    </comment>
    <comment ref="B140" authorId="0" shapeId="0" xr:uid="{00000000-0006-0000-1700-000015000000}">
      <text>
        <r>
          <rPr>
            <sz val="8"/>
            <color indexed="81"/>
            <rFont val="Tahoma"/>
            <family val="2"/>
          </rPr>
          <t xml:space="preserve">precise specifications available upon request
</t>
        </r>
      </text>
    </comment>
    <comment ref="B142" authorId="0" shapeId="0" xr:uid="{00000000-0006-0000-1700-000016000000}">
      <text>
        <r>
          <rPr>
            <sz val="8"/>
            <color indexed="81"/>
            <rFont val="Tahoma"/>
            <family val="2"/>
          </rPr>
          <t xml:space="preserve">precise specifications available upon request
</t>
        </r>
      </text>
    </comment>
    <comment ref="B144" authorId="0" shapeId="0" xr:uid="{00000000-0006-0000-1700-000017000000}">
      <text>
        <r>
          <rPr>
            <sz val="8"/>
            <color indexed="81"/>
            <rFont val="Tahoma"/>
            <family val="2"/>
          </rPr>
          <t xml:space="preserve">
optional for NRLs</t>
        </r>
      </text>
    </comment>
    <comment ref="B158" authorId="0" shapeId="0" xr:uid="{00000000-0006-0000-1700-000018000000}">
      <text>
        <r>
          <rPr>
            <sz val="8"/>
            <color indexed="81"/>
            <rFont val="Tahoma"/>
            <family val="2"/>
          </rPr>
          <t xml:space="preserve">precise specifications available upon request
</t>
        </r>
      </text>
    </comment>
    <comment ref="B159" authorId="0" shapeId="0" xr:uid="{00000000-0006-0000-1700-000019000000}">
      <text>
        <r>
          <rPr>
            <sz val="8"/>
            <color indexed="81"/>
            <rFont val="Tahoma"/>
            <family val="2"/>
          </rPr>
          <t xml:space="preserve">precise specifications available upon request
</t>
        </r>
      </text>
    </comment>
    <comment ref="B160" authorId="0" shapeId="0" xr:uid="{00000000-0006-0000-1700-00001A000000}">
      <text>
        <r>
          <rPr>
            <sz val="8"/>
            <color indexed="81"/>
            <rFont val="Tahoma"/>
            <family val="2"/>
          </rPr>
          <t xml:space="preserve">precise specifications available upon request
</t>
        </r>
      </text>
    </comment>
    <comment ref="B161" authorId="0" shapeId="0" xr:uid="{00000000-0006-0000-1700-00001B000000}">
      <text>
        <r>
          <rPr>
            <sz val="8"/>
            <color indexed="81"/>
            <rFont val="Tahoma"/>
            <family val="2"/>
          </rPr>
          <t xml:space="preserve">precise specifications available upon request
</t>
        </r>
      </text>
    </comment>
    <comment ref="B162" authorId="0" shapeId="0" xr:uid="{00000000-0006-0000-1700-00001C000000}">
      <text>
        <r>
          <rPr>
            <sz val="8"/>
            <color indexed="81"/>
            <rFont val="Tahoma"/>
            <family val="2"/>
          </rPr>
          <t>optional, needed if no automate for hybridization available</t>
        </r>
        <r>
          <rPr>
            <sz val="8"/>
            <color indexed="81"/>
            <rFont val="Tahoma"/>
            <family val="2"/>
          </rPr>
          <t xml:space="preserve">
</t>
        </r>
      </text>
    </comment>
    <comment ref="B163" authorId="0" shapeId="0" xr:uid="{00000000-0006-0000-1700-00001D000000}">
      <text>
        <r>
          <rPr>
            <sz val="8"/>
            <color indexed="81"/>
            <rFont val="Tahoma"/>
            <family val="2"/>
          </rPr>
          <t xml:space="preserve">optional, needed if no automate for hybridization available
</t>
        </r>
      </text>
    </comment>
    <comment ref="B164" authorId="0" shapeId="0" xr:uid="{00000000-0006-0000-1700-00001E000000}">
      <text>
        <r>
          <rPr>
            <sz val="8"/>
            <color indexed="81"/>
            <rFont val="Tahoma"/>
            <family val="2"/>
          </rPr>
          <t xml:space="preserve">
optional, advisable for NRLs, precise specifications available upon request</t>
        </r>
      </text>
    </comment>
    <comment ref="B165" authorId="0" shapeId="0" xr:uid="{00000000-0006-0000-1700-00001F000000}">
      <text>
        <r>
          <rPr>
            <b/>
            <sz val="8"/>
            <color indexed="81"/>
            <rFont val="Tahoma"/>
            <family val="2"/>
          </rPr>
          <t xml:space="preserve">
</t>
        </r>
        <r>
          <rPr>
            <sz val="8"/>
            <color indexed="81"/>
            <rFont val="Tahoma"/>
            <family val="2"/>
          </rPr>
          <t xml:space="preserve">
optional, advisable for NRLs, precise specifications available upon request</t>
        </r>
      </text>
    </comment>
    <comment ref="B166" authorId="0" shapeId="0" xr:uid="{00000000-0006-0000-1700-000020000000}">
      <text>
        <r>
          <rPr>
            <sz val="8"/>
            <color indexed="81"/>
            <rFont val="Tahoma"/>
            <family val="2"/>
          </rPr>
          <t xml:space="preserve">optional, advisable for NRLs
</t>
        </r>
      </text>
    </comment>
    <comment ref="B167" authorId="0" shapeId="0" xr:uid="{00000000-0006-0000-1700-000021000000}">
      <text>
        <r>
          <rPr>
            <sz val="8"/>
            <color indexed="81"/>
            <rFont val="Tahoma"/>
            <family val="2"/>
          </rPr>
          <t xml:space="preserve">
optional, advisable for NRLs</t>
        </r>
      </text>
    </comment>
    <comment ref="B169" authorId="0" shapeId="0" xr:uid="{00000000-0006-0000-1700-000022000000}">
      <text>
        <r>
          <rPr>
            <sz val="8"/>
            <color indexed="81"/>
            <rFont val="Tahoma"/>
            <family val="2"/>
          </rPr>
          <t xml:space="preserve">precise specifications available upon request
</t>
        </r>
      </text>
    </comment>
    <comment ref="B173" authorId="0" shapeId="0" xr:uid="{00000000-0006-0000-1700-000023000000}">
      <text>
        <r>
          <rPr>
            <sz val="8"/>
            <color indexed="81"/>
            <rFont val="Tahoma"/>
            <family val="2"/>
          </rPr>
          <t xml:space="preserve">precise specifications available upon request
</t>
        </r>
      </text>
    </comment>
    <comment ref="B174" authorId="0" shapeId="0" xr:uid="{00000000-0006-0000-1700-000024000000}">
      <text>
        <r>
          <rPr>
            <sz val="8"/>
            <color indexed="81"/>
            <rFont val="Tahoma"/>
            <family val="2"/>
          </rPr>
          <t xml:space="preserve">precise specifications available upon request
</t>
        </r>
      </text>
    </comment>
    <comment ref="B175" authorId="0" shapeId="0" xr:uid="{00000000-0006-0000-1700-000025000000}">
      <text>
        <r>
          <rPr>
            <sz val="8"/>
            <color indexed="81"/>
            <rFont val="Tahoma"/>
            <family val="2"/>
          </rPr>
          <t xml:space="preserve">precise specifications available upon request
</t>
        </r>
      </text>
    </comment>
    <comment ref="B177" authorId="0" shapeId="0" xr:uid="{00000000-0006-0000-1700-000026000000}">
      <text>
        <r>
          <rPr>
            <sz val="8"/>
            <color indexed="81"/>
            <rFont val="Tahoma"/>
            <family val="2"/>
          </rPr>
          <t xml:space="preserve">precise specifications available upon request
</t>
        </r>
      </text>
    </comment>
    <comment ref="B178" authorId="0" shapeId="0" xr:uid="{00000000-0006-0000-1700-000027000000}">
      <text>
        <r>
          <rPr>
            <sz val="8"/>
            <color indexed="81"/>
            <rFont val="Tahoma"/>
            <family val="2"/>
          </rPr>
          <t xml:space="preserve">precise specifications available upon request
</t>
        </r>
      </text>
    </comment>
    <comment ref="B320" authorId="0" shapeId="0" xr:uid="{00000000-0006-0000-1700-000028000000}">
      <text>
        <r>
          <rPr>
            <sz val="8"/>
            <color indexed="81"/>
            <rFont val="Tahoma"/>
            <family val="2"/>
          </rPr>
          <t xml:space="preserve">precise specifications available upon request
</t>
        </r>
      </text>
    </comment>
    <comment ref="B324" authorId="1" shapeId="0" xr:uid="{00000000-0006-0000-1700-000029000000}">
      <text>
        <r>
          <rPr>
            <sz val="8"/>
            <color indexed="81"/>
            <rFont val="Tahoma"/>
            <family val="2"/>
          </rPr>
          <t>If control strains are kept deep frozen or a strain bank is to be established</t>
        </r>
      </text>
    </comment>
    <comment ref="B347" authorId="0" shapeId="0" xr:uid="{00000000-0006-0000-1700-00002A000000}">
      <text>
        <r>
          <rPr>
            <sz val="8"/>
            <color indexed="81"/>
            <rFont val="Tahoma"/>
            <family val="2"/>
          </rPr>
          <t xml:space="preserve">precise specifications available upon request
</t>
        </r>
      </text>
    </comment>
    <comment ref="D364" authorId="0" shapeId="0" xr:uid="{00000000-0006-0000-1700-00002B000000}">
      <text>
        <r>
          <rPr>
            <b/>
            <sz val="8"/>
            <color indexed="81"/>
            <rFont val="Tahoma"/>
            <family val="2"/>
          </rPr>
          <t>FIND negotiated prices for the HBCs (except Brazil and Russian Federation) plus Azerbaidjan, Bostwana, Cote d'Ivoire, Djibouti, Georgia, Kyrgyzstan, Lesotho, Malawi, Namibia, Nepal, Moldova, Rwanda, Sierra Leone, Somalia, Swaziland, Taijikistan, Timor-Leste, Uzbekistan, Zambia</t>
        </r>
        <r>
          <rPr>
            <sz val="8"/>
            <color indexed="81"/>
            <rFont val="Tahoma"/>
            <family val="2"/>
          </rPr>
          <t xml:space="preserve">
</t>
        </r>
      </text>
    </comment>
    <comment ref="D378" authorId="0" shapeId="0" xr:uid="{00000000-0006-0000-1700-00002C000000}">
      <text>
        <r>
          <rPr>
            <b/>
            <sz val="8"/>
            <color indexed="81"/>
            <rFont val="Tahoma"/>
            <family val="2"/>
          </rPr>
          <t>FIND negotiated price for the 22 HBC</t>
        </r>
        <r>
          <rPr>
            <sz val="8"/>
            <color indexed="81"/>
            <rFont val="Tahoma"/>
            <family val="2"/>
          </rPr>
          <t xml:space="preserve">
</t>
        </r>
      </text>
    </comment>
    <comment ref="D384" authorId="0" shapeId="0" xr:uid="{00000000-0006-0000-1700-00002D000000}">
      <text>
        <r>
          <rPr>
            <b/>
            <sz val="8"/>
            <color indexed="81"/>
            <rFont val="Tahoma"/>
            <family val="2"/>
          </rPr>
          <t>FIND negotiated prices for the HBCs (except Brazil and Russian Federation) plus Azerbaidjan, Bostwana, Cote d'Ivoire, Djibouti, Georgia, Kyrgyzstan, Lesotho, Malawi, Namibia, Nepal, Moldova, Rwanda, Sierra Leone, Somalia, Swaziland, Taijikistan, Timor-Leste, Uzbekistan, Zambia</t>
        </r>
        <r>
          <rPr>
            <sz val="8"/>
            <color indexed="81"/>
            <rFont val="Tahoma"/>
            <family val="2"/>
          </rPr>
          <t xml:space="preserve">
</t>
        </r>
      </text>
    </comment>
    <comment ref="B394" authorId="0" shapeId="0" xr:uid="{00000000-0006-0000-1700-00002E000000}">
      <text>
        <r>
          <rPr>
            <sz val="8"/>
            <color indexed="81"/>
            <rFont val="Tahoma"/>
            <family val="2"/>
          </rPr>
          <t>precise specifications available upon request</t>
        </r>
        <r>
          <rPr>
            <sz val="8"/>
            <color indexed="81"/>
            <rFont val="Tahoma"/>
            <family val="2"/>
          </rPr>
          <t xml:space="preserve">
</t>
        </r>
      </text>
    </comment>
    <comment ref="B395" authorId="0" shapeId="0" xr:uid="{00000000-0006-0000-1700-00002F000000}">
      <text>
        <r>
          <rPr>
            <sz val="8"/>
            <color indexed="81"/>
            <rFont val="Tahoma"/>
            <family val="2"/>
          </rPr>
          <t xml:space="preserve">precise specifications available upon request
</t>
        </r>
      </text>
    </comment>
    <comment ref="B397" authorId="1" shapeId="0" xr:uid="{00000000-0006-0000-1700-000030000000}">
      <text>
        <r>
          <rPr>
            <b/>
            <sz val="8"/>
            <color indexed="81"/>
            <rFont val="Tahoma"/>
            <family val="2"/>
          </rPr>
          <t xml:space="preserve">If not available for strain collection </t>
        </r>
        <r>
          <rPr>
            <sz val="8"/>
            <color indexed="81"/>
            <rFont val="Tahoma"/>
            <family val="2"/>
          </rPr>
          <t xml:space="preserve">
</t>
        </r>
      </text>
    </comment>
    <comment ref="B410" authorId="1" shapeId="0" xr:uid="{00000000-0006-0000-1700-000031000000}">
      <text>
        <r>
          <rPr>
            <sz val="8"/>
            <color indexed="81"/>
            <rFont val="Tahoma"/>
            <family val="2"/>
          </rPr>
          <t>If not previously ordered in the culture lab</t>
        </r>
        <r>
          <rPr>
            <sz val="8"/>
            <color indexed="81"/>
            <rFont val="Tahoma"/>
            <family val="2"/>
          </rPr>
          <t xml:space="preserve">
</t>
        </r>
      </text>
    </comment>
    <comment ref="B411" authorId="1" shapeId="0" xr:uid="{00000000-0006-0000-1700-000032000000}">
      <text>
        <r>
          <rPr>
            <sz val="8"/>
            <color indexed="81"/>
            <rFont val="Tahoma"/>
            <family val="2"/>
          </rPr>
          <t>If not previously ordered in the culture lab</t>
        </r>
        <r>
          <rPr>
            <sz val="8"/>
            <color indexed="81"/>
            <rFont val="Tahoma"/>
            <family val="2"/>
          </rPr>
          <t xml:space="preserve">
</t>
        </r>
      </text>
    </comment>
    <comment ref="B412" authorId="1" shapeId="0" xr:uid="{00000000-0006-0000-1700-000033000000}">
      <text>
        <r>
          <rPr>
            <sz val="8"/>
            <color indexed="81"/>
            <rFont val="Tahoma"/>
            <family val="2"/>
          </rPr>
          <t>If not previously ordered in the culture lab</t>
        </r>
        <r>
          <rPr>
            <sz val="8"/>
            <color indexed="81"/>
            <rFont val="Tahoma"/>
            <family val="2"/>
          </rPr>
          <t xml:space="preserve">
</t>
        </r>
      </text>
    </comment>
    <comment ref="D420" authorId="0" shapeId="0" xr:uid="{00000000-0006-0000-1700-000034000000}">
      <text>
        <r>
          <rPr>
            <sz val="8"/>
            <color indexed="81"/>
            <rFont val="Tahoma"/>
            <family val="2"/>
          </rPr>
          <t xml:space="preserve">FIND negotiated prices for  Azerbaidjan, Belarus, Bosnia Herzegovina, Brazil, Bulgaria, China, Columbia, Czech Republic, Egypt, Ethiopia, Gambia, Georgia, Haiti, India, Indonesia, Kazakhstan, Kenya,Laos, Lesotho, Malaysia,  Mexico, Morocco, Nepal, Nigeria,Pakistan, Philippines, Republic of Korea, Romania, Russian Federation, Singapore, South Africa, Tanzania, Thailand, Trinidad and Tobago, Turkey, Uganda, Uzbekistan, Vietnam, Zambia.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<sst xmlns="http://schemas.openxmlformats.org/spreadsheetml/2006/main" count="2697" uniqueCount="1431">
  <si>
    <t>&lt;=Choose here</t>
  </si>
  <si>
    <t xml:space="preserve">Geno Type MTBDRplus (96 tests/kit), Version 2.0 (30496A)   </t>
  </si>
  <si>
    <t>GenoLyse (96 tests), Version 1.0 (51610)</t>
  </si>
  <si>
    <t>1 kit for 3 LPA kit if GT BLOT-48</t>
  </si>
  <si>
    <t>2 rolls per year</t>
  </si>
  <si>
    <t>1 tray for 10 batches + 20%</t>
  </si>
  <si>
    <t xml:space="preserve"> n x 5 μl DNA</t>
  </si>
  <si>
    <t>PCR ROOM</t>
  </si>
  <si>
    <t>3 per batch</t>
  </si>
  <si>
    <t>2 per BSC per day</t>
  </si>
  <si>
    <t>2 per staff per week</t>
  </si>
  <si>
    <t>3 tubes per batch - 5 tubes if GT Blot 48 (decontamination)</t>
  </si>
  <si>
    <t>1 tip per batch for mastermix + 5% extra</t>
  </si>
  <si>
    <t>Injectible water for LPA DST from specimen coming from liquid culture 0.1 ml / solid culture 0.3 ml</t>
  </si>
  <si>
    <t>Combitips is used</t>
  </si>
  <si>
    <t>No Combitips</t>
  </si>
  <si>
    <t>4 tubes per batch (diluting CON and SUB + HYB + STR)</t>
  </si>
  <si>
    <t>Not needed for GT Blot 48 ?</t>
  </si>
  <si>
    <t>to remove</t>
  </si>
  <si>
    <t>1 tip per test for supplementation + 1 tip per test for bacteria</t>
  </si>
  <si>
    <t>NALC/NaOH</t>
  </si>
  <si>
    <t>Average size of a batch</t>
  </si>
  <si>
    <t>8 per working day</t>
  </si>
  <si>
    <t>40 per day</t>
  </si>
  <si>
    <t>1 per positive</t>
  </si>
  <si>
    <t>P10</t>
  </si>
  <si>
    <t>P20</t>
  </si>
  <si>
    <t>P200</t>
  </si>
  <si>
    <t>P1000</t>
  </si>
  <si>
    <t>P1000 Long</t>
  </si>
  <si>
    <t>Pasteur pipette</t>
  </si>
  <si>
    <t>DNA Extraction</t>
  </si>
  <si>
    <t>1 per sample</t>
  </si>
  <si>
    <t>HYBRIDISATION</t>
  </si>
  <si>
    <t>DEN</t>
  </si>
  <si>
    <t>DNA/amplicon</t>
  </si>
  <si>
    <t>STR</t>
  </si>
  <si>
    <t>RINS</t>
  </si>
  <si>
    <t>WATER</t>
  </si>
  <si>
    <t>SUB</t>
  </si>
  <si>
    <t>CONJ</t>
  </si>
  <si>
    <t>A1</t>
  </si>
  <si>
    <t>A2</t>
  </si>
  <si>
    <t>A4</t>
  </si>
  <si>
    <t>AMPLIFICATION</t>
  </si>
  <si>
    <t>1 per batch</t>
  </si>
  <si>
    <t>To add</t>
  </si>
  <si>
    <t>A5</t>
  </si>
  <si>
    <t>To aliquote into PCR tubes</t>
  </si>
  <si>
    <t>Master mix - Reagent A (AM-A)</t>
  </si>
  <si>
    <t>Mastemix - Reagent AM-B</t>
  </si>
  <si>
    <t>1 vial per Batch</t>
  </si>
  <si>
    <t>Aliquot</t>
  </si>
  <si>
    <t>Sample</t>
  </si>
  <si>
    <t>Batch</t>
  </si>
  <si>
    <t>500μl decontaminated specimen</t>
  </si>
  <si>
    <t>A-LYS - 100μl lysis buffer</t>
  </si>
  <si>
    <t>Add A-NB - 100μl neutralisation buffer</t>
  </si>
  <si>
    <t>5μl Supernatent for PCR tube</t>
  </si>
  <si>
    <t>1 per sample for adding and one per sample for discard supernatent</t>
  </si>
  <si>
    <t>SUB (dilution / Fill)</t>
  </si>
  <si>
    <t>CONJ (Dilution / Fill)</t>
  </si>
  <si>
    <t>2 per batch</t>
  </si>
  <si>
    <t>GT-BLOT 48</t>
  </si>
  <si>
    <t>TWINCUBATOR</t>
  </si>
  <si>
    <t>1 pack per year</t>
  </si>
  <si>
    <t>5 tubes per test</t>
  </si>
  <si>
    <t>Expected repeat rate for PZA (%)</t>
  </si>
  <si>
    <t>2 tubes per PZA</t>
  </si>
  <si>
    <t>Qty</t>
  </si>
  <si>
    <t>1 bottle per quarter per BSC</t>
  </si>
  <si>
    <t>1 per day per staff</t>
  </si>
  <si>
    <t>4 per day per staff</t>
  </si>
  <si>
    <t>2 per quarter</t>
  </si>
  <si>
    <t>1 per BSC per week</t>
  </si>
  <si>
    <t>3 per day</t>
  </si>
  <si>
    <t>YES</t>
  </si>
  <si>
    <t>NO</t>
  </si>
  <si>
    <t>Qty of pack</t>
  </si>
  <si>
    <t>Calculation details</t>
  </si>
  <si>
    <t>Latex gloves size S</t>
  </si>
  <si>
    <t>Latex gloves size M</t>
  </si>
  <si>
    <t>Latex gloves size L</t>
  </si>
  <si>
    <t>Cotton wool</t>
  </si>
  <si>
    <t>Shoe cover</t>
  </si>
  <si>
    <t>Tube brush</t>
  </si>
  <si>
    <t>Sterile indicator tape, autoclave</t>
  </si>
  <si>
    <t>Comments</t>
  </si>
  <si>
    <t>1 tube per test + 5%</t>
  </si>
  <si>
    <t>1 pen for 3 kits</t>
  </si>
  <si>
    <t>Number of slants used per sample</t>
  </si>
  <si>
    <t>Repetition rate</t>
  </si>
  <si>
    <t>Contamination rate</t>
  </si>
  <si>
    <t>Unit / pack</t>
  </si>
  <si>
    <t>1 tube per sample + 10% extra</t>
  </si>
  <si>
    <t>Expected repeat rate for SIRE (%)</t>
  </si>
  <si>
    <t>Comment</t>
  </si>
  <si>
    <t xml:space="preserve"> 1 tube per test</t>
  </si>
  <si>
    <t>1 tube per test</t>
  </si>
  <si>
    <t>10% exchange per year</t>
  </si>
  <si>
    <t>30% of positive</t>
  </si>
  <si>
    <t>Plastic bags, disposable PP, 100 pieces per pack</t>
  </si>
  <si>
    <t>Gloves, vinyl, powder free, disposable, size S, 100 per pack</t>
  </si>
  <si>
    <t>Gloves, vinyl, powder free, disposable, size M, 100 per pack</t>
  </si>
  <si>
    <t>Gloves,  vinyl, powder free, disposable, size L, 100 per pack</t>
  </si>
  <si>
    <t>Forceps plastic</t>
  </si>
  <si>
    <t>Bottles, plastic</t>
  </si>
  <si>
    <t xml:space="preserve">Marker pen, water resistant </t>
  </si>
  <si>
    <t>Gloves, nitril,  powder free, disposable, size 6-7, 100 per pack</t>
  </si>
  <si>
    <t>Gloves, nitril,  powder free, disposable, size 7-8, 100 per pack</t>
  </si>
  <si>
    <t>Gloves, nitril,  powder free, disposable, size 8-9, 100 per pack</t>
  </si>
  <si>
    <t xml:space="preserve">Strips for the rapid detection of resistance to isoniazid and rifampicin, per strip </t>
  </si>
  <si>
    <t xml:space="preserve">Strips for the rapid detection of resistance to rifampicin, per strip </t>
  </si>
  <si>
    <t>Cost of consumables for molecular tests (1000 LPAs)</t>
  </si>
  <si>
    <t>Family</t>
  </si>
  <si>
    <t>BACTEC MGIT 960 Supplement Kit (100 tests, PANTA and OADC combined)</t>
  </si>
  <si>
    <t>BACTEC™ MGIT™ 960 SIRE kit, One kit is sufficient for 40 test</t>
  </si>
  <si>
    <t>BACTEC™ MGIT™ PZA Kit</t>
  </si>
  <si>
    <t>BACTEC™ MGIT™ PZA Tubes - 25</t>
  </si>
  <si>
    <t>Disinfectant for cleaning instrument</t>
  </si>
  <si>
    <t>Disinfectant for floors</t>
  </si>
  <si>
    <t>Liquid soap</t>
  </si>
  <si>
    <t xml:space="preserve">Indicated quantities are based on experience and estimated for a laboratory performing 1,000 FL-DST (and possibly 100 SL-DST) in addition to cultures. Quantities should be adjusted to the actual workload and methods used.  </t>
  </si>
  <si>
    <t>Syringes, single use, 20 ml, 100 pieces per pack</t>
  </si>
  <si>
    <t>Syringe filters, 100 pieces per pack</t>
  </si>
  <si>
    <t>Silica gel for desiccator, 0.5 kg</t>
  </si>
  <si>
    <t>Immunochromatographic tests for the rapid identification of Mycobacterium tuberculosis, per test</t>
  </si>
  <si>
    <t>FIND negotiated price for the 22 HBC</t>
  </si>
  <si>
    <t>Cost of consumables for FL-DST laboratory (1000 FL, plus possibly 100 SL), solid media</t>
  </si>
  <si>
    <t>Additional consumables for liquid  DST methodology</t>
  </si>
  <si>
    <t>Cost of consumables for FL-DST laboratory (1000 FL, plus possibly 100 SL), liquid media</t>
  </si>
  <si>
    <t>Molecular Biology, consumables</t>
  </si>
  <si>
    <t>Indicated quantities are based on experience and estimated for a laboratory performing approximately 1,000 line-probe assays. Quantities should be adjusted according to the workload and strategy used.</t>
  </si>
  <si>
    <t>Standard reaction tubes with O-ring,  1.5 ml, 1000 per pack</t>
  </si>
  <si>
    <t>Standard reaction tubes with O-ring,  2 ml, 1000 per pack</t>
  </si>
  <si>
    <t>Cryo-vial, sterile with cap, 2 ml, with outer winding; pack of 1000</t>
  </si>
  <si>
    <t>Cryo-tags, sized to fit for use on cryo-tubes, rolls of 1000</t>
  </si>
  <si>
    <t>PCR tubes, 0.2 ml with attached caps, sterile, DNAse- RNAse-free, 1000 per pack</t>
  </si>
  <si>
    <t>DNAse-/RNAse-free TIPS, for pipettes  0.1 - 10 µl, 10 boxes at 96 per pack</t>
  </si>
  <si>
    <t>DNAse-/RNAse-free TIPS, for pipettes 1 - 20 µl, 10 boxes at 96 per pack</t>
  </si>
  <si>
    <t>DNAse-/RNAse-free TIPS, for pipettes 10 - 100 µl, 10 boxes at 96 per pack</t>
  </si>
  <si>
    <t>DNAse-/RNAse-free TIPS, for pipettes 20 - 200 µl, 10 boxes at 96 per pack</t>
  </si>
  <si>
    <t>TIPS, PE, for pipettes 0.5 -  10 µl, 1000 per pack</t>
  </si>
  <si>
    <t xml:space="preserve">TIPS, PE, for pipettes 1 -  200 µl, 1000 per pack </t>
  </si>
  <si>
    <t>TIPS, PE, for pipettes 100 -  1000 µl , 1000 per pack</t>
  </si>
  <si>
    <t>Pasteur-pipettes, plastic, sterile, 1.5ml, 500 per pack</t>
  </si>
  <si>
    <t xml:space="preserve">Combitips for Multipette 5 ml,  100 pieces/pack </t>
  </si>
  <si>
    <t xml:space="preserve">Combitips for Multipette 10 ml,  100 pieces/pack </t>
  </si>
  <si>
    <t>Aluminium foil, 100 m long</t>
  </si>
  <si>
    <t>Parafilm, 100 mm width with dispenser</t>
  </si>
  <si>
    <t>Plastic-foil rolls, 30 cm</t>
  </si>
  <si>
    <t>Tube brush 280 mm long</t>
  </si>
  <si>
    <t>Brush for glassware 120 mm long</t>
  </si>
  <si>
    <t>Laboratory coat, size L</t>
  </si>
  <si>
    <t>Laboratory coat, size M</t>
  </si>
  <si>
    <t>Laboratory coat, size S</t>
  </si>
  <si>
    <t>FFP2 or FFP3 respirators, individually packed, packs of 10</t>
  </si>
  <si>
    <t xml:space="preserve">Disinfectant for floors, container 10 litres </t>
  </si>
  <si>
    <t>Disinfectant, ethanol-based, container 5 litres</t>
  </si>
  <si>
    <t>Spray hand for bottle with disinfectant of 1 litre</t>
  </si>
  <si>
    <t>Liquid soap, pH neutral, bottle of 1 litre</t>
  </si>
  <si>
    <t>Disinfectant for hands, alcohol-based,  1 litre bottle</t>
  </si>
  <si>
    <t>Paper towels, single-use, box. 150 towels/pack, 30 packs/ carton</t>
  </si>
  <si>
    <t>Cotton wool, 1 kg</t>
  </si>
  <si>
    <t>Tissue pulp, absorbent sheets, approx. 550 x 350 mm</t>
  </si>
  <si>
    <t>Detergent/washing powder for laboratory dish washer, 10 kg/pack</t>
  </si>
  <si>
    <t>Salt for dish washer, 10 kg/pack</t>
  </si>
  <si>
    <t>Rinse aid for dish washer, 1 litre</t>
  </si>
  <si>
    <t>Cost of consumables for culture laboratory (estimate of 12,000 cultures) (solid media)</t>
  </si>
  <si>
    <t>Additional consumables for liquid culture methodology</t>
  </si>
  <si>
    <t>ITEMS (liquid media)</t>
  </si>
  <si>
    <t>Tube and growth supplement for liquid cultures, growth detection based on fluorescence signal, per test</t>
  </si>
  <si>
    <t>Tube and growth supplement for liquid cultures, growth detection based on pH colour change, per test</t>
  </si>
  <si>
    <t xml:space="preserve">This is a FIND negotiated price for the HBCs (except Brazil and Russian Federation) plus Azerbaidjan, Bostwana, Cote d'Ivoire, Djibouti, Georgia, Kyrgyzstan, Lesotho, Malawi, Namibia, Nepal, Moldova, Rwanda, Sierra Leone, Somalia, Swaziland, Taijikistan, </t>
  </si>
  <si>
    <t>Petri-dishes, disposables, sterile; 20 per bag, 15 bags per package</t>
  </si>
  <si>
    <t>Droppers, disposable, 1.5 ml, 20 per bag and 25 bags per package</t>
  </si>
  <si>
    <t>Cost of consumables for culture laboratory (estimate of 12,000 cultures) (liquid media)</t>
  </si>
  <si>
    <t>DST laboratory, consumables</t>
  </si>
  <si>
    <t>25 g Ethambutol</t>
  </si>
  <si>
    <t>5g Dihydro-streptomycin</t>
  </si>
  <si>
    <t>Second Line Drugs</t>
  </si>
  <si>
    <t>Ofloxacin/Ciprofloxacin, 2 g</t>
  </si>
  <si>
    <t>Moxifloxacin, 2 g</t>
  </si>
  <si>
    <t>Protionamid, 2 g</t>
  </si>
  <si>
    <t>Ethionamid, 2 g</t>
  </si>
  <si>
    <t>Kanamycin, 2 g</t>
  </si>
  <si>
    <t>Amikacin, 2 g</t>
  </si>
  <si>
    <t>capreomycin, 2 g</t>
  </si>
  <si>
    <t>Dimethyl sulfoxide, 99,8%, p. a., 500 ml</t>
  </si>
  <si>
    <t>Molecular tests, chemicals</t>
  </si>
  <si>
    <t>Indicated quantities are based on experience and estimated for a laboratory performing approximately 1,000 line-probe assays. Quantities should be adjusted according to the workload and methods used.</t>
  </si>
  <si>
    <t>Taq Polymerase, 250 units/vial; one vial per 200 amplifications</t>
  </si>
  <si>
    <t>CONSUMABLES</t>
  </si>
  <si>
    <t>Culture laboratory, consumables</t>
  </si>
  <si>
    <r>
      <t xml:space="preserve">Indicated quantities are based on experience and estimated for a laboratory performing approximately 12,000 cultures. Quantities should be adjusted to the actual workload and methods used. </t>
    </r>
    <r>
      <rPr>
        <b/>
        <i/>
        <sz val="10"/>
        <rFont val="Arial"/>
        <family val="2"/>
      </rPr>
      <t xml:space="preserve"> </t>
    </r>
  </si>
  <si>
    <t>Culture tubes, diameter 16 mm, pack of 100</t>
  </si>
  <si>
    <t>Universal glass bottle 28 ml, pack of 100</t>
  </si>
  <si>
    <t>PP-tubes for centrifuge, 50 ml; 500 pieces/pack</t>
  </si>
  <si>
    <t>PP-tubes for centrifuge, 15 ml; 500 pieces/pack</t>
  </si>
  <si>
    <r>
      <t xml:space="preserve">Loop, disposable 10 </t>
    </r>
    <r>
      <rPr>
        <sz val="8"/>
        <rFont val="Symbol"/>
        <family val="1"/>
        <charset val="2"/>
      </rPr>
      <t xml:space="preserve">m, </t>
    </r>
    <r>
      <rPr>
        <sz val="8"/>
        <rFont val="Arial"/>
        <family val="2"/>
      </rPr>
      <t>10pieces/pack</t>
    </r>
  </si>
  <si>
    <t>Plastic Pasteur pipettes, 1.5 ml, 500 pieces/pack</t>
  </si>
  <si>
    <t>Cryo-vial, sterile with cap, 2 ml</t>
  </si>
  <si>
    <t>Gloves, vinyl or nitrile, powder free, disposable, size S, 100/pack</t>
  </si>
  <si>
    <t>Gloves, vinyl or nitrile, powder free, disposable, size M, 100/pack</t>
  </si>
  <si>
    <t>Gloves, vinyl or nitrile, powder free, disposable, size L, 100/pack</t>
  </si>
  <si>
    <t>Plastic bags for waste bins, 1000 pieces per pack</t>
  </si>
  <si>
    <t>Stands for small plastic bags (2 litres)</t>
  </si>
  <si>
    <t>Autoclavable bags at 134°C, 410 x 620 mm, 100 pieces per pack</t>
  </si>
  <si>
    <t>Filter paper round, diameter 185, packs of 100</t>
  </si>
  <si>
    <t>Filter paper round, diameter 150, packs of 100</t>
  </si>
  <si>
    <t>Marker pen, water resistant</t>
  </si>
  <si>
    <t>Adhesive labels, pack of 4800 labels</t>
  </si>
  <si>
    <t>Cryo-tags sized to fit for use on cryo-tubes, rolls of 1000</t>
  </si>
  <si>
    <t>Sterilindicator tape (rolls), 55 m long, for hot air sterilizer (green/brown)</t>
  </si>
  <si>
    <t>Sterilindicator tape (rolls), 55 m long,  for autoclave (beige/dark brown)</t>
  </si>
  <si>
    <r>
      <t>N-acetyl-L-cysteine (NALC), C</t>
    </r>
    <r>
      <rPr>
        <vertAlign val="subscript"/>
        <sz val="8"/>
        <rFont val="Arial"/>
        <family val="2"/>
      </rPr>
      <t>5</t>
    </r>
    <r>
      <rPr>
        <sz val="8"/>
        <rFont val="Arial"/>
        <family val="2"/>
      </rPr>
      <t>H</t>
    </r>
    <r>
      <rPr>
        <vertAlign val="subscript"/>
        <sz val="8"/>
        <rFont val="Arial"/>
        <family val="2"/>
      </rPr>
      <t>9</t>
    </r>
    <r>
      <rPr>
        <sz val="8"/>
        <rFont val="Arial"/>
        <family val="2"/>
      </rPr>
      <t>NO</t>
    </r>
    <r>
      <rPr>
        <vertAlign val="subscript"/>
        <sz val="8"/>
        <rFont val="Arial"/>
        <family val="2"/>
      </rPr>
      <t>3</t>
    </r>
    <r>
      <rPr>
        <sz val="8"/>
        <rFont val="Arial"/>
        <family val="2"/>
      </rPr>
      <t>S, MW: 163.19,puriss. ≥ 99%, 250g</t>
    </r>
  </si>
  <si>
    <r>
      <t>tri-Sodium citrate dihydrate, C</t>
    </r>
    <r>
      <rPr>
        <vertAlign val="subscript"/>
        <sz val="8"/>
        <rFont val="Arial"/>
        <family val="2"/>
      </rPr>
      <t>6</t>
    </r>
    <r>
      <rPr>
        <sz val="8"/>
        <rFont val="Arial"/>
        <family val="2"/>
      </rPr>
      <t>H</t>
    </r>
    <r>
      <rPr>
        <vertAlign val="subscript"/>
        <sz val="8"/>
        <rFont val="Arial"/>
        <family val="2"/>
      </rPr>
      <t>5</t>
    </r>
    <r>
      <rPr>
        <sz val="8"/>
        <rFont val="Arial"/>
        <family val="2"/>
      </rPr>
      <t>Na</t>
    </r>
    <r>
      <rPr>
        <vertAlign val="subscript"/>
        <sz val="8"/>
        <rFont val="Arial"/>
        <family val="2"/>
      </rPr>
      <t>3</t>
    </r>
    <r>
      <rPr>
        <sz val="8"/>
        <rFont val="Arial"/>
        <family val="2"/>
      </rPr>
      <t>O</t>
    </r>
    <r>
      <rPr>
        <vertAlign val="subscript"/>
        <sz val="8"/>
        <rFont val="Arial"/>
        <family val="2"/>
      </rPr>
      <t>7</t>
    </r>
    <r>
      <rPr>
        <sz val="8"/>
        <rFont val="Arial"/>
        <family val="2"/>
      </rPr>
      <t xml:space="preserve"> · 2H</t>
    </r>
    <r>
      <rPr>
        <vertAlign val="subscript"/>
        <sz val="8"/>
        <rFont val="Arial"/>
        <family val="2"/>
      </rPr>
      <t>2</t>
    </r>
    <r>
      <rPr>
        <sz val="8"/>
        <rFont val="Arial"/>
        <family val="2"/>
      </rPr>
      <t>O, MW: 294.10, 1 kg</t>
    </r>
  </si>
  <si>
    <t>Cetylpyridinum chloride for specimen transportation</t>
  </si>
  <si>
    <r>
      <t>Cetylpyridinium chloride monohydrate, C</t>
    </r>
    <r>
      <rPr>
        <vertAlign val="subscript"/>
        <sz val="8"/>
        <rFont val="Arial"/>
        <family val="2"/>
      </rPr>
      <t>21</t>
    </r>
    <r>
      <rPr>
        <sz val="8"/>
        <rFont val="Arial"/>
        <family val="2"/>
      </rPr>
      <t>H</t>
    </r>
    <r>
      <rPr>
        <vertAlign val="subscript"/>
        <sz val="8"/>
        <rFont val="Arial"/>
        <family val="2"/>
      </rPr>
      <t>38</t>
    </r>
    <r>
      <rPr>
        <sz val="8"/>
        <rFont val="Arial"/>
        <family val="2"/>
      </rPr>
      <t>ClN · H</t>
    </r>
    <r>
      <rPr>
        <vertAlign val="subscript"/>
        <sz val="8"/>
        <rFont val="Arial"/>
        <family val="2"/>
      </rPr>
      <t>2</t>
    </r>
    <r>
      <rPr>
        <sz val="8"/>
        <rFont val="Arial"/>
        <family val="2"/>
      </rPr>
      <t>O, MW: 358.01, purity ≥ 98% for biochemistry, 500g</t>
    </r>
  </si>
  <si>
    <t>Sodium chloride, NaCl, MW: 58.44, ≥ 99%, 1kg</t>
  </si>
  <si>
    <t>Pre-treatment for urine</t>
  </si>
  <si>
    <r>
      <t>5-Sulfosalicylic acid dihydrate, C</t>
    </r>
    <r>
      <rPr>
        <vertAlign val="subscript"/>
        <sz val="8"/>
        <rFont val="Arial"/>
        <family val="2"/>
      </rPr>
      <t>6</t>
    </r>
    <r>
      <rPr>
        <sz val="8"/>
        <rFont val="Arial"/>
        <family val="2"/>
      </rPr>
      <t>H</t>
    </r>
    <r>
      <rPr>
        <vertAlign val="subscript"/>
        <sz val="8"/>
        <rFont val="Arial"/>
        <family val="2"/>
      </rPr>
      <t>7</t>
    </r>
    <r>
      <rPr>
        <sz val="8"/>
        <rFont val="Arial"/>
        <family val="2"/>
      </rPr>
      <t>NO</t>
    </r>
    <r>
      <rPr>
        <vertAlign val="subscript"/>
        <sz val="8"/>
        <rFont val="Arial"/>
        <family val="2"/>
      </rPr>
      <t>3</t>
    </r>
    <r>
      <rPr>
        <sz val="8"/>
        <rFont val="Arial"/>
        <family val="2"/>
      </rPr>
      <t>S· 2H</t>
    </r>
    <r>
      <rPr>
        <vertAlign val="subscript"/>
        <sz val="8"/>
        <rFont val="Arial"/>
        <family val="2"/>
      </rPr>
      <t>2</t>
    </r>
    <r>
      <rPr>
        <sz val="8"/>
        <rFont val="Arial"/>
        <family val="2"/>
      </rPr>
      <t xml:space="preserve">O, MW: 254,22, ≥ 99%, 100g </t>
    </r>
  </si>
  <si>
    <t>Neutralization of gastric washings</t>
  </si>
  <si>
    <t xml:space="preserve">sodium bicarbonate, NaHCO3, MW 84,  ≥ 99%, 500g </t>
  </si>
  <si>
    <t>Reagents for biochemical identification</t>
  </si>
  <si>
    <r>
      <t>Para-nitrobenzoic acid, (PNB), C</t>
    </r>
    <r>
      <rPr>
        <vertAlign val="subscript"/>
        <sz val="8"/>
        <rFont val="Arial"/>
        <family val="2"/>
      </rPr>
      <t>7</t>
    </r>
    <r>
      <rPr>
        <sz val="8"/>
        <rFont val="Arial"/>
        <family val="2"/>
      </rPr>
      <t>H</t>
    </r>
    <r>
      <rPr>
        <vertAlign val="subscript"/>
        <sz val="8"/>
        <rFont val="Arial"/>
        <family val="2"/>
      </rPr>
      <t>5</t>
    </r>
    <r>
      <rPr>
        <sz val="8"/>
        <rFont val="Arial"/>
        <family val="2"/>
      </rPr>
      <t>O</t>
    </r>
    <r>
      <rPr>
        <vertAlign val="subscript"/>
        <sz val="8"/>
        <rFont val="Arial"/>
        <family val="2"/>
      </rPr>
      <t>4</t>
    </r>
    <r>
      <rPr>
        <sz val="8"/>
        <rFont val="Arial"/>
        <family val="2"/>
      </rPr>
      <t>, MW: 167,12, purum ≥ 98%, 250g</t>
    </r>
  </si>
  <si>
    <r>
      <t>Thiophene-2-carboxylic acid hydrazide, (TCH), C</t>
    </r>
    <r>
      <rPr>
        <vertAlign val="subscript"/>
        <sz val="8"/>
        <rFont val="Arial"/>
        <family val="2"/>
      </rPr>
      <t>5</t>
    </r>
    <r>
      <rPr>
        <sz val="8"/>
        <rFont val="Arial"/>
        <family val="2"/>
      </rPr>
      <t>H</t>
    </r>
    <r>
      <rPr>
        <vertAlign val="subscript"/>
        <sz val="8"/>
        <rFont val="Arial"/>
        <family val="2"/>
      </rPr>
      <t>6</t>
    </r>
    <r>
      <rPr>
        <sz val="8"/>
        <rFont val="Arial"/>
        <family val="2"/>
      </rPr>
      <t>ON</t>
    </r>
    <r>
      <rPr>
        <vertAlign val="subscript"/>
        <sz val="8"/>
        <rFont val="Arial"/>
        <family val="2"/>
      </rPr>
      <t>2</t>
    </r>
    <r>
      <rPr>
        <sz val="8"/>
        <rFont val="Arial"/>
        <family val="2"/>
      </rPr>
      <t>S, MW: 142.21, ≥ 97%; 5g</t>
    </r>
  </si>
  <si>
    <t>Niacin strips, 50 per pack</t>
  </si>
  <si>
    <t>Tween® 80, (Polyoxyethlene-80-sorbitan monooleate), 1kg</t>
  </si>
  <si>
    <r>
      <t>Hydrogen peroxide, H</t>
    </r>
    <r>
      <rPr>
        <vertAlign val="subscript"/>
        <sz val="8"/>
        <rFont val="Arial"/>
        <family val="2"/>
      </rPr>
      <t>2</t>
    </r>
    <r>
      <rPr>
        <sz val="8"/>
        <rFont val="Arial"/>
        <family val="2"/>
      </rPr>
      <t>O</t>
    </r>
    <r>
      <rPr>
        <vertAlign val="subscript"/>
        <sz val="8"/>
        <rFont val="Arial"/>
        <family val="2"/>
      </rPr>
      <t>2</t>
    </r>
    <r>
      <rPr>
        <sz val="8"/>
        <rFont val="Arial"/>
        <family val="2"/>
      </rPr>
      <t>, MW: 34.01, 30%, 250 ml</t>
    </r>
  </si>
  <si>
    <t>Potassium dihydrogen phosphate, KH2PO4, MW: 136,09, 1 kg</t>
  </si>
  <si>
    <t xml:space="preserve">di-Sodium hydrogen phosphate anhydrous, Na2HPO4, MW: 141.96, 1 kg </t>
  </si>
  <si>
    <r>
      <t>Sodium nitrate, NaNO</t>
    </r>
    <r>
      <rPr>
        <vertAlign val="subscript"/>
        <sz val="8"/>
        <rFont val="Arial"/>
        <family val="2"/>
      </rPr>
      <t>3</t>
    </r>
    <r>
      <rPr>
        <sz val="8"/>
        <rFont val="Arial"/>
        <family val="2"/>
      </rPr>
      <t xml:space="preserve">, MW:84.99, p.a. ≥ 99.5%, 500g </t>
    </r>
  </si>
  <si>
    <r>
      <t>Sulphanilamide, C</t>
    </r>
    <r>
      <rPr>
        <vertAlign val="subscript"/>
        <sz val="8"/>
        <rFont val="Arial"/>
        <family val="2"/>
      </rPr>
      <t>6</t>
    </r>
    <r>
      <rPr>
        <sz val="8"/>
        <rFont val="Arial"/>
        <family val="2"/>
      </rPr>
      <t>H</t>
    </r>
    <r>
      <rPr>
        <vertAlign val="subscript"/>
        <sz val="8"/>
        <rFont val="Arial"/>
        <family val="2"/>
      </rPr>
      <t>8</t>
    </r>
    <r>
      <rPr>
        <sz val="8"/>
        <rFont val="Arial"/>
        <family val="2"/>
      </rPr>
      <t>N</t>
    </r>
    <r>
      <rPr>
        <vertAlign val="subscript"/>
        <sz val="8"/>
        <rFont val="Arial"/>
        <family val="2"/>
      </rPr>
      <t>2</t>
    </r>
    <r>
      <rPr>
        <sz val="8"/>
        <rFont val="Arial"/>
        <family val="2"/>
      </rPr>
      <t>O</t>
    </r>
    <r>
      <rPr>
        <vertAlign val="subscript"/>
        <sz val="8"/>
        <rFont val="Arial"/>
        <family val="2"/>
      </rPr>
      <t>2</t>
    </r>
    <r>
      <rPr>
        <sz val="8"/>
        <rFont val="Arial"/>
        <family val="2"/>
      </rPr>
      <t>S, MW: 172.21, p.a. ≥ 98%,100g</t>
    </r>
  </si>
  <si>
    <r>
      <t>N-(1-Naphthyl)-ethylendiamine dihydrochloride, C</t>
    </r>
    <r>
      <rPr>
        <vertAlign val="subscript"/>
        <sz val="8"/>
        <rFont val="Arial"/>
        <family val="2"/>
      </rPr>
      <t>12</t>
    </r>
    <r>
      <rPr>
        <sz val="8"/>
        <rFont val="Arial"/>
        <family val="2"/>
      </rPr>
      <t>H</t>
    </r>
    <r>
      <rPr>
        <vertAlign val="subscript"/>
        <sz val="8"/>
        <rFont val="Arial"/>
        <family val="2"/>
      </rPr>
      <t>14</t>
    </r>
    <r>
      <rPr>
        <sz val="8"/>
        <rFont val="Arial"/>
        <family val="2"/>
      </rPr>
      <t>N</t>
    </r>
    <r>
      <rPr>
        <vertAlign val="subscript"/>
        <sz val="8"/>
        <rFont val="Arial"/>
        <family val="2"/>
      </rPr>
      <t>2</t>
    </r>
    <r>
      <rPr>
        <sz val="8"/>
        <rFont val="Arial"/>
        <family val="2"/>
      </rPr>
      <t xml:space="preserve"> · 2HCl, MW: 259.18, p.a.≥ 98%, 25g</t>
    </r>
  </si>
  <si>
    <t>Zinc dust, 250g bottle</t>
  </si>
  <si>
    <t>Hydrochloric acid, HCl, purum, ≥ 35%, 1 L</t>
  </si>
  <si>
    <r>
      <t>reagent for long-term storage of mycobacterial culture</t>
    </r>
    <r>
      <rPr>
        <sz val="8"/>
        <rFont val="Arial"/>
        <family val="2"/>
      </rPr>
      <t xml:space="preserve">: </t>
    </r>
  </si>
  <si>
    <t>Skim milk powder, 500g</t>
  </si>
  <si>
    <t>McFarland standard</t>
  </si>
  <si>
    <r>
      <t>Bariumchlorid dihydrate, BaCl</t>
    </r>
    <r>
      <rPr>
        <vertAlign val="subscript"/>
        <sz val="8"/>
        <rFont val="Arial"/>
        <family val="2"/>
      </rPr>
      <t>2</t>
    </r>
    <r>
      <rPr>
        <sz val="8"/>
        <rFont val="Arial"/>
        <family val="2"/>
      </rPr>
      <t xml:space="preserve"> · 2H</t>
    </r>
    <r>
      <rPr>
        <vertAlign val="subscript"/>
        <sz val="8"/>
        <rFont val="Arial"/>
        <family val="2"/>
      </rPr>
      <t>2</t>
    </r>
    <r>
      <rPr>
        <sz val="8"/>
        <rFont val="Arial"/>
        <family val="2"/>
      </rPr>
      <t>O, MW: 244.26, p.a.≥ 99%, 250 g</t>
    </r>
  </si>
  <si>
    <t>Sulphuric acid, 100 ml</t>
  </si>
  <si>
    <t>DST laboratory, chemicals</t>
  </si>
  <si>
    <r>
      <t xml:space="preserve">Indicated quantities are based on experience and estimated for a laboratory performing approximately 1,000 FL-DST (and possibly 100 SL-DST). Quantities should be adjusted according to the workload and methods used. </t>
    </r>
    <r>
      <rPr>
        <sz val="8"/>
        <rFont val="Arial"/>
        <family val="2"/>
      </rPr>
      <t xml:space="preserve"> </t>
    </r>
  </si>
  <si>
    <t>First line drugs</t>
  </si>
  <si>
    <t xml:space="preserve">5g Isoniazid </t>
  </si>
  <si>
    <t>1g Rifampicin</t>
  </si>
  <si>
    <t>Cost of equipment maintenance per GeneXpert machine per year (range US$ 500-1800)</t>
  </si>
  <si>
    <t>For further information on Xpert please look at:</t>
  </si>
  <si>
    <t>http://whqlibdoc.who.int/hq/2011/WHO_HTM_TB_2011.12_eng.pdf</t>
  </si>
  <si>
    <t>CHEMICALS</t>
  </si>
  <si>
    <t>Culture laboratory, chemicals</t>
  </si>
  <si>
    <t>According to the SoP, prepare a batch of 1600 ml and adjust according to the workload</t>
  </si>
  <si>
    <t>Loewenstein-Jensen medium**</t>
  </si>
  <si>
    <t>Lowenstein-Jensen medium from components</t>
  </si>
  <si>
    <t>Ready-to-use mix, 500g</t>
  </si>
  <si>
    <t xml:space="preserve">Potassium dihydrogen phosphate, KH2PO4, MW: 136,09, 1 kg </t>
  </si>
  <si>
    <t xml:space="preserve">Fresh eggs fed without growth factors (antibiotics), 25 per 1600 ml medium final volume </t>
  </si>
  <si>
    <t>local cost</t>
  </si>
  <si>
    <t xml:space="preserve">Magnesium sulfate-heptahydrate,  MgSO4 • 7H2O, MW: 246,48. 500g </t>
  </si>
  <si>
    <t>Glycerol &gt;99% purity, 1 litre</t>
  </si>
  <si>
    <t>L-Asparagine-momohydrate, C4H8N2O3 • H2O, MW: 150.13, 250g</t>
  </si>
  <si>
    <t xml:space="preserve">tri-Magnesium di-citrate nonahydrate, Mg3(C6H5O7)2 • 9 H2O,  500g </t>
  </si>
  <si>
    <t xml:space="preserve">** Prepare a batch of 1600 ml according to the SoP, to be dispensed in 6–8 ml volumes into sterile McCartney bottles or 16 x 125 mm screw-capped tubes. Estimate the number of tubes per batch (+/-260 tubes). </t>
  </si>
  <si>
    <t xml:space="preserve">Malachite green oxalate, 100 g </t>
  </si>
  <si>
    <t>glycerol &gt;99% purity, 1 litre</t>
  </si>
  <si>
    <t>fresh eggs fed without growth factors (antibiotics), 25 per 1600 ml medium final volume</t>
  </si>
  <si>
    <t>Modified Ogawa medium</t>
  </si>
  <si>
    <r>
      <t>Sodium-L-Glutamate-monohydrate, C</t>
    </r>
    <r>
      <rPr>
        <vertAlign val="subscript"/>
        <sz val="8"/>
        <rFont val="Arial"/>
        <family val="2"/>
      </rPr>
      <t>5</t>
    </r>
    <r>
      <rPr>
        <sz val="8"/>
        <rFont val="Arial"/>
        <family val="2"/>
      </rPr>
      <t>H</t>
    </r>
    <r>
      <rPr>
        <vertAlign val="subscript"/>
        <sz val="8"/>
        <rFont val="Arial"/>
        <family val="2"/>
      </rPr>
      <t>8</t>
    </r>
    <r>
      <rPr>
        <sz val="8"/>
        <rFont val="Arial"/>
        <family val="2"/>
      </rPr>
      <t>NNaO</t>
    </r>
    <r>
      <rPr>
        <vertAlign val="subscript"/>
        <sz val="8"/>
        <rFont val="Arial"/>
        <family val="2"/>
      </rPr>
      <t>4</t>
    </r>
    <r>
      <rPr>
        <sz val="8"/>
        <rFont val="Arial"/>
        <family val="2"/>
      </rPr>
      <t xml:space="preserve"> · H</t>
    </r>
    <r>
      <rPr>
        <vertAlign val="subscript"/>
        <sz val="8"/>
        <rFont val="Arial"/>
        <family val="2"/>
      </rPr>
      <t>2</t>
    </r>
    <r>
      <rPr>
        <sz val="8"/>
        <rFont val="Arial"/>
        <family val="2"/>
      </rPr>
      <t xml:space="preserve">O,  1 kg </t>
    </r>
  </si>
  <si>
    <t>Fresh eggs fed without growth factors (antibiotics), 25 per 1600 ml medium final volume</t>
  </si>
  <si>
    <t>Phosphate buffer according to Soerensen, 1/15 M, pH 6.8 or adjustable between pH 5 to 8.2</t>
  </si>
  <si>
    <r>
      <t>di-Sodium hydrogen phosphate anhydrous, Na</t>
    </r>
    <r>
      <rPr>
        <vertAlign val="subscript"/>
        <sz val="8"/>
        <rFont val="Arial"/>
        <family val="2"/>
      </rPr>
      <t>2</t>
    </r>
    <r>
      <rPr>
        <sz val="8"/>
        <rFont val="Arial"/>
        <family val="2"/>
      </rPr>
      <t>HPO</t>
    </r>
    <r>
      <rPr>
        <vertAlign val="subscript"/>
        <sz val="8"/>
        <rFont val="Arial"/>
        <family val="2"/>
      </rPr>
      <t>4</t>
    </r>
    <r>
      <rPr>
        <sz val="8"/>
        <rFont val="Arial"/>
        <family val="2"/>
      </rPr>
      <t xml:space="preserve">, MW: 141.96, 1 kg </t>
    </r>
  </si>
  <si>
    <r>
      <t>di-Sodium hydrogen phosphate dodecahydrate Na</t>
    </r>
    <r>
      <rPr>
        <vertAlign val="subscript"/>
        <sz val="8"/>
        <rFont val="Arial"/>
        <family val="2"/>
      </rPr>
      <t>2</t>
    </r>
    <r>
      <rPr>
        <sz val="8"/>
        <rFont val="Arial"/>
        <family val="2"/>
      </rPr>
      <t>HPO</t>
    </r>
    <r>
      <rPr>
        <vertAlign val="subscript"/>
        <sz val="8"/>
        <rFont val="Arial"/>
        <family val="2"/>
      </rPr>
      <t>4</t>
    </r>
    <r>
      <rPr>
        <sz val="8"/>
        <rFont val="Arial"/>
        <family val="2"/>
      </rPr>
      <t xml:space="preserve"> 12 H</t>
    </r>
    <r>
      <rPr>
        <vertAlign val="subscript"/>
        <sz val="8"/>
        <rFont val="Arial"/>
        <family val="2"/>
      </rPr>
      <t>2</t>
    </r>
    <r>
      <rPr>
        <sz val="8"/>
        <rFont val="Arial"/>
        <family val="2"/>
      </rPr>
      <t xml:space="preserve">O , MW: 358,14, 1 kg </t>
    </r>
    <r>
      <rPr>
        <sz val="10"/>
        <rFont val="Arial"/>
        <family val="2"/>
      </rPr>
      <t xml:space="preserve"> </t>
    </r>
  </si>
  <si>
    <t>Petroff decontamination method</t>
  </si>
  <si>
    <t>Sodium hydroxide, NaOH, MW 40.00, purum ≥ 98%, pellets, 1kg</t>
  </si>
  <si>
    <t>Tri-sodium phosphate decontamination method</t>
  </si>
  <si>
    <r>
      <t>tri-sodium phosphate dodecahydrate, Na</t>
    </r>
    <r>
      <rPr>
        <vertAlign val="subscript"/>
        <sz val="8"/>
        <rFont val="Arial"/>
        <family val="2"/>
      </rPr>
      <t>3</t>
    </r>
    <r>
      <rPr>
        <sz val="8"/>
        <rFont val="Arial"/>
        <family val="2"/>
      </rPr>
      <t>PO</t>
    </r>
    <r>
      <rPr>
        <vertAlign val="subscript"/>
        <sz val="8"/>
        <rFont val="Arial"/>
        <family val="2"/>
      </rPr>
      <t>4</t>
    </r>
    <r>
      <rPr>
        <sz val="8"/>
        <rFont val="Arial"/>
        <family val="2"/>
      </rPr>
      <t xml:space="preserve"> · 12H</t>
    </r>
    <r>
      <rPr>
        <vertAlign val="subscript"/>
        <sz val="8"/>
        <rFont val="Arial"/>
        <family val="2"/>
      </rPr>
      <t>2</t>
    </r>
    <r>
      <rPr>
        <sz val="8"/>
        <rFont val="Arial"/>
        <family val="2"/>
      </rPr>
      <t>O, MW: 380.12, 2.5 kg</t>
    </r>
  </si>
  <si>
    <t>NALC decontamionation method</t>
  </si>
  <si>
    <t>Indicated quantities are based on experience and estimated for a laboratory performing approximately 1000 line-probe assays. Quantities should be adjusted according to the actual workload and strategy used.</t>
  </si>
  <si>
    <t>PCR-Workstation UV</t>
  </si>
  <si>
    <t>Thermocycler</t>
  </si>
  <si>
    <t>Ultrasonic bath</t>
  </si>
  <si>
    <r>
      <t>Thermoshaker for hybridization</t>
    </r>
    <r>
      <rPr>
        <sz val="8"/>
        <color indexed="10"/>
        <rFont val="Arial"/>
        <family val="2"/>
      </rPr>
      <t/>
    </r>
  </si>
  <si>
    <t>Automate for hybridization, for 48 strips</t>
  </si>
  <si>
    <r>
      <t xml:space="preserve">Optional </t>
    </r>
    <r>
      <rPr>
        <sz val="8"/>
        <rFont val="Arial"/>
        <family val="2"/>
      </rPr>
      <t>8-channel pipette, 5 - 50 µl</t>
    </r>
  </si>
  <si>
    <r>
      <t>Optional</t>
    </r>
    <r>
      <rPr>
        <sz val="8"/>
        <rFont val="Arial"/>
        <family val="2"/>
      </rPr>
      <t xml:space="preserve"> 8-channel pipette, 50 - 300 µl</t>
    </r>
  </si>
  <si>
    <r>
      <t xml:space="preserve">Optional </t>
    </r>
    <r>
      <rPr>
        <sz val="8"/>
        <rFont val="Arial"/>
        <family val="2"/>
      </rPr>
      <t xml:space="preserve">Electrophoresis, horizontal mini gel system </t>
    </r>
  </si>
  <si>
    <r>
      <t>Optional</t>
    </r>
    <r>
      <rPr>
        <sz val="8"/>
        <rFont val="Arial"/>
        <family val="2"/>
      </rPr>
      <t xml:space="preserve"> Power supply for electrophoresis</t>
    </r>
  </si>
  <si>
    <r>
      <t>Optional</t>
    </r>
    <r>
      <rPr>
        <sz val="8"/>
        <rFont val="Arial"/>
        <family val="2"/>
      </rPr>
      <t xml:space="preserve"> UV-light illuminator at least 200 x 200 mm window</t>
    </r>
  </si>
  <si>
    <t>Optional Microwave oven, approx. 900 W, inner volume minimum 20 litres</t>
  </si>
  <si>
    <t>Racks, for tubes 1.5 - 2 ml, 10 mm diameter, at least 20 positions</t>
  </si>
  <si>
    <t>Centrifuge for standard reaction tubes</t>
  </si>
  <si>
    <t>Floating rack for 20 seats, diameter 10 mm, 2ml, for ultrasonic bath</t>
  </si>
  <si>
    <t>Deep freeze storage box with lid for 2 ml cryovials , autoclavable PP</t>
  </si>
  <si>
    <t xml:space="preserve">Deep freeze storage box with lid for 0.2ml PCR tubes, autoclavable PP. </t>
  </si>
  <si>
    <t xml:space="preserve">1-channel pipette, variable from 0.5 - 10 µl, </t>
  </si>
  <si>
    <t>1-channel pipette, variable from 10 - 100 µl</t>
  </si>
  <si>
    <t>1-channel pipette, variable from 100 - 1000 µl,</t>
  </si>
  <si>
    <t>Racks suitable for pipettes offered, at least 4 positions</t>
  </si>
  <si>
    <t>Refrigerator with freezing department</t>
  </si>
  <si>
    <t>Freezer</t>
  </si>
  <si>
    <t>Stand for multichannel pipettes</t>
  </si>
  <si>
    <t>Hand-dispenser pipette, 5 dosage steps, suited for combitips</t>
  </si>
  <si>
    <t>Tripod stand for waste bags of 2 litres</t>
  </si>
  <si>
    <t>Cost of equipment for Molecular tests</t>
  </si>
  <si>
    <t>Xpert</t>
  </si>
  <si>
    <t>Cost of one GeneXpert 4-module unit with laptop</t>
  </si>
  <si>
    <t>Shipment, per machine</t>
  </si>
  <si>
    <t>Uninterruptible power source</t>
  </si>
  <si>
    <t>Printer</t>
  </si>
  <si>
    <t>Cartridge and maintenance for XPERT</t>
  </si>
  <si>
    <t>The average number of tests per machine per day is 15. So, the maximum number of cartridges per year is 3750 (=15*250 working days). Add 10% more due to losses because of damage or incorrect use.</t>
  </si>
  <si>
    <t>Cartridge, cost per one cartridge</t>
  </si>
  <si>
    <t>Automated analyser for liquid culture media with growth detection based on a fluorescent signal, 960 vials</t>
  </si>
  <si>
    <t>Automated analyser for liquid culture media with growth detection based on a fluorescent signal, 120 vials</t>
  </si>
  <si>
    <t>This is a FIND negotiated price for, please find the countries that can access to this special price in:  http://www.finddiagnostics.org/about/what_we_do/successes/find-negotiated-prices/bactec-mgit.html</t>
  </si>
  <si>
    <t>Cost of additional equipment for culture and DST laboratories (liquid media)</t>
  </si>
  <si>
    <t>Drug-susceptibility testing (DST)</t>
  </si>
  <si>
    <t>Indicated quantities are based on experience and estimated for a laboratory performing 1000 first-line DST (and possibly 100 second-line DST) in addition to cultures. Quantities should be adjusted according to the actual workload and strategy used.</t>
  </si>
  <si>
    <t>Desiccator, borosilicate glass, inner diameter 150-200 mm, lid with thread GL 32</t>
  </si>
  <si>
    <t>Membrane vacuum pump for desiccator, pressure endpoint &lt; 20 mbar</t>
  </si>
  <si>
    <t>Woulff flask consisting of borosilicate glass, 1000 ml with thread GL 45 screw cap</t>
  </si>
  <si>
    <t>Vacuum tube, 3m</t>
  </si>
  <si>
    <t>Precision balance</t>
  </si>
  <si>
    <t xml:space="preserve">Sterile filling station of culture media, consisting of 250 ml Squibb sedimentation funnels or cylindric dropping funnels, with tube for pressure exchange, stopcocks made of glass and Teflon stopper, outlet diameter 4 mm </t>
  </si>
  <si>
    <r>
      <t>Optional:</t>
    </r>
    <r>
      <rPr>
        <sz val="8"/>
        <rFont val="Arial"/>
        <family val="2"/>
      </rPr>
      <t xml:space="preserve"> Chest freezer, 70 litres, temperature range: -18 °C to - 28 °C, complete with cassettes and racks</t>
    </r>
  </si>
  <si>
    <t>Pipettes 1 ml, glass, graduated 0,01 ml, conformity certified, pack of 10 pieces</t>
  </si>
  <si>
    <t>Pipettes 2 ml, glass, graduated 0,02 ml, conformity certified, pack of 10 pieces</t>
  </si>
  <si>
    <t>Pipettes 10 ml, glass, graduated 0,05 ml, conformity certified, pack of 10 pieces</t>
  </si>
  <si>
    <t>Pipettes 5 ml, glass, graduated 0,1 ml, conformity certified, pack of 10 pieces</t>
  </si>
  <si>
    <t xml:space="preserve">Pipette box aluminium with lid, autoclavable, suitable for 35 cm long pipettes  </t>
  </si>
  <si>
    <t>Cost of equipment for DST (solid media)</t>
  </si>
  <si>
    <t xml:space="preserve">Molecular laboratory </t>
  </si>
  <si>
    <t>Line-Probe Assays</t>
  </si>
  <si>
    <t>Thick walled bottles, borosilicate 3.3, graduated, transparent, PP ring and cap, 2000 ml</t>
  </si>
  <si>
    <t xml:space="preserve">Thick walled bottles, borosilicate 3.3, graduated, transparent, PP ring and cap, 1000 ml </t>
  </si>
  <si>
    <t xml:space="preserve">Thick walled bottles, borosilicate 3.3, graduated, transparent, PP ring and cap, 500 ml;    </t>
  </si>
  <si>
    <t>Thick walled bottles, borosilicate 3.3, graduated, amber, PP ring and cap, 11000 ml</t>
  </si>
  <si>
    <t>Thick walled bottles, borosilicate 3.3, graduated, amber, PP ring and cap, 1, 2000 ml</t>
  </si>
  <si>
    <t>Screw caps with weld in PFTE membrane, 0.2 µm pore size, autoclavable to 140 °C</t>
  </si>
  <si>
    <t>Laboratory beaker, EFTE, low form with graduation and spout, 2000 ml</t>
  </si>
  <si>
    <t xml:space="preserve">Laboratory beaker, EFTE, low form with graduation and spout, 1000 ml     </t>
  </si>
  <si>
    <t>Laboratory beaker, EFTE, low form with graduation and spout, 600 ml</t>
  </si>
  <si>
    <t>Laboratory beaker, EFTE, low form with graduation and spout, 250 ml</t>
  </si>
  <si>
    <t>Laboratory beaker, EFTE, low form with graduation and spout, 100 ml</t>
  </si>
  <si>
    <t xml:space="preserve">Laboratory glassware drying rack, wall mounted; polystyrene; minimum 24 pegs </t>
  </si>
  <si>
    <t>Funnel, soda lime glass, plain, short stem, d =   75 mm</t>
  </si>
  <si>
    <t>Funnel, soda lime glass, plain, short stem, d = 125 mm</t>
  </si>
  <si>
    <t>Powder funnel , diameter 100mm</t>
  </si>
  <si>
    <t>Glass beads, massive glass, 5 mm diameter</t>
  </si>
  <si>
    <t>Glass beads, massive glass, 3 mm diameter</t>
  </si>
  <si>
    <t>Thick walled Pyrex tubes with ISO winding and autoclavable screw cap with tight gasket, 16x100 mm; package of 100</t>
  </si>
  <si>
    <t>Strainer, stainless steel, 1 grip, 2 eyes, diameter 20 cm</t>
  </si>
  <si>
    <t>Forceps; pointed; straight; 18/8 stainless steel, polished</t>
  </si>
  <si>
    <r>
      <t>Optional:</t>
    </r>
    <r>
      <rPr>
        <sz val="8"/>
        <rFont val="Arial"/>
        <family val="2"/>
      </rPr>
      <t xml:space="preserve"> Laboratory washer-disinfector for laboratory glass, 2 baskets</t>
    </r>
  </si>
  <si>
    <t xml:space="preserve">Separate water supply for deionised water with conductivity measure R 3/4" with digital display and hose-set for in-and outflow </t>
  </si>
  <si>
    <t>Aqua purificator cabinet for two de-mineralising cartridges</t>
  </si>
  <si>
    <t>Cost of equipment for culture laboratories (solid media)</t>
  </si>
  <si>
    <t>Additional equipment for liquid culture and/or DST</t>
  </si>
  <si>
    <t>Emergency spill-kit</t>
  </si>
  <si>
    <t>First aid kit</t>
  </si>
  <si>
    <t>Anemometer</t>
  </si>
  <si>
    <t>pH meter</t>
  </si>
  <si>
    <t>Bunsen burner with fine tuning</t>
  </si>
  <si>
    <t>Tripod stand</t>
  </si>
  <si>
    <t xml:space="preserve">Water bath, capacity approximately 20 L </t>
  </si>
  <si>
    <t>Magnetic stirrer</t>
  </si>
  <si>
    <t xml:space="preserve">Magnetic stirring bars, round-shaped, polytetrafluorethylen (PTFE) coated. Set of 10: 1x 15 mm, 2X 20 mm, 2x 25 mm, 1x 30 mm, 2x 40 mm, 2x 50 mm length. </t>
  </si>
  <si>
    <t xml:space="preserve">Sterile filling station of culture media, consisting of 1000 ml Squibb sedimentation funnels or cylindric dropping funnels, with tube for pressure exchange, stopcocks made of glass and Teflon stopper, outlet diameter 4 mm </t>
  </si>
  <si>
    <t>Stative for Squibb sedimentation funnels consisting of plate, rod and clamp</t>
  </si>
  <si>
    <t>Inspissator for coagulation of egg-based culture media</t>
  </si>
  <si>
    <t xml:space="preserve">Refrigerator with freezing department </t>
  </si>
  <si>
    <t xml:space="preserve">Refrigerator </t>
  </si>
  <si>
    <t>Stainless steel funnel, short wide stem with air drain, diameter 150 mm on top</t>
  </si>
  <si>
    <t>Swan neck bottles (PE flask, narrow neck with screw cap and water dispenser) set of one each 250, 500, 1000ml</t>
  </si>
  <si>
    <t>Bowl, plastic, 500 x 350 mm</t>
  </si>
  <si>
    <t>Erlenmeyer flasks, borosilicate 3.3, wide neck, graduated, autoclavable, 2000 ml</t>
  </si>
  <si>
    <t>Erlenmeyer flasks, borosilicate 3.3, wide neck, graduated, autoclavable, 1000 ml</t>
  </si>
  <si>
    <t>Erlenmeyer flasks, borosilicate 3.3, wide neck, autoclavable, 500 ml</t>
  </si>
  <si>
    <t>Erlenmeyer flasks, borosilicate 3.3, wide neck, graduated, autoclavable, 250 ml</t>
  </si>
  <si>
    <t>Erlenmeyer flasks, borosilicate 3.3, wide neck, graduated, 100 ml, pack. unit 10</t>
  </si>
  <si>
    <t>Erlenmeyer flasks, borosilicate 3.3, wide neck, graduated, autoclavable, 50 ml</t>
  </si>
  <si>
    <t>Measuring cylinder, class A; TPX, autoclavable, 1000 ml, graduated 10.0 ml</t>
  </si>
  <si>
    <t>Measuring cylinder, class A; TPX, autoclavable, 500 ml, graduated 5.0 ml</t>
  </si>
  <si>
    <t>Measuring cylinder, class A; TPX, autoclavable,  250 ml, graduated 2.0 ml</t>
  </si>
  <si>
    <t>Measuring cylinder, class A; TPX, autoclavable, 100 ml, graduated 1.0 ml</t>
  </si>
  <si>
    <t>Measuring cylinder, class A; TPX, autoclavable, 50 ml, graduated 1.0 ml</t>
  </si>
  <si>
    <t xml:space="preserve">Thick-walled glass flask for preparation of culture medium; with flanged rim; 2500 ml </t>
  </si>
  <si>
    <t>Centrifuge</t>
  </si>
  <si>
    <t>Centrifuge rotor</t>
  </si>
  <si>
    <t xml:space="preserve">Centrifuge rotor buckets </t>
  </si>
  <si>
    <t xml:space="preserve">Aerosol tight lids for rotor buckets </t>
  </si>
  <si>
    <t xml:space="preserve">Reducing adapter for 50 ml centrifuge tubes </t>
  </si>
  <si>
    <t xml:space="preserve">Reducing adapter for 15 ml/12 ml centrifuge tubes </t>
  </si>
  <si>
    <t>Autoclave</t>
  </si>
  <si>
    <t>Autoclave control unit for fully automated process control</t>
  </si>
  <si>
    <t>Exhaust air filtration system for autoclave</t>
  </si>
  <si>
    <t>Autoclave control unit for sterilization of liquids, including temperature probe</t>
  </si>
  <si>
    <t>Autoclave recooling system to shorten the time of liquid sterilization</t>
  </si>
  <si>
    <t xml:space="preserve">Wire baskets or stainless steel buckets for autoclave </t>
  </si>
  <si>
    <t xml:space="preserve">Wire baskets with drip tray for autoclave </t>
  </si>
  <si>
    <t>Hot-air oven</t>
  </si>
  <si>
    <r>
      <t>Optional</t>
    </r>
    <r>
      <rPr>
        <sz val="8"/>
        <rFont val="Arial"/>
        <family val="2"/>
      </rPr>
      <t xml:space="preserve"> Ion exchanger cartridge, </t>
    </r>
    <r>
      <rPr>
        <sz val="8"/>
        <rFont val="Arial Cyr"/>
      </rPr>
      <t>flow rate approx. 950 L/h</t>
    </r>
  </si>
  <si>
    <t>Conductivity measuring device for laboratory grade water, digital</t>
  </si>
  <si>
    <t>Ion exchanger resin for laboratory grade water, pack of 5x10 L resin</t>
  </si>
  <si>
    <t>Water distiller</t>
  </si>
  <si>
    <t>Balloon high-density poyethylene (HDPE) with discharge cock, 30 liters</t>
  </si>
  <si>
    <t>Balloon high-density poyethylene (HDPE) with discharge cock, 10 liters</t>
  </si>
  <si>
    <t>Stop cock, winding for HDPE balloon</t>
  </si>
  <si>
    <t>Racks for test tubes, PP, autoclavable,  60 positions</t>
  </si>
  <si>
    <t>Racks for 28 ml universal vials, PP, autoclavable, 48 positions</t>
  </si>
  <si>
    <t>Alarm clock / digital timer, 4 digits</t>
  </si>
  <si>
    <t>Safety-Pipetting Ball, standard</t>
  </si>
  <si>
    <t>Automated pipetting aid, battery capacity for 8 h work, 200 g weight</t>
  </si>
  <si>
    <t>Set of mechanical pipetting aids: up to 0.2 ml; up to 2 ml and up to 10 ml</t>
  </si>
  <si>
    <t xml:space="preserve">Pipette washer  </t>
  </si>
  <si>
    <t>Transport boxes for specimens meeting WHO requirements of P650 package</t>
  </si>
  <si>
    <t>Electronic maxima-minima-thermometers, two channels, thin cable with sensor, battery, measuring range -50°C/+60°C</t>
  </si>
  <si>
    <t xml:space="preserve">Electronic maxima-minima-thermometers, two channels, battery, measuring range -10°C/+50°C </t>
  </si>
  <si>
    <t>Dispenser for 1000 ml bottle for liquid soap, for wall mounting, 1 per sink</t>
  </si>
  <si>
    <t>Dispenser for hand towels, for wall mounting, 1 per sink</t>
  </si>
  <si>
    <t xml:space="preserve">Goggles, according to EN 166 and EN 170, frame adjustable, integrated side and top protection, total weight &lt;40 g </t>
  </si>
  <si>
    <t>List of laboratories items</t>
  </si>
  <si>
    <t>Back to Lab</t>
  </si>
  <si>
    <t>Equipment</t>
  </si>
  <si>
    <t>Chemicals</t>
  </si>
  <si>
    <t>Consumables</t>
  </si>
  <si>
    <t>Microscopy laboratory</t>
  </si>
  <si>
    <t>MIcroscopy laboratory</t>
  </si>
  <si>
    <t>Culture laboratory</t>
  </si>
  <si>
    <t>DST laboratory</t>
  </si>
  <si>
    <t>Molecular tests</t>
  </si>
  <si>
    <t xml:space="preserve">Number </t>
  </si>
  <si>
    <t>Unit cost (US$)</t>
  </si>
  <si>
    <t>Possible alternatives</t>
  </si>
  <si>
    <t>All prices indicated below are "free on board" (FOB) i.e. do not include shipping, insurance, import duties, local distributor margin for service and support, installation and maintenance.</t>
  </si>
  <si>
    <t>This column provides alternatives of equipment. If you wish to include them in your cost please copy the cells into the previous columns (B to D), so that the inputs (quantities and prices) are taken into account in the cost of the lab package.</t>
  </si>
  <si>
    <t>EQUIPMENT</t>
  </si>
  <si>
    <t>ITEMS</t>
  </si>
  <si>
    <t>Number</t>
  </si>
  <si>
    <t>Notes</t>
  </si>
  <si>
    <t>Racks for loop holder</t>
  </si>
  <si>
    <t>Analytical balance</t>
  </si>
  <si>
    <r>
      <t xml:space="preserve">Ù </t>
    </r>
    <r>
      <rPr>
        <u/>
        <sz val="7.5"/>
        <color indexed="12"/>
        <rFont val="Arial"/>
        <family val="2"/>
      </rPr>
      <t>Home</t>
    </r>
  </si>
  <si>
    <t xml:space="preserve">Indicated quantities are based on experience and estimated for a laboratory performing approximately 12,000 cultures. Quantities should be adjusted according to the actual workload and methods used. </t>
  </si>
  <si>
    <t>ITEMS (solid media)</t>
  </si>
  <si>
    <t>Base Support for Laminar Air Flow Cabinet</t>
  </si>
  <si>
    <t>BSC, class I or II</t>
  </si>
  <si>
    <t xml:space="preserve">UPS for BSC </t>
  </si>
  <si>
    <t>Minishaker or Vortex</t>
  </si>
  <si>
    <r>
      <t xml:space="preserve">Optional </t>
    </r>
    <r>
      <rPr>
        <sz val="8"/>
        <rFont val="Arial"/>
        <family val="2"/>
      </rPr>
      <t>: overhead stirrer, for at least 10 tubes (50 ml)</t>
    </r>
  </si>
  <si>
    <r>
      <t>Test tube rack 18/8 stainless steel, diameter 16 mm</t>
    </r>
    <r>
      <rPr>
        <sz val="10"/>
        <rFont val="Arial"/>
        <family val="2"/>
      </rPr>
      <t xml:space="preserve"> </t>
    </r>
  </si>
  <si>
    <t>Test tube rack 18/8 stainless steel, diameter 35 mm</t>
  </si>
  <si>
    <t xml:space="preserve">Safety gas burner with glass chimney, footswitch for temporary ignition </t>
  </si>
  <si>
    <t xml:space="preserve"> Electric micro incinerator for loops</t>
  </si>
  <si>
    <t>Safety gas tubing with safety clamps on both ends, inner diameter 9mm</t>
  </si>
  <si>
    <t>Inoculation loops, Platinum/Iridium wire, closed, 10 µl</t>
  </si>
  <si>
    <t>Disposable loops,100 x 10 pieces per pack</t>
  </si>
  <si>
    <t>Loop holder</t>
  </si>
  <si>
    <t>Stainless steel bucket with lid, capacity 10L</t>
  </si>
  <si>
    <t>Discard bottle, stainless steel or thick walled glass with screw cap</t>
  </si>
  <si>
    <t>Funnel, stainless steel 18/8,  top diameter 120 mm</t>
  </si>
  <si>
    <t xml:space="preserve">Safety box, PP, approx 3 L, for all sharps </t>
  </si>
  <si>
    <t>Laboratory chair, disinfectable, 5 wheels, no arm rests</t>
  </si>
  <si>
    <t>Incubator</t>
  </si>
  <si>
    <t>Xpert MTB/RIF</t>
  </si>
  <si>
    <t>Xpert MTB/RIF cartridges</t>
  </si>
  <si>
    <t>1 per 3 years</t>
  </si>
  <si>
    <t>No. of units</t>
  </si>
  <si>
    <t>Spare parts</t>
  </si>
  <si>
    <t>BD BACTEC™ MGIT™ 960 System</t>
  </si>
  <si>
    <t>GeneXpert 4-module</t>
  </si>
  <si>
    <t>Human Resources</t>
  </si>
  <si>
    <t>Salary and Incentives</t>
  </si>
  <si>
    <t>Total annual costs (USD)</t>
  </si>
  <si>
    <t>Head of laboratory</t>
  </si>
  <si>
    <t>Total Salary &amp; Incentives</t>
  </si>
  <si>
    <t>Number of sessions (per year)</t>
  </si>
  <si>
    <t xml:space="preserve">Length of session (average number of days per session) </t>
  </si>
  <si>
    <t>Number of participants (per session)</t>
  </si>
  <si>
    <t>Number of participants requiring per diems (per session)</t>
  </si>
  <si>
    <t>Number of national facilitators (average per course)</t>
  </si>
  <si>
    <t>Number of international facilitators (average per course)</t>
  </si>
  <si>
    <t>Costs for participants</t>
  </si>
  <si>
    <t>Total per diem</t>
  </si>
  <si>
    <t>Total cost of transportation</t>
  </si>
  <si>
    <t xml:space="preserve">Total cost of hotel </t>
  </si>
  <si>
    <t>Costs for national experts/facilitators</t>
  </si>
  <si>
    <t xml:space="preserve">Total per diem </t>
  </si>
  <si>
    <t>Costs for international experts/facilitators</t>
  </si>
  <si>
    <t>Total per diems</t>
  </si>
  <si>
    <t xml:space="preserve">Total daily fee </t>
  </si>
  <si>
    <t xml:space="preserve">Total travel costs </t>
  </si>
  <si>
    <t>Total transportation costs</t>
  </si>
  <si>
    <t>Additional costs</t>
  </si>
  <si>
    <t xml:space="preserve">Total cost of refresher and lunch </t>
  </si>
  <si>
    <t>Total cost of room rental</t>
  </si>
  <si>
    <t>Total cost of stationary &amp; training material (per sesssion)</t>
  </si>
  <si>
    <t>Other costs &lt;specify&gt; (typical per session)</t>
  </si>
  <si>
    <t>Total Training 1</t>
  </si>
  <si>
    <t>Total Training 2</t>
  </si>
  <si>
    <t>Total Training 3</t>
  </si>
  <si>
    <r>
      <t>International Training</t>
    </r>
    <r>
      <rPr>
        <b/>
        <i/>
        <sz val="12"/>
        <rFont val="Arial"/>
        <family val="2"/>
      </rPr>
      <t xml:space="preserve"> &lt;specify&gt;</t>
    </r>
  </si>
  <si>
    <t>Number of staff travelling for this training</t>
  </si>
  <si>
    <t>Total cost of travel</t>
  </si>
  <si>
    <t>Total costs international trainings</t>
  </si>
  <si>
    <t>Summary</t>
  </si>
  <si>
    <t>Costs (USD)</t>
  </si>
  <si>
    <t>Total HR Costs</t>
  </si>
  <si>
    <t>Number of supervision visits in one year per facility</t>
  </si>
  <si>
    <t>Number of facilities to be supervised</t>
  </si>
  <si>
    <t>Length of supervision visit (average number of days)</t>
  </si>
  <si>
    <t>Number of national expert/facilitators (per supervision visit)</t>
  </si>
  <si>
    <t>Number of support staff (e.g., driver) (per supervision visit)</t>
  </si>
  <si>
    <t>Cost for fuel and lubricants (typical per visit)</t>
  </si>
  <si>
    <t>Costs for Supervision</t>
  </si>
  <si>
    <t>Total Cost for fuel and lubricants</t>
  </si>
  <si>
    <t>Total per diem national expert/facilitators</t>
  </si>
  <si>
    <t xml:space="preserve">Total per diem for support staff </t>
  </si>
  <si>
    <t>Total cost of hotel charges for staff</t>
  </si>
  <si>
    <t xml:space="preserve">Other costs &lt;specify&gt; </t>
  </si>
  <si>
    <t>Total costs for Supervision</t>
  </si>
  <si>
    <t>Total costs for supervision by NRL</t>
  </si>
  <si>
    <t>Supervision visits for NRL(s) by SRL</t>
  </si>
  <si>
    <t>Number of international experts/facilitators (per supervision visit)</t>
  </si>
  <si>
    <t>Total costs for supervision by SRL</t>
  </si>
  <si>
    <t>Costs of sending slides</t>
  </si>
  <si>
    <t>Cost of sending samples of sputum</t>
  </si>
  <si>
    <t>Cost of sending samples of culture</t>
  </si>
  <si>
    <t>Total costs for rechecking</t>
  </si>
  <si>
    <t>Total costs for panel testing</t>
  </si>
  <si>
    <t>Total Quality Assurance Costs</t>
  </si>
  <si>
    <t>Transport containers/triple packaging</t>
  </si>
  <si>
    <t>Cost of sending isolates from NRL to SRL (shipment costs)</t>
  </si>
  <si>
    <t>Cost of sending isolates from SRL to NRL (shipment costs)</t>
  </si>
  <si>
    <t>Total costs for sample transportation</t>
  </si>
  <si>
    <t>Liquid culture</t>
  </si>
  <si>
    <t>Liquid culture and DST</t>
  </si>
  <si>
    <t>Biosaftey and cleaning</t>
  </si>
  <si>
    <t>Cost of sending isolates from NRL to SRL for testing (shipment)</t>
  </si>
  <si>
    <t>Import tax for international orders</t>
  </si>
  <si>
    <t>Import tax</t>
  </si>
  <si>
    <t>Total amount for DST SIRE</t>
  </si>
  <si>
    <t>Total amount for DST PZA</t>
  </si>
  <si>
    <t>Quality Assurance: Supervision, rechecking &amp; panel testing</t>
  </si>
  <si>
    <t>Processing</t>
  </si>
  <si>
    <t>Solid culture</t>
  </si>
  <si>
    <t>Maintenance (calibrators and spare parts)</t>
  </si>
  <si>
    <t xml:space="preserve">Total </t>
  </si>
  <si>
    <t>Import tax amount (USD)</t>
  </si>
  <si>
    <t>Value of order (USD)</t>
  </si>
  <si>
    <t>Shipment costs for international orders</t>
  </si>
  <si>
    <t>Costs USD</t>
  </si>
  <si>
    <t>Fuel generator</t>
  </si>
  <si>
    <t>OPERATIONAL COSTS</t>
  </si>
  <si>
    <t>Reagents &amp; consumables</t>
  </si>
  <si>
    <t>Cleaning</t>
  </si>
  <si>
    <t>Total annual budget</t>
  </si>
  <si>
    <t>Other costs &lt;specify&gt; registration costs</t>
  </si>
  <si>
    <t>Electricity</t>
  </si>
  <si>
    <t>Other operational costs</t>
  </si>
  <si>
    <t>Area</t>
  </si>
  <si>
    <t>If no budget required for any of the mentioned activities, e.g. per diem for national facilitators, manualley enter "0"</t>
  </si>
  <si>
    <t>% contract</t>
  </si>
  <si>
    <t>Sample transportation for diagnosis</t>
  </si>
  <si>
    <t>Microscopy supervisor</t>
  </si>
  <si>
    <t>Supervision visits for AFB laboratories periphery</t>
  </si>
  <si>
    <t>Reagent cost per smear</t>
  </si>
  <si>
    <t>Marker pen (water-resistant)</t>
  </si>
  <si>
    <t>Cost per smear</t>
  </si>
  <si>
    <t>Budget</t>
  </si>
  <si>
    <t>includes +10%</t>
  </si>
  <si>
    <t>Request forms</t>
  </si>
  <si>
    <t>Registers</t>
  </si>
  <si>
    <t>Other costs per 12 months</t>
  </si>
  <si>
    <t>Total (import tax)</t>
  </si>
  <si>
    <t>Telephone &amp; Internet</t>
  </si>
  <si>
    <r>
      <t xml:space="preserve">1 roll per </t>
    </r>
    <r>
      <rPr>
        <sz val="10"/>
        <color indexed="8"/>
        <rFont val="Arial"/>
        <family val="2"/>
      </rPr>
      <t>2</t>
    </r>
    <r>
      <rPr>
        <sz val="10"/>
        <color indexed="8"/>
        <rFont val="Arial"/>
        <family val="2"/>
      </rPr>
      <t xml:space="preserve"> months</t>
    </r>
  </si>
  <si>
    <t>1 per 2 months</t>
  </si>
  <si>
    <r>
      <t>1 per 2</t>
    </r>
    <r>
      <rPr>
        <sz val="10"/>
        <color indexed="8"/>
        <rFont val="Arial"/>
        <family val="2"/>
      </rPr>
      <t xml:space="preserve"> months</t>
    </r>
  </si>
  <si>
    <r>
      <rPr>
        <sz val="10"/>
        <color indexed="8"/>
        <rFont val="Arial"/>
        <family val="2"/>
      </rPr>
      <t>2</t>
    </r>
    <r>
      <rPr>
        <sz val="10"/>
        <color indexed="8"/>
        <rFont val="Arial"/>
        <family val="2"/>
      </rPr>
      <t xml:space="preserve"> per month</t>
    </r>
  </si>
  <si>
    <r>
      <rPr>
        <sz val="10"/>
        <color indexed="8"/>
        <rFont val="Arial"/>
        <family val="2"/>
      </rPr>
      <t>3</t>
    </r>
    <r>
      <rPr>
        <sz val="10"/>
        <color indexed="8"/>
        <rFont val="Arial"/>
        <family val="2"/>
      </rPr>
      <t xml:space="preserve"> per month</t>
    </r>
  </si>
  <si>
    <r>
      <rPr>
        <sz val="10"/>
        <color indexed="8"/>
        <rFont val="Arial"/>
        <family val="2"/>
      </rPr>
      <t>10</t>
    </r>
    <r>
      <rPr>
        <sz val="10"/>
        <color indexed="8"/>
        <rFont val="Arial"/>
        <family val="2"/>
      </rPr>
      <t xml:space="preserve"> per staff per day </t>
    </r>
  </si>
  <si>
    <r>
      <rPr>
        <sz val="10"/>
        <color indexed="8"/>
        <rFont val="Arial"/>
        <family val="2"/>
      </rPr>
      <t>10</t>
    </r>
    <r>
      <rPr>
        <sz val="10"/>
        <color indexed="8"/>
        <rFont val="Arial"/>
        <family val="2"/>
      </rPr>
      <t xml:space="preserve"> per staff per day</t>
    </r>
  </si>
  <si>
    <t>10 per staff per day</t>
  </si>
  <si>
    <t>Comments/Details</t>
  </si>
  <si>
    <t>1 visit per calendar year, 2 emergency calls</t>
  </si>
  <si>
    <t>**Program officer (liason btw program &amp; lab)</t>
  </si>
  <si>
    <t>Custom clearance per order</t>
  </si>
  <si>
    <t>Total (custom clearance)</t>
  </si>
  <si>
    <t>FIND</t>
  </si>
  <si>
    <t>Number of orders / year</t>
  </si>
  <si>
    <t xml:space="preserve">Budget Source </t>
  </si>
  <si>
    <t>previous</t>
  </si>
  <si>
    <t>TB CARE I</t>
  </si>
  <si>
    <t>Annual contract amount per staff /year (USD)</t>
  </si>
  <si>
    <t>Nurse assistant/Cleaner</t>
  </si>
  <si>
    <t>PFH</t>
  </si>
  <si>
    <t>Number of days for visit and preparation</t>
  </si>
  <si>
    <t>Length of supervision visit (average number of days of travel)</t>
  </si>
  <si>
    <t>Other costs: Visa</t>
  </si>
  <si>
    <t>Twincubator (LPA)</t>
  </si>
  <si>
    <t>Panel testing (SRL --&gt; NRL)</t>
  </si>
  <si>
    <t>Re-checking samples (NRL --&gt; SRL)</t>
  </si>
  <si>
    <t>Biosafety</t>
  </si>
  <si>
    <t>Laboratory technicians  NRL</t>
  </si>
  <si>
    <t>Laboratory doctors NRL</t>
  </si>
  <si>
    <t>Supervision visits for AFB laboratories regional</t>
  </si>
  <si>
    <t>pcs</t>
  </si>
  <si>
    <t>ml</t>
  </si>
  <si>
    <t>g</t>
  </si>
  <si>
    <t>Ethambutol - for laboratory use</t>
  </si>
  <si>
    <t>Expected repeat rate for SLD MGIT (%)</t>
  </si>
  <si>
    <t>For emergency visits only (1/year)</t>
  </si>
  <si>
    <t>GDF code</t>
  </si>
  <si>
    <t>CGXMTB-RIF-50</t>
  </si>
  <si>
    <t>Biosafety cabinets</t>
  </si>
  <si>
    <t>Number of biosafety cabinets</t>
  </si>
  <si>
    <t>Total cost of microscopy</t>
  </si>
  <si>
    <t>TB epidemiology</t>
  </si>
  <si>
    <t>Pulmonary, bacteriologically confirmed</t>
  </si>
  <si>
    <t>New cases:</t>
  </si>
  <si>
    <t>Relapse cases:</t>
  </si>
  <si>
    <t>Pulmonary, clinicially diagnosed</t>
  </si>
  <si>
    <t>Extrapulmonary</t>
  </si>
  <si>
    <t>Total relapse cases notified:</t>
  </si>
  <si>
    <t>Previously treated cases, excluding relapses</t>
  </si>
  <si>
    <t>Previously untreated HIV-negative adults with signs and symptoms of TB</t>
  </si>
  <si>
    <t>People living with HIV (PLHIV) with signs and symptoms of TB</t>
  </si>
  <si>
    <t>Children with signs and symptoms of TB</t>
  </si>
  <si>
    <t>Ratio of people with signs and symptoms of TB: 1 bacteriologically confirmed (or smear-positive) notified case</t>
  </si>
  <si>
    <t>Ratio of children with signs and symptoms of TB: children notified with TB</t>
  </si>
  <si>
    <t>Ratio of people with signs and symptoms of TB who have a history of previous succesful treatment: notified relapse cases</t>
  </si>
  <si>
    <t>Ratio of contacts per notified RR-TB case</t>
  </si>
  <si>
    <t>Number of working days per year</t>
  </si>
  <si>
    <t>LAM</t>
  </si>
  <si>
    <t>Items</t>
  </si>
  <si>
    <t>Phenol crystals colourless, 500 g</t>
  </si>
  <si>
    <t>LIS</t>
  </si>
  <si>
    <t>Standard reaction tubes,  1.5 ml,</t>
  </si>
  <si>
    <t xml:space="preserve">Standard reaction tubes,  2 ml, </t>
  </si>
  <si>
    <t>Isoniazid (INH) - for laboratory use</t>
  </si>
  <si>
    <t>Rifampicin (RMP) - for laboratory use</t>
  </si>
  <si>
    <t>Dihydro-streptomycin (DHSM) - for laboratory use</t>
  </si>
  <si>
    <t>Pack</t>
  </si>
  <si>
    <t xml:space="preserve">Unit </t>
  </si>
  <si>
    <t>Ethionamide (ETH) - for laboratory use</t>
  </si>
  <si>
    <t>Kanamycin (KAN) - for laboratory use</t>
  </si>
  <si>
    <t>Amikacin (AMI)  - for laboratory use</t>
  </si>
  <si>
    <t>Capreomycin (CM) - for laboratory use</t>
  </si>
  <si>
    <t>Sterile, DNA-/RNAse-free tips, 100 - 1000 µl</t>
  </si>
  <si>
    <t>Rapid test for detection of MPT 64 Antigen - SD Bioline TB Ag MPT64</t>
  </si>
  <si>
    <t>TB-LAMP</t>
  </si>
  <si>
    <t>FL DST on LJ</t>
  </si>
  <si>
    <t>Total cost for solid culture</t>
  </si>
  <si>
    <t>kit</t>
  </si>
  <si>
    <t>1 kit for 1000 tests</t>
  </si>
  <si>
    <t>Kit</t>
  </si>
  <si>
    <t>pack</t>
  </si>
  <si>
    <t>Levofloxacin - for laboratory use</t>
  </si>
  <si>
    <t>box/tubes</t>
  </si>
  <si>
    <t>Sputum containers</t>
  </si>
  <si>
    <t>Loopamp MTBC Detection Kit (2 x 48 tests)</t>
  </si>
  <si>
    <t>Loopamp PURE DNA Extraction Kit (90 tests)</t>
  </si>
  <si>
    <t>Total per Capilia TB-Neo test</t>
  </si>
  <si>
    <r>
      <t>0.</t>
    </r>
    <r>
      <rPr>
        <sz val="10"/>
        <color indexed="8"/>
        <rFont val="Arial"/>
        <family val="2"/>
      </rPr>
      <t>66</t>
    </r>
    <r>
      <rPr>
        <sz val="10"/>
        <color indexed="8"/>
        <rFont val="Arial"/>
        <family val="2"/>
      </rPr>
      <t xml:space="preserve"> per week per staff</t>
    </r>
  </si>
  <si>
    <r>
      <rPr>
        <sz val="10"/>
        <color indexed="8"/>
        <rFont val="Arial"/>
        <family val="2"/>
      </rPr>
      <t>1.32</t>
    </r>
    <r>
      <rPr>
        <sz val="10"/>
        <color indexed="8"/>
        <rFont val="Arial"/>
        <family val="2"/>
      </rPr>
      <t xml:space="preserve"> per week per staff</t>
    </r>
  </si>
  <si>
    <t>GeneXpert 2-module</t>
  </si>
  <si>
    <t>1-year warranty extension</t>
  </si>
  <si>
    <t>GeneXpert 16-module</t>
  </si>
  <si>
    <t xml:space="preserve">1 Module replacement </t>
  </si>
  <si>
    <t>Maintenance with warranty extension for TB-LAMP</t>
  </si>
  <si>
    <t>Electronic precision balance</t>
  </si>
  <si>
    <t>Densitometer</t>
  </si>
  <si>
    <t xml:space="preserve">Binocular bright field microscope - ZN </t>
  </si>
  <si>
    <t>Microscope - battery supply unit</t>
  </si>
  <si>
    <t>LED microscope - light mirror</t>
  </si>
  <si>
    <t>Overhead stirrer with universal adapter</t>
  </si>
  <si>
    <t>Compact orbital shaker (for BSC)</t>
  </si>
  <si>
    <t>Slide warmer</t>
  </si>
  <si>
    <r>
      <t xml:space="preserve">Printer </t>
    </r>
    <r>
      <rPr>
        <sz val="12"/>
        <rFont val="Calibri"/>
        <family val="2"/>
      </rPr>
      <t>for BACTEC</t>
    </r>
  </si>
  <si>
    <t xml:space="preserve">Rotor buckets </t>
  </si>
  <si>
    <t xml:space="preserve">GTQ-Cycler 96 </t>
  </si>
  <si>
    <t>Benchtop pH meter</t>
  </si>
  <si>
    <t>Magnetic stirrer with heating plate</t>
  </si>
  <si>
    <t>Electronic analytical balance for DST</t>
  </si>
  <si>
    <t>Training 2: Training for GX user (refresher and for new people)</t>
  </si>
  <si>
    <t>Panel testing for GX test (NRL --&gt; GX laboratories)</t>
  </si>
  <si>
    <t>Panel testing culture/DST laboratories (NRL --&gt; Regional culture/DST laboratory)</t>
  </si>
  <si>
    <t>Costs of sending PT panel</t>
  </si>
  <si>
    <t>Supervision visits for culture/DST laboratories by NRL</t>
  </si>
  <si>
    <t>Cost of sending samples of sputum to lower level lab --&gt; superior lab</t>
  </si>
  <si>
    <t>Solid culture and DST</t>
  </si>
  <si>
    <t>LPA FL&amp;SL</t>
  </si>
  <si>
    <t>Microscopy (LED, ZN)</t>
  </si>
  <si>
    <t xml:space="preserve">ID </t>
  </si>
  <si>
    <t>Water</t>
  </si>
  <si>
    <t>Other</t>
  </si>
  <si>
    <t>LPA 1st line</t>
  </si>
  <si>
    <t>LPA 2nd line</t>
  </si>
  <si>
    <t>SL DST on LJ</t>
  </si>
  <si>
    <t>FL DST on MGIT</t>
  </si>
  <si>
    <t>PZA DST on MGIT</t>
  </si>
  <si>
    <t>Sub total</t>
  </si>
  <si>
    <t>mg</t>
  </si>
  <si>
    <t>Clofazimine - for laboratory use</t>
  </si>
  <si>
    <t>Bedaquiline - for laboratory use</t>
  </si>
  <si>
    <t xml:space="preserve">g </t>
  </si>
  <si>
    <t>Training 1: Refresher traning microscopy for ZN and LED</t>
  </si>
  <si>
    <t>Total Training 4</t>
  </si>
  <si>
    <t>Training 3: TB-LAMP Training  (refresher and for new people)</t>
  </si>
  <si>
    <t>Training 4: LAM Training  (refresher and for new people)</t>
  </si>
  <si>
    <t>Total Training 5</t>
  </si>
  <si>
    <t>Training 5: LPA (1st and 2nd line drugs) Training  (refresher and for new people)</t>
  </si>
  <si>
    <t>Training 6: Culture/DST Training  (refresher and for new people)</t>
  </si>
  <si>
    <t>Total Training 6</t>
  </si>
  <si>
    <t>Shipment costs &amp; import tax for international orders</t>
  </si>
  <si>
    <t>Total cost of TB-LAMP products</t>
  </si>
  <si>
    <t>ZN microscopy if consumables are procured in kit</t>
  </si>
  <si>
    <t>LED microscopy if consumables are procured in kit</t>
  </si>
  <si>
    <t>ZN microscopy if consumables are procured separately</t>
  </si>
  <si>
    <t>LED microscopy if consumables are procured separately</t>
  </si>
  <si>
    <t>Need per test</t>
  </si>
  <si>
    <t xml:space="preserve">For collecting urine </t>
  </si>
  <si>
    <t>Cost per sample tested</t>
  </si>
  <si>
    <t>Number of batches for the period</t>
  </si>
  <si>
    <t>Number of batches per week</t>
  </si>
  <si>
    <t>Number of specimens in one batch</t>
  </si>
  <si>
    <t>Number of controls per batch</t>
  </si>
  <si>
    <t>Number of extra tests per batch for pipetting error</t>
  </si>
  <si>
    <t>LPA equipment used in the laboratory</t>
  </si>
  <si>
    <t>Number of tests (specimens plus controls)</t>
  </si>
  <si>
    <t>Total cost for culture processing</t>
  </si>
  <si>
    <t>NALC/NaOH decontamination method</t>
  </si>
  <si>
    <t>Number of slants produced with standard batch</t>
  </si>
  <si>
    <t>Total per SD Bioline TB Ag MPT64 test</t>
  </si>
  <si>
    <t>Please enter needs per test here according to laboratory SOP (default values should be modified)</t>
  </si>
  <si>
    <t>Needs per test</t>
  </si>
  <si>
    <t>Linezolid - for laboratory use</t>
  </si>
  <si>
    <t>Delamanid - for laboratory use</t>
  </si>
  <si>
    <t>Prothionamide (PTH) - for laboratory use</t>
  </si>
  <si>
    <t>No. of staff</t>
  </si>
  <si>
    <t>Annual incentives per staff (USD)</t>
  </si>
  <si>
    <t>Laboratory Clerk</t>
  </si>
  <si>
    <t>Sample transportation for diagnosis (lower level lab --&gt; superior lab)</t>
  </si>
  <si>
    <t>With Genolyse</t>
  </si>
  <si>
    <t>Without Genolyse</t>
  </si>
  <si>
    <t>Standard reaction tubes,  2 ml</t>
  </si>
  <si>
    <t>Standard reaction tubes,  1,5ml</t>
  </si>
  <si>
    <t>Do not delete</t>
  </si>
  <si>
    <t>2 tubes per test + 5% extra</t>
  </si>
  <si>
    <t>DNA extraction with or without Genolyse</t>
  </si>
  <si>
    <t>1 tip per test</t>
  </si>
  <si>
    <t>Number of HIV-positive people in care</t>
  </si>
  <si>
    <t>Period  (days)</t>
  </si>
  <si>
    <t>Total test culture (+%repeat+%cont)</t>
  </si>
  <si>
    <t>Total test SIRE (+%repeat)</t>
  </si>
  <si>
    <t>AST Carrier Set for 5 tubes</t>
  </si>
  <si>
    <t>Total test PZA (+%repeat)</t>
  </si>
  <si>
    <t>AST Carrier Set for 2 tubes</t>
  </si>
  <si>
    <t>AST Carrier Set for 8 tubes</t>
  </si>
  <si>
    <t>Capacity used by SIRE tubes</t>
  </si>
  <si>
    <t>Capacity used by PZA tubes</t>
  </si>
  <si>
    <t>Total capacity used by tests in period</t>
  </si>
  <si>
    <t>Capacity used by 2nd-line drugs tubes</t>
  </si>
  <si>
    <t>Capacity used by tubes for culture</t>
  </si>
  <si>
    <t>BACTEC MGIT 960 Instrument capacity required to run tests for culture, 1st line DST and 2nd line DST</t>
  </si>
  <si>
    <t>Number of tests performed</t>
  </si>
  <si>
    <t>Number of tubes per test according to protocol</t>
  </si>
  <si>
    <t xml:space="preserve">Maximum number of days for detection according to protocol </t>
  </si>
  <si>
    <t>Capacity used (number of tubes)</t>
  </si>
  <si>
    <t>Number of tubes</t>
  </si>
  <si>
    <t>Total tests</t>
  </si>
  <si>
    <t>Number of Bactec 960 systems needed to match the required capacity:</t>
  </si>
  <si>
    <t>Total test 2nd-line drugs (+%repeat) with ready reagents</t>
  </si>
  <si>
    <t>Total test 2nd-line drugs (+%repeat) with powder reagents</t>
  </si>
  <si>
    <t>Determine TB LAM Ag tests</t>
  </si>
  <si>
    <t>Anticipated number of RR/MDR-TB cases to be detected in the year</t>
  </si>
  <si>
    <t>Patient population</t>
  </si>
  <si>
    <t xml:space="preserve">% of PLHIV found to have signs and symptoms of TB when screened </t>
  </si>
  <si>
    <t>Number of instrument modules in the country</t>
  </si>
  <si>
    <r>
      <rPr>
        <b/>
        <sz val="20"/>
        <color theme="0"/>
        <rFont val="Calibri"/>
        <family val="2"/>
        <scheme val="minor"/>
      </rPr>
      <t>Epidemiology:</t>
    </r>
    <r>
      <rPr>
        <b/>
        <sz val="14"/>
        <color theme="0"/>
        <rFont val="Calibri"/>
        <family val="2"/>
        <scheme val="minor"/>
      </rPr>
      <t xml:space="preserve">
for calculation of morbidity-based forecasts</t>
    </r>
  </si>
  <si>
    <t>Average number of LAM tests performed per month</t>
  </si>
  <si>
    <t>Number of LAM tests for the period</t>
  </si>
  <si>
    <t>PLHIV seriously ill or with CD4 &lt; 100</t>
  </si>
  <si>
    <t>PLHIV seriously ill or with CD4 &lt; 200</t>
  </si>
  <si>
    <t xml:space="preserve">% of seriously ill PLHIV population or with CD4 &lt; 200 found to have signs and symptoms of TB when screened </t>
  </si>
  <si>
    <t xml:space="preserve">% of seriously ill PLHIV population or with CD4 &lt; 100 found to have signs and symptoms of TB when screened </t>
  </si>
  <si>
    <t>% of PLHIV population that is seriously ill or with CD4 &lt; 200</t>
  </si>
  <si>
    <t>% of PLHIV population that is seriously ill or with CD4 &lt; 100</t>
  </si>
  <si>
    <t>Children</t>
  </si>
  <si>
    <t>Relapse/PR/MDR</t>
  </si>
  <si>
    <t>Adult/HIV+/Bac+</t>
  </si>
  <si>
    <r>
      <rPr>
        <b/>
        <sz val="16"/>
        <rFont val="Calibri"/>
        <family val="2"/>
        <scheme val="minor"/>
      </rPr>
      <t>Method 1: Consumption-based forecasting</t>
    </r>
    <r>
      <rPr>
        <b/>
        <sz val="12"/>
        <rFont val="Calibri"/>
        <family val="2"/>
        <scheme val="minor"/>
      </rPr>
      <t xml:space="preserve">
The expected number of tests is based on number of tests perfromed last year</t>
    </r>
  </si>
  <si>
    <t>Average number of TB LAMP tests performed per month</t>
  </si>
  <si>
    <t>Quantities of LAM products to order</t>
  </si>
  <si>
    <t>Total number of LAM for the period</t>
  </si>
  <si>
    <t>Total cost of LAM products</t>
  </si>
  <si>
    <t xml:space="preserve">Geno Type MTBDRsl (96 tests/kit), Version 2.0 (30496A)   </t>
  </si>
  <si>
    <t>Petroff</t>
  </si>
  <si>
    <t>Decontamination method</t>
  </si>
  <si>
    <t>Ready</t>
  </si>
  <si>
    <t>Home made</t>
  </si>
  <si>
    <t>Number of positive culture tested for rapid MTB identification</t>
  </si>
  <si>
    <t>MPT64</t>
  </si>
  <si>
    <t>Capilia TB Neo</t>
  </si>
  <si>
    <t>MGIT culture</t>
  </si>
  <si>
    <t>No</t>
  </si>
  <si>
    <t>Total cost for liquid culture</t>
  </si>
  <si>
    <t xml:space="preserve">Average number of MGIT DST performed per month </t>
  </si>
  <si>
    <t>Test procurement</t>
  </si>
  <si>
    <t>SIRE</t>
  </si>
  <si>
    <t>PZA</t>
  </si>
  <si>
    <t>Separated consumables</t>
  </si>
  <si>
    <t>Total cost for liquiid culture</t>
  </si>
  <si>
    <t xml:space="preserve">Lyophilized vials </t>
  </si>
  <si>
    <t>Pure drugs substances</t>
  </si>
  <si>
    <t>Truenat</t>
  </si>
  <si>
    <t>Total cost of Truenat products</t>
  </si>
  <si>
    <t>Xpert MTB/RIF Ultra</t>
  </si>
  <si>
    <t>Sample processing</t>
  </si>
  <si>
    <t>Number of staff in the BSL3</t>
  </si>
  <si>
    <t>Yes</t>
  </si>
  <si>
    <t>People with signs and symptoms of TB</t>
  </si>
  <si>
    <t>HIV assumptions</t>
  </si>
  <si>
    <t>General assumptions</t>
  </si>
  <si>
    <t>Total cost of Xpert MTB Rif Ultra products</t>
  </si>
  <si>
    <t>Truenat MTB  Plus</t>
  </si>
  <si>
    <t>Truenat MTB Rif</t>
  </si>
  <si>
    <t>Free Truenat MTB Rif</t>
  </si>
  <si>
    <t>Levofloxacin (LFX)- for laboratory use</t>
  </si>
  <si>
    <t>Kanamycin – lyophilized drug for laboratory use, 6-vial pack</t>
  </si>
  <si>
    <t xml:space="preserve">Average number of Abott RT MTB tests performed per month </t>
  </si>
  <si>
    <t xml:space="preserve">Average number of Abott RT MTB RIF/IINH tests performed per month </t>
  </si>
  <si>
    <t xml:space="preserve">4 tips per tests + 5% extra </t>
  </si>
  <si>
    <t>4 tips per test + 5% extra</t>
  </si>
  <si>
    <t>2 tubes per batch + 5% extra</t>
  </si>
  <si>
    <t xml:space="preserve">Average number of FluoroType® MTBDR VER 2.0 tests performed per month </t>
  </si>
  <si>
    <t xml:space="preserve"> FluoroType MTBDR assay</t>
  </si>
  <si>
    <t xml:space="preserve">Average number of MAX MDR-TB tests performed per month </t>
  </si>
  <si>
    <t>BD MAX MDR-TB kit</t>
  </si>
  <si>
    <t>BD MAX STR kit</t>
  </si>
  <si>
    <t>MAX MDR-TB assay</t>
  </si>
  <si>
    <t>FluoroType MTBDR VER 2.0</t>
  </si>
  <si>
    <t>Cobas MTB and MTB-RIF-INH</t>
  </si>
  <si>
    <t>Abott RT MTB and MTB RIF-INH</t>
  </si>
  <si>
    <t>BD MAX MDR-TB</t>
  </si>
  <si>
    <r>
      <rPr>
        <b/>
        <sz val="16"/>
        <rFont val="Calibri"/>
        <family val="2"/>
        <scheme val="minor"/>
      </rPr>
      <t>Method 1: Consumption-based forecasting</t>
    </r>
    <r>
      <rPr>
        <b/>
        <sz val="12"/>
        <rFont val="Calibri"/>
        <family val="2"/>
        <scheme val="minor"/>
      </rPr>
      <t xml:space="preserve">
The expected number of tests is based on number of tests performed last year</t>
    </r>
  </si>
  <si>
    <t xml:space="preserve">FluoroLyse Extraciton Kit </t>
  </si>
  <si>
    <t xml:space="preserve">GXT DNA/ RNA Extraction Kit </t>
  </si>
  <si>
    <t>Cobas Microbial Inactivation Solution</t>
  </si>
  <si>
    <t>Abbott 96-Well Optical Reaction Plates</t>
  </si>
  <si>
    <t>Abbott 96-Deep-Well Plates and plate holder</t>
  </si>
  <si>
    <t xml:space="preserve">Average number of Xpert MTB/XDR tests performed per month </t>
  </si>
  <si>
    <t>Xpert MTB/XDR cartridges</t>
  </si>
  <si>
    <t>Total per Xpert MTB/XDR</t>
  </si>
  <si>
    <t>Geno Type MTBDRplus</t>
  </si>
  <si>
    <t>Genoscholar NTM+MDRTB II</t>
  </si>
  <si>
    <t>MULTIBLOT NS-4800</t>
  </si>
  <si>
    <t xml:space="preserve">Sterile plastic laboratory forceps </t>
  </si>
  <si>
    <t>Permanent marker</t>
  </si>
  <si>
    <t>GT-Blot 48 reagent set</t>
  </si>
  <si>
    <t>Paper towels</t>
  </si>
  <si>
    <t>Absorbent laboratory paper</t>
  </si>
  <si>
    <t>Disposable respirators FFP2</t>
  </si>
  <si>
    <t>WX04RG12</t>
  </si>
  <si>
    <t>WX04RG36</t>
  </si>
  <si>
    <t>WX04UP36</t>
  </si>
  <si>
    <t>XPERTCHECKCE-5</t>
  </si>
  <si>
    <t>700-4510</t>
  </si>
  <si>
    <t>GXIV-Module</t>
  </si>
  <si>
    <t>GX-SWAP-1</t>
  </si>
  <si>
    <t>WX02RG12</t>
  </si>
  <si>
    <t>WX02RG36</t>
  </si>
  <si>
    <t>WX02UP36</t>
  </si>
  <si>
    <t>WV16RG12</t>
  </si>
  <si>
    <t>WX16RG36</t>
  </si>
  <si>
    <t>WX16UP36</t>
  </si>
  <si>
    <t>Reflecting mirror for bright field microscope - ZN</t>
  </si>
  <si>
    <t>Digital orbital shaker</t>
  </si>
  <si>
    <t>UPS - 700 VA - 500 W with battery pack</t>
  </si>
  <si>
    <t>Glassware stand</t>
  </si>
  <si>
    <t>Jar for laboratory blender</t>
  </si>
  <si>
    <t>Repair and other equipment</t>
  </si>
  <si>
    <t>106390/106398</t>
  </si>
  <si>
    <t xml:space="preserve">ZN microscopy </t>
  </si>
  <si>
    <t>ZN Kit</t>
  </si>
  <si>
    <t>LED kit</t>
  </si>
  <si>
    <t>LJ DST</t>
  </si>
  <si>
    <t>Liquid DST</t>
  </si>
  <si>
    <t>Current stock</t>
  </si>
  <si>
    <t>Tool for calculating budget for consumables for TB diagnostics, version 2.0</t>
  </si>
  <si>
    <r>
      <t xml:space="preserve">This tool has been designed to facilitate systematic calculation of the quantities and costs of products for countries planning to order diagnostic products and laboratory supplies from the GDF catalogue. 
</t>
    </r>
    <r>
      <rPr>
        <b/>
        <u/>
        <sz val="16"/>
        <color rgb="FFFF0000"/>
        <rFont val="Calibri"/>
        <family val="2"/>
      </rPr>
      <t>To use the tool, please follow the steps below</t>
    </r>
  </si>
  <si>
    <t>Ziehl-Neelsen microscopy</t>
  </si>
  <si>
    <t>Light-emitting diode microscopy</t>
  </si>
  <si>
    <t>Mycobacteria Identification</t>
  </si>
  <si>
    <t>Lowenstein-Jensen 1st-line DST</t>
  </si>
  <si>
    <t>Lowenstein-Jensen 2nd-line DST</t>
  </si>
  <si>
    <t>MGIT 1st-line DST</t>
  </si>
  <si>
    <t>MGIT 2nd-line DST</t>
  </si>
  <si>
    <t>Biosafety and cleaning</t>
  </si>
  <si>
    <t>Maintenance and repair</t>
  </si>
  <si>
    <t>Step 2 : Enter the year of interest</t>
  </si>
  <si>
    <t>Step 3 : Define the forecasting period (months)</t>
  </si>
  <si>
    <t>Step 4 : Compile the epidemiological information</t>
  </si>
  <si>
    <t xml:space="preserve">Step 5 : Use the consumption or the morbidity-based forecasting method for each selected diagnostic test. </t>
  </si>
  <si>
    <t>Total no. of new cases notified</t>
  </si>
  <si>
    <t>Total no. of cases notified</t>
  </si>
  <si>
    <t>TB cases in children (%)</t>
  </si>
  <si>
    <t>TB cases in HIV-positive people (%)</t>
  </si>
  <si>
    <t>Adult TB cases (%):</t>
  </si>
  <si>
    <t>HIV-negative or HIV-unknown cases (%):</t>
  </si>
  <si>
    <t>Percentage of relapse or previously treated with mono INH- R</t>
  </si>
  <si>
    <r>
      <t xml:space="preserve">Values in </t>
    </r>
    <r>
      <rPr>
        <b/>
        <sz val="13"/>
        <color rgb="FFFF0000"/>
        <rFont val="Calibri (Corpo)"/>
      </rPr>
      <t>red</t>
    </r>
    <r>
      <rPr>
        <b/>
        <sz val="13"/>
        <rFont val="Calibri"/>
        <family val="2"/>
        <scheme val="minor"/>
      </rPr>
      <t xml:space="preserve"> should be entered or adjusted according to actual country data and practices,when possible.</t>
    </r>
  </si>
  <si>
    <r>
      <rPr>
        <b/>
        <sz val="16"/>
        <rFont val="Calibri"/>
        <family val="2"/>
        <scheme val="minor"/>
      </rPr>
      <t>Method 2: Morbidity-based forecasting</t>
    </r>
    <r>
      <rPr>
        <b/>
        <sz val="12"/>
        <rFont val="Calibri"/>
        <family val="2"/>
        <scheme val="minor"/>
      </rPr>
      <t xml:space="preserve">
The estimated number of tests calculated is based on epidemiological data (notifications) and planned algorithms. The calculated sum is the target to be reached when algorithms are used according to the indicated coverage and assumptions.</t>
    </r>
  </si>
  <si>
    <r>
      <rPr>
        <b/>
        <sz val="16"/>
        <rFont val="Calibri"/>
        <family val="2"/>
        <scheme val="minor"/>
      </rPr>
      <t>Method 1: Consumption-based forecasting</t>
    </r>
    <r>
      <rPr>
        <b/>
        <sz val="12"/>
        <rFont val="Calibri"/>
        <family val="2"/>
        <scheme val="minor"/>
      </rPr>
      <t xml:space="preserve">
The expected number of tests is based on the number of tests used on average per month.</t>
    </r>
  </si>
  <si>
    <t>Coverage of testing</t>
  </si>
  <si>
    <t>Average number of times that clinical screening for TB is performed per person living with HIV (PLHIV) per year</t>
  </si>
  <si>
    <t xml:space="preserve">For delivering 60 μL and suitable for 1-channel pipette, varies from 20 to 200 µL </t>
  </si>
  <si>
    <r>
      <rPr>
        <b/>
        <sz val="16"/>
        <rFont val="Calibri"/>
        <family val="2"/>
        <scheme val="minor"/>
      </rPr>
      <t>Method 2: Morbidity-based forecasting</t>
    </r>
    <r>
      <rPr>
        <b/>
        <sz val="12"/>
        <rFont val="Calibri"/>
        <family val="2"/>
        <scheme val="minor"/>
      </rPr>
      <t xml:space="preserve">
The estimated number of tests calculated is based on epidemiological data (notifications) and planned algorithms. The calculated sum is the target to be reached when algorithms are implemented according to the indicated coverage and assumptions. The default coverage below is for an Truenat-for-all algorithm (100% coverage for all patient groups)</t>
    </r>
  </si>
  <si>
    <t>People at risk of drug-resistant TB</t>
  </si>
  <si>
    <t>Quantities of Truenat products to be ordered</t>
  </si>
  <si>
    <t>Percentage of invalid, error or no result</t>
  </si>
  <si>
    <t>Item</t>
  </si>
  <si>
    <t>Number of Truepep devices</t>
  </si>
  <si>
    <t>Number of Truelab analysers (uno)</t>
  </si>
  <si>
    <t>Number of Truelab analysers (duo)</t>
  </si>
  <si>
    <t>Number of Truelab analysers (quattro)</t>
  </si>
  <si>
    <r>
      <rPr>
        <b/>
        <sz val="16"/>
        <rFont val="Calibri"/>
        <family val="2"/>
        <scheme val="minor"/>
      </rPr>
      <t>Method 1: Consumption-based forecasting</t>
    </r>
    <r>
      <rPr>
        <b/>
        <sz val="12"/>
        <rFont val="Calibri"/>
        <family val="2"/>
        <scheme val="minor"/>
      </rPr>
      <t xml:space="preserve">
The expected number of tests is based on number of tests performed last year.</t>
    </r>
  </si>
  <si>
    <r>
      <rPr>
        <b/>
        <sz val="16"/>
        <rFont val="Calibri"/>
        <family val="2"/>
        <scheme val="minor"/>
      </rPr>
      <t>Method 2: Morbidity-based forecasting</t>
    </r>
    <r>
      <rPr>
        <b/>
        <sz val="12"/>
        <rFont val="Calibri"/>
        <family val="2"/>
        <scheme val="minor"/>
      </rPr>
      <t xml:space="preserve">
The estimated number of tests calculated is based on epidemiological data (notifications) and planned algorithms. The calculated sum is the target to be reached when algorithms are implemented according to the indicated coverage and assumptions.</t>
    </r>
  </si>
  <si>
    <t>Enter the appropriate number based on past consumption. The default number is based on maximum efficiency testing (14 specimens per batch and 5 testing cycles per day)</t>
  </si>
  <si>
    <t>Cost (US$)</t>
  </si>
  <si>
    <t xml:space="preserve">The cost per patient sample for reagents and consumables depends on the batch size of the cycle.
For only maximum efficiency (14 specimens per batch and 5 testing cycles per day), the cost is US$ 6 per patient sample </t>
  </si>
  <si>
    <t>No. of tests performed last year</t>
  </si>
  <si>
    <t>Total number of chip ports</t>
  </si>
  <si>
    <t>New smear-positive TB cases receiving Truenat for rifampicin testing  (excluding those who received it as the initial diagnostic test)</t>
  </si>
  <si>
    <t>Costs (US$)</t>
  </si>
  <si>
    <r>
      <t xml:space="preserve">Values in </t>
    </r>
    <r>
      <rPr>
        <b/>
        <sz val="13"/>
        <color rgb="FFFF0000"/>
        <rFont val="Calibri (Corpo)"/>
      </rPr>
      <t>red</t>
    </r>
    <r>
      <rPr>
        <b/>
        <sz val="13"/>
        <rFont val="Calibri"/>
        <family val="2"/>
        <scheme val="minor"/>
      </rPr>
      <t xml:space="preserve"> should be entered or adjusted according to actual country data and practices, when possible.</t>
    </r>
  </si>
  <si>
    <r>
      <t xml:space="preserve">Values in </t>
    </r>
    <r>
      <rPr>
        <b/>
        <sz val="13"/>
        <color rgb="FFFF0000"/>
        <rFont val="Calibri (Body)"/>
      </rPr>
      <t>red</t>
    </r>
    <r>
      <rPr>
        <b/>
        <sz val="13"/>
        <rFont val="Calibri"/>
        <family val="2"/>
        <scheme val="minor"/>
      </rPr>
      <t xml:space="preserve"> should be entered or adjusted according to actual country data and practices, when possible.</t>
    </r>
  </si>
  <si>
    <r>
      <t xml:space="preserve">Values in </t>
    </r>
    <r>
      <rPr>
        <b/>
        <sz val="14"/>
        <color rgb="FFFF0000"/>
        <rFont val="Calibri (Body)"/>
      </rPr>
      <t>red</t>
    </r>
    <r>
      <rPr>
        <b/>
        <sz val="14"/>
        <rFont val="Calibri"/>
        <family val="2"/>
        <scheme val="minor"/>
      </rPr>
      <t xml:space="preserve"> should be entered or adjusted according to actual country data and practices, when possible.</t>
    </r>
  </si>
  <si>
    <t>Quantities of Xpert MTB/RIF Ultra products to be ordered</t>
  </si>
  <si>
    <t>Percentage of invalid, error, no result</t>
  </si>
  <si>
    <t>Sterile plastic centrifuge tubes 50 mL</t>
  </si>
  <si>
    <t>No. of packs to be ordered</t>
  </si>
  <si>
    <t xml:space="preserve">No. of packs </t>
  </si>
  <si>
    <t>No. of packs</t>
  </si>
  <si>
    <t>Units / pack</t>
  </si>
  <si>
    <t>New smear-positive TB cases receiving Xpert for rifampicin testing purposes (excluding those receiving it as the initial diagnostic test)</t>
  </si>
  <si>
    <t>New smear-positive TB cases receiving the test for rifampicin and isoniazid testing purposes (excluding those receiving it as the initial diagnostic test</t>
  </si>
  <si>
    <t>Cobas® MTB</t>
  </si>
  <si>
    <t>Cobas® 6800/8800 Buffer Negative Control Kit</t>
  </si>
  <si>
    <t>Cobas® Microbial Inactivation Solution</t>
  </si>
  <si>
    <t>Cobas® MTB-RIF/INH</t>
  </si>
  <si>
    <t>Cobas® MTB-RIF/INH Positive Control Kit</t>
  </si>
  <si>
    <t>Ethanol / Isopropanol - 5 L</t>
  </si>
  <si>
    <r>
      <t xml:space="preserve">If you use normal sputum containers, set "0" for </t>
    </r>
    <r>
      <rPr>
        <b/>
        <sz val="12"/>
        <color rgb="FFFF0000"/>
        <rFont val="Calibri"/>
        <family val="2"/>
        <scheme val="minor"/>
      </rPr>
      <t>No. of packs to be ordered</t>
    </r>
  </si>
  <si>
    <t>Number of smears from culture</t>
  </si>
  <si>
    <t>Number of smears for diagnosis or treatment monitoring</t>
  </si>
  <si>
    <t>Countries that are replacing microscopy with a rapid molecular test may anticipate fewer smears for diagnosis.</t>
  </si>
  <si>
    <t>Basic fuchsine, 100 g (bottle)</t>
  </si>
  <si>
    <t>Methylene blue, 10 x 10 g (bottles)</t>
  </si>
  <si>
    <t>Ethanol, 99%, 1 L (bottle), for stain solutions</t>
  </si>
  <si>
    <t>Ethanol, 99%, 1 L (bottle), for decolourization</t>
  </si>
  <si>
    <t>Hydrochloric acid, 1 L (bottle)</t>
  </si>
  <si>
    <t>Total no. of reagents</t>
  </si>
  <si>
    <t>Carbol fuchsin: 5 mL per slide, includes +10%</t>
  </si>
  <si>
    <t>Includes +10%</t>
  </si>
  <si>
    <t>Microscope slides, lime-soda-glass, pack of 1000</t>
  </si>
  <si>
    <t>Immersion oil, 100 mL</t>
  </si>
  <si>
    <t>Lens-cleaning tissue</t>
  </si>
  <si>
    <t>Round filter paper, 150 mm</t>
  </si>
  <si>
    <t>Ethanol, 99%, 1 L (bottle), for spirit lamps</t>
  </si>
  <si>
    <t>Sputum containers, pack of 1000</t>
  </si>
  <si>
    <t>Total for reagents</t>
  </si>
  <si>
    <t>Decolourization: 7 mL per slide, includes +10%</t>
  </si>
  <si>
    <t>Wooden applicator sticks, 150 mm</t>
  </si>
  <si>
    <r>
      <rPr>
        <b/>
        <sz val="16"/>
        <rFont val="Calibri"/>
        <family val="2"/>
        <scheme val="minor"/>
      </rPr>
      <t>Method 1: Consumption-based forecasting</t>
    </r>
    <r>
      <rPr>
        <b/>
        <sz val="12"/>
        <rFont val="Calibri"/>
        <family val="2"/>
        <scheme val="minor"/>
      </rPr>
      <t xml:space="preserve">
The expected number of tests is based on the number of tests perfromed last year</t>
    </r>
  </si>
  <si>
    <t>People with detected INH mono-resistance (to test for fluoroquinolone resistance)</t>
  </si>
  <si>
    <t>Sterile plastic centrifuge tubes, 50 mL</t>
  </si>
  <si>
    <r>
      <rPr>
        <b/>
        <sz val="18"/>
        <color theme="0"/>
        <rFont val="Calibri"/>
        <family val="2"/>
        <scheme val="minor"/>
      </rPr>
      <t>LAM</t>
    </r>
    <r>
      <rPr>
        <b/>
        <sz val="14"/>
        <color theme="0"/>
        <rFont val="Calibri"/>
        <family val="2"/>
        <scheme val="minor"/>
      </rPr>
      <t xml:space="preserve">
Two methods are proposed for calculating the expected number of tests to be performed during the period.</t>
    </r>
  </si>
  <si>
    <r>
      <rPr>
        <b/>
        <sz val="18"/>
        <color theme="0"/>
        <rFont val="Calibri"/>
        <family val="2"/>
        <scheme val="minor"/>
      </rPr>
      <t>Truenat</t>
    </r>
    <r>
      <rPr>
        <b/>
        <sz val="14"/>
        <color theme="0"/>
        <rFont val="Calibri"/>
        <family val="2"/>
        <scheme val="minor"/>
      </rPr>
      <t xml:space="preserve">
Two methods are proposed for calculating the expected number of tests to be performed during the period.</t>
    </r>
  </si>
  <si>
    <r>
      <rPr>
        <b/>
        <sz val="18"/>
        <color theme="0"/>
        <rFont val="Calibri"/>
        <family val="2"/>
        <scheme val="minor"/>
      </rPr>
      <t>TB-LAMP</t>
    </r>
    <r>
      <rPr>
        <b/>
        <sz val="14"/>
        <color theme="0"/>
        <rFont val="Calibri"/>
        <family val="2"/>
        <scheme val="minor"/>
      </rPr>
      <t xml:space="preserve">
Two methods are proposed for calculating the expected number of tests to be performed during the period.</t>
    </r>
  </si>
  <si>
    <r>
      <rPr>
        <b/>
        <sz val="18"/>
        <color theme="0"/>
        <rFont val="Calibri"/>
        <family val="2"/>
        <scheme val="minor"/>
      </rPr>
      <t>Xpert MTB/RIF</t>
    </r>
    <r>
      <rPr>
        <b/>
        <sz val="14"/>
        <color theme="0"/>
        <rFont val="Calibri"/>
        <family val="2"/>
        <scheme val="minor"/>
      </rPr>
      <t xml:space="preserve">
Two methods are proposed for calculating the expected number of tests to be performed during the period.</t>
    </r>
  </si>
  <si>
    <r>
      <rPr>
        <b/>
        <sz val="18"/>
        <color theme="0"/>
        <rFont val="Calibri"/>
        <family val="2"/>
        <scheme val="minor"/>
      </rPr>
      <t>Xpert MTB/XDR</t>
    </r>
    <r>
      <rPr>
        <b/>
        <sz val="14"/>
        <color theme="0"/>
        <rFont val="Calibri"/>
        <family val="2"/>
        <scheme val="minor"/>
      </rPr>
      <t xml:space="preserve">
Two methods are proposed for calculating the expected number of tests to be performed during the period.</t>
    </r>
  </si>
  <si>
    <r>
      <rPr>
        <b/>
        <sz val="18"/>
        <color theme="0"/>
        <rFont val="Calibri"/>
        <family val="2"/>
        <scheme val="minor"/>
      </rPr>
      <t>LPA 1st line</t>
    </r>
    <r>
      <rPr>
        <b/>
        <sz val="14"/>
        <color theme="0"/>
        <rFont val="Calibri"/>
        <family val="2"/>
        <scheme val="minor"/>
      </rPr>
      <t xml:space="preserve">
Two methods are proposed for calculating the expected number of tests to be performed during the period.</t>
    </r>
  </si>
  <si>
    <r>
      <rPr>
        <b/>
        <sz val="18"/>
        <color theme="0"/>
        <rFont val="Calibri"/>
        <family val="2"/>
        <scheme val="minor"/>
      </rPr>
      <t>LPA 2nd line</t>
    </r>
    <r>
      <rPr>
        <b/>
        <sz val="14"/>
        <color theme="0"/>
        <rFont val="Calibri"/>
        <family val="2"/>
        <scheme val="minor"/>
      </rPr>
      <t xml:space="preserve">
Two methods are proposed for calculating the expected number of tests to be performed during the period.</t>
    </r>
  </si>
  <si>
    <r>
      <rPr>
        <b/>
        <sz val="18"/>
        <color theme="0"/>
        <rFont val="Calibri"/>
        <family val="2"/>
        <scheme val="minor"/>
      </rPr>
      <t xml:space="preserve">MAX MDR-TB assay </t>
    </r>
    <r>
      <rPr>
        <b/>
        <sz val="14"/>
        <color theme="0"/>
        <rFont val="Calibri"/>
        <family val="2"/>
        <scheme val="minor"/>
      </rPr>
      <t xml:space="preserve">
Two methods are proposed for calculating the expected number of tests to be performed during the period.</t>
    </r>
  </si>
  <si>
    <r>
      <rPr>
        <b/>
        <sz val="18"/>
        <color theme="0"/>
        <rFont val="Calibri"/>
        <family val="2"/>
        <scheme val="minor"/>
      </rPr>
      <t>FluoroType® MTBDR VER 2.0 assays</t>
    </r>
    <r>
      <rPr>
        <b/>
        <sz val="14"/>
        <color theme="0"/>
        <rFont val="Calibri"/>
        <family val="2"/>
        <scheme val="minor"/>
      </rPr>
      <t xml:space="preserve">
Two methods are proposed for calculating the expected number of tests to be performed during the period.</t>
    </r>
  </si>
  <si>
    <t xml:space="preserve">Average number of LPA 1st-line tests performed per month </t>
  </si>
  <si>
    <t>LPA 1st-line test used</t>
  </si>
  <si>
    <t>Number of LPA 1st-line tests for the period</t>
  </si>
  <si>
    <t>Enter the appropriate number based on past consumption. The default number is based on optimal use of the test</t>
  </si>
  <si>
    <t>Number of LPA 1st-line tests for the period
(with forecasting method 1 or 2 or a value in between)</t>
  </si>
  <si>
    <t>Estimated repetitions (%)</t>
  </si>
  <si>
    <t xml:space="preserve">For DNA extraction  </t>
  </si>
  <si>
    <t>Option</t>
  </si>
  <si>
    <t>Molecular grade water - 10 x 1.7 mL</t>
  </si>
  <si>
    <t>PCR tubes, 0.2 mL with attached caps, sterile, DNAse- and RNAse-free, 1000 per pack</t>
  </si>
  <si>
    <t>Microcentrifuge tubes, 2 mL</t>
  </si>
  <si>
    <t>Microcentrifuge tubes, 1.5 mL</t>
  </si>
  <si>
    <t>Sterile cryovials, 2 mL, single handed</t>
  </si>
  <si>
    <t>Sterile filter tips,  0.1–10 µL</t>
  </si>
  <si>
    <t>Sterile filter tips, 20–200 µL</t>
  </si>
  <si>
    <t>Sterile filter tips, 100–1000 µL</t>
  </si>
  <si>
    <t xml:space="preserve">Long 1-mL tips with filter </t>
  </si>
  <si>
    <t xml:space="preserve">Dispenser tips, 12.5 mL </t>
  </si>
  <si>
    <t xml:space="preserve">Non-sterile Pasteur pipettes, 3 mL </t>
  </si>
  <si>
    <t>Sterile plastic centrifuge tubes, 15 mL</t>
  </si>
  <si>
    <t>Plastic bags, 30 L</t>
  </si>
  <si>
    <t>Square filter paper, 580 mm</t>
  </si>
  <si>
    <t>GT-Blot 48 tray for 96 strips (black)</t>
  </si>
  <si>
    <t>Two methods : 1 vial per batch or molecular-grade water is aliquoted 
Choose from drop-down list</t>
  </si>
  <si>
    <r>
      <t xml:space="preserve">Volume required is 505 µL per batch - 1 vial per batch or aliquot                                                                </t>
    </r>
    <r>
      <rPr>
        <b/>
        <sz val="11"/>
        <rFont val="Calibri"/>
        <family val="2"/>
        <scheme val="minor"/>
      </rPr>
      <t>Choose here =&gt;</t>
    </r>
  </si>
  <si>
    <t>1 tube per test + 5% extra</t>
  </si>
  <si>
    <t xml:space="preserve"> Cryo-vials are necessary for storage , 1 tube per test + 5% extra</t>
  </si>
  <si>
    <r>
      <rPr>
        <b/>
        <sz val="11"/>
        <rFont val="Calibri"/>
        <family val="2"/>
        <scheme val="minor"/>
      </rPr>
      <t xml:space="preserve">Select below: </t>
    </r>
    <r>
      <rPr>
        <sz val="11"/>
        <rFont val="Calibri"/>
        <family val="2"/>
        <scheme val="minor"/>
      </rPr>
      <t>whether you use Combitips or not</t>
    </r>
  </si>
  <si>
    <t>4 per working day</t>
  </si>
  <si>
    <t>1 L per week</t>
  </si>
  <si>
    <t>Total per LPA 1st-line test, MTBDR plus V2</t>
  </si>
  <si>
    <r>
      <rPr>
        <b/>
        <sz val="16"/>
        <rFont val="Calibri"/>
        <family val="2"/>
        <scheme val="minor"/>
      </rPr>
      <t>Method 1: Consumption-based forecasting</t>
    </r>
    <r>
      <rPr>
        <b/>
        <sz val="12"/>
        <rFont val="Calibri"/>
        <family val="2"/>
        <scheme val="minor"/>
      </rPr>
      <t xml:space="preserve">
The expected number of tests is based on the average daily use per instrument module.</t>
    </r>
  </si>
  <si>
    <t xml:space="preserve">Average number of LPA 2nd-line tests performed per month </t>
  </si>
  <si>
    <t>Enter the appropriate number based on past consumption. The default number is based on optimal use of the test.</t>
  </si>
  <si>
    <t>Average number of specimens per batch</t>
  </si>
  <si>
    <t>Options</t>
  </si>
  <si>
    <t>Two methods : 1 vial per batch or molecular-grade water is aliquoted 
Choose from the drop-down list</t>
  </si>
  <si>
    <t>Molecular-grade water - 10 x 1.7 mL</t>
  </si>
  <si>
    <t>PCR tubes, 0.2 mL with attached caps, sterile, DNAse- RNAse-free, 1000 per pack</t>
  </si>
  <si>
    <t>Sterile filter tips, 0.1–10 µL</t>
  </si>
  <si>
    <t>2 tips per test + 5% extra to add supernatent to PCR tubes and n x 5 μL DNA</t>
  </si>
  <si>
    <r>
      <rPr>
        <b/>
        <sz val="11"/>
        <rFont val="Calibri"/>
        <family val="2"/>
        <scheme val="minor"/>
      </rPr>
      <t>Select below whether</t>
    </r>
    <r>
      <rPr>
        <sz val="11"/>
        <rFont val="Calibri"/>
        <family val="2"/>
        <scheme val="minor"/>
      </rPr>
      <t xml:space="preserve"> you use Combitips or not</t>
    </r>
  </si>
  <si>
    <t>Non-sterile Pasteur pipettes, 3 mL</t>
  </si>
  <si>
    <t xml:space="preserve">Alternative to long 1-mL tips - 8 tips per batch to add  RINS (3), WATER (3), SUB (1) CONJ (1) + 5% extra         </t>
  </si>
  <si>
    <t>4 tubes per batch (for diluting CON and SUB + HYB + STR)</t>
  </si>
  <si>
    <t>1 kit for 3 LPA kits if GT BLOT-48</t>
  </si>
  <si>
    <t>Ethanol / isopropanol, 5 L</t>
  </si>
  <si>
    <t>Total  for LPA 1st line, MTBDRplus V2</t>
  </si>
  <si>
    <r>
      <rPr>
        <b/>
        <sz val="16"/>
        <rFont val="Calibri"/>
        <family val="2"/>
        <scheme val="minor"/>
      </rPr>
      <t>Method 1: Consumption-based forecasting</t>
    </r>
    <r>
      <rPr>
        <b/>
        <sz val="12"/>
        <rFont val="Calibri"/>
        <family val="2"/>
        <scheme val="minor"/>
      </rPr>
      <t xml:space="preserve">
The expected number of tests is based on the number of tests performed last year</t>
    </r>
  </si>
  <si>
    <t>Number of specimens per batch</t>
  </si>
  <si>
    <t>Enter unit cost based on current procurement mechanism</t>
  </si>
  <si>
    <t>New smear-positive TB cases receiving Xpert for rifampicin testing (excluding those receiving it as the initial diagnostic test)</t>
  </si>
  <si>
    <t>Average number of specimens in a batch</t>
  </si>
  <si>
    <t xml:space="preserve">4 tips per test + 5% extra </t>
  </si>
  <si>
    <t>Total for FluoroType® MTBDR VER 2.0</t>
  </si>
  <si>
    <t>Coverage of testing (%)</t>
  </si>
  <si>
    <t>Total number of tests performed during the period</t>
  </si>
  <si>
    <t>Cobas® MTB Positive Control Kit</t>
  </si>
  <si>
    <t xml:space="preserve">Average number of Cobas® MTB tests performed per month </t>
  </si>
  <si>
    <t xml:space="preserve">Average number of Cobas® MTB RIF/IINH tests performed per month </t>
  </si>
  <si>
    <t xml:space="preserve">Number of Cobas® MTB and MTB-RIF/INH tests performed during the period </t>
  </si>
  <si>
    <t>Number of Cobas® MTB and MTB-RIF/INH tests performed during the period</t>
  </si>
  <si>
    <t>Number of Cobas® MTB and MTB-RIF/INH tests performed during the period (with forecasting method 1 or 2 or a value in between)</t>
  </si>
  <si>
    <t>Total for Cobas® MTB and MTB-RIF/INH</t>
  </si>
  <si>
    <t>Total  per Cobas® MTB and MTB-RIF/INH</t>
  </si>
  <si>
    <r>
      <rPr>
        <b/>
        <sz val="18"/>
        <color theme="0"/>
        <rFont val="Calibri"/>
        <family val="2"/>
        <scheme val="minor"/>
      </rPr>
      <t>Abbott Real Time MTB and MTB RIF/INH assays</t>
    </r>
    <r>
      <rPr>
        <b/>
        <sz val="14"/>
        <color theme="0"/>
        <rFont val="Calibri"/>
        <family val="2"/>
        <scheme val="minor"/>
      </rPr>
      <t xml:space="preserve">
Two methods are proposed for calculating the expected number of tests to be performed during the period.</t>
    </r>
  </si>
  <si>
    <r>
      <rPr>
        <b/>
        <sz val="16"/>
        <rFont val="Calibri"/>
        <family val="2"/>
        <scheme val="minor"/>
      </rPr>
      <t>Method 1: Consumption-based forecasting</t>
    </r>
    <r>
      <rPr>
        <b/>
        <sz val="12"/>
        <rFont val="Calibri"/>
        <family val="2"/>
        <scheme val="minor"/>
      </rPr>
      <t xml:space="preserve">
The expected number of tests is based on the number of tests perfomed last year.</t>
    </r>
  </si>
  <si>
    <t xml:space="preserve">Number of Abbott MTB and MTB RIF/INH tests performed during the period </t>
  </si>
  <si>
    <t>Number of batches during the period</t>
  </si>
  <si>
    <t>Total number of tests to be performed during the period</t>
  </si>
  <si>
    <t>Inactivation reagent</t>
  </si>
  <si>
    <t>Abbott Real Time MTB Amplification Reagent Kit</t>
  </si>
  <si>
    <t>Abbott Real Time MTB Control Kit</t>
  </si>
  <si>
    <t>Abbott Real Time MTB RIF/INH Resistance Amplification Reagent Kit</t>
  </si>
  <si>
    <t>Abbott Real Time MTB RIF/INH Resistance Control Kit</t>
  </si>
  <si>
    <t>Total for Abbott MTB and MTB RIF/INH</t>
  </si>
  <si>
    <r>
      <rPr>
        <b/>
        <sz val="18"/>
        <color theme="0"/>
        <rFont val="Calibri"/>
        <family val="2"/>
        <scheme val="minor"/>
      </rPr>
      <t>Processing and solid/liquid culture</t>
    </r>
    <r>
      <rPr>
        <b/>
        <sz val="14"/>
        <color theme="0"/>
        <rFont val="Calibri"/>
        <family val="2"/>
        <scheme val="minor"/>
      </rPr>
      <t xml:space="preserve">
Two methods are proposed for calculating the expected number of tests to be performed during the period.</t>
    </r>
  </si>
  <si>
    <t xml:space="preserve">Average number of samples processed for culture per month </t>
  </si>
  <si>
    <t xml:space="preserve">Number of samples processed for culture during the period </t>
  </si>
  <si>
    <t>People at risk of INH mono-resistance</t>
  </si>
  <si>
    <t>Anticipated cases of RR/MDR-TB detected in the year</t>
  </si>
  <si>
    <t>Number of samples processed for culture during the period</t>
  </si>
  <si>
    <t>Total number of samples processed for culture during the period</t>
  </si>
  <si>
    <t>LJ, home-made or ready-made</t>
  </si>
  <si>
    <t>Average volume (mL) per specimen to be decontaminated</t>
  </si>
  <si>
    <t>Number of batches used during the period</t>
  </si>
  <si>
    <t>Number of samples processed for culture during the period (with forecasting method 1 or 2 or a value in between)</t>
  </si>
  <si>
    <t>TB medium LJ, 500 g</t>
  </si>
  <si>
    <t>Glycerol 99.5, 1 L</t>
  </si>
  <si>
    <t>Ready mix LJ: 37.5 g per batch</t>
  </si>
  <si>
    <t>12 mL per batch</t>
  </si>
  <si>
    <t xml:space="preserve">Potassium dihydrogen phosphate, MW: 136.09, 1 kg </t>
  </si>
  <si>
    <t>2.4 g per batch</t>
  </si>
  <si>
    <t>0.24 g per batch</t>
  </si>
  <si>
    <t>3.6 g per batch</t>
  </si>
  <si>
    <t>0.6 g per batch</t>
  </si>
  <si>
    <t>0.4 g per batch</t>
  </si>
  <si>
    <t>BBL MGIT tubes  for use in Bactec MGIT 960 (7mL) - 100 tubes/pack</t>
  </si>
  <si>
    <t>Lime-glass culture tubes, 12 mL, screw caps</t>
  </si>
  <si>
    <t>Single-use plastic Pasteur-pipettes, sterile, individually packed</t>
  </si>
  <si>
    <t>Disposable loops, 10 µL</t>
  </si>
  <si>
    <t xml:space="preserve">Sterile cryovials, 2 mL </t>
  </si>
  <si>
    <t>Cardboard storage box for sterile cryovials, 2 mL</t>
  </si>
  <si>
    <t xml:space="preserve">Plastic Petri dishes </t>
  </si>
  <si>
    <t>Loewenstein-Jensen medium, ready-made</t>
  </si>
  <si>
    <t>MGIT liquid culture</t>
  </si>
  <si>
    <t>Brain-heart infusion agar</t>
  </si>
  <si>
    <t>Plastic foil</t>
  </si>
  <si>
    <t>Same when processing 0 or 1 tube per test</t>
  </si>
  <si>
    <t>For inoculation + contaminated tube + postive tube + repeat rate + 10% extra</t>
  </si>
  <si>
    <t>81 positioned in a box</t>
  </si>
  <si>
    <t>1 Petri dish for 4 positive + 20% contatminated tubes</t>
  </si>
  <si>
    <t>Dispenser tips: 1 or 2 tips per working day depending on workload
P1000 : 1 tip for 5 tubes</t>
  </si>
  <si>
    <t>Phosphate buffer according to Soerensen, 1/15 M, pH 6.8 or adjustable between pH 5 and 8.2</t>
  </si>
  <si>
    <t>Di-sodium hydrogen phosphate anhydrous, MW: 141.96, 1 kg</t>
  </si>
  <si>
    <t>Sodium hydroxide, MW 40.00, purity ≥ 98%, pellets, 1 kg</t>
  </si>
  <si>
    <t>Potassium dihydrogen phosphate MW: 136.09, 1 kg</t>
  </si>
  <si>
    <r>
      <rPr>
        <i/>
        <sz val="10"/>
        <rFont val="Calibri"/>
        <family val="2"/>
        <scheme val="minor"/>
      </rPr>
      <t>N</t>
    </r>
    <r>
      <rPr>
        <sz val="10"/>
        <rFont val="Calibri"/>
        <family val="2"/>
        <scheme val="minor"/>
      </rPr>
      <t>-Acetyl-L-cysteine, MW: 163.19, purity ≥ 99%, 100 g</t>
    </r>
  </si>
  <si>
    <t>Disposable Pasteur pipettes, graduated, non-sterile, 155 mm</t>
  </si>
  <si>
    <t>4.74 g for 1 L of final  buffer + 50% extra. Calculation for an average of 40 mL of final mix per specimen</t>
  </si>
  <si>
    <t>4.54 g/L for 1 L of final  buffer + 50% extra. Calculation for an average of 40 mL of final mix per specimen</t>
  </si>
  <si>
    <t>40 g/L of specimen</t>
  </si>
  <si>
    <t>5 g/L of specimen</t>
  </si>
  <si>
    <t xml:space="preserve">14.5 g/L of final buffer </t>
  </si>
  <si>
    <t xml:space="preserve">20 g/L of final  buffer </t>
  </si>
  <si>
    <t>Total cost for sample processing</t>
  </si>
  <si>
    <t>Cost for one LJ culture</t>
  </si>
  <si>
    <t>Cost for one MGIT</t>
  </si>
  <si>
    <t>Cost for sample processing per sample</t>
  </si>
  <si>
    <r>
      <rPr>
        <b/>
        <sz val="18"/>
        <color theme="0"/>
        <rFont val="Calibri"/>
        <family val="2"/>
        <scheme val="minor"/>
      </rPr>
      <t>Rapid MTB identification</t>
    </r>
    <r>
      <rPr>
        <b/>
        <sz val="14"/>
        <color theme="0"/>
        <rFont val="Calibri"/>
        <family val="2"/>
        <scheme val="minor"/>
      </rPr>
      <t xml:space="preserve">
The method below is used to calculate the expected number of tests to be performed during the period.</t>
    </r>
  </si>
  <si>
    <t>Single-use, sterile plastic Pasteur pipettes, individually packed</t>
  </si>
  <si>
    <t>Cost</t>
  </si>
  <si>
    <t>Total for SD Bioline TB Ag MPT64</t>
  </si>
  <si>
    <t xml:space="preserve">Capilia TB-Neo - Rapid test for detection of MPT 64 antigen </t>
  </si>
  <si>
    <t>Capilia TB-Neo Extraction buffer (1 x 20 mL)</t>
  </si>
  <si>
    <t>Sterile Pasteur pipettes, 3 mL</t>
  </si>
  <si>
    <t xml:space="preserve">Total for Capilia TB-Neo </t>
  </si>
  <si>
    <t xml:space="preserve">Maintenance and repair
</t>
  </si>
  <si>
    <t>Annual budget overview</t>
  </si>
  <si>
    <t>Overview of laboratory items</t>
  </si>
  <si>
    <r>
      <rPr>
        <b/>
        <sz val="18"/>
        <color theme="0"/>
        <rFont val="Calibri"/>
        <family val="2"/>
      </rPr>
      <t>LJ 1st line</t>
    </r>
    <r>
      <rPr>
        <b/>
        <sz val="14"/>
        <color theme="0"/>
        <rFont val="Calibri"/>
        <family val="2"/>
      </rPr>
      <t xml:space="preserve">
Two methods are proposed for calculating the expected number of tests to be performed during the period.</t>
    </r>
  </si>
  <si>
    <r>
      <t xml:space="preserve">Values in </t>
    </r>
    <r>
      <rPr>
        <b/>
        <sz val="13"/>
        <color rgb="FFFF0000"/>
        <rFont val="Calibri"/>
        <family val="2"/>
      </rPr>
      <t>red</t>
    </r>
    <r>
      <rPr>
        <b/>
        <sz val="13"/>
        <rFont val="Calibri"/>
        <family val="2"/>
      </rPr>
      <t xml:space="preserve"> should be entered or adjusted according to actual country data and practices,when possible.</t>
    </r>
  </si>
  <si>
    <r>
      <rPr>
        <b/>
        <sz val="16"/>
        <rFont val="Calibri"/>
        <family val="2"/>
      </rPr>
      <t>Method 1: Consumption-based forecasting</t>
    </r>
    <r>
      <rPr>
        <b/>
        <sz val="12"/>
        <rFont val="Calibri"/>
        <family val="2"/>
      </rPr>
      <t xml:space="preserve">
The expected number of tests is based on the average daily use per instrument module.</t>
    </r>
  </si>
  <si>
    <t xml:space="preserve">Average number of LJ 1st-line tests performed per month </t>
  </si>
  <si>
    <r>
      <rPr>
        <b/>
        <sz val="16"/>
        <rFont val="Calibri"/>
        <family val="2"/>
      </rPr>
      <t>Method 2: Morbidity-based forecasting</t>
    </r>
    <r>
      <rPr>
        <b/>
        <sz val="12"/>
        <rFont val="Calibri"/>
        <family val="2"/>
      </rPr>
      <t xml:space="preserve">
The estimated number of tests calculated is based on epidemiological data (notifications) and planned algorithms. The calculated sum is the target to be reached when algorithms are implemented according to the indicated coverage and assumptions.</t>
    </r>
  </si>
  <si>
    <t>Anticipated number of RR/MDR-TB cases to be detected during the year (to test for INH resistance)</t>
  </si>
  <si>
    <t>Expected repeat rate for 1st DST on LJ (%)</t>
  </si>
  <si>
    <t>Glycerol 99.5</t>
  </si>
  <si>
    <t>Single-use, sterile, plastic Pasteur-pipettes, individually packed</t>
  </si>
  <si>
    <t>Sterile cryovials, 2 mL</t>
  </si>
  <si>
    <t>Total  for 1st DST on LJ</t>
  </si>
  <si>
    <t>Cost per 1st DST LJ test</t>
  </si>
  <si>
    <r>
      <rPr>
        <b/>
        <sz val="18"/>
        <color theme="0"/>
        <rFont val="Calibri"/>
        <family val="2"/>
      </rPr>
      <t>LJ 2nd line</t>
    </r>
    <r>
      <rPr>
        <b/>
        <sz val="14"/>
        <color theme="0"/>
        <rFont val="Calibri"/>
        <family val="2"/>
      </rPr>
      <t xml:space="preserve">
Two methods are proposed for calculating the expected number of tests to be performed during the period.</t>
    </r>
  </si>
  <si>
    <r>
      <t xml:space="preserve">Values in </t>
    </r>
    <r>
      <rPr>
        <b/>
        <sz val="13"/>
        <color rgb="FFFF0000"/>
        <rFont val="Calibri"/>
        <family val="2"/>
      </rPr>
      <t>red</t>
    </r>
    <r>
      <rPr>
        <b/>
        <sz val="13"/>
        <rFont val="Calibri"/>
        <family val="2"/>
      </rPr>
      <t xml:space="preserve"> should be entered or adjusted according to actual country data and practices,when possible. </t>
    </r>
  </si>
  <si>
    <t xml:space="preserve">Average number of LJ 2nd-line tests performed per month </t>
  </si>
  <si>
    <t>Anticipated number of RR/MDR-TB cases to be detected during the year</t>
  </si>
  <si>
    <t>Number of LJ 1st-line tests performed during the period (with forecasting method 1 or 2 or a value in between)</t>
  </si>
  <si>
    <t>Dispenser tips, 5 mL</t>
  </si>
  <si>
    <t>pieces</t>
  </si>
  <si>
    <t>Total for 2nd DST on LJ</t>
  </si>
  <si>
    <t xml:space="preserve">Cost per test 2nd DST on LJ </t>
  </si>
  <si>
    <r>
      <rPr>
        <b/>
        <sz val="18"/>
        <color theme="0"/>
        <rFont val="Calibri"/>
        <family val="2"/>
      </rPr>
      <t>MGIT 1st line</t>
    </r>
    <r>
      <rPr>
        <b/>
        <sz val="14"/>
        <color theme="0"/>
        <rFont val="Calibri"/>
        <family val="2"/>
      </rPr>
      <t xml:space="preserve">
Two methods are proposed for calculating the expected number of tests to be performed during the period.</t>
    </r>
  </si>
  <si>
    <r>
      <t xml:space="preserve">Values in </t>
    </r>
    <r>
      <rPr>
        <b/>
        <sz val="13"/>
        <color rgb="FFFF0000"/>
        <rFont val="Calibri"/>
        <family val="2"/>
      </rPr>
      <t>red</t>
    </r>
    <r>
      <rPr>
        <b/>
        <sz val="13"/>
        <rFont val="Calibri"/>
        <family val="2"/>
      </rPr>
      <t xml:space="preserve"> should be entered or adjusted according to actual country data and practices, when possible.</t>
    </r>
  </si>
  <si>
    <t>Number of MGIT DST used during the period</t>
  </si>
  <si>
    <t>Total number of samples processed for MGIT DST during the period</t>
  </si>
  <si>
    <t>Number of strains to be tested for SIRE during the period (with forecasting method 1 or 2 or a value in between)</t>
  </si>
  <si>
    <t>Number of strains tested for PZA during the period (with forecasting method 1 or 2 or a value in between)</t>
  </si>
  <si>
    <t>BBL MGIT tubes  for use in Bactec MGIT 960 (7 mL) - 100 tubes/pack</t>
  </si>
  <si>
    <t>Sterile dispenser tips, 10 mL</t>
  </si>
  <si>
    <t>1 tip per test for adding drug + 1 tip per test for diluting GC</t>
  </si>
  <si>
    <t>1 or 2 tips per working day, depending on workload</t>
  </si>
  <si>
    <t>Sterile pipette filter  tips, 1–200 µL</t>
  </si>
  <si>
    <t>Total for DST SIRE</t>
  </si>
  <si>
    <t>Total cost of liquid 1st-line DST</t>
  </si>
  <si>
    <r>
      <rPr>
        <b/>
        <sz val="18"/>
        <color theme="0"/>
        <rFont val="Calibri"/>
        <family val="2"/>
      </rPr>
      <t>MGIT 2nd line</t>
    </r>
    <r>
      <rPr>
        <b/>
        <sz val="14"/>
        <color theme="0"/>
        <rFont val="Calibri"/>
        <family val="2"/>
      </rPr>
      <t xml:space="preserve">
Two methods are proposed for calculating the expected number of tests to be performed during the period.</t>
    </r>
  </si>
  <si>
    <t>Moxifloxacin - lyophilized drug for laboratory use, 6-vial pack</t>
  </si>
  <si>
    <t>Amikacin - lyophilized drug for laboratory use, 6-vial pack</t>
  </si>
  <si>
    <t>Capreomycin - lyophilized drug for laboratory use, 6-vial pack</t>
  </si>
  <si>
    <t>BD BBL Middlebrook OADC Enrichment, 20 mL per tube, ''A'' size tube,  BD BBL™ Middlebrook OADC Enrichment, 20 mL per tube, ''A'' size tube (10/sp)</t>
  </si>
  <si>
    <t>pack/mL</t>
  </si>
  <si>
    <t>BBL MGIT Tubes  for use in Bactec MGIT 960 (7 mL) - 100 tubes/pack</t>
  </si>
  <si>
    <t>Long 1-mL tips with filter</t>
  </si>
  <si>
    <t>box/pieces</t>
  </si>
  <si>
    <t xml:space="preserve">BBL MGIT OADC Enrichment, 6 15-mL vials (90 mL) </t>
  </si>
  <si>
    <t>Serological pipette, 5 mL</t>
  </si>
  <si>
    <t>Serological pipette 10 mL</t>
  </si>
  <si>
    <t>Sterile pipette filter tips, 5–100 µL</t>
  </si>
  <si>
    <t>Single-use syringes, sterile</t>
  </si>
  <si>
    <t>pack/pieces</t>
  </si>
  <si>
    <r>
      <rPr>
        <b/>
        <sz val="18"/>
        <color theme="0"/>
        <rFont val="Calibri"/>
        <family val="2"/>
      </rPr>
      <t>Cleaning and biosafety</t>
    </r>
    <r>
      <rPr>
        <b/>
        <sz val="14"/>
        <color theme="0"/>
        <rFont val="Calibri"/>
        <family val="2"/>
      </rPr>
      <t xml:space="preserve">
</t>
    </r>
  </si>
  <si>
    <t>Number of staff in the laboratory</t>
  </si>
  <si>
    <t>No. per pack</t>
  </si>
  <si>
    <t>Quantity</t>
  </si>
  <si>
    <t>Plastic bags, biohazard waste, 30 L</t>
  </si>
  <si>
    <t>Transparent polypropylene waste bag, 420 x 600 mm</t>
  </si>
  <si>
    <t>Paper towels, 200</t>
  </si>
  <si>
    <t>Sterile indicator tape, hot-air oven</t>
  </si>
  <si>
    <t>Disinfectant for BSC surface</t>
  </si>
  <si>
    <t>Disinfectant for hands, 1 L</t>
  </si>
  <si>
    <t>Phenol, 1 kg</t>
  </si>
  <si>
    <t>3 per day for changing room + 1 per BSC</t>
  </si>
  <si>
    <t>For culture, 1 per 500 cultures</t>
  </si>
  <si>
    <t>2 bottles per quarter per BSC</t>
  </si>
  <si>
    <t>25 g per day</t>
  </si>
  <si>
    <t>For staff working in BSL3 laboratory only</t>
  </si>
  <si>
    <t>Hair cover</t>
  </si>
  <si>
    <t>Laboratory coat size L - disposable - sterile</t>
  </si>
  <si>
    <t>Laboratory coat size M - disposable - sterile</t>
  </si>
  <si>
    <t>Laboratory coat size S - disposable - sterile</t>
  </si>
  <si>
    <t>Surgical gown - cotton - L</t>
  </si>
  <si>
    <t>Surgical gown - cotton - M</t>
  </si>
  <si>
    <t>Surgical gown - cotton - S</t>
  </si>
  <si>
    <t>First-aid kit for scientific laboratories</t>
  </si>
  <si>
    <t>Cost for cleaning</t>
  </si>
  <si>
    <t>Cost for biosafety</t>
  </si>
  <si>
    <t>Total cost</t>
  </si>
  <si>
    <t>Exchange rate</t>
  </si>
  <si>
    <t>Costs of equipment service and maintenance contracts</t>
  </si>
  <si>
    <t>Service costs for 1 year (US$)</t>
  </si>
  <si>
    <t>Service contract for 1 year</t>
  </si>
  <si>
    <t>Travel and accommodation for technician</t>
  </si>
  <si>
    <t>Sub-total</t>
  </si>
  <si>
    <t>Laminar flow (PCR workstation)</t>
  </si>
  <si>
    <t>BD BBL™ air filters, rectangular, 2 packs (1 each year)</t>
  </si>
  <si>
    <t>BD BBL™ Calibrator Kit (for 1 drawer)</t>
  </si>
  <si>
    <t>Abbott RT MTB and MTB RIF-INH</t>
  </si>
  <si>
    <t>Unit cost (US$)*    GDF catalogue prices</t>
  </si>
  <si>
    <t>Warranty includes 1 Xpert Check kit for year 1; therefore, another kit must be ordered separately for year 2.</t>
  </si>
  <si>
    <t>3-year warranty extension</t>
  </si>
  <si>
    <t>This warranty includes Xpert Check kits for years 1, 2, 3 and 4; therefore, another kit must be ordered separately for year 5.</t>
  </si>
  <si>
    <t>An XpertCheck pack should be ordered when ordering a new GeneXpert system without a 3-year warranty extension (WX04UP36). The packs will be used after year 1, during the initial free 2-year warranty.</t>
  </si>
  <si>
    <t>XpertCheck Calibration Pack for GeneXpert GX-IV 4-Module system</t>
  </si>
  <si>
    <t>Dust filter for GeneXpert system</t>
  </si>
  <si>
    <t>Additional or replacement GeneXpert module</t>
  </si>
  <si>
    <t>Additional filter required for dusty environments
Product linked to all Xpert systems</t>
  </si>
  <si>
    <t xml:space="preserve">1 module replacement </t>
  </si>
  <si>
    <t>Upgrade to 10-colour instrument</t>
  </si>
  <si>
    <t>Travel and accommodation of technician</t>
  </si>
  <si>
    <t>This warranty includes 1 Xpert Check kit for year 1; therefore, another kit must be ordered separately for year 2.</t>
  </si>
  <si>
    <t>This warranty includes the Xpert Check kits for year 1, 2, 3 and 4; therefore, another kit must be ordered separately for year 5.</t>
  </si>
  <si>
    <t>3-year warranty extension- ordered with System</t>
  </si>
  <si>
    <t>Additional or replacement GeneXpert Module</t>
  </si>
  <si>
    <t>3-year warranty extensionmordered with system</t>
  </si>
  <si>
    <t>Truelab and Trueprep extended warranty for 1 year</t>
  </si>
  <si>
    <t>Truelab and Trueprep extended warranty for 2 years</t>
  </si>
  <si>
    <t>Truelab and Trueprep extended warranty for 3 years</t>
  </si>
  <si>
    <t>Truelab and Trueprep extended warranty for 4 years</t>
  </si>
  <si>
    <t>Truelab and Trueprep extended warranty for 5 years</t>
  </si>
  <si>
    <t>TB-LAMP maintenance for 1 year</t>
  </si>
  <si>
    <t>Ventilation system C/DST laboratory</t>
  </si>
  <si>
    <t>Total cost of maintenance (US$)</t>
  </si>
  <si>
    <t>Costs of equipment repair (with and without service contracts)</t>
  </si>
  <si>
    <t>Value of equipment (US$)</t>
  </si>
  <si>
    <t>Costs of repair (10% of value)</t>
  </si>
  <si>
    <t>LED microscope (basic configuration)</t>
  </si>
  <si>
    <t>UPS - 3000 VA - 2100 W with battery pack</t>
  </si>
  <si>
    <t>Battery pack set for UPS 3000 VA</t>
  </si>
  <si>
    <t>Perforated stainless-steel shelf</t>
  </si>
  <si>
    <t>Microlitre centrifuge</t>
  </si>
  <si>
    <t>Universal oven, 32 L</t>
  </si>
  <si>
    <t>Refrigerated bench-top centrifuge</t>
  </si>
  <si>
    <t>4-place swing-out rotor</t>
  </si>
  <si>
    <t>Reducing adapter for 50-mL tubes</t>
  </si>
  <si>
    <t>Reducing adapter for 15- or 12-mL tubes</t>
  </si>
  <si>
    <t>Thermoblock / thermo heater</t>
  </si>
  <si>
    <t xml:space="preserve">GT-Blot 48 </t>
  </si>
  <si>
    <t xml:space="preserve">GT-Blot 48 tray for 96 strips (black) </t>
  </si>
  <si>
    <t>Battery pack for UPS 700VA</t>
  </si>
  <si>
    <t>Voltage stabilizer 2000 W</t>
  </si>
  <si>
    <t>Laboratory oven, 256 L</t>
  </si>
  <si>
    <t>Shelves for laboratory oven, 256 L</t>
  </si>
  <si>
    <t xml:space="preserve">Upper basket / injector for nozzles  </t>
  </si>
  <si>
    <t>1/4 insert, for test tubes 160 x 16</t>
  </si>
  <si>
    <t>Fully automatic water distiller</t>
  </si>
  <si>
    <t>Laboratory floor-standing refrigerator, 141 L</t>
  </si>
  <si>
    <t>Laboratory freezer, 143 L</t>
  </si>
  <si>
    <t>Deep-freezer 70 L, –50 °C to –85 °C</t>
  </si>
  <si>
    <t>Magnetic bars, set of 18</t>
  </si>
  <si>
    <t>Laboratory blender</t>
  </si>
  <si>
    <t>Cryo gloves</t>
  </si>
  <si>
    <t>1-channel pipette, variable from 1 to 10 µL</t>
  </si>
  <si>
    <t>1-channel pipette, variable from 20 to 20 µL</t>
  </si>
  <si>
    <t xml:space="preserve">1-channel pipette, variable from 10 to 100 µL </t>
  </si>
  <si>
    <t>1-channel pipette, variable from 20 to 200 µL</t>
  </si>
  <si>
    <t>Reagents and consumables</t>
  </si>
  <si>
    <t>FluoroType MTBDR Ver 2.0</t>
  </si>
  <si>
    <t>Culture identification</t>
  </si>
  <si>
    <t xml:space="preserve">Sub-total </t>
  </si>
  <si>
    <t>Cleaning and biosafety</t>
  </si>
  <si>
    <t>Total no. of tests</t>
  </si>
  <si>
    <t>Cost per test</t>
  </si>
  <si>
    <r>
      <t xml:space="preserve">Step 1: Select the tests or consumables for which you want a forecast. 
</t>
    </r>
    <r>
      <rPr>
        <b/>
        <u/>
        <sz val="14"/>
        <color rgb="FFFF0000"/>
        <rFont val="Calibri"/>
        <family val="2"/>
      </rPr>
      <t>(Please use drop-down list to choose)</t>
    </r>
  </si>
  <si>
    <t>Cobas® MTB and MTB-RIF-INH</t>
  </si>
  <si>
    <t>Processing and solid and liquid cultures</t>
  </si>
  <si>
    <t>Number of new HIV-positive notifications (annual)</t>
  </si>
  <si>
    <t>Child assumptions</t>
  </si>
  <si>
    <t xml:space="preserve">Step 4: Navigate to the sheets below, and use  consumption-based or  morbidity-based forecasting  for each selected diagnostic test. </t>
  </si>
  <si>
    <t>Number of LAM tests performed during the period</t>
  </si>
  <si>
    <t>Total number of LAM performed during the period
(with forecasting method 1 or 2 or a value in between)</t>
  </si>
  <si>
    <t>Total number of LAM required during the period</t>
  </si>
  <si>
    <t>Average number of chip ports used per day</t>
  </si>
  <si>
    <t>Number of Treunat tests required for the period</t>
  </si>
  <si>
    <t>Number of Truenat tests required for the period</t>
  </si>
  <si>
    <t>Total number of Truenat cartridges required for the period</t>
  </si>
  <si>
    <t>Number of Truenat tests required for the period
(with forecasting method 1 or 2 or a value in between)</t>
  </si>
  <si>
    <t>Total number of Truenat tests required for the period</t>
  </si>
  <si>
    <t>Other unit packs available, 5 and 20</t>
  </si>
  <si>
    <t>Additional Truenat MTB Rif testing  - Other unit packs available, 5 and 20</t>
  </si>
  <si>
    <t>Number of TB LAMP tests required for the period</t>
  </si>
  <si>
    <t>Number of TB-LAMP tests required for the period</t>
  </si>
  <si>
    <t>Number of batches used per day</t>
  </si>
  <si>
    <t>Number of TB LAMP tests required for the period
(using forecasting method 1 or 2 or a value in between)</t>
  </si>
  <si>
    <t>Number of batches required for the period</t>
  </si>
  <si>
    <r>
      <t xml:space="preserve">A detection kit of 96 tests will provide the appropriate number of reagents for 6 cycles of </t>
    </r>
    <r>
      <rPr>
        <b/>
        <sz val="11"/>
        <color theme="1"/>
        <rFont val="Calibri (Body)"/>
      </rPr>
      <t>84 patient samples</t>
    </r>
    <r>
      <rPr>
        <sz val="11"/>
        <color theme="1"/>
        <rFont val="Calibri"/>
        <family val="2"/>
        <scheme val="minor"/>
      </rPr>
      <t xml:space="preserve"> plus 6 negative controls and 6 positive controls.</t>
    </r>
  </si>
  <si>
    <r>
      <t xml:space="preserve">An extraction kit of 90 tests will provide the appropriate number of reagents for 6 cycles of </t>
    </r>
    <r>
      <rPr>
        <b/>
        <sz val="11"/>
        <color theme="1"/>
        <rFont val="Calibri (Body)"/>
      </rPr>
      <t>84 patient samples</t>
    </r>
    <r>
      <rPr>
        <sz val="11"/>
        <color theme="1"/>
        <rFont val="Calibri"/>
        <family val="2"/>
        <scheme val="minor"/>
      </rPr>
      <t xml:space="preserve"> plus 6 negative controls and 6 positive controls.</t>
    </r>
  </si>
  <si>
    <t>Pipette-60 set for TB LAMP (4 x 96 tests)</t>
  </si>
  <si>
    <t>Average number of Xpert MTB/RIF tests performed per module per day</t>
  </si>
  <si>
    <t>Number of Xpert MTB/RIF Ultra tests required for the period</t>
  </si>
  <si>
    <r>
      <rPr>
        <b/>
        <sz val="16"/>
        <rFont val="Calibri"/>
        <family val="2"/>
        <scheme val="minor"/>
      </rPr>
      <t>Method 2: Morbidity-based forecasting</t>
    </r>
    <r>
      <rPr>
        <b/>
        <sz val="12"/>
        <rFont val="Calibri"/>
        <family val="2"/>
        <scheme val="minor"/>
      </rPr>
      <t xml:space="preserve">
The estimated number of tests calculated is based on epidemiological data (notifications) and planned algorithms. The calculated sum is the target to be reached when algorithms are implemented according to the indicated coverage and assumptions. The default coverage below is for an Xpert-for-all algorithm (100% coverage for all patient groups).</t>
    </r>
  </si>
  <si>
    <t>Number of Xpert MTB/RIF tests required for the period</t>
  </si>
  <si>
    <t>Total number of Xpert MTB/RIF Ultra cartridges required for the period</t>
  </si>
  <si>
    <t>Number of Xpert MTB/RIF cartridges required for the period
(with forecasting method 1 or 2 or a value in between)</t>
  </si>
  <si>
    <t>Total number of Xpert MTB/RIF cartridges required for the period</t>
  </si>
  <si>
    <r>
      <rPr>
        <b/>
        <sz val="18"/>
        <color theme="0"/>
        <rFont val="Calibri"/>
        <family val="2"/>
        <scheme val="minor"/>
      </rPr>
      <t>Smear microscopy with Ziehl-Neelsen stain (ZN)</t>
    </r>
    <r>
      <rPr>
        <b/>
        <sz val="14"/>
        <color theme="0"/>
        <rFont val="Calibri"/>
        <family val="2"/>
        <scheme val="minor"/>
      </rPr>
      <t xml:space="preserve">
Two methods are proposed for calculating the expected number of tests to be performed during the period.</t>
    </r>
  </si>
  <si>
    <t>Number of smears performed for diagnosis or treatment monitoring</t>
  </si>
  <si>
    <t>Number of ZN tests required for the period</t>
  </si>
  <si>
    <t>ZN stain solution, 1 L (strong carbol fuchsin 1% solution for ZN staining): 6, ZN decolourization solution, 1 L (ready-made decolourization solution of ZN-stained slides – 3.0% HCl/alcohol): 6, ZN counterstaining solution, 1 L (methylene blue 0.1%, counterstaining solution for ZN stain): 6 , 50 x 20 microscope slides: 1, 100x filter papers: 1, 10x pencils: 1, 2x waterproof marker pens: 1, 500x plastic bags W 200 mm x L 300 mm: 1, 1000x wooden applicator sticks: 2, 400x pairs of nitrile gloves (100 small, 200 medium, 100 large): 1, 30 x 150 carton of paper towels: 1, lens-cleaning tissue - 100 tissues: 1, immersion oil 100 mL: 1, denatured alcohol 96% 0.5 L: 5 and stable chlorine disinfectant 50 tabs: 5.</t>
  </si>
  <si>
    <t>Phenol crystals, colourless, 500 g</t>
  </si>
  <si>
    <t>Methylene blue: 5 mL per slide, includes +10%</t>
  </si>
  <si>
    <r>
      <rPr>
        <b/>
        <sz val="18"/>
        <color theme="0"/>
        <rFont val="Calibri"/>
        <family val="2"/>
        <scheme val="minor"/>
      </rPr>
      <t>Smear microscopy LED</t>
    </r>
    <r>
      <rPr>
        <b/>
        <sz val="14"/>
        <color theme="0"/>
        <rFont val="Calibri"/>
        <family val="2"/>
        <scheme val="minor"/>
      </rPr>
      <t xml:space="preserve">
</t>
    </r>
  </si>
  <si>
    <t>Number of LED tests required for the period</t>
  </si>
  <si>
    <r>
      <t xml:space="preserve">Auramine stain solution, reagents (set of 3 components: 200 g - colourless phenol crystals </t>
    </r>
    <r>
      <rPr>
        <sz val="12"/>
        <color rgb="FFFF0000"/>
        <rFont val="Calibri (Body)"/>
      </rPr>
      <t>C6H6O</t>
    </r>
    <r>
      <rPr>
        <sz val="12"/>
        <rFont val="Calibri"/>
        <family val="2"/>
        <scheme val="minor"/>
      </rPr>
      <t xml:space="preserve">, 1 L - ethanol for stain solutions </t>
    </r>
    <r>
      <rPr>
        <sz val="12"/>
        <color rgb="FFFF0000"/>
        <rFont val="Calibri (Body)"/>
      </rPr>
      <t>C2H6O</t>
    </r>
    <r>
      <rPr>
        <sz val="12"/>
        <rFont val="Calibri"/>
        <family val="2"/>
        <scheme val="minor"/>
      </rPr>
      <t xml:space="preserve"> and 5 g - auramine O </t>
    </r>
    <r>
      <rPr>
        <sz val="12"/>
        <color rgb="FFFF0000"/>
        <rFont val="Calibri (Body)"/>
      </rPr>
      <t>C17H22ClN3</t>
    </r>
    <r>
      <rPr>
        <sz val="12"/>
        <rFont val="Calibri"/>
        <family val="2"/>
        <scheme val="minor"/>
      </rPr>
      <t xml:space="preserve"> to produce auramine stain solution): 1 set, auramine decolourization solution, 1 L (ready-made decolourization solution 0.5% HCl/alcohol): 6, auramine counterstaining solution, 1 L (methylene blue 0.3%, counterstaining solution for auramine O stain) : 6, 50 x 20 microscope slides: 1, 100 x filter papers: 1, 10 x pencils: 1, 2 x waterproof marker pens: 1, 500 x plastic bags W 200 mm x L 300 mm: 1, 1000 x wooden applicator sticks: 1, 400 x pairs of nitrilegloves (100 small, 200 medium, 100 large): 1, 30 x 150 carton of paper towels: 1, lens-cleaning tissue - 100 tissues: 1, immersion oil 100 mL: 1, denatured alcohol 96% 0.5 L: 1, stable chlorine disinfectant 50 tablets: 5.</t>
    </r>
  </si>
  <si>
    <t>Auramine O, powder, 25 g</t>
  </si>
  <si>
    <t xml:space="preserve">Number of Xpert MTB/XDR tests required for the period </t>
  </si>
  <si>
    <t>Total number of Xpert MTB/XDR required for the period</t>
  </si>
  <si>
    <t>Number of Xpert MTB/XDR required for the period</t>
  </si>
  <si>
    <t>Number of Xpert MTB/XDR cartridges required for the period (with forecasting method 1 or 2 or a value in between)</t>
  </si>
  <si>
    <t>Total number of Xpert MTB/XDR cartridges required for the period</t>
  </si>
  <si>
    <r>
      <t xml:space="preserve">If you use normal sputum containers, set "0" on </t>
    </r>
    <r>
      <rPr>
        <b/>
        <sz val="12"/>
        <color rgb="FFFF0000"/>
        <rFont val="Calibri"/>
        <family val="2"/>
        <scheme val="minor"/>
      </rPr>
      <t>No. of packs to be ordered</t>
    </r>
  </si>
  <si>
    <t>Total for Xpert MTB/XDR</t>
  </si>
  <si>
    <t xml:space="preserve">Number of LPA 1st-line tests required for the period </t>
  </si>
  <si>
    <t>Number of LPA 1st-line tests required for the period</t>
  </si>
  <si>
    <t>Total number of LPA 1st-line tests required for the period</t>
  </si>
  <si>
    <t>Number of batches used per week</t>
  </si>
  <si>
    <t>Number of tests to be performed (specimens plus controls)</t>
  </si>
  <si>
    <t>2 tips per tests + 5% extra to add supernatant to PCR tubes and n x 5 μL DNA</t>
  </si>
  <si>
    <t>2 tips per test for DNA extraction, 2 tips per batch for amplification, 1 tip per batch to add DEN -  1 tip per test to add DNA/amplicon - if twincubator used, 2 tips for SUB/CONJ  + 5% extra</t>
  </si>
  <si>
    <t>2 tips to add/discard decontaminated specimen  - only for twincubator: 2 tips per batch  to add hybridization and STR + 8 tips per batch to add  rinse (3), water (3), SUB(1) CONJ (1)</t>
  </si>
  <si>
    <t xml:space="preserve">Alternative to long 1-mL tips - 8 tips per batch to add RINS (3), WATER (3), SUB (1) CONJ (1) + 5% extra         </t>
  </si>
  <si>
    <t>2 pipettes per sample to remove hybridization and STR and 5 pipettes par batch to remove RINS, WATER, SUB and CONJ + 5% extra</t>
  </si>
  <si>
    <t>Total for LPA 1st-line test, MTBDR plus V2</t>
  </si>
  <si>
    <t xml:space="preserve">Number of LPA 2nd-line tests required for the period </t>
  </si>
  <si>
    <t>Total number of LPA 2nd-line tests required for the period</t>
  </si>
  <si>
    <t>Number of LPA 2nd-line tests required for the period (with forecasting method 1 or 2 or a value in between)</t>
  </si>
  <si>
    <t xml:space="preserve"> Cryo-vials are required for storage, 1 tube per test + 5% extra</t>
  </si>
  <si>
    <t>1 tip par vial</t>
  </si>
  <si>
    <t>2 tips per test for DNA extraction, 2 tips per batch for amplification, 1 tip per batch to add DEN, 1 tip per test to add DNA/amplicon; if using twincubator, 2 tips for SUB/CONJ  + 5% extra</t>
  </si>
  <si>
    <t>2 tips to add or discard decontaminated specimen; only for twincubator: 2 tips per batch  to add hybridization and STR + 8 tips per batch to add RINS (3), WATER (3), SUB (1) CONJ (1)</t>
  </si>
  <si>
    <t>2 pipettes per sample to remove hybridization and STR, and 5 pipettes par batch to remove RINS, WATER, SUB, CONJ + 5% extra</t>
  </si>
  <si>
    <t>Total per LPA 1st Line, MTBDRplus V2</t>
  </si>
  <si>
    <t>Total per MAX MDR-TB test</t>
  </si>
  <si>
    <t>Total for MAX MDR-TB tests</t>
  </si>
  <si>
    <t xml:space="preserve">Number of MAX MDR-TB tests required for the period </t>
  </si>
  <si>
    <t>Total number of MAX MDR-TB kits required for the period</t>
  </si>
  <si>
    <t>Number of MAX MDR-TB tests required for the period</t>
  </si>
  <si>
    <t>Number of MAX MDR-TB tests required for the period (with forecasting method 1 or 2 or a value in between)</t>
  </si>
  <si>
    <r>
      <rPr>
        <b/>
        <sz val="16"/>
        <rFont val="Calibri"/>
        <family val="2"/>
        <scheme val="minor"/>
      </rPr>
      <t>Method 1: Consumption-based forecasting</t>
    </r>
    <r>
      <rPr>
        <b/>
        <sz val="12"/>
        <rFont val="Calibri"/>
        <family val="2"/>
        <scheme val="minor"/>
      </rPr>
      <t xml:space="preserve">
The expected number of tests is based on the number of tests perfromed last year.</t>
    </r>
  </si>
  <si>
    <t xml:space="preserve">Number of FluoroType® MTBDR VER 2.0 tests required for the period </t>
  </si>
  <si>
    <t>Number of FluoroType® MTBDR VER 2.0 required for the period</t>
  </si>
  <si>
    <t>Total number of FluoroType® MTBDR VER 2.0 tests required for the period</t>
  </si>
  <si>
    <t>Number of FluoroType® MTBDR VER 2.0 tests required for the period (with forecasting method 1 or 2 or a value in between)</t>
  </si>
  <si>
    <t>Total per FluoroType® MTBDR VER 2.0</t>
  </si>
  <si>
    <r>
      <rPr>
        <b/>
        <sz val="18"/>
        <color theme="0"/>
        <rFont val="Calibri"/>
        <family val="2"/>
        <scheme val="minor"/>
      </rPr>
      <t>Cobas® MTB and MTB-RIF/INH assays</t>
    </r>
    <r>
      <rPr>
        <b/>
        <sz val="14"/>
        <color theme="0"/>
        <rFont val="Calibri"/>
        <family val="2"/>
        <scheme val="minor"/>
      </rPr>
      <t xml:space="preserve">
Two methods are proposed for calculating the expected number of tests to be performed during the period.</t>
    </r>
  </si>
  <si>
    <t>Total number of Cobas® MTB and MTB-RIF/INH tests required for the period</t>
  </si>
  <si>
    <t>Number of tests performed (specimens plus controls)</t>
  </si>
  <si>
    <t>Enter unit cost in current procurement mechanism</t>
  </si>
  <si>
    <t>1:4 per sample. Volume sample estimated 0.8 = 3.2 inactivation buffer. Enter unit cost in current procurement mechanism.</t>
  </si>
  <si>
    <t>Number of Abbott MTB and MTB RIF/INH required for the period</t>
  </si>
  <si>
    <t>Total number of Abbott MTB and MTB RIF/INH tests required during the period</t>
  </si>
  <si>
    <t>Number of Abbott MTB and MTB RIF/INH tests performed during the period (with forecasting method 1 or 2 or a value in between)</t>
  </si>
  <si>
    <t>Abbott Sample Preparation System DNA kit</t>
  </si>
  <si>
    <t>Enter init cost in current procurement mechanism</t>
  </si>
  <si>
    <t>Total per Abbott MTB and MTB RIF/INH test</t>
  </si>
  <si>
    <t>Total number of samples processed during the period</t>
  </si>
  <si>
    <t>MTB-positive cultures (%)</t>
  </si>
  <si>
    <t>Total number of samples required for the period</t>
  </si>
  <si>
    <t>Lowenstein-Jensen medium made from components</t>
  </si>
  <si>
    <t xml:space="preserve">Average number of samples tested for rapid MTB identification per month </t>
  </si>
  <si>
    <t xml:space="preserve">Number of samples to be processed for rapid MTB identification during the period </t>
  </si>
  <si>
    <t>Rapid MTB identification test</t>
  </si>
  <si>
    <t>No. / pack</t>
  </si>
  <si>
    <t xml:space="preserve">Number of LJ 1st-line to be performed during the period </t>
  </si>
  <si>
    <t>Number of LJ 1st-line tests required during the period</t>
  </si>
  <si>
    <t>Total number of samples to be processed for culture during the period</t>
  </si>
  <si>
    <t xml:space="preserve">Total number of LJ 2nd-line to be performed during the period </t>
  </si>
  <si>
    <t>Number of LJ 2nd-line tests performed during the period</t>
  </si>
  <si>
    <t xml:space="preserve">Number of MGIT DST to be performed during the period </t>
  </si>
  <si>
    <t>Total number of tests to be performed during the period, including repeats</t>
  </si>
  <si>
    <t>Units/pack</t>
  </si>
  <si>
    <t>FL and PZA DST on MGIT</t>
  </si>
  <si>
    <t>Number of MGIT DST to be performed during the period</t>
  </si>
  <si>
    <t>Total number of samples to be processed for MGIT DST during the period</t>
  </si>
  <si>
    <t>Drug formulas</t>
  </si>
  <si>
    <t>Number of strains tested for SLD during the period (with forecasting method 1 or 2 or a value in between)</t>
  </si>
  <si>
    <t>Total number of DST 2nd-line tests required</t>
  </si>
  <si>
    <t>Price (US$)</t>
  </si>
  <si>
    <t>Cobas®️ MTB and MTB-RIF-INH</t>
  </si>
  <si>
    <t>3-year warranty extension, ordered with system</t>
  </si>
  <si>
    <t>Comprehensive maintenance contract includes:                                                                                                                                                           - Remote assistance and visit from service engineer if necessary
- Repair and replacement of  parts. If a machine is not reparable on site, a stand-by machine will be provided. If the machine must be replaced, a free replacement will be provided at Molbio's cost
- In-country travel and labour of company's local agent</t>
  </si>
  <si>
    <t>Comprehensive maintenance contract includes:                                                                                                                                                           - Remote assistance and visit from service engineer if necessary
- Repair and replacement of  parts. If a machine is not reparable on site, a stand-by machine will be provided. If the machine must be replaced, a free replacement will be provided at Molbio's cost
- In-country travel and labour of company's local agent
- Calibration chips and material used as service items</t>
  </si>
  <si>
    <t>• 1 year checking of on-site conditions
• Extensive cleaning of working area, instrument surface, heating blocks and fluorescence reading unit according to maintenance checklist
• Inspection and validation of UPS and power connections
• Temperature check and verification that the incubation and reaction block  reach the target temperature according to the maintenance checklist
• Performance of maintenance test kit to assure the instrument is working properly according to operation qualification (OQ)
• Necessary equipment and test kit to perform the OQ
• Issue of OQ certificate</t>
  </si>
  <si>
    <t>• Warranty extension for 1 year (on-site) if the maintenance is done before the first warranty period ends and a copy of the filled maintenance checklist is returned to HUMAN.
• Extensive cleaning of working area, instrument surface, heating blocks and fluorescence reading unit according to maintenance checklist
• Inspection and validation of UPS and power connections
• Temperature check and verification that the incubation and reaction block are reaching the target temperature according to the maintenance checklist
• Performance of maintenance test kit to ensure that the instrument is working properly according to operation qualification (OQ)
• Necessary quipment and test kit to perform OQ
• Issue of OQ certificate</t>
  </si>
  <si>
    <t xml:space="preserve">Laboratory washer-disinfecter </t>
  </si>
  <si>
    <t>Washer-disinfecter 1/2 insert</t>
  </si>
  <si>
    <t>1/2 insert for baskets</t>
  </si>
  <si>
    <t>Deep-freezer 70 L, –40 °C to –86 °C</t>
  </si>
  <si>
    <t>Stainless-steel rack for deep-freezer</t>
  </si>
  <si>
    <t>Liquid 2nd-line DST on MGIT when using ready-made lyophilized reagents</t>
  </si>
  <si>
    <t>Liquid 2nd-line DST on MGIT when using pure drug powder reagents</t>
  </si>
  <si>
    <t>Sterile universal dispenser tips, 10 mL</t>
  </si>
  <si>
    <r>
      <t xml:space="preserve">Magnesium sulfate-heptahydrate • </t>
    </r>
    <r>
      <rPr>
        <sz val="10"/>
        <rFont val="Calibri (Body)"/>
      </rPr>
      <t>7H2O</t>
    </r>
    <r>
      <rPr>
        <sz val="10"/>
        <rFont val="Calibri"/>
        <family val="2"/>
        <scheme val="minor"/>
      </rPr>
      <t xml:space="preserve">, MW: 246.48. 500 g </t>
    </r>
  </si>
  <si>
    <r>
      <t>L-Asparagine-monohydrate • H</t>
    </r>
    <r>
      <rPr>
        <sz val="8"/>
        <rFont val="Calibri (Body)"/>
      </rPr>
      <t>2</t>
    </r>
    <r>
      <rPr>
        <sz val="10"/>
        <rFont val="Calibri"/>
        <family val="2"/>
        <scheme val="minor"/>
      </rPr>
      <t>O, MW: 150.13, 250 g</t>
    </r>
  </si>
  <si>
    <r>
      <t xml:space="preserve">Tri-magnesium di-citrate nonahydrate • 9 </t>
    </r>
    <r>
      <rPr>
        <sz val="10"/>
        <rFont val="Calibri (Body)"/>
      </rPr>
      <t>H2O</t>
    </r>
    <r>
      <rPr>
        <sz val="10"/>
        <rFont val="Calibri"/>
        <family val="2"/>
        <scheme val="minor"/>
      </rPr>
      <t xml:space="preserve">, 500 g </t>
    </r>
  </si>
  <si>
    <r>
      <t xml:space="preserve">Tri-sodium citrate dihydrate · </t>
    </r>
    <r>
      <rPr>
        <sz val="10"/>
        <rFont val="Calibri (Body)"/>
      </rPr>
      <t>2H2O</t>
    </r>
    <r>
      <rPr>
        <sz val="10"/>
        <rFont val="Calibri"/>
        <family val="2"/>
        <scheme val="minor"/>
      </rPr>
      <t>, MW: 294.10, 1 kg</t>
    </r>
  </si>
  <si>
    <t>Total number of TB-LAMP  required for the period (specimens plus controls)</t>
  </si>
  <si>
    <t>Total number of test to be ordered</t>
  </si>
  <si>
    <t>Total number of tests to be ordered</t>
  </si>
  <si>
    <t>Total number of reagents to ber ordered</t>
  </si>
  <si>
    <t>Total number of reagents to be ordered</t>
  </si>
  <si>
    <t xml:space="preserve">Number of reagents to be ordered to process samples </t>
  </si>
  <si>
    <t>Total number of tests to be oredered</t>
  </si>
  <si>
    <t>Total number of LAM to be ordered</t>
  </si>
  <si>
    <t>Total number of Truenat tests to be ordered</t>
  </si>
  <si>
    <t>Total number of TB-LAMP  required to be ordered (specimens plus controls)</t>
  </si>
  <si>
    <t>Total number of Xpert MTB/RIF cartridges to be ordered</t>
  </si>
  <si>
    <t>Number of ZN tests to be ordered</t>
  </si>
  <si>
    <t>Total number of Xpert MTB/XDR cartridges to be ordered</t>
  </si>
  <si>
    <t>960 or 100</t>
  </si>
  <si>
    <t>CC BY-NC-SA 3.0 IGO</t>
  </si>
  <si>
    <t>© WHO 2021. Some rights reserved. This work is available under the</t>
  </si>
  <si>
    <t>licence</t>
  </si>
  <si>
    <t>WHO/UCN/TB/2021.8</t>
  </si>
  <si>
    <t>Xpert MTB/XDR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</si>
</sst>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4" formatCode="_(&quot;$&quot;* #,##0.00_);_(&quot;$&quot;* \(#,##0.00\);_(&quot;$&quot;* &quot;-&quot;??_);_(@_)"/>
    <numFmt numFmtId="43" formatCode="_(* #,##0.00_);_(* \(#,##0.00\);_(* &quot;-&quot;??_);_(@_)"/>
    <numFmt numFmtId="164" formatCode="_ * #,##0.00_ ;_ * \-#,##0.00_ ;_ * &quot;-&quot;??_ ;_ @_ "/>
    <numFmt numFmtId="165" formatCode="_(&quot;€&quot;* #,##0.00_);_(&quot;€&quot;* \(#,##0.00\);_(&quot;€&quot;* &quot;-&quot;??_);_(@_)"/>
    <numFmt numFmtId="166" formatCode="_-* #,##0_-;\-* #,##0_-;_-* &quot;-&quot;??_-;_-@_-"/>
    <numFmt numFmtId="167" formatCode="_-&quot;$&quot;* #,##0_-;\-&quot;$&quot;* #,##0_-;_-&quot;$&quot;* &quot;-&quot;_-;_-@_-"/>
    <numFmt numFmtId="168" formatCode="0.0"/>
    <numFmt numFmtId="169" formatCode="&quot;$&quot;#,##0"/>
    <numFmt numFmtId="170" formatCode="0.0%"/>
    <numFmt numFmtId="171" formatCode="#,##0_ ;\-#,##0\ "/>
    <numFmt numFmtId="172" formatCode="_-* 0.0,_-;[Red]\(\ 0.0,\);_-* &quot;-&quot;??_-;_-@_-"/>
    <numFmt numFmtId="173" formatCode="_-* #,##0.00\ _D_M_-;\-* #,##0.00\ _D_M_-;_-* &quot;-&quot;??\ _D_M_-;_-@_-"/>
    <numFmt numFmtId="174" formatCode="_(&quot;$&quot;* #,##0_);_(&quot;$&quot;* \(#,##0\);_(&quot;$&quot;* &quot;-&quot;??_);_(@_)"/>
    <numFmt numFmtId="175" formatCode="_-&quot;$&quot;* #,##0.00_-;\-&quot;$&quot;* #,##0.00_-;_-&quot;$&quot;* &quot;-&quot;_-;_-@_-"/>
    <numFmt numFmtId="176" formatCode="[$$-409]#,##0.00"/>
    <numFmt numFmtId="177" formatCode="#,##0.0"/>
    <numFmt numFmtId="178" formatCode="_-* #,##0\ _€_-;\-* #,##0\ _€_-;_-* &quot;-&quot;??\ _€_-;_-@_-"/>
    <numFmt numFmtId="179" formatCode="_-* #,##0.0000\ _€_-;\-* #,##0.0000\ _€_-;_-* &quot;-&quot;??\ _€_-;_-@_-"/>
    <numFmt numFmtId="180" formatCode="_-* #,##0.00\ _€_-;\-* #,##0.00\ _€_-;_-* &quot;-&quot;??\ _€_-;_-@_-"/>
    <numFmt numFmtId="181" formatCode="#,##0.00\ &quot;€&quot;"/>
    <numFmt numFmtId="182" formatCode="_-[$$-409]* #,##0.00_ ;_-[$$-409]* \-#,##0.00\ ;_-[$$-409]* &quot;-&quot;??_ ;_-@_ "/>
  </numFmts>
  <fonts count="182">
    <font>
      <sz val="8"/>
      <name val="Arial"/>
      <family val="2"/>
    </font>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rgb="FF9C0006"/>
      <name val="Calibri"/>
      <family val="2"/>
      <scheme val="minor"/>
    </font>
    <font>
      <b/>
      <sz val="11"/>
      <color theme="0"/>
      <name val="Calibri"/>
      <family val="2"/>
      <scheme val="minor"/>
    </font>
    <font>
      <b/>
      <sz val="10"/>
      <name val="Arial"/>
      <family val="2"/>
    </font>
    <font>
      <sz val="8"/>
      <name val="Arial"/>
      <family val="2"/>
    </font>
    <font>
      <u/>
      <sz val="7.5"/>
      <color indexed="12"/>
      <name val="Arial"/>
      <family val="2"/>
    </font>
    <font>
      <sz val="8"/>
      <color indexed="9"/>
      <name val="Arial"/>
      <family val="2"/>
    </font>
    <font>
      <u/>
      <sz val="8"/>
      <color indexed="12"/>
      <name val="Arial"/>
      <family val="2"/>
    </font>
    <font>
      <b/>
      <sz val="8"/>
      <name val="Arial"/>
      <family val="2"/>
    </font>
    <font>
      <b/>
      <sz val="8"/>
      <color indexed="10"/>
      <name val="Arial"/>
      <family val="2"/>
    </font>
    <font>
      <sz val="10"/>
      <name val="Arial"/>
      <family val="2"/>
    </font>
    <font>
      <sz val="8"/>
      <color indexed="8"/>
      <name val="Arial"/>
      <family val="2"/>
    </font>
    <font>
      <sz val="8"/>
      <color indexed="12"/>
      <name val="Arial"/>
      <family val="2"/>
    </font>
    <font>
      <u/>
      <sz val="7.5"/>
      <color indexed="12"/>
      <name val="Wingdings"/>
      <charset val="2"/>
    </font>
    <font>
      <sz val="8"/>
      <color indexed="10"/>
      <name val="Arial"/>
      <family val="2"/>
    </font>
    <font>
      <sz val="8"/>
      <name val="Arial Cyr"/>
    </font>
    <font>
      <sz val="10"/>
      <name val="Arial Cyr"/>
    </font>
    <font>
      <sz val="8"/>
      <name val="Arial Cyr"/>
    </font>
    <font>
      <sz val="10"/>
      <name val="MS Sans Serif"/>
      <family val="2"/>
    </font>
    <font>
      <u/>
      <sz val="9"/>
      <color indexed="12"/>
      <name val="Arial"/>
      <family val="2"/>
    </font>
    <font>
      <b/>
      <i/>
      <sz val="8"/>
      <name val="Arial"/>
      <family val="2"/>
    </font>
    <font>
      <vertAlign val="subscript"/>
      <sz val="8"/>
      <name val="Arial"/>
      <family val="2"/>
    </font>
    <font>
      <b/>
      <i/>
      <sz val="10"/>
      <name val="Arial"/>
      <family val="2"/>
    </font>
    <font>
      <sz val="8"/>
      <name val="Symbol"/>
      <family val="1"/>
      <charset val="2"/>
    </font>
    <font>
      <sz val="8"/>
      <color indexed="81"/>
      <name val="Tahoma"/>
      <family val="2"/>
    </font>
    <font>
      <b/>
      <sz val="8"/>
      <color indexed="81"/>
      <name val="Tahoma"/>
      <family val="2"/>
    </font>
    <font>
      <sz val="8"/>
      <color indexed="10"/>
      <name val="Arial"/>
      <family val="2"/>
    </font>
    <font>
      <b/>
      <sz val="9"/>
      <color indexed="32"/>
      <name val="Tahoma"/>
      <family val="2"/>
    </font>
    <font>
      <sz val="7"/>
      <name val="Lucida Console"/>
      <family val="3"/>
    </font>
    <font>
      <sz val="10"/>
      <color indexed="8"/>
      <name val="Arial"/>
      <family val="2"/>
    </font>
    <font>
      <b/>
      <sz val="10"/>
      <color indexed="8"/>
      <name val="Arial"/>
      <family val="2"/>
    </font>
    <font>
      <sz val="10"/>
      <color indexed="8"/>
      <name val="Arial"/>
      <family val="2"/>
    </font>
    <font>
      <sz val="11"/>
      <color indexed="8"/>
      <name val="Arial"/>
      <family val="2"/>
    </font>
    <font>
      <u/>
      <sz val="7.5"/>
      <color indexed="12"/>
      <name val="Arial"/>
      <family val="2"/>
    </font>
    <font>
      <sz val="12"/>
      <name val="Arial"/>
      <family val="2"/>
    </font>
    <font>
      <b/>
      <sz val="12"/>
      <name val="Arial"/>
      <family val="2"/>
    </font>
    <font>
      <b/>
      <sz val="12"/>
      <color indexed="8"/>
      <name val="Arial"/>
      <family val="2"/>
    </font>
    <font>
      <sz val="10"/>
      <color indexed="10"/>
      <name val="Arial"/>
      <family val="2"/>
    </font>
    <font>
      <b/>
      <sz val="12"/>
      <color indexed="10"/>
      <name val="Arial"/>
      <family val="2"/>
    </font>
    <font>
      <sz val="11"/>
      <name val="Calibri"/>
      <family val="2"/>
      <scheme val="minor"/>
    </font>
    <font>
      <b/>
      <sz val="14"/>
      <name val="Arial"/>
      <family val="2"/>
    </font>
    <font>
      <b/>
      <sz val="10"/>
      <color theme="5" tint="-0.249977111117893"/>
      <name val="Arial"/>
      <family val="2"/>
    </font>
    <font>
      <sz val="8"/>
      <name val="Verdana"/>
      <family val="2"/>
    </font>
    <font>
      <b/>
      <sz val="10"/>
      <color rgb="FF000000"/>
      <name val="Arial"/>
      <family val="2"/>
    </font>
    <font>
      <sz val="10"/>
      <color theme="1"/>
      <name val="Arial"/>
      <family val="2"/>
    </font>
    <font>
      <b/>
      <i/>
      <sz val="12"/>
      <name val="Arial"/>
      <family val="2"/>
    </font>
    <font>
      <b/>
      <sz val="13"/>
      <name val="Arial"/>
      <family val="2"/>
    </font>
    <font>
      <i/>
      <sz val="8"/>
      <name val="Arial"/>
      <family val="2"/>
    </font>
    <font>
      <i/>
      <sz val="10"/>
      <name val="Arial"/>
      <family val="2"/>
    </font>
    <font>
      <u/>
      <sz val="8"/>
      <color theme="11"/>
      <name val="Arial"/>
      <family val="2"/>
    </font>
    <font>
      <i/>
      <sz val="10"/>
      <color indexed="8"/>
      <name val="Arial"/>
      <family val="2"/>
    </font>
    <font>
      <b/>
      <sz val="12"/>
      <color theme="0"/>
      <name val="Arial"/>
      <family val="2"/>
    </font>
    <font>
      <b/>
      <sz val="10"/>
      <color theme="0"/>
      <name val="Arial"/>
      <family val="2"/>
    </font>
    <font>
      <sz val="10"/>
      <color rgb="FFFF0000"/>
      <name val="Arial"/>
      <family val="2"/>
    </font>
    <font>
      <b/>
      <sz val="10"/>
      <color rgb="FFFF0000"/>
      <name val="Arial"/>
      <family val="2"/>
    </font>
    <font>
      <b/>
      <sz val="10"/>
      <color rgb="FF963634"/>
      <name val="Arial"/>
      <family val="2"/>
    </font>
    <font>
      <sz val="11"/>
      <color rgb="FFFF0000"/>
      <name val="Calibri"/>
      <family val="2"/>
      <scheme val="minor"/>
    </font>
    <font>
      <sz val="14"/>
      <color theme="1"/>
      <name val="Calibri"/>
      <family val="2"/>
      <scheme val="minor"/>
    </font>
    <font>
      <i/>
      <sz val="11"/>
      <color theme="1"/>
      <name val="Calibri"/>
      <family val="2"/>
      <scheme val="minor"/>
    </font>
    <font>
      <b/>
      <i/>
      <sz val="14"/>
      <color theme="1"/>
      <name val="Calibri"/>
      <family val="2"/>
      <scheme val="minor"/>
    </font>
    <font>
      <i/>
      <sz val="11"/>
      <name val="Calibri"/>
      <family val="2"/>
      <scheme val="minor"/>
    </font>
    <font>
      <b/>
      <sz val="12"/>
      <color theme="1"/>
      <name val="Calibri"/>
      <family val="2"/>
      <scheme val="minor"/>
    </font>
    <font>
      <sz val="11"/>
      <color theme="0"/>
      <name val="Calibri"/>
      <family val="2"/>
      <scheme val="minor"/>
    </font>
    <font>
      <b/>
      <sz val="11"/>
      <name val="Calibri"/>
      <family val="2"/>
      <scheme val="minor"/>
    </font>
    <font>
      <sz val="14"/>
      <color theme="0"/>
      <name val="Calibri"/>
      <family val="2"/>
      <scheme val="minor"/>
    </font>
    <font>
      <sz val="8"/>
      <color rgb="FFFF0000"/>
      <name val="Arial"/>
      <family val="2"/>
    </font>
    <font>
      <sz val="12"/>
      <name val="Calibri"/>
      <family val="2"/>
      <scheme val="minor"/>
    </font>
    <font>
      <sz val="10"/>
      <color rgb="FF963634"/>
      <name val="Arial"/>
      <family val="2"/>
    </font>
    <font>
      <b/>
      <sz val="11"/>
      <name val="Arial"/>
      <family val="2"/>
    </font>
    <font>
      <sz val="11"/>
      <name val="Arial"/>
      <family val="2"/>
    </font>
    <font>
      <sz val="12"/>
      <color rgb="FF000000"/>
      <name val="Calibri"/>
      <family val="2"/>
    </font>
    <font>
      <sz val="12"/>
      <name val="Calibri"/>
      <family val="2"/>
    </font>
    <font>
      <sz val="12"/>
      <color rgb="FFFF0000"/>
      <name val="Arial"/>
      <family val="2"/>
    </font>
    <font>
      <i/>
      <sz val="8"/>
      <color rgb="FFFF0000"/>
      <name val="Arial"/>
      <family val="2"/>
    </font>
    <font>
      <sz val="12"/>
      <color rgb="FFFF0000"/>
      <name val="Calibri"/>
      <family val="2"/>
      <scheme val="minor"/>
    </font>
    <font>
      <sz val="10"/>
      <color rgb="FFFF0000"/>
      <name val="Calibri"/>
      <family val="2"/>
      <scheme val="minor"/>
    </font>
    <font>
      <b/>
      <sz val="12"/>
      <color rgb="FFFF0000"/>
      <name val="Arial"/>
      <family val="2"/>
    </font>
    <font>
      <sz val="12"/>
      <color theme="1"/>
      <name val="Arial"/>
      <family val="2"/>
    </font>
    <font>
      <sz val="14"/>
      <color rgb="FFFF0000"/>
      <name val="Menlo Bold"/>
    </font>
    <font>
      <sz val="10"/>
      <name val="Calibri"/>
      <family val="2"/>
      <scheme val="minor"/>
    </font>
    <font>
      <b/>
      <sz val="10"/>
      <name val="Calibri"/>
      <family val="2"/>
      <scheme val="minor"/>
    </font>
    <font>
      <sz val="8"/>
      <name val="Calibri"/>
      <family val="2"/>
      <scheme val="minor"/>
    </font>
    <font>
      <b/>
      <sz val="10"/>
      <color theme="5"/>
      <name val="Calibri"/>
      <family val="2"/>
      <scheme val="minor"/>
    </font>
    <font>
      <b/>
      <sz val="12"/>
      <name val="Calibri"/>
      <family val="2"/>
      <scheme val="minor"/>
    </font>
    <font>
      <b/>
      <sz val="12"/>
      <color theme="5" tint="-0.249977111117893"/>
      <name val="Calibri"/>
      <family val="2"/>
      <scheme val="minor"/>
    </font>
    <font>
      <sz val="10"/>
      <color theme="1"/>
      <name val="Calibri"/>
      <family val="2"/>
      <scheme val="minor"/>
    </font>
    <font>
      <u/>
      <sz val="12"/>
      <name val="Calibri"/>
      <family val="2"/>
      <scheme val="minor"/>
    </font>
    <font>
      <sz val="10"/>
      <color theme="5" tint="-0.249977111117893"/>
      <name val="Calibri"/>
      <family val="2"/>
      <scheme val="minor"/>
    </font>
    <font>
      <b/>
      <sz val="11"/>
      <color indexed="10"/>
      <name val="Calibri"/>
      <family val="2"/>
      <scheme val="minor"/>
    </font>
    <font>
      <sz val="10"/>
      <color indexed="8"/>
      <name val="Calibri"/>
      <family val="2"/>
      <scheme val="minor"/>
    </font>
    <font>
      <b/>
      <sz val="11"/>
      <color rgb="FFFF0000"/>
      <name val="Calibri"/>
      <family val="2"/>
      <scheme val="minor"/>
    </font>
    <font>
      <sz val="12"/>
      <color rgb="FF000000"/>
      <name val="Calibri"/>
      <family val="2"/>
      <charset val="128"/>
    </font>
    <font>
      <b/>
      <sz val="12"/>
      <color rgb="FF000000"/>
      <name val="Calibri"/>
      <family val="2"/>
    </font>
    <font>
      <b/>
      <sz val="16"/>
      <name val="Calibri"/>
      <family val="2"/>
      <scheme val="minor"/>
    </font>
    <font>
      <b/>
      <sz val="14"/>
      <color theme="0"/>
      <name val="Calibri"/>
      <family val="2"/>
      <scheme val="minor"/>
    </font>
    <font>
      <b/>
      <sz val="18"/>
      <color theme="0"/>
      <name val="Calibri"/>
      <family val="2"/>
      <scheme val="minor"/>
    </font>
    <font>
      <b/>
      <sz val="20"/>
      <color theme="0"/>
      <name val="Calibri"/>
      <family val="2"/>
      <scheme val="minor"/>
    </font>
    <font>
      <strike/>
      <sz val="12"/>
      <color theme="1"/>
      <name val="Calibri"/>
      <family val="2"/>
      <scheme val="minor"/>
    </font>
    <font>
      <strike/>
      <sz val="12"/>
      <color rgb="FFFF0000"/>
      <name val="Calibri"/>
      <family val="2"/>
      <scheme val="minor"/>
    </font>
    <font>
      <b/>
      <strike/>
      <sz val="12"/>
      <color theme="1"/>
      <name val="Calibri"/>
      <family val="2"/>
      <scheme val="minor"/>
    </font>
    <font>
      <b/>
      <sz val="13"/>
      <name val="Calibri"/>
      <family val="2"/>
      <scheme val="minor"/>
    </font>
    <font>
      <b/>
      <sz val="13"/>
      <color rgb="FFFF0000"/>
      <name val="Calibri (Corpo)"/>
    </font>
    <font>
      <sz val="13"/>
      <name val="Calibri"/>
      <family val="2"/>
      <scheme val="minor"/>
    </font>
    <font>
      <b/>
      <sz val="12"/>
      <color rgb="FFFF0000"/>
      <name val="Calibri"/>
      <family val="2"/>
      <scheme val="minor"/>
    </font>
    <font>
      <sz val="13"/>
      <color rgb="FFFF0000"/>
      <name val="Calibri"/>
      <family val="2"/>
      <scheme val="minor"/>
    </font>
    <font>
      <sz val="9"/>
      <color rgb="FFFF0000"/>
      <name val="Calibri"/>
      <family val="2"/>
      <scheme val="minor"/>
    </font>
    <font>
      <b/>
      <sz val="13"/>
      <color theme="1"/>
      <name val="Calibri"/>
      <family val="2"/>
      <scheme val="minor"/>
    </font>
    <font>
      <b/>
      <sz val="10"/>
      <color theme="1"/>
      <name val="Calibri"/>
      <family val="2"/>
      <scheme val="minor"/>
    </font>
    <font>
      <b/>
      <sz val="10"/>
      <color rgb="FFFF0000"/>
      <name val="Calibri"/>
      <family val="2"/>
      <scheme val="minor"/>
    </font>
    <font>
      <sz val="10"/>
      <color theme="5" tint="-0.249977111117893"/>
      <name val="Calibri"/>
      <family val="2"/>
    </font>
    <font>
      <sz val="12"/>
      <color theme="1"/>
      <name val="Calibri"/>
      <family val="2"/>
    </font>
    <font>
      <b/>
      <sz val="10"/>
      <color theme="1"/>
      <name val="Arial"/>
      <family val="2"/>
    </font>
    <font>
      <b/>
      <sz val="10"/>
      <color rgb="FFFF0000"/>
      <name val="Calibri"/>
      <family val="2"/>
    </font>
    <font>
      <sz val="10"/>
      <color rgb="FFFF0000"/>
      <name val="Calibri"/>
      <family val="2"/>
    </font>
    <font>
      <sz val="10"/>
      <name val="Calibri"/>
      <family val="2"/>
    </font>
    <font>
      <b/>
      <sz val="14"/>
      <color theme="0"/>
      <name val="Calibri"/>
      <family val="2"/>
    </font>
    <font>
      <b/>
      <sz val="18"/>
      <color theme="0"/>
      <name val="Calibri"/>
      <family val="2"/>
    </font>
    <font>
      <sz val="8"/>
      <name val="Calibri"/>
      <family val="2"/>
    </font>
    <font>
      <b/>
      <sz val="13"/>
      <name val="Calibri"/>
      <family val="2"/>
    </font>
    <font>
      <b/>
      <sz val="13"/>
      <color rgb="FFFF0000"/>
      <name val="Calibri"/>
      <family val="2"/>
    </font>
    <font>
      <sz val="13"/>
      <name val="Calibri"/>
      <family val="2"/>
    </font>
    <font>
      <b/>
      <sz val="12"/>
      <name val="Calibri"/>
      <family val="2"/>
    </font>
    <font>
      <b/>
      <sz val="16"/>
      <name val="Calibri"/>
      <family val="2"/>
    </font>
    <font>
      <sz val="11"/>
      <color rgb="FFFF0000"/>
      <name val="Calibri"/>
      <family val="2"/>
    </font>
    <font>
      <b/>
      <sz val="12"/>
      <color theme="1"/>
      <name val="Calibri"/>
      <family val="2"/>
    </font>
    <font>
      <b/>
      <sz val="13"/>
      <color theme="1"/>
      <name val="Calibri"/>
      <family val="2"/>
    </font>
    <font>
      <sz val="12"/>
      <color rgb="FFFF0000"/>
      <name val="Calibri"/>
      <family val="2"/>
    </font>
    <font>
      <b/>
      <sz val="10"/>
      <color rgb="FF963634"/>
      <name val="Calibri"/>
      <family val="2"/>
    </font>
    <font>
      <b/>
      <sz val="10"/>
      <color theme="1"/>
      <name val="Calibri"/>
      <family val="2"/>
    </font>
    <font>
      <b/>
      <sz val="10"/>
      <name val="Calibri"/>
      <family val="2"/>
    </font>
    <font>
      <sz val="10"/>
      <color indexed="8"/>
      <name val="Calibri"/>
      <family val="2"/>
    </font>
    <font>
      <sz val="10"/>
      <color theme="1"/>
      <name val="Calibri"/>
      <family val="2"/>
    </font>
    <font>
      <sz val="10"/>
      <color indexed="10"/>
      <name val="Calibri"/>
      <family val="2"/>
    </font>
    <font>
      <b/>
      <sz val="12"/>
      <color rgb="FFFF0000"/>
      <name val="Calibri"/>
      <family val="2"/>
    </font>
    <font>
      <sz val="12"/>
      <color rgb="FFFF0000"/>
      <name val="Calibri"/>
      <family val="2"/>
      <charset val="128"/>
    </font>
    <font>
      <b/>
      <sz val="12"/>
      <color rgb="FFFF0000"/>
      <name val="Calibri"/>
      <family val="2"/>
      <charset val="128"/>
    </font>
    <font>
      <b/>
      <sz val="22"/>
      <color theme="0"/>
      <name val="Calibri"/>
      <family val="2"/>
    </font>
    <font>
      <sz val="12"/>
      <name val="Calibri"/>
      <family val="1"/>
    </font>
    <font>
      <b/>
      <sz val="14"/>
      <name val="Calibri"/>
      <family val="2"/>
    </font>
    <font>
      <sz val="22"/>
      <color theme="0"/>
      <name val="Calibri"/>
      <family val="2"/>
    </font>
    <font>
      <b/>
      <sz val="14"/>
      <name val="Calibri"/>
      <family val="2"/>
      <scheme val="minor"/>
    </font>
    <font>
      <b/>
      <sz val="12"/>
      <color theme="1"/>
      <name val="Arial"/>
      <family val="2"/>
    </font>
    <font>
      <b/>
      <sz val="14"/>
      <color rgb="FFFF0000"/>
      <name val="Arial"/>
      <family val="2"/>
    </font>
    <font>
      <b/>
      <u/>
      <sz val="14"/>
      <color rgb="FFFF0000"/>
      <name val="Calibri"/>
      <family val="2"/>
    </font>
    <font>
      <sz val="16"/>
      <name val="Calibri"/>
      <family val="2"/>
    </font>
    <font>
      <b/>
      <u/>
      <sz val="16"/>
      <color rgb="FFFF0000"/>
      <name val="Calibri"/>
      <family val="2"/>
    </font>
    <font>
      <b/>
      <sz val="11"/>
      <color theme="1"/>
      <name val="Calibri (Body)"/>
    </font>
    <font>
      <b/>
      <sz val="13"/>
      <color rgb="FFFF0000"/>
      <name val="Calibri (Body)"/>
    </font>
    <font>
      <b/>
      <sz val="14"/>
      <color rgb="FFFF0000"/>
      <name val="Calibri (Body)"/>
    </font>
    <font>
      <sz val="12"/>
      <color rgb="FFFF0000"/>
      <name val="Calibri (Body)"/>
    </font>
    <font>
      <sz val="10"/>
      <color rgb="FF000000"/>
      <name val="Tahoma"/>
      <family val="2"/>
    </font>
    <font>
      <b/>
      <sz val="10"/>
      <color rgb="FF000000"/>
      <name val="Tahoma"/>
      <family val="2"/>
    </font>
    <font>
      <i/>
      <sz val="10"/>
      <name val="Calibri"/>
      <family val="2"/>
      <scheme val="minor"/>
    </font>
    <font>
      <sz val="10"/>
      <name val="Calibri (Body)"/>
    </font>
    <font>
      <sz val="8"/>
      <name val="Calibri (Body)"/>
    </font>
    <font>
      <sz val="12"/>
      <color rgb="FF000000"/>
      <name val="Times New Roman"/>
      <family val="1"/>
    </font>
    <font>
      <u/>
      <sz val="12"/>
      <color indexed="12"/>
      <name val="Times New Roman"/>
      <family val="1"/>
    </font>
  </fonts>
  <fills count="43">
    <fill>
      <patternFill patternType="none"/>
    </fill>
    <fill>
      <patternFill patternType="gray125"/>
    </fill>
    <fill>
      <patternFill patternType="solid">
        <fgColor rgb="FFFFC7CE"/>
      </patternFill>
    </fill>
    <fill>
      <patternFill patternType="solid">
        <fgColor rgb="FFA5A5A5"/>
      </patternFill>
    </fill>
    <fill>
      <patternFill patternType="solid">
        <fgColor indexed="22"/>
        <bgColor indexed="64"/>
      </patternFill>
    </fill>
    <fill>
      <patternFill patternType="solid">
        <fgColor indexed="9"/>
        <bgColor indexed="64"/>
      </patternFill>
    </fill>
    <fill>
      <patternFill patternType="solid">
        <fgColor theme="0" tint="-0.14996795556505021"/>
        <bgColor indexed="64"/>
      </patternFill>
    </fill>
    <fill>
      <patternFill patternType="solid">
        <fgColor indexed="43"/>
        <bgColor indexed="64"/>
      </patternFill>
    </fill>
    <fill>
      <patternFill patternType="solid">
        <fgColor indexed="31"/>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39997558519241921"/>
        <bgColor rgb="FF000000"/>
      </patternFill>
    </fill>
    <fill>
      <patternFill patternType="solid">
        <fgColor theme="4" tint="0.79998168889431442"/>
        <bgColor indexed="64"/>
      </patternFill>
    </fill>
    <fill>
      <patternFill patternType="solid">
        <fgColor theme="6" tint="-0.249977111117893"/>
        <bgColor indexed="64"/>
      </patternFill>
    </fill>
    <fill>
      <patternFill patternType="solid">
        <fgColor rgb="FFFFFFFF"/>
        <bgColor rgb="FF000000"/>
      </patternFill>
    </fill>
    <fill>
      <patternFill patternType="solid">
        <fgColor theme="3" tint="0.59999389629810485"/>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rgb="FFFFFF00"/>
        <bgColor rgb="FF000000"/>
      </patternFill>
    </fill>
    <fill>
      <patternFill patternType="solid">
        <fgColor rgb="FFFFFBF7"/>
        <bgColor indexed="64"/>
      </patternFill>
    </fill>
    <fill>
      <patternFill patternType="solid">
        <fgColor rgb="FF95B3D7"/>
        <bgColor rgb="FF000000"/>
      </patternFill>
    </fill>
    <fill>
      <patternFill patternType="solid">
        <fgColor theme="0"/>
        <bgColor rgb="FF000000"/>
      </patternFill>
    </fill>
    <fill>
      <patternFill patternType="solid">
        <fgColor rgb="FF8DB4E2"/>
        <bgColor rgb="FF000000"/>
      </patternFill>
    </fill>
    <fill>
      <patternFill patternType="solid">
        <fgColor theme="3" tint="0.79998168889431442"/>
        <bgColor indexed="64"/>
      </patternFill>
    </fill>
    <fill>
      <patternFill patternType="solid">
        <fgColor rgb="FFDCE6F1"/>
        <bgColor rgb="FF000000"/>
      </patternFill>
    </fill>
    <fill>
      <patternFill patternType="solid">
        <fgColor rgb="FFD9D9D9"/>
        <bgColor rgb="FF000000"/>
      </patternFill>
    </fill>
    <fill>
      <patternFill patternType="solid">
        <fgColor theme="5" tint="0.79998168889431442"/>
        <bgColor indexed="64"/>
      </patternFill>
    </fill>
    <fill>
      <patternFill patternType="solid">
        <fgColor rgb="FFC00000"/>
        <bgColor indexed="64"/>
      </patternFill>
    </fill>
    <fill>
      <patternFill patternType="solid">
        <fgColor rgb="FF95B3D7"/>
        <bgColor indexed="64"/>
      </patternFill>
    </fill>
    <fill>
      <patternFill patternType="solid">
        <fgColor rgb="FFFFFBF8"/>
        <bgColor indexed="64"/>
      </patternFill>
    </fill>
    <fill>
      <patternFill patternType="solid">
        <fgColor theme="0" tint="-0.34998626667073579"/>
        <bgColor indexed="64"/>
      </patternFill>
    </fill>
    <fill>
      <patternFill patternType="solid">
        <fgColor rgb="FF92D050"/>
        <bgColor indexed="64"/>
      </patternFill>
    </fill>
    <fill>
      <patternFill patternType="solid">
        <fgColor rgb="FFDBE7F0"/>
        <bgColor indexed="64"/>
      </patternFill>
    </fill>
    <fill>
      <patternFill patternType="solid">
        <fgColor rgb="FFDCE6F1"/>
        <bgColor indexed="64"/>
      </patternFill>
    </fill>
    <fill>
      <patternFill patternType="solid">
        <fgColor rgb="FFC00100"/>
        <bgColor indexed="64"/>
      </patternFill>
    </fill>
    <fill>
      <patternFill patternType="solid">
        <fgColor theme="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0000"/>
        <bgColor indexed="64"/>
      </patternFill>
    </fill>
  </fills>
  <borders count="98">
    <border>
      <left/>
      <right/>
      <top/>
      <bottom/>
      <diagonal/>
    </border>
    <border>
      <left style="double">
        <color rgb="FF3F3F3F"/>
      </left>
      <right style="double">
        <color rgb="FF3F3F3F"/>
      </right>
      <top style="double">
        <color rgb="FF3F3F3F"/>
      </top>
      <bottom style="double">
        <color rgb="FF3F3F3F"/>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style="thin">
        <color auto="1"/>
      </top>
      <bottom/>
      <diagonal/>
    </border>
    <border>
      <left style="thin">
        <color indexed="22"/>
      </left>
      <right/>
      <top style="thin">
        <color indexed="22"/>
      </top>
      <bottom style="thin">
        <color indexed="22"/>
      </bottom>
      <diagonal/>
    </border>
    <border>
      <left/>
      <right/>
      <top/>
      <bottom style="thin">
        <color indexed="22"/>
      </bottom>
      <diagonal/>
    </border>
    <border>
      <left style="thin">
        <color indexed="22"/>
      </left>
      <right style="thin">
        <color indexed="22"/>
      </right>
      <top/>
      <bottom style="thin">
        <color indexed="2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auto="1"/>
      </left>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style="medium">
        <color auto="1"/>
      </top>
      <bottom/>
      <diagonal/>
    </border>
    <border>
      <left style="medium">
        <color auto="1"/>
      </left>
      <right/>
      <top/>
      <bottom/>
      <diagonal/>
    </border>
    <border>
      <left style="thin">
        <color auto="1"/>
      </left>
      <right style="medium">
        <color auto="1"/>
      </right>
      <top style="thin">
        <color auto="1"/>
      </top>
      <bottom style="thin">
        <color auto="1"/>
      </bottom>
      <diagonal/>
    </border>
    <border>
      <left/>
      <right style="medium">
        <color auto="1"/>
      </right>
      <top/>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medium">
        <color auto="1"/>
      </bottom>
      <diagonal/>
    </border>
    <border>
      <left/>
      <right style="medium">
        <color auto="1"/>
      </right>
      <top style="thin">
        <color auto="1"/>
      </top>
      <bottom style="thin">
        <color auto="1"/>
      </bottom>
      <diagonal/>
    </border>
    <border>
      <left style="medium">
        <color auto="1"/>
      </left>
      <right style="thin">
        <color auto="1"/>
      </right>
      <top style="thin">
        <color auto="1"/>
      </top>
      <bottom/>
      <diagonal/>
    </border>
    <border>
      <left/>
      <right style="thin">
        <color auto="1"/>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bottom/>
      <diagonal/>
    </border>
    <border>
      <left/>
      <right style="thin">
        <color auto="1"/>
      </right>
      <top/>
      <bottom style="thin">
        <color auto="1"/>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right style="thin">
        <color auto="1"/>
      </right>
      <top style="medium">
        <color auto="1"/>
      </top>
      <bottom style="thin">
        <color auto="1"/>
      </bottom>
      <diagonal/>
    </border>
    <border>
      <left style="thin">
        <color auto="1"/>
      </left>
      <right style="thin">
        <color auto="1"/>
      </right>
      <top/>
      <bottom/>
      <diagonal/>
    </border>
    <border>
      <left style="thin">
        <color auto="1"/>
      </left>
      <right/>
      <top style="thin">
        <color auto="1"/>
      </top>
      <bottom/>
      <diagonal/>
    </border>
    <border>
      <left style="thin">
        <color auto="1"/>
      </left>
      <right/>
      <top/>
      <bottom/>
      <diagonal/>
    </border>
    <border>
      <left/>
      <right/>
      <top style="medium">
        <color auto="1"/>
      </top>
      <bottom/>
      <diagonal/>
    </border>
    <border>
      <left/>
      <right style="medium">
        <color auto="1"/>
      </right>
      <top style="medium">
        <color auto="1"/>
      </top>
      <bottom/>
      <diagonal/>
    </border>
    <border>
      <left style="thin">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bottom style="thin">
        <color auto="1"/>
      </bottom>
      <diagonal/>
    </border>
    <border>
      <left style="thin">
        <color auto="1"/>
      </left>
      <right/>
      <top style="medium">
        <color auto="1"/>
      </top>
      <bottom style="thin">
        <color auto="1"/>
      </bottom>
      <diagonal/>
    </border>
    <border>
      <left style="medium">
        <color auto="1"/>
      </left>
      <right style="thin">
        <color auto="1"/>
      </right>
      <top style="medium">
        <color auto="1"/>
      </top>
      <bottom style="thin">
        <color auto="1"/>
      </bottom>
      <diagonal/>
    </border>
    <border>
      <left/>
      <right/>
      <top/>
      <bottom style="thin">
        <color auto="1"/>
      </bottom>
      <diagonal/>
    </border>
    <border>
      <left style="medium">
        <color auto="1"/>
      </left>
      <right style="thin">
        <color auto="1"/>
      </right>
      <top/>
      <bottom style="thin">
        <color auto="1"/>
      </bottom>
      <diagonal/>
    </border>
    <border>
      <left/>
      <right style="medium">
        <color auto="1"/>
      </right>
      <top style="medium">
        <color auto="1"/>
      </top>
      <bottom style="thin">
        <color auto="1"/>
      </bottom>
      <diagonal/>
    </border>
    <border>
      <left style="medium">
        <color auto="1"/>
      </left>
      <right/>
      <top/>
      <bottom style="medium">
        <color auto="1"/>
      </bottom>
      <diagonal/>
    </border>
    <border>
      <left/>
      <right/>
      <top style="thin">
        <color auto="1"/>
      </top>
      <bottom style="medium">
        <color auto="1"/>
      </bottom>
      <diagonal/>
    </border>
    <border>
      <left style="thin">
        <color auto="1"/>
      </left>
      <right style="medium">
        <color auto="1"/>
      </right>
      <top style="thin">
        <color auto="1"/>
      </top>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right style="thin">
        <color auto="1"/>
      </right>
      <top/>
      <bottom style="medium">
        <color auto="1"/>
      </bottom>
      <diagonal/>
    </border>
    <border>
      <left/>
      <right style="medium">
        <color rgb="FF000000"/>
      </right>
      <top style="medium">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auto="1"/>
      </right>
      <top style="thin">
        <color auto="1"/>
      </top>
      <bottom/>
      <diagonal/>
    </border>
    <border>
      <left style="thin">
        <color auto="1"/>
      </left>
      <right style="medium">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auto="1"/>
      </top>
      <bottom style="thin">
        <color auto="1"/>
      </bottom>
      <diagonal/>
    </border>
    <border>
      <left style="thin">
        <color indexed="64"/>
      </left>
      <right style="medium">
        <color indexed="64"/>
      </right>
      <top style="medium">
        <color indexed="64"/>
      </top>
      <bottom style="medium">
        <color indexed="64"/>
      </bottom>
      <diagonal/>
    </border>
    <border>
      <left style="medium">
        <color auto="1"/>
      </left>
      <right style="thin">
        <color auto="1"/>
      </right>
      <top/>
      <bottom/>
      <diagonal/>
    </border>
    <border>
      <left style="medium">
        <color auto="1"/>
      </left>
      <right style="thin">
        <color auto="1"/>
      </right>
      <top/>
      <bottom style="medium">
        <color auto="1"/>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281">
    <xf numFmtId="0" fontId="0" fillId="0" borderId="0"/>
    <xf numFmtId="43" fontId="35" fillId="0" borderId="0" applyFont="0" applyFill="0" applyBorder="0" applyAlignment="0" applyProtection="0"/>
    <xf numFmtId="0" fontId="26" fillId="2" borderId="0" applyNumberFormat="0" applyBorder="0" applyAlignment="0" applyProtection="0"/>
    <xf numFmtId="0" fontId="27" fillId="3" borderId="1" applyNumberFormat="0" applyAlignment="0" applyProtection="0"/>
    <xf numFmtId="49" fontId="28" fillId="0" borderId="0"/>
    <xf numFmtId="0" fontId="30" fillId="0" borderId="0" applyNumberFormat="0" applyFill="0" applyBorder="0" applyAlignment="0" applyProtection="0">
      <alignment vertical="top"/>
      <protection locked="0"/>
    </xf>
    <xf numFmtId="49" fontId="28" fillId="0" borderId="0">
      <alignment horizontal="left"/>
    </xf>
    <xf numFmtId="49" fontId="32" fillId="5" borderId="0">
      <alignment horizontal="left" vertical="center" wrapText="1"/>
      <protection locked="0"/>
    </xf>
    <xf numFmtId="0" fontId="33" fillId="0" borderId="0">
      <alignment horizontal="center" vertical="center"/>
    </xf>
    <xf numFmtId="167" fontId="29" fillId="0" borderId="6">
      <alignment horizontal="center" vertical="center"/>
    </xf>
    <xf numFmtId="167" fontId="37" fillId="0" borderId="0">
      <alignment horizontal="center" vertical="center"/>
      <protection locked="0"/>
    </xf>
    <xf numFmtId="165" fontId="35" fillId="0" borderId="0" applyFont="0" applyFill="0" applyBorder="0" applyAlignment="0" applyProtection="0"/>
    <xf numFmtId="0" fontId="41" fillId="0" borderId="0"/>
    <xf numFmtId="0" fontId="43" fillId="0" borderId="0"/>
    <xf numFmtId="0" fontId="35" fillId="0" borderId="0"/>
    <xf numFmtId="0" fontId="29" fillId="0" borderId="0"/>
    <xf numFmtId="0" fontId="33" fillId="0" borderId="0">
      <alignment horizontal="center" vertical="center"/>
    </xf>
    <xf numFmtId="0" fontId="33" fillId="6" borderId="10"/>
    <xf numFmtId="9" fontId="51" fillId="7" borderId="11">
      <alignment horizontal="center" vertical="center"/>
      <protection locked="0"/>
    </xf>
    <xf numFmtId="0" fontId="33" fillId="6" borderId="10" applyProtection="0">
      <alignment horizontal="center" vertical="center"/>
    </xf>
    <xf numFmtId="0" fontId="36" fillId="0" borderId="12" applyBorder="0" applyAlignment="0">
      <alignment horizontal="right" vertical="top" wrapText="1"/>
      <protection locked="0"/>
    </xf>
    <xf numFmtId="3" fontId="29" fillId="8" borderId="0">
      <alignment horizontal="center"/>
    </xf>
    <xf numFmtId="167" fontId="29" fillId="8" borderId="0">
      <alignment horizontal="center"/>
    </xf>
    <xf numFmtId="9" fontId="29" fillId="8" borderId="0">
      <alignment horizontal="center"/>
    </xf>
    <xf numFmtId="0" fontId="31" fillId="0" borderId="0" applyProtection="0">
      <protection locked="0"/>
    </xf>
    <xf numFmtId="169" fontId="33" fillId="5" borderId="0">
      <alignment horizontal="center"/>
    </xf>
    <xf numFmtId="3" fontId="37" fillId="0" borderId="0">
      <alignment horizontal="center" vertical="center"/>
      <protection locked="0"/>
    </xf>
    <xf numFmtId="3" fontId="37" fillId="0" borderId="0">
      <alignment horizontal="center" vertical="center"/>
      <protection locked="0"/>
    </xf>
    <xf numFmtId="167" fontId="37" fillId="0" borderId="0">
      <alignment horizontal="center" vertical="center"/>
      <protection locked="0"/>
    </xf>
    <xf numFmtId="170" fontId="37" fillId="0" borderId="0">
      <alignment horizontal="center" vertical="center"/>
      <protection locked="0"/>
    </xf>
    <xf numFmtId="170" fontId="37" fillId="0" borderId="0">
      <alignment horizontal="center" vertical="center"/>
      <protection locked="0"/>
    </xf>
    <xf numFmtId="49" fontId="52" fillId="4" borderId="0">
      <alignment horizontal="left"/>
    </xf>
    <xf numFmtId="1" fontId="36" fillId="7" borderId="0">
      <alignment horizontal="center" vertical="center"/>
      <protection locked="0"/>
    </xf>
    <xf numFmtId="9" fontId="29" fillId="7" borderId="0">
      <alignment horizontal="center"/>
      <protection locked="0"/>
    </xf>
    <xf numFmtId="49" fontId="32" fillId="5" borderId="0">
      <alignment horizontal="left" vertical="center" wrapText="1"/>
    </xf>
    <xf numFmtId="171" fontId="29" fillId="0" borderId="6" applyBorder="0">
      <alignment horizontal="center" vertical="center"/>
    </xf>
    <xf numFmtId="49" fontId="29" fillId="0" borderId="0">
      <alignment horizontal="left"/>
    </xf>
    <xf numFmtId="49" fontId="29" fillId="0" borderId="0">
      <alignment horizontal="left"/>
    </xf>
    <xf numFmtId="49" fontId="28" fillId="0" borderId="0">
      <alignment horizontal="left"/>
    </xf>
    <xf numFmtId="49" fontId="45" fillId="0" borderId="0">
      <alignment horizontal="left"/>
    </xf>
    <xf numFmtId="0" fontId="36" fillId="0" borderId="0">
      <protection locked="0"/>
    </xf>
    <xf numFmtId="0" fontId="36" fillId="0" borderId="0">
      <protection locked="0"/>
    </xf>
    <xf numFmtId="0" fontId="29" fillId="0" borderId="0" applyProtection="0"/>
    <xf numFmtId="0" fontId="36" fillId="0" borderId="0">
      <protection locked="0"/>
    </xf>
    <xf numFmtId="0" fontId="36" fillId="0" borderId="0">
      <protection locked="0"/>
    </xf>
    <xf numFmtId="0" fontId="36" fillId="0" borderId="0">
      <protection locked="0"/>
    </xf>
    <xf numFmtId="172" fontId="53" fillId="0" borderId="0"/>
    <xf numFmtId="0" fontId="54" fillId="0" borderId="0">
      <alignment vertical="top"/>
    </xf>
    <xf numFmtId="167" fontId="29" fillId="7" borderId="0">
      <alignment horizontal="center" vertical="center"/>
      <protection locked="0"/>
    </xf>
    <xf numFmtId="0" fontId="35" fillId="0" borderId="0"/>
    <xf numFmtId="0" fontId="35" fillId="0" borderId="0"/>
    <xf numFmtId="43" fontId="35" fillId="0" borderId="0" applyFont="0" applyFill="0" applyBorder="0" applyAlignment="0" applyProtection="0"/>
    <xf numFmtId="44" fontId="35" fillId="0" borderId="0" applyFont="0" applyFill="0" applyBorder="0" applyAlignment="0" applyProtection="0"/>
    <xf numFmtId="0" fontId="58" fillId="0" borderId="0" applyNumberFormat="0" applyFill="0" applyBorder="0" applyAlignment="0" applyProtection="0">
      <alignment vertical="top"/>
      <protection locked="0"/>
    </xf>
    <xf numFmtId="173" fontId="35" fillId="0" borderId="0" applyFont="0" applyFill="0" applyBorder="0" applyAlignment="0" applyProtection="0"/>
    <xf numFmtId="0" fontId="35" fillId="0" borderId="0"/>
    <xf numFmtId="0" fontId="25" fillId="0" borderId="0"/>
    <xf numFmtId="0" fontId="57" fillId="0" borderId="0"/>
    <xf numFmtId="0" fontId="35" fillId="0" borderId="0"/>
    <xf numFmtId="0" fontId="35" fillId="0" borderId="0"/>
    <xf numFmtId="44" fontId="35" fillId="0" borderId="0" applyFont="0" applyFill="0" applyBorder="0" applyAlignment="0" applyProtection="0"/>
    <xf numFmtId="44" fontId="29" fillId="0" borderId="0" applyFont="0" applyFill="0" applyBorder="0" applyAlignment="0" applyProtection="0"/>
    <xf numFmtId="9" fontId="29" fillId="0" borderId="0" applyFont="0" applyFill="0" applyBorder="0" applyAlignment="0" applyProtection="0"/>
    <xf numFmtId="0" fontId="29" fillId="0" borderId="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4" fillId="0" borderId="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3" fontId="35"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9" fontId="39" fillId="7" borderId="11">
      <alignment horizontal="center" vertical="center"/>
      <protection locked="0"/>
    </xf>
    <xf numFmtId="164" fontId="35" fillId="0" borderId="0" applyFont="0" applyFill="0" applyBorder="0" applyAlignment="0" applyProtection="0"/>
    <xf numFmtId="0" fontId="30" fillId="0" borderId="0" applyNumberFormat="0" applyFill="0" applyBorder="0" applyAlignment="0" applyProtection="0">
      <alignment vertical="top"/>
      <protection locked="0"/>
    </xf>
    <xf numFmtId="0" fontId="19" fillId="0" borderId="0"/>
    <xf numFmtId="0" fontId="19" fillId="0" borderId="0"/>
  </cellStyleXfs>
  <cellXfs count="1895">
    <xf numFmtId="0" fontId="0" fillId="0" borderId="0" xfId="0"/>
    <xf numFmtId="49" fontId="28" fillId="0" borderId="0" xfId="4" applyFont="1"/>
    <xf numFmtId="0" fontId="30" fillId="4" borderId="2" xfId="5" applyFill="1" applyBorder="1" applyAlignment="1" applyProtection="1"/>
    <xf numFmtId="0" fontId="30" fillId="4" borderId="3" xfId="5" applyFill="1" applyBorder="1" applyAlignment="1" applyProtection="1"/>
    <xf numFmtId="0" fontId="0" fillId="0" borderId="0" xfId="0" applyBorder="1"/>
    <xf numFmtId="0" fontId="31" fillId="0" borderId="0" xfId="0" applyFont="1" applyBorder="1"/>
    <xf numFmtId="49" fontId="28" fillId="0" borderId="0" xfId="4"/>
    <xf numFmtId="0" fontId="30" fillId="0" borderId="0" xfId="5" applyFill="1" applyBorder="1" applyAlignment="1" applyProtection="1"/>
    <xf numFmtId="49" fontId="28" fillId="0" borderId="0" xfId="6">
      <alignment horizontal="left"/>
    </xf>
    <xf numFmtId="49" fontId="28" fillId="0" borderId="0" xfId="6" applyFont="1">
      <alignment horizontal="left"/>
    </xf>
    <xf numFmtId="0" fontId="31" fillId="0" borderId="0" xfId="0" applyFont="1" applyBorder="1" applyProtection="1">
      <protection locked="0"/>
    </xf>
    <xf numFmtId="49" fontId="32" fillId="5" borderId="0" xfId="7" applyFont="1">
      <alignment horizontal="left" vertical="center" wrapText="1"/>
      <protection locked="0"/>
    </xf>
    <xf numFmtId="49" fontId="32" fillId="5" borderId="0" xfId="7" applyAlignment="1">
      <alignment horizontal="left" vertical="center"/>
      <protection locked="0"/>
    </xf>
    <xf numFmtId="49" fontId="32" fillId="5" borderId="0" xfId="7">
      <alignment horizontal="left" vertical="center" wrapText="1"/>
      <protection locked="0"/>
    </xf>
    <xf numFmtId="0" fontId="33" fillId="0" borderId="0" xfId="0" applyFont="1" applyAlignment="1">
      <alignment horizontal="center" vertical="center" wrapText="1"/>
    </xf>
    <xf numFmtId="0" fontId="33" fillId="0" borderId="0" xfId="8" applyFont="1" applyAlignment="1">
      <alignment horizontal="center" vertical="center" wrapText="1"/>
    </xf>
    <xf numFmtId="0" fontId="33" fillId="0" borderId="0" xfId="8">
      <alignment horizontal="center" vertical="center"/>
    </xf>
    <xf numFmtId="0" fontId="34" fillId="0" borderId="0" xfId="0" applyFont="1" applyAlignment="1">
      <alignment vertical="center" wrapText="1"/>
    </xf>
    <xf numFmtId="0" fontId="29" fillId="0" borderId="0" xfId="0" applyFont="1" applyAlignment="1">
      <alignment horizontal="center"/>
    </xf>
    <xf numFmtId="0" fontId="29" fillId="0" borderId="0" xfId="8" applyFont="1" applyAlignment="1">
      <alignment horizontal="center" vertical="center" wrapText="1"/>
    </xf>
    <xf numFmtId="0" fontId="33" fillId="0" borderId="0" xfId="0" applyFont="1" applyAlignment="1">
      <alignment wrapText="1"/>
    </xf>
    <xf numFmtId="0" fontId="33" fillId="0" borderId="4" xfId="0" applyFont="1" applyFill="1" applyBorder="1" applyAlignment="1">
      <alignment vertical="center" wrapText="1"/>
    </xf>
    <xf numFmtId="0" fontId="33" fillId="0" borderId="4" xfId="0" applyFont="1" applyBorder="1" applyAlignment="1">
      <alignment horizontal="center" vertical="center" wrapText="1"/>
    </xf>
    <xf numFmtId="0" fontId="33" fillId="0" borderId="4" xfId="8" applyFont="1" applyBorder="1" applyAlignment="1">
      <alignment horizontal="center" vertical="center" wrapText="1"/>
    </xf>
    <xf numFmtId="0" fontId="0" fillId="0" borderId="4" xfId="0" applyFill="1" applyBorder="1"/>
    <xf numFmtId="0" fontId="0" fillId="0" borderId="4" xfId="0" applyBorder="1"/>
    <xf numFmtId="0" fontId="0" fillId="0" borderId="4" xfId="0" applyFill="1" applyBorder="1" applyAlignment="1">
      <alignment wrapText="1"/>
    </xf>
    <xf numFmtId="167" fontId="29" fillId="0" borderId="6" xfId="9">
      <alignment horizontal="center" vertical="center"/>
    </xf>
    <xf numFmtId="0" fontId="29" fillId="0" borderId="0" xfId="0" applyFont="1" applyAlignment="1">
      <alignment wrapText="1"/>
    </xf>
    <xf numFmtId="167" fontId="37" fillId="0" borderId="0" xfId="10">
      <alignment horizontal="center" vertical="center"/>
      <protection locked="0"/>
    </xf>
    <xf numFmtId="0" fontId="0" fillId="0" borderId="0" xfId="0" applyFill="1" applyBorder="1" applyAlignment="1">
      <alignment vertical="center" wrapText="1"/>
    </xf>
    <xf numFmtId="167" fontId="29" fillId="0" borderId="6" xfId="9" applyFont="1" applyAlignment="1">
      <alignment horizontal="left" vertical="center"/>
    </xf>
    <xf numFmtId="0" fontId="38" fillId="0" borderId="0" xfId="5" applyFont="1" applyAlignment="1" applyProtection="1"/>
    <xf numFmtId="167" fontId="29" fillId="0" borderId="0" xfId="9" applyBorder="1" applyAlignment="1">
      <alignment horizontal="left" vertical="center"/>
    </xf>
    <xf numFmtId="0" fontId="33" fillId="0" borderId="0" xfId="0" applyFont="1" applyFill="1" applyBorder="1" applyAlignment="1">
      <alignment wrapText="1"/>
    </xf>
    <xf numFmtId="0" fontId="0" fillId="0" borderId="0" xfId="0" applyFill="1" applyBorder="1"/>
    <xf numFmtId="0" fontId="33" fillId="0" borderId="0" xfId="0" applyFont="1" applyFill="1" applyBorder="1" applyAlignment="1">
      <alignment horizontal="center" vertical="center"/>
    </xf>
    <xf numFmtId="0" fontId="0" fillId="0" borderId="0" xfId="0" applyFill="1" applyBorder="1" applyAlignment="1">
      <alignment vertical="center"/>
    </xf>
    <xf numFmtId="0" fontId="0" fillId="0" borderId="4" xfId="0" applyFill="1" applyBorder="1" applyAlignment="1">
      <alignment horizontal="left" vertical="top" wrapText="1"/>
    </xf>
    <xf numFmtId="0" fontId="29" fillId="0" borderId="4" xfId="0" applyFont="1" applyFill="1" applyBorder="1" applyAlignment="1">
      <alignment horizontal="right" vertical="center" wrapText="1"/>
    </xf>
    <xf numFmtId="1" fontId="29" fillId="0" borderId="4" xfId="0" applyNumberFormat="1" applyFont="1" applyFill="1" applyBorder="1" applyAlignment="1">
      <alignment horizontal="right" vertical="center" wrapText="1"/>
    </xf>
    <xf numFmtId="0" fontId="29" fillId="0" borderId="4" xfId="0" applyFont="1" applyFill="1" applyBorder="1" applyAlignment="1">
      <alignment horizontal="left" vertical="top" wrapText="1"/>
    </xf>
    <xf numFmtId="0" fontId="29" fillId="0" borderId="4" xfId="0" applyFont="1" applyFill="1" applyBorder="1" applyAlignment="1">
      <alignment horizontal="right" vertical="center"/>
    </xf>
    <xf numFmtId="0" fontId="39" fillId="0" borderId="4" xfId="0" applyFont="1" applyFill="1" applyBorder="1" applyAlignment="1">
      <alignment horizontal="left" vertical="top" wrapText="1"/>
    </xf>
    <xf numFmtId="49" fontId="29" fillId="0" borderId="4" xfId="0" applyNumberFormat="1" applyFont="1" applyBorder="1" applyAlignment="1">
      <alignment wrapText="1"/>
    </xf>
    <xf numFmtId="0" fontId="29" fillId="0" borderId="4" xfId="11" applyNumberFormat="1" applyFont="1" applyFill="1" applyBorder="1" applyAlignment="1">
      <alignment horizontal="left" vertical="top" wrapText="1" readingOrder="1"/>
    </xf>
    <xf numFmtId="3" fontId="29" fillId="0" borderId="4" xfId="0" applyNumberFormat="1" applyFont="1" applyFill="1" applyBorder="1" applyAlignment="1">
      <alignment horizontal="right" vertical="center"/>
    </xf>
    <xf numFmtId="0" fontId="29" fillId="0" borderId="4" xfId="0" applyFont="1" applyFill="1" applyBorder="1" applyAlignment="1">
      <alignment wrapText="1"/>
    </xf>
    <xf numFmtId="0" fontId="29" fillId="0" borderId="4" xfId="0" applyFont="1" applyFill="1" applyBorder="1" applyAlignment="1">
      <alignment horizontal="left" wrapText="1"/>
    </xf>
    <xf numFmtId="0" fontId="0" fillId="0" borderId="4" xfId="0" applyFill="1" applyBorder="1" applyAlignment="1">
      <alignment horizontal="left" vertical="center" wrapText="1"/>
    </xf>
    <xf numFmtId="0" fontId="29" fillId="0" borderId="4" xfId="0" applyFont="1" applyFill="1" applyBorder="1" applyAlignment="1">
      <alignment horizontal="left" vertical="center" wrapText="1"/>
    </xf>
    <xf numFmtId="3" fontId="29" fillId="0" borderId="4" xfId="12" applyNumberFormat="1" applyFont="1" applyFill="1" applyBorder="1" applyAlignment="1">
      <alignment horizontal="right" vertical="center"/>
    </xf>
    <xf numFmtId="0" fontId="29" fillId="0" borderId="4" xfId="0" applyFont="1" applyFill="1" applyBorder="1" applyAlignment="1">
      <alignment vertical="top" wrapText="1"/>
    </xf>
    <xf numFmtId="3" fontId="29" fillId="0" borderId="4" xfId="0" applyNumberFormat="1" applyFont="1" applyFill="1" applyBorder="1" applyAlignment="1">
      <alignment horizontal="left" wrapText="1"/>
    </xf>
    <xf numFmtId="0" fontId="29" fillId="0" borderId="4" xfId="0" applyNumberFormat="1" applyFont="1" applyFill="1" applyBorder="1" applyAlignment="1">
      <alignment horizontal="left" vertical="top" wrapText="1"/>
    </xf>
    <xf numFmtId="0" fontId="29" fillId="0" borderId="4" xfId="0" applyFont="1" applyFill="1" applyBorder="1" applyAlignment="1">
      <alignment horizontal="right"/>
    </xf>
    <xf numFmtId="0" fontId="33" fillId="0" borderId="4" xfId="0" applyFont="1" applyFill="1" applyBorder="1" applyAlignment="1">
      <alignment horizontal="center"/>
    </xf>
    <xf numFmtId="0" fontId="29" fillId="0" borderId="4" xfId="0" applyFont="1" applyBorder="1" applyAlignment="1">
      <alignment horizontal="right"/>
    </xf>
    <xf numFmtId="0" fontId="42" fillId="0" borderId="4" xfId="12" applyFont="1" applyFill="1" applyBorder="1" applyAlignment="1">
      <alignment horizontal="right" vertical="center" wrapText="1"/>
    </xf>
    <xf numFmtId="0" fontId="29" fillId="0" borderId="4" xfId="0" applyFont="1" applyBorder="1" applyAlignment="1">
      <alignment vertical="center" wrapText="1"/>
    </xf>
    <xf numFmtId="0" fontId="28" fillId="0" borderId="0" xfId="0" applyFont="1" applyBorder="1"/>
    <xf numFmtId="0" fontId="29" fillId="0" borderId="4" xfId="0" applyFont="1" applyBorder="1" applyAlignment="1">
      <alignment horizontal="left" vertical="center" wrapText="1"/>
    </xf>
    <xf numFmtId="0" fontId="42" fillId="0" borderId="4" xfId="0" applyFont="1" applyBorder="1" applyAlignment="1">
      <alignment horizontal="right" vertical="center"/>
    </xf>
    <xf numFmtId="4" fontId="29" fillId="0" borderId="4" xfId="13" applyNumberFormat="1" applyFont="1" applyBorder="1" applyAlignment="1" applyProtection="1">
      <alignment vertical="center" wrapText="1"/>
      <protection locked="0"/>
    </xf>
    <xf numFmtId="1" fontId="29" fillId="0" borderId="4" xfId="13" applyNumberFormat="1" applyFont="1" applyBorder="1" applyAlignment="1">
      <alignment horizontal="right" vertical="center" wrapText="1"/>
    </xf>
    <xf numFmtId="0" fontId="29" fillId="0" borderId="4" xfId="0" applyFont="1" applyBorder="1" applyAlignment="1">
      <alignment vertical="center"/>
    </xf>
    <xf numFmtId="49" fontId="39" fillId="0" borderId="4" xfId="0" applyNumberFormat="1" applyFont="1" applyFill="1" applyBorder="1" applyAlignment="1">
      <alignment vertical="top" wrapText="1"/>
    </xf>
    <xf numFmtId="49" fontId="29" fillId="0" borderId="4" xfId="0" applyNumberFormat="1" applyFont="1" applyFill="1" applyBorder="1" applyAlignment="1">
      <alignment horizontal="left" wrapText="1"/>
    </xf>
    <xf numFmtId="49" fontId="29" fillId="0" borderId="0" xfId="0" applyNumberFormat="1" applyFont="1" applyFill="1" applyBorder="1" applyAlignment="1">
      <alignment horizontal="left" wrapText="1"/>
    </xf>
    <xf numFmtId="0" fontId="29" fillId="0" borderId="0" xfId="0" applyFont="1" applyFill="1" applyBorder="1" applyAlignment="1">
      <alignment horizontal="center" vertical="center"/>
    </xf>
    <xf numFmtId="165" fontId="29" fillId="0" borderId="0" xfId="11" applyFont="1" applyFill="1" applyBorder="1" applyAlignment="1">
      <alignment horizontal="right" vertical="center" wrapText="1"/>
    </xf>
    <xf numFmtId="49" fontId="33" fillId="0" borderId="0" xfId="0" applyNumberFormat="1" applyFont="1" applyFill="1" applyBorder="1" applyAlignment="1">
      <alignment horizontal="left" wrapText="1"/>
    </xf>
    <xf numFmtId="49" fontId="29" fillId="0" borderId="4" xfId="0" applyNumberFormat="1" applyFont="1" applyFill="1" applyBorder="1" applyAlignment="1">
      <alignment horizontal="left" vertical="center" wrapText="1"/>
    </xf>
    <xf numFmtId="1" fontId="29" fillId="0" borderId="4" xfId="11" applyNumberFormat="1" applyFont="1" applyFill="1" applyBorder="1" applyAlignment="1">
      <alignment horizontal="right" vertical="center" wrapText="1"/>
    </xf>
    <xf numFmtId="0" fontId="0" fillId="0" borderId="4" xfId="0" applyBorder="1" applyAlignment="1">
      <alignment wrapText="1"/>
    </xf>
    <xf numFmtId="0" fontId="0" fillId="0" borderId="4" xfId="0" applyBorder="1" applyAlignment="1">
      <alignment vertical="center"/>
    </xf>
    <xf numFmtId="0" fontId="29" fillId="0" borderId="0" xfId="0" applyFont="1" applyBorder="1" applyAlignment="1">
      <alignment horizontal="left" vertical="center" wrapText="1"/>
    </xf>
    <xf numFmtId="0" fontId="35" fillId="0" borderId="0" xfId="0" applyFont="1" applyFill="1" applyBorder="1" applyAlignment="1">
      <alignment horizontal="center" vertical="center"/>
    </xf>
    <xf numFmtId="0" fontId="0" fillId="0" borderId="0" xfId="0" applyFill="1" applyBorder="1" applyAlignment="1">
      <alignment horizontal="center" vertical="center"/>
    </xf>
    <xf numFmtId="0" fontId="29" fillId="0" borderId="0" xfId="14" applyFont="1"/>
    <xf numFmtId="0" fontId="29" fillId="0" borderId="4" xfId="0" applyFont="1" applyFill="1" applyBorder="1" applyAlignment="1">
      <alignment horizontal="left"/>
    </xf>
    <xf numFmtId="0" fontId="29" fillId="0" borderId="4" xfId="0" applyNumberFormat="1" applyFont="1" applyFill="1" applyBorder="1" applyAlignment="1">
      <alignment horizontal="left" vertical="center" wrapText="1"/>
    </xf>
    <xf numFmtId="0" fontId="39" fillId="0" borderId="4" xfId="0" applyFont="1" applyFill="1" applyBorder="1" applyAlignment="1">
      <alignment horizontal="left" vertical="center" wrapText="1"/>
    </xf>
    <xf numFmtId="0" fontId="29" fillId="0" borderId="0" xfId="0" applyFont="1" applyFill="1" applyBorder="1"/>
    <xf numFmtId="0" fontId="29" fillId="0" borderId="0" xfId="0" applyFont="1" applyBorder="1"/>
    <xf numFmtId="0" fontId="28" fillId="0" borderId="0" xfId="0" applyFont="1"/>
    <xf numFmtId="0" fontId="33" fillId="0" borderId="0" xfId="0" applyFont="1" applyBorder="1" applyAlignment="1">
      <alignment wrapText="1"/>
    </xf>
    <xf numFmtId="165" fontId="29" fillId="0" borderId="4" xfId="11" applyFont="1" applyFill="1" applyBorder="1" applyAlignment="1">
      <alignment horizontal="left" vertical="top" wrapText="1"/>
    </xf>
    <xf numFmtId="166" fontId="29" fillId="0" borderId="4" xfId="1" applyNumberFormat="1" applyFont="1" applyBorder="1"/>
    <xf numFmtId="0" fontId="39" fillId="0" borderId="4" xfId="0" applyFont="1" applyFill="1" applyBorder="1" applyAlignment="1">
      <alignment vertical="top" wrapText="1"/>
    </xf>
    <xf numFmtId="0" fontId="29" fillId="0" borderId="4" xfId="11" applyNumberFormat="1" applyFont="1" applyFill="1" applyBorder="1" applyAlignment="1">
      <alignment vertical="top" wrapText="1" readingOrder="1"/>
    </xf>
    <xf numFmtId="0" fontId="29" fillId="0" borderId="0" xfId="11" applyNumberFormat="1" applyFont="1" applyFill="1" applyBorder="1" applyAlignment="1">
      <alignment vertical="top" wrapText="1" readingOrder="1"/>
    </xf>
    <xf numFmtId="3" fontId="29" fillId="0" borderId="0" xfId="0" applyNumberFormat="1" applyFont="1" applyFill="1" applyBorder="1" applyAlignment="1">
      <alignment horizontal="right" vertical="center"/>
    </xf>
    <xf numFmtId="0" fontId="33" fillId="0" borderId="0" xfId="0" applyFont="1"/>
    <xf numFmtId="0" fontId="44" fillId="0" borderId="0" xfId="5" applyFont="1" applyAlignment="1" applyProtection="1"/>
    <xf numFmtId="0" fontId="29" fillId="0" borderId="4" xfId="0" applyFont="1" applyBorder="1"/>
    <xf numFmtId="0" fontId="33" fillId="0" borderId="0" xfId="15" applyFont="1" applyFill="1" applyAlignment="1">
      <alignment wrapText="1"/>
    </xf>
    <xf numFmtId="0" fontId="33" fillId="0" borderId="4" xfId="0" applyFont="1" applyBorder="1"/>
    <xf numFmtId="0" fontId="0" fillId="0" borderId="7" xfId="0" applyBorder="1"/>
    <xf numFmtId="0" fontId="29" fillId="0" borderId="7" xfId="15" applyFill="1" applyBorder="1" applyAlignment="1">
      <alignment horizontal="center"/>
    </xf>
    <xf numFmtId="0" fontId="0" fillId="0" borderId="4" xfId="0" applyBorder="1" applyAlignment="1">
      <alignment vertical="center" wrapText="1"/>
    </xf>
    <xf numFmtId="0" fontId="29" fillId="0" borderId="7" xfId="15" applyFont="1" applyFill="1" applyBorder="1" applyAlignment="1">
      <alignment horizontal="center"/>
    </xf>
    <xf numFmtId="0" fontId="0" fillId="0" borderId="0" xfId="0" applyAlignment="1">
      <alignment wrapText="1"/>
    </xf>
    <xf numFmtId="0" fontId="0" fillId="0" borderId="0" xfId="0" applyBorder="1" applyAlignment="1">
      <alignment vertical="center" wrapText="1"/>
    </xf>
    <xf numFmtId="0" fontId="0" fillId="0" borderId="0" xfId="0" applyAlignment="1">
      <alignment vertical="center" wrapText="1"/>
    </xf>
    <xf numFmtId="0" fontId="0" fillId="0" borderId="4" xfId="0" applyFill="1" applyBorder="1" applyAlignment="1">
      <alignment horizontal="center"/>
    </xf>
    <xf numFmtId="0" fontId="29" fillId="0" borderId="4" xfId="0" applyFont="1" applyFill="1" applyBorder="1" applyAlignment="1">
      <alignment vertical="center"/>
    </xf>
    <xf numFmtId="0" fontId="0" fillId="0" borderId="4" xfId="0" applyFill="1" applyBorder="1" applyAlignment="1">
      <alignment horizontal="center" vertical="center"/>
    </xf>
    <xf numFmtId="0" fontId="29" fillId="0" borderId="4" xfId="0" applyFont="1" applyFill="1" applyBorder="1" applyAlignment="1">
      <alignment vertical="center" wrapText="1"/>
    </xf>
    <xf numFmtId="0" fontId="29" fillId="0" borderId="4" xfId="0" applyFont="1" applyBorder="1" applyAlignment="1">
      <alignment horizontal="right" vertical="center" wrapText="1"/>
    </xf>
    <xf numFmtId="0" fontId="29" fillId="0" borderId="4" xfId="8" applyFont="1" applyBorder="1" applyAlignment="1">
      <alignment horizontal="center" vertical="center" wrapText="1"/>
    </xf>
    <xf numFmtId="0" fontId="29" fillId="0" borderId="0" xfId="0" applyFont="1"/>
    <xf numFmtId="0" fontId="29" fillId="0" borderId="4" xfId="16" applyFont="1" applyFill="1" applyBorder="1" applyAlignment="1">
      <alignment horizontal="right" vertical="center" wrapText="1"/>
    </xf>
    <xf numFmtId="0" fontId="29" fillId="0" borderId="0" xfId="0" applyFont="1" applyBorder="1" applyAlignment="1">
      <alignment wrapText="1"/>
    </xf>
    <xf numFmtId="0" fontId="33" fillId="0" borderId="0" xfId="0" applyFont="1" applyFill="1" applyBorder="1"/>
    <xf numFmtId="0" fontId="33" fillId="0" borderId="0" xfId="8" applyFont="1" applyBorder="1" applyAlignment="1">
      <alignment horizontal="center" vertical="center" wrapText="1"/>
    </xf>
    <xf numFmtId="0" fontId="33" fillId="0" borderId="0" xfId="0" applyFont="1" applyBorder="1" applyAlignment="1">
      <alignment horizontal="center" vertical="center" wrapText="1"/>
    </xf>
    <xf numFmtId="0" fontId="47" fillId="0" borderId="0" xfId="0" applyFont="1" applyAlignment="1">
      <alignment horizontal="left" wrapText="1"/>
    </xf>
    <xf numFmtId="0" fontId="47" fillId="0" borderId="0" xfId="0" applyFont="1" applyBorder="1" applyAlignment="1">
      <alignment horizontal="left" wrapText="1"/>
    </xf>
    <xf numFmtId="1" fontId="0" fillId="0" borderId="4" xfId="0" applyNumberFormat="1" applyBorder="1"/>
    <xf numFmtId="1" fontId="29" fillId="0" borderId="4" xfId="0" applyNumberFormat="1" applyFont="1" applyBorder="1"/>
    <xf numFmtId="0" fontId="0" fillId="0" borderId="5" xfId="0" applyBorder="1"/>
    <xf numFmtId="0" fontId="29" fillId="0" borderId="5" xfId="0" applyFont="1" applyBorder="1"/>
    <xf numFmtId="0" fontId="29" fillId="0" borderId="0" xfId="0" applyFont="1" applyFill="1" applyBorder="1" applyAlignment="1">
      <alignment horizontal="left" vertical="top" wrapText="1"/>
    </xf>
    <xf numFmtId="0" fontId="0" fillId="0" borderId="9" xfId="0" applyBorder="1"/>
    <xf numFmtId="0" fontId="29" fillId="0" borderId="9" xfId="0" applyFont="1" applyBorder="1"/>
    <xf numFmtId="0" fontId="29" fillId="0" borderId="0" xfId="0" applyFont="1" applyFill="1" applyBorder="1" applyAlignment="1">
      <alignment horizontal="left"/>
    </xf>
    <xf numFmtId="0" fontId="29" fillId="0" borderId="0" xfId="0" applyFont="1" applyFill="1" applyBorder="1" applyAlignment="1">
      <alignment horizontal="right" vertical="center"/>
    </xf>
    <xf numFmtId="1" fontId="29" fillId="0" borderId="0" xfId="0" applyNumberFormat="1" applyFont="1" applyFill="1" applyBorder="1" applyAlignment="1">
      <alignment horizontal="right" vertical="center"/>
    </xf>
    <xf numFmtId="0" fontId="33" fillId="0" borderId="0" xfId="0" applyFont="1" applyFill="1" applyBorder="1" applyAlignment="1">
      <alignment horizontal="left"/>
    </xf>
    <xf numFmtId="1" fontId="29" fillId="0" borderId="4" xfId="0" applyNumberFormat="1" applyFont="1" applyBorder="1" applyAlignment="1">
      <alignment vertical="center"/>
    </xf>
    <xf numFmtId="0" fontId="0" fillId="0" borderId="4" xfId="0" applyBorder="1" applyAlignment="1">
      <alignment horizontal="left" vertical="center" wrapText="1"/>
    </xf>
    <xf numFmtId="0" fontId="39" fillId="0" borderId="0" xfId="0" applyFont="1" applyFill="1" applyBorder="1" applyAlignment="1">
      <alignment horizontal="left" wrapText="1"/>
    </xf>
    <xf numFmtId="168" fontId="39" fillId="0" borderId="0" xfId="0" applyNumberFormat="1" applyFont="1" applyFill="1" applyBorder="1" applyAlignment="1">
      <alignment horizontal="right" vertical="center"/>
    </xf>
    <xf numFmtId="0" fontId="28" fillId="0" borderId="0" xfId="0" applyFont="1" applyFill="1" applyBorder="1"/>
    <xf numFmtId="0" fontId="33" fillId="0" borderId="0" xfId="0" applyFont="1" applyFill="1" applyBorder="1" applyAlignment="1">
      <alignment horizontal="left" wrapText="1"/>
    </xf>
    <xf numFmtId="0" fontId="29" fillId="0" borderId="4" xfId="0" applyFont="1" applyFill="1" applyBorder="1"/>
    <xf numFmtId="1" fontId="0" fillId="0" borderId="4" xfId="0" applyNumberFormat="1" applyBorder="1" applyAlignment="1">
      <alignment vertical="center"/>
    </xf>
    <xf numFmtId="1" fontId="56" fillId="11" borderId="13" xfId="50" applyNumberFormat="1" applyFont="1" applyFill="1" applyBorder="1" applyAlignment="1">
      <alignment horizontal="center" vertical="center" wrapText="1"/>
    </xf>
    <xf numFmtId="0" fontId="56" fillId="11" borderId="13" xfId="50" applyFont="1" applyFill="1" applyBorder="1" applyAlignment="1">
      <alignment horizontal="center" vertical="center" wrapText="1"/>
    </xf>
    <xf numFmtId="0" fontId="56" fillId="11" borderId="13" xfId="50" applyFont="1" applyFill="1" applyBorder="1" applyAlignment="1">
      <alignment vertical="center" wrapText="1"/>
    </xf>
    <xf numFmtId="0" fontId="56" fillId="11" borderId="13" xfId="50" applyFont="1" applyFill="1" applyBorder="1" applyAlignment="1">
      <alignment horizontal="center" vertical="center"/>
    </xf>
    <xf numFmtId="1" fontId="56" fillId="11" borderId="13" xfId="3" applyNumberFormat="1" applyFont="1" applyFill="1" applyBorder="1" applyAlignment="1">
      <alignment horizontal="center" vertical="center" wrapText="1"/>
    </xf>
    <xf numFmtId="0" fontId="0" fillId="0" borderId="0" xfId="0" applyAlignment="1">
      <alignment vertical="center"/>
    </xf>
    <xf numFmtId="0" fontId="35" fillId="0" borderId="0" xfId="0" applyFont="1" applyBorder="1" applyAlignment="1">
      <alignment vertical="center"/>
    </xf>
    <xf numFmtId="0" fontId="35" fillId="0" borderId="0" xfId="0" applyFont="1" applyBorder="1" applyAlignment="1">
      <alignment horizontal="center" vertical="center"/>
    </xf>
    <xf numFmtId="0" fontId="35" fillId="0" borderId="0" xfId="0" applyFont="1" applyAlignment="1">
      <alignment vertical="center"/>
    </xf>
    <xf numFmtId="0" fontId="28" fillId="0" borderId="0" xfId="0" applyFont="1" applyAlignment="1">
      <alignment vertical="center"/>
    </xf>
    <xf numFmtId="0" fontId="35" fillId="0" borderId="13" xfId="0" applyFont="1" applyBorder="1" applyAlignment="1">
      <alignment vertical="center" wrapText="1"/>
    </xf>
    <xf numFmtId="0" fontId="35" fillId="0" borderId="13" xfId="0" applyFont="1" applyBorder="1" applyAlignment="1">
      <alignment vertical="center"/>
    </xf>
    <xf numFmtId="0" fontId="35" fillId="0" borderId="13" xfId="0" applyFont="1" applyBorder="1" applyAlignment="1">
      <alignment horizontal="center" vertical="center"/>
    </xf>
    <xf numFmtId="0" fontId="35" fillId="0" borderId="13" xfId="0" applyFont="1" applyFill="1" applyBorder="1" applyAlignment="1">
      <alignment horizontal="center" vertical="center"/>
    </xf>
    <xf numFmtId="0" fontId="35" fillId="0" borderId="0" xfId="0" applyFont="1" applyAlignment="1">
      <alignment vertical="center" wrapText="1"/>
    </xf>
    <xf numFmtId="0" fontId="60" fillId="0" borderId="0" xfId="0" applyFont="1" applyBorder="1" applyAlignment="1">
      <alignment horizontal="center" vertical="center"/>
    </xf>
    <xf numFmtId="44" fontId="35" fillId="0" borderId="13" xfId="61" applyFont="1" applyBorder="1" applyAlignment="1">
      <alignment vertical="center"/>
    </xf>
    <xf numFmtId="0" fontId="35" fillId="0" borderId="0" xfId="0" applyFont="1" applyBorder="1" applyAlignment="1">
      <alignment vertical="center" wrapText="1"/>
    </xf>
    <xf numFmtId="0" fontId="51" fillId="0" borderId="0" xfId="0" applyFont="1"/>
    <xf numFmtId="0" fontId="0" fillId="0" borderId="13" xfId="0" applyBorder="1" applyAlignment="1">
      <alignment vertical="center"/>
    </xf>
    <xf numFmtId="0" fontId="0" fillId="0" borderId="13" xfId="0" applyBorder="1" applyAlignment="1">
      <alignment vertical="center" wrapText="1"/>
    </xf>
    <xf numFmtId="0" fontId="0" fillId="0" borderId="23" xfId="0" applyBorder="1" applyAlignment="1">
      <alignment vertical="center"/>
    </xf>
    <xf numFmtId="0" fontId="0" fillId="0" borderId="14" xfId="0" applyBorder="1" applyAlignment="1">
      <alignment vertical="center"/>
    </xf>
    <xf numFmtId="0" fontId="33" fillId="12" borderId="30" xfId="0" applyFont="1" applyFill="1" applyBorder="1" applyAlignment="1">
      <alignment vertical="center"/>
    </xf>
    <xf numFmtId="0" fontId="0" fillId="0" borderId="0" xfId="0" applyAlignment="1">
      <alignment horizontal="center" vertical="center" wrapText="1"/>
    </xf>
    <xf numFmtId="0" fontId="0" fillId="0" borderId="13" xfId="0" applyBorder="1" applyAlignment="1">
      <alignment horizontal="center" vertical="center" wrapText="1"/>
    </xf>
    <xf numFmtId="0" fontId="0" fillId="0" borderId="31" xfId="0" applyBorder="1" applyAlignment="1">
      <alignment horizontal="center" vertical="center" wrapText="1"/>
    </xf>
    <xf numFmtId="0" fontId="0" fillId="0" borderId="31" xfId="0" applyBorder="1" applyAlignment="1">
      <alignment horizontal="center" vertical="center"/>
    </xf>
    <xf numFmtId="0" fontId="0" fillId="0" borderId="32" xfId="0" applyBorder="1" applyAlignment="1">
      <alignment horizontal="center" vertical="center" wrapText="1"/>
    </xf>
    <xf numFmtId="0" fontId="0" fillId="0" borderId="23" xfId="0" applyBorder="1" applyAlignment="1">
      <alignment horizontal="center" vertical="center" wrapText="1"/>
    </xf>
    <xf numFmtId="0" fontId="0" fillId="0" borderId="14" xfId="0" applyBorder="1" applyAlignment="1">
      <alignment horizontal="center" vertical="center" wrapText="1"/>
    </xf>
    <xf numFmtId="0" fontId="65" fillId="0" borderId="0" xfId="0" applyFont="1"/>
    <xf numFmtId="0" fontId="35" fillId="11" borderId="13" xfId="50" applyFont="1" applyFill="1" applyBorder="1" applyAlignment="1">
      <alignment horizontal="center" vertical="center" wrapText="1"/>
    </xf>
    <xf numFmtId="0" fontId="0" fillId="0" borderId="13" xfId="0" applyFont="1" applyBorder="1" applyAlignment="1">
      <alignment horizontal="center" vertical="center" wrapText="1"/>
    </xf>
    <xf numFmtId="0" fontId="51" fillId="0" borderId="13" xfId="0" applyFont="1" applyFill="1" applyBorder="1" applyAlignment="1">
      <alignment horizontal="center" vertical="center" wrapText="1"/>
    </xf>
    <xf numFmtId="0" fontId="0" fillId="0" borderId="21" xfId="0" applyBorder="1" applyAlignment="1">
      <alignment horizontal="center" vertical="center" wrapText="1"/>
    </xf>
    <xf numFmtId="0" fontId="0" fillId="0" borderId="19" xfId="0" applyBorder="1" applyAlignment="1">
      <alignment horizontal="center" vertical="center" wrapText="1"/>
    </xf>
    <xf numFmtId="0" fontId="0" fillId="0" borderId="3" xfId="0" applyBorder="1" applyAlignment="1">
      <alignment vertical="center"/>
    </xf>
    <xf numFmtId="0" fontId="0" fillId="0" borderId="29" xfId="0" applyBorder="1" applyAlignment="1">
      <alignment vertical="center"/>
    </xf>
    <xf numFmtId="0" fontId="0" fillId="0" borderId="38" xfId="0" applyBorder="1" applyAlignment="1">
      <alignment vertical="center"/>
    </xf>
    <xf numFmtId="0" fontId="0" fillId="0" borderId="26" xfId="0" applyBorder="1" applyAlignment="1">
      <alignment vertical="center"/>
    </xf>
    <xf numFmtId="0" fontId="54" fillId="11" borderId="13" xfId="50" applyFont="1" applyFill="1" applyBorder="1" applyAlignment="1">
      <alignment horizontal="center" vertical="center" wrapText="1"/>
    </xf>
    <xf numFmtId="0" fontId="54" fillId="11" borderId="13" xfId="50" applyFont="1" applyFill="1" applyBorder="1" applyAlignment="1">
      <alignment vertical="center" wrapText="1"/>
    </xf>
    <xf numFmtId="0" fontId="35" fillId="11" borderId="0" xfId="50" applyFont="1" applyFill="1" applyBorder="1" applyAlignment="1">
      <alignment horizontal="center" vertical="center" wrapText="1"/>
    </xf>
    <xf numFmtId="0" fontId="35" fillId="0" borderId="0" xfId="0" applyFont="1"/>
    <xf numFmtId="0" fontId="35" fillId="0" borderId="13" xfId="0" applyFont="1" applyBorder="1" applyAlignment="1">
      <alignment horizontal="center"/>
    </xf>
    <xf numFmtId="0" fontId="54" fillId="11" borderId="0" xfId="50" applyFont="1" applyFill="1" applyBorder="1" applyAlignment="1">
      <alignment vertical="center" wrapText="1"/>
    </xf>
    <xf numFmtId="0" fontId="35" fillId="0" borderId="0" xfId="63" applyFont="1" applyFill="1" applyBorder="1" applyAlignment="1">
      <alignment horizontal="left" vertical="center" wrapText="1"/>
    </xf>
    <xf numFmtId="0" fontId="54" fillId="11" borderId="0" xfId="50" applyFont="1" applyFill="1" applyBorder="1" applyAlignment="1">
      <alignment horizontal="center" vertical="center" wrapText="1"/>
    </xf>
    <xf numFmtId="1" fontId="54" fillId="0" borderId="0" xfId="50" applyNumberFormat="1" applyFont="1" applyFill="1" applyBorder="1" applyAlignment="1">
      <alignment horizontal="center" vertical="center" wrapText="1"/>
    </xf>
    <xf numFmtId="4" fontId="35" fillId="0" borderId="0" xfId="63" applyNumberFormat="1" applyFont="1" applyFill="1" applyBorder="1"/>
    <xf numFmtId="0" fontId="59" fillId="0" borderId="0" xfId="0" applyFont="1" applyFill="1" applyBorder="1"/>
    <xf numFmtId="0" fontId="59" fillId="0" borderId="16" xfId="0" applyFont="1" applyFill="1" applyBorder="1"/>
    <xf numFmtId="0" fontId="60" fillId="0" borderId="45" xfId="0" applyFont="1" applyFill="1" applyBorder="1"/>
    <xf numFmtId="0" fontId="63" fillId="0" borderId="45" xfId="0" applyFont="1" applyFill="1" applyBorder="1"/>
    <xf numFmtId="174" fontId="60" fillId="0" borderId="46" xfId="61" applyNumberFormat="1" applyFont="1" applyFill="1" applyBorder="1"/>
    <xf numFmtId="0" fontId="0" fillId="0" borderId="0" xfId="0" applyFont="1" applyFill="1" applyBorder="1"/>
    <xf numFmtId="0" fontId="39" fillId="0" borderId="0" xfId="0" applyFont="1" applyFill="1" applyBorder="1"/>
    <xf numFmtId="174" fontId="59" fillId="0" borderId="18" xfId="61" applyNumberFormat="1" applyFont="1" applyFill="1" applyBorder="1"/>
    <xf numFmtId="0" fontId="0" fillId="0" borderId="45" xfId="0" applyFont="1" applyFill="1" applyBorder="1"/>
    <xf numFmtId="0" fontId="39" fillId="0" borderId="45" xfId="0" applyFont="1" applyFill="1" applyBorder="1"/>
    <xf numFmtId="174" fontId="59" fillId="0" borderId="46" xfId="61" applyNumberFormat="1" applyFont="1" applyFill="1" applyBorder="1"/>
    <xf numFmtId="1" fontId="55" fillId="14" borderId="13" xfId="50" applyNumberFormat="1" applyFont="1" applyFill="1" applyBorder="1" applyAlignment="1">
      <alignment horizontal="center" vertical="center" wrapText="1"/>
    </xf>
    <xf numFmtId="0" fontId="55" fillId="14" borderId="13" xfId="50" applyFont="1" applyFill="1" applyBorder="1" applyAlignment="1">
      <alignment vertical="center" wrapText="1"/>
    </xf>
    <xf numFmtId="0" fontId="55" fillId="14" borderId="13" xfId="50" applyFont="1" applyFill="1" applyBorder="1" applyAlignment="1">
      <alignment horizontal="left" vertical="center" wrapText="1"/>
    </xf>
    <xf numFmtId="0" fontId="55" fillId="14" borderId="13" xfId="50" applyFont="1" applyFill="1" applyBorder="1" applyAlignment="1">
      <alignment horizontal="center" vertical="center" wrapText="1"/>
    </xf>
    <xf numFmtId="0" fontId="28" fillId="14" borderId="13" xfId="50" applyFont="1" applyFill="1" applyBorder="1" applyAlignment="1">
      <alignment horizontal="center" vertical="center" wrapText="1"/>
    </xf>
    <xf numFmtId="43" fontId="55" fillId="14" borderId="13" xfId="51" applyFont="1" applyFill="1" applyBorder="1" applyAlignment="1">
      <alignment horizontal="center" vertical="center" wrapText="1"/>
    </xf>
    <xf numFmtId="0" fontId="28" fillId="14" borderId="21" xfId="0" applyFont="1" applyFill="1" applyBorder="1" applyAlignment="1">
      <alignment vertical="center" wrapText="1"/>
    </xf>
    <xf numFmtId="0" fontId="35" fillId="14" borderId="21" xfId="0" applyFont="1" applyFill="1" applyBorder="1" applyAlignment="1">
      <alignment horizontal="center" vertical="center" wrapText="1"/>
    </xf>
    <xf numFmtId="0" fontId="28" fillId="14" borderId="21" xfId="0" applyFont="1" applyFill="1" applyBorder="1" applyAlignment="1">
      <alignment horizontal="center" vertical="center" wrapText="1"/>
    </xf>
    <xf numFmtId="0" fontId="28" fillId="14" borderId="21" xfId="8" applyFont="1" applyFill="1" applyBorder="1" applyAlignment="1">
      <alignment horizontal="center" vertical="center" wrapText="1"/>
    </xf>
    <xf numFmtId="0" fontId="35" fillId="14" borderId="22" xfId="0" applyFont="1" applyFill="1" applyBorder="1" applyAlignment="1">
      <alignment horizontal="center" vertical="center" wrapText="1"/>
    </xf>
    <xf numFmtId="0" fontId="59" fillId="0" borderId="53" xfId="0" applyFont="1" applyFill="1" applyBorder="1"/>
    <xf numFmtId="0" fontId="28" fillId="14" borderId="48" xfId="0" applyFont="1" applyFill="1" applyBorder="1" applyAlignment="1">
      <alignment horizontal="center" vertical="center" wrapText="1"/>
    </xf>
    <xf numFmtId="0" fontId="54" fillId="11" borderId="13" xfId="50" applyFont="1" applyFill="1" applyBorder="1" applyAlignment="1">
      <alignment horizontal="left" vertical="center" wrapText="1"/>
    </xf>
    <xf numFmtId="0" fontId="54" fillId="11" borderId="13" xfId="50" applyFont="1" applyFill="1" applyBorder="1" applyAlignment="1">
      <alignment horizontal="center" vertical="center"/>
    </xf>
    <xf numFmtId="0" fontId="56" fillId="0" borderId="13" xfId="50" applyFont="1" applyFill="1" applyBorder="1" applyAlignment="1">
      <alignment horizontal="left" vertical="center" wrapText="1"/>
    </xf>
    <xf numFmtId="0" fontId="56" fillId="0" borderId="13" xfId="50" applyFont="1" applyFill="1" applyBorder="1" applyAlignment="1">
      <alignment vertical="center" wrapText="1"/>
    </xf>
    <xf numFmtId="4" fontId="35" fillId="0" borderId="0" xfId="0" applyNumberFormat="1" applyFont="1" applyFill="1" applyBorder="1"/>
    <xf numFmtId="4" fontId="35" fillId="0" borderId="0" xfId="0" applyNumberFormat="1" applyFont="1" applyFill="1" applyBorder="1" applyAlignment="1">
      <alignment horizontal="center"/>
    </xf>
    <xf numFmtId="4" fontId="35" fillId="0" borderId="0" xfId="0" applyNumberFormat="1" applyFont="1" applyBorder="1"/>
    <xf numFmtId="4" fontId="60" fillId="0" borderId="0" xfId="0" applyNumberFormat="1" applyFont="1" applyFill="1" applyBorder="1"/>
    <xf numFmtId="4" fontId="35" fillId="0" borderId="0" xfId="0" applyNumberFormat="1" applyFont="1" applyBorder="1" applyAlignment="1">
      <alignment horizontal="center"/>
    </xf>
    <xf numFmtId="4" fontId="35" fillId="14" borderId="15" xfId="0" applyNumberFormat="1" applyFont="1" applyFill="1" applyBorder="1" applyAlignment="1">
      <alignment wrapText="1"/>
    </xf>
    <xf numFmtId="4" fontId="35" fillId="0" borderId="0" xfId="0" applyNumberFormat="1" applyFont="1" applyFill="1" applyBorder="1" applyAlignment="1">
      <alignment wrapText="1"/>
    </xf>
    <xf numFmtId="4" fontId="35" fillId="9" borderId="0" xfId="0" applyNumberFormat="1" applyFont="1" applyFill="1" applyBorder="1" applyAlignment="1">
      <alignment wrapText="1"/>
    </xf>
    <xf numFmtId="4" fontId="28" fillId="16" borderId="16" xfId="0" applyNumberFormat="1" applyFont="1" applyFill="1" applyBorder="1"/>
    <xf numFmtId="4" fontId="28" fillId="16" borderId="0" xfId="0" applyNumberFormat="1" applyFont="1" applyFill="1" applyBorder="1" applyAlignment="1">
      <alignment horizontal="center"/>
    </xf>
    <xf numFmtId="4" fontId="28" fillId="16" borderId="18" xfId="0" applyNumberFormat="1" applyFont="1" applyFill="1" applyBorder="1" applyAlignment="1">
      <alignment horizontal="center"/>
    </xf>
    <xf numFmtId="4" fontId="35" fillId="10" borderId="0" xfId="0" applyNumberFormat="1" applyFont="1" applyFill="1" applyBorder="1"/>
    <xf numFmtId="4" fontId="35" fillId="0" borderId="16" xfId="0" applyNumberFormat="1" applyFont="1" applyBorder="1"/>
    <xf numFmtId="4" fontId="35" fillId="0" borderId="17" xfId="0" applyNumberFormat="1" applyFont="1" applyBorder="1" applyAlignment="1">
      <alignment horizontal="center"/>
    </xf>
    <xf numFmtId="4" fontId="35" fillId="0" borderId="18" xfId="0" applyNumberFormat="1" applyFont="1" applyBorder="1" applyAlignment="1">
      <alignment horizontal="center"/>
    </xf>
    <xf numFmtId="4" fontId="28" fillId="0" borderId="0" xfId="0" applyNumberFormat="1" applyFont="1" applyFill="1" applyBorder="1"/>
    <xf numFmtId="4" fontId="28" fillId="10" borderId="0" xfId="0" applyNumberFormat="1" applyFont="1" applyFill="1" applyBorder="1"/>
    <xf numFmtId="4" fontId="35" fillId="0" borderId="13" xfId="0" applyNumberFormat="1" applyFont="1" applyFill="1" applyBorder="1" applyAlignment="1">
      <alignment horizontal="center"/>
    </xf>
    <xf numFmtId="4" fontId="35" fillId="16" borderId="53" xfId="0" applyNumberFormat="1" applyFont="1" applyFill="1" applyBorder="1"/>
    <xf numFmtId="4" fontId="28" fillId="16" borderId="45" xfId="0" applyNumberFormat="1" applyFont="1" applyFill="1" applyBorder="1" applyAlignment="1">
      <alignment horizontal="right"/>
    </xf>
    <xf numFmtId="4" fontId="28" fillId="16" borderId="45" xfId="0" applyNumberFormat="1" applyFont="1" applyFill="1" applyBorder="1" applyAlignment="1">
      <alignment horizontal="center"/>
    </xf>
    <xf numFmtId="4" fontId="35" fillId="16" borderId="46" xfId="0" applyNumberFormat="1" applyFont="1" applyFill="1" applyBorder="1" applyAlignment="1">
      <alignment horizontal="center"/>
    </xf>
    <xf numFmtId="4" fontId="35" fillId="14" borderId="15" xfId="0" applyNumberFormat="1" applyFont="1" applyFill="1" applyBorder="1"/>
    <xf numFmtId="4" fontId="35" fillId="0" borderId="0" xfId="0" applyNumberFormat="1" applyFont="1" applyFill="1" applyBorder="1" applyAlignment="1">
      <alignment horizontal="center" vertical="center"/>
    </xf>
    <xf numFmtId="4" fontId="35" fillId="0" borderId="53" xfId="0" applyNumberFormat="1" applyFont="1" applyBorder="1"/>
    <xf numFmtId="4" fontId="28" fillId="16" borderId="45" xfId="0" applyNumberFormat="1" applyFont="1" applyFill="1" applyBorder="1"/>
    <xf numFmtId="4" fontId="28" fillId="16" borderId="46" xfId="0" applyNumberFormat="1" applyFont="1" applyFill="1" applyBorder="1" applyAlignment="1">
      <alignment horizontal="center"/>
    </xf>
    <xf numFmtId="4" fontId="35" fillId="17" borderId="15" xfId="0" applyNumberFormat="1" applyFont="1" applyFill="1" applyBorder="1"/>
    <xf numFmtId="4" fontId="59" fillId="0" borderId="0" xfId="0" applyNumberFormat="1" applyFont="1" applyFill="1" applyBorder="1"/>
    <xf numFmtId="4" fontId="35" fillId="0" borderId="45" xfId="0" applyNumberFormat="1" applyFont="1" applyFill="1" applyBorder="1"/>
    <xf numFmtId="4" fontId="35" fillId="0" borderId="46" xfId="0" applyNumberFormat="1" applyFont="1" applyFill="1" applyBorder="1" applyAlignment="1">
      <alignment horizontal="center"/>
    </xf>
    <xf numFmtId="4" fontId="0" fillId="0" borderId="50" xfId="0" applyNumberFormat="1" applyBorder="1"/>
    <xf numFmtId="4" fontId="60" fillId="0" borderId="50" xfId="0" applyNumberFormat="1" applyFont="1" applyBorder="1"/>
    <xf numFmtId="4" fontId="0" fillId="0" borderId="50" xfId="0" applyNumberFormat="1" applyBorder="1" applyAlignment="1">
      <alignment horizontal="center" vertical="center"/>
    </xf>
    <xf numFmtId="4" fontId="0" fillId="0" borderId="0" xfId="0" applyNumberFormat="1"/>
    <xf numFmtId="4" fontId="0" fillId="0" borderId="0" xfId="0" applyNumberFormat="1" applyFill="1" applyBorder="1"/>
    <xf numFmtId="4" fontId="0" fillId="0" borderId="0" xfId="0" applyNumberFormat="1" applyBorder="1"/>
    <xf numFmtId="4" fontId="60" fillId="0" borderId="0" xfId="0" applyNumberFormat="1" applyFont="1" applyBorder="1"/>
    <xf numFmtId="4" fontId="0" fillId="0" borderId="0" xfId="0" applyNumberFormat="1" applyBorder="1" applyAlignment="1">
      <alignment horizontal="center" vertical="center"/>
    </xf>
    <xf numFmtId="4" fontId="0" fillId="0" borderId="0" xfId="0" applyNumberFormat="1" applyAlignment="1">
      <alignment horizontal="center" vertical="center"/>
    </xf>
    <xf numFmtId="4" fontId="0" fillId="14" borderId="15" xfId="0" applyNumberFormat="1" applyFill="1" applyBorder="1"/>
    <xf numFmtId="4" fontId="60" fillId="14" borderId="42" xfId="39" applyNumberFormat="1" applyFont="1" applyFill="1" applyBorder="1">
      <alignment horizontal="left"/>
    </xf>
    <xf numFmtId="4" fontId="47" fillId="14" borderId="43" xfId="39" applyNumberFormat="1" applyFont="1" applyFill="1" applyBorder="1" applyAlignment="1">
      <alignment horizontal="center" vertical="center"/>
    </xf>
    <xf numFmtId="4" fontId="35" fillId="0" borderId="0" xfId="0" applyNumberFormat="1" applyFont="1"/>
    <xf numFmtId="4" fontId="0" fillId="0" borderId="16" xfId="0" applyNumberFormat="1" applyBorder="1"/>
    <xf numFmtId="4" fontId="35" fillId="0" borderId="0" xfId="0" applyNumberFormat="1" applyFont="1" applyBorder="1" applyAlignment="1"/>
    <xf numFmtId="4" fontId="54" fillId="0" borderId="0" xfId="32" applyNumberFormat="1" applyFont="1" applyFill="1">
      <alignment horizontal="center" vertical="center"/>
      <protection locked="0"/>
    </xf>
    <xf numFmtId="4" fontId="54" fillId="0" borderId="0" xfId="32" applyNumberFormat="1" applyFont="1" applyFill="1" applyProtection="1">
      <alignment horizontal="center" vertical="center"/>
    </xf>
    <xf numFmtId="4" fontId="35" fillId="13" borderId="0" xfId="0" applyNumberFormat="1" applyFont="1" applyFill="1" applyBorder="1" applyAlignment="1"/>
    <xf numFmtId="4" fontId="35" fillId="13" borderId="18" xfId="0" applyNumberFormat="1" applyFont="1" applyFill="1" applyBorder="1" applyAlignment="1">
      <alignment horizontal="center" vertical="center"/>
    </xf>
    <xf numFmtId="4" fontId="72" fillId="0" borderId="0" xfId="0" applyNumberFormat="1" applyFont="1"/>
    <xf numFmtId="4" fontId="35" fillId="0" borderId="18" xfId="0" applyNumberFormat="1" applyFont="1" applyBorder="1" applyAlignment="1">
      <alignment horizontal="center" vertical="center"/>
    </xf>
    <xf numFmtId="4" fontId="35" fillId="11" borderId="0" xfId="0" applyNumberFormat="1" applyFont="1" applyFill="1" applyBorder="1" applyAlignment="1"/>
    <xf numFmtId="4" fontId="35" fillId="11" borderId="18" xfId="0" applyNumberFormat="1" applyFont="1" applyFill="1" applyBorder="1" applyAlignment="1">
      <alignment horizontal="center" vertical="center"/>
    </xf>
    <xf numFmtId="4" fontId="35" fillId="0" borderId="0" xfId="48" applyNumberFormat="1" applyFont="1" applyFill="1" applyBorder="1" applyProtection="1">
      <alignment horizontal="center" vertical="center"/>
    </xf>
    <xf numFmtId="4" fontId="35" fillId="5" borderId="0" xfId="0" applyNumberFormat="1" applyFont="1" applyFill="1" applyBorder="1" applyAlignment="1"/>
    <xf numFmtId="4" fontId="35" fillId="0" borderId="18" xfId="9" applyNumberFormat="1" applyFont="1" applyBorder="1" applyAlignment="1">
      <alignment horizontal="center" vertical="center"/>
    </xf>
    <xf numFmtId="4" fontId="35" fillId="0" borderId="0" xfId="9" applyNumberFormat="1" applyFont="1" applyFill="1" applyBorder="1">
      <alignment horizontal="center" vertical="center"/>
    </xf>
    <xf numFmtId="4" fontId="0" fillId="0" borderId="53" xfId="0" applyNumberFormat="1" applyBorder="1"/>
    <xf numFmtId="4" fontId="28" fillId="16" borderId="45" xfId="0" applyNumberFormat="1" applyFont="1" applyFill="1" applyBorder="1" applyAlignment="1"/>
    <xf numFmtId="4" fontId="28" fillId="16" borderId="46" xfId="0" applyNumberFormat="1" applyFont="1" applyFill="1" applyBorder="1" applyAlignment="1">
      <alignment horizontal="center" vertical="center"/>
    </xf>
    <xf numFmtId="4" fontId="47" fillId="0" borderId="0" xfId="39" applyNumberFormat="1" applyFont="1" applyFill="1" applyBorder="1">
      <alignment horizontal="left"/>
    </xf>
    <xf numFmtId="4" fontId="54" fillId="0" borderId="0" xfId="32" applyNumberFormat="1" applyFont="1" applyFill="1" applyBorder="1">
      <alignment horizontal="center" vertical="center"/>
      <protection locked="0"/>
    </xf>
    <xf numFmtId="4" fontId="54" fillId="0" borderId="0" xfId="32" applyNumberFormat="1" applyFont="1" applyFill="1" applyBorder="1" applyProtection="1">
      <alignment horizontal="center" vertical="center"/>
    </xf>
    <xf numFmtId="4" fontId="0" fillId="0" borderId="18" xfId="0" applyNumberFormat="1" applyBorder="1" applyAlignment="1">
      <alignment horizontal="center" vertical="center"/>
    </xf>
    <xf numFmtId="4" fontId="35" fillId="0" borderId="0" xfId="9" applyNumberFormat="1" applyFont="1" applyFill="1" applyBorder="1" applyAlignment="1">
      <alignment horizontal="left" vertical="center"/>
    </xf>
    <xf numFmtId="4" fontId="35" fillId="0" borderId="0" xfId="40" applyNumberFormat="1" applyFont="1" applyFill="1" applyBorder="1">
      <protection locked="0"/>
    </xf>
    <xf numFmtId="4" fontId="35" fillId="0" borderId="0" xfId="48" applyNumberFormat="1" applyFont="1" applyFill="1" applyBorder="1">
      <alignment horizontal="center" vertical="center"/>
      <protection locked="0"/>
    </xf>
    <xf numFmtId="4" fontId="35" fillId="0" borderId="0" xfId="40" applyNumberFormat="1" applyFont="1" applyFill="1" applyBorder="1" applyAlignment="1">
      <alignment wrapText="1"/>
      <protection locked="0"/>
    </xf>
    <xf numFmtId="4" fontId="35" fillId="14" borderId="43" xfId="39" applyNumberFormat="1" applyFont="1" applyFill="1" applyBorder="1" applyAlignment="1">
      <alignment horizontal="center" vertical="center"/>
    </xf>
    <xf numFmtId="4" fontId="28" fillId="13" borderId="0" xfId="0" applyNumberFormat="1" applyFont="1" applyFill="1" applyBorder="1"/>
    <xf numFmtId="4" fontId="35" fillId="5" borderId="0" xfId="0" applyNumberFormat="1" applyFont="1" applyFill="1" applyBorder="1"/>
    <xf numFmtId="4" fontId="35" fillId="0" borderId="18" xfId="0" applyNumberFormat="1" applyFont="1" applyFill="1" applyBorder="1" applyAlignment="1">
      <alignment horizontal="center" vertical="center"/>
    </xf>
    <xf numFmtId="4" fontId="0" fillId="0" borderId="16" xfId="0" applyNumberFormat="1" applyFill="1" applyBorder="1"/>
    <xf numFmtId="4" fontId="35" fillId="0" borderId="0" xfId="0" applyNumberFormat="1" applyFont="1" applyAlignment="1" applyProtection="1">
      <alignment wrapText="1"/>
      <protection locked="0"/>
    </xf>
    <xf numFmtId="4" fontId="35" fillId="0" borderId="0" xfId="40" applyNumberFormat="1" applyFont="1" applyBorder="1">
      <protection locked="0"/>
    </xf>
    <xf numFmtId="4" fontId="35" fillId="0" borderId="0" xfId="40" applyNumberFormat="1" applyFont="1" applyAlignment="1">
      <alignment wrapText="1"/>
      <protection locked="0"/>
    </xf>
    <xf numFmtId="4" fontId="35" fillId="0" borderId="0" xfId="40" applyNumberFormat="1" applyFont="1" applyBorder="1" applyAlignment="1">
      <alignment wrapText="1"/>
      <protection locked="0"/>
    </xf>
    <xf numFmtId="4" fontId="35" fillId="0" borderId="0" xfId="9" applyNumberFormat="1" applyFont="1" applyBorder="1" applyAlignment="1">
      <alignment horizontal="left" vertical="center"/>
    </xf>
    <xf numFmtId="4" fontId="35" fillId="17" borderId="42" xfId="0" applyNumberFormat="1" applyFont="1" applyFill="1" applyBorder="1"/>
    <xf numFmtId="4" fontId="35" fillId="17" borderId="43" xfId="0" applyNumberFormat="1" applyFont="1" applyFill="1" applyBorder="1" applyAlignment="1">
      <alignment horizontal="center"/>
    </xf>
    <xf numFmtId="4" fontId="35" fillId="17" borderId="16" xfId="0" applyNumberFormat="1" applyFont="1" applyFill="1" applyBorder="1"/>
    <xf numFmtId="4" fontId="71" fillId="17" borderId="0" xfId="0" applyNumberFormat="1" applyFont="1" applyFill="1" applyBorder="1"/>
    <xf numFmtId="4" fontId="28" fillId="17" borderId="18" xfId="0" applyNumberFormat="1" applyFont="1" applyFill="1" applyBorder="1" applyAlignment="1">
      <alignment horizontal="center"/>
    </xf>
    <xf numFmtId="4" fontId="35" fillId="0" borderId="18" xfId="0" applyNumberFormat="1" applyFont="1" applyFill="1" applyBorder="1" applyAlignment="1">
      <alignment horizontal="center"/>
    </xf>
    <xf numFmtId="4" fontId="28" fillId="0" borderId="45" xfId="0" applyNumberFormat="1" applyFont="1" applyFill="1" applyBorder="1"/>
    <xf numFmtId="4" fontId="28" fillId="0" borderId="46" xfId="0" applyNumberFormat="1" applyFont="1" applyFill="1" applyBorder="1" applyAlignment="1">
      <alignment horizontal="center"/>
    </xf>
    <xf numFmtId="4" fontId="35" fillId="0" borderId="50" xfId="0" applyNumberFormat="1" applyFont="1" applyBorder="1"/>
    <xf numFmtId="4" fontId="35" fillId="0" borderId="15" xfId="0" applyNumberFormat="1" applyFont="1" applyBorder="1"/>
    <xf numFmtId="4" fontId="60" fillId="0" borderId="42" xfId="39" applyNumberFormat="1" applyFont="1" applyFill="1" applyBorder="1">
      <alignment horizontal="left"/>
    </xf>
    <xf numFmtId="4" fontId="35" fillId="0" borderId="43" xfId="0" applyNumberFormat="1" applyFont="1" applyBorder="1"/>
    <xf numFmtId="4" fontId="35" fillId="0" borderId="18" xfId="0" applyNumberFormat="1" applyFont="1" applyBorder="1"/>
    <xf numFmtId="4" fontId="35" fillId="0" borderId="16" xfId="0" applyNumberFormat="1" applyFont="1" applyFill="1" applyBorder="1"/>
    <xf numFmtId="4" fontId="28" fillId="14" borderId="0" xfId="39" applyNumberFormat="1" applyFont="1" applyFill="1" applyBorder="1">
      <alignment horizontal="left"/>
    </xf>
    <xf numFmtId="4" fontId="35" fillId="14" borderId="18" xfId="39" applyNumberFormat="1" applyFont="1" applyFill="1" applyBorder="1" applyAlignment="1">
      <alignment horizontal="center" vertical="center"/>
    </xf>
    <xf numFmtId="4" fontId="73" fillId="0" borderId="0" xfId="0" applyNumberFormat="1" applyFont="1" applyBorder="1"/>
    <xf numFmtId="4" fontId="35" fillId="0" borderId="45" xfId="0" applyNumberFormat="1" applyFont="1" applyBorder="1"/>
    <xf numFmtId="4" fontId="35" fillId="0" borderId="42" xfId="0" applyNumberFormat="1" applyFont="1" applyBorder="1"/>
    <xf numFmtId="4" fontId="35" fillId="0" borderId="18" xfId="63" applyNumberFormat="1" applyFont="1" applyFill="1" applyBorder="1" applyAlignment="1">
      <alignment horizontal="left" wrapText="1"/>
    </xf>
    <xf numFmtId="4" fontId="35" fillId="0" borderId="0" xfId="63" applyNumberFormat="1" applyFont="1" applyFill="1" applyBorder="1" applyAlignment="1">
      <alignment horizontal="right" vertical="center"/>
    </xf>
    <xf numFmtId="4" fontId="35" fillId="0" borderId="0" xfId="63" applyNumberFormat="1" applyFont="1" applyFill="1" applyBorder="1" applyAlignment="1">
      <alignment horizontal="right" vertical="center" wrapText="1"/>
    </xf>
    <xf numFmtId="4" fontId="35" fillId="0" borderId="13" xfId="39" applyNumberFormat="1" applyFont="1" applyFill="1" applyBorder="1">
      <alignment horizontal="left"/>
    </xf>
    <xf numFmtId="4" fontId="28" fillId="0" borderId="0" xfId="39" applyNumberFormat="1" applyFont="1" applyFill="1" applyBorder="1">
      <alignment horizontal="left"/>
    </xf>
    <xf numFmtId="4" fontId="28" fillId="14" borderId="0" xfId="39" applyNumberFormat="1" applyFont="1" applyFill="1" applyBorder="1" applyAlignment="1">
      <alignment horizontal="center" vertical="center" wrapText="1"/>
    </xf>
    <xf numFmtId="4" fontId="28" fillId="14" borderId="18" xfId="0" applyNumberFormat="1" applyFont="1" applyFill="1" applyBorder="1" applyAlignment="1">
      <alignment horizontal="center" wrapText="1"/>
    </xf>
    <xf numFmtId="4" fontId="35" fillId="0" borderId="13" xfId="40" applyNumberFormat="1" applyFont="1" applyBorder="1">
      <protection locked="0"/>
    </xf>
    <xf numFmtId="4" fontId="35" fillId="0" borderId="13" xfId="40" applyNumberFormat="1" applyFont="1" applyBorder="1" applyAlignment="1">
      <alignment wrapText="1"/>
      <protection locked="0"/>
    </xf>
    <xf numFmtId="4" fontId="35" fillId="5" borderId="13" xfId="0" applyNumberFormat="1" applyFont="1" applyFill="1" applyBorder="1" applyAlignment="1"/>
    <xf numFmtId="4" fontId="35" fillId="0" borderId="13" xfId="0" applyNumberFormat="1" applyFont="1" applyBorder="1"/>
    <xf numFmtId="4" fontId="35" fillId="0" borderId="23" xfId="0" applyNumberFormat="1" applyFont="1" applyBorder="1"/>
    <xf numFmtId="4" fontId="35" fillId="0" borderId="55" xfId="0" applyNumberFormat="1" applyFont="1" applyBorder="1" applyAlignment="1">
      <alignment horizontal="center"/>
    </xf>
    <xf numFmtId="4" fontId="28" fillId="16" borderId="0" xfId="0" applyNumberFormat="1" applyFont="1" applyFill="1" applyBorder="1"/>
    <xf numFmtId="4" fontId="35" fillId="16" borderId="18" xfId="0" applyNumberFormat="1" applyFont="1" applyFill="1" applyBorder="1" applyAlignment="1">
      <alignment horizontal="center"/>
    </xf>
    <xf numFmtId="4" fontId="28" fillId="0" borderId="18" xfId="0" applyNumberFormat="1" applyFont="1" applyFill="1" applyBorder="1" applyAlignment="1">
      <alignment horizontal="center" wrapText="1"/>
    </xf>
    <xf numFmtId="4" fontId="35" fillId="0" borderId="46" xfId="0" applyNumberFormat="1" applyFont="1" applyBorder="1"/>
    <xf numFmtId="4" fontId="28" fillId="14" borderId="0" xfId="0" applyNumberFormat="1" applyFont="1" applyFill="1" applyBorder="1"/>
    <xf numFmtId="4" fontId="28" fillId="14" borderId="18" xfId="39" applyNumberFormat="1" applyFont="1" applyFill="1" applyBorder="1" applyAlignment="1">
      <alignment horizontal="center" vertical="center" wrapText="1"/>
    </xf>
    <xf numFmtId="4" fontId="65" fillId="0" borderId="54" xfId="0" applyNumberFormat="1" applyFont="1" applyBorder="1" applyAlignment="1">
      <alignment horizontal="center" vertical="center"/>
    </xf>
    <xf numFmtId="4" fontId="0" fillId="0" borderId="45" xfId="0" applyNumberFormat="1" applyBorder="1"/>
    <xf numFmtId="4" fontId="60" fillId="14" borderId="42" xfId="0" applyNumberFormat="1" applyFont="1" applyFill="1" applyBorder="1"/>
    <xf numFmtId="4" fontId="35" fillId="14" borderId="42" xfId="0" applyNumberFormat="1" applyFont="1" applyFill="1" applyBorder="1"/>
    <xf numFmtId="4" fontId="35" fillId="14" borderId="43" xfId="0" applyNumberFormat="1" applyFont="1" applyFill="1" applyBorder="1"/>
    <xf numFmtId="4" fontId="35" fillId="16" borderId="0" xfId="0" applyNumberFormat="1" applyFont="1" applyFill="1" applyBorder="1"/>
    <xf numFmtId="4" fontId="28" fillId="16" borderId="0" xfId="0" applyNumberFormat="1" applyFont="1" applyFill="1" applyBorder="1" applyAlignment="1">
      <alignment horizontal="center" vertical="center"/>
    </xf>
    <xf numFmtId="4" fontId="28" fillId="16" borderId="0" xfId="0" applyNumberFormat="1" applyFont="1" applyFill="1" applyBorder="1" applyAlignment="1">
      <alignment horizontal="center" vertical="center" wrapText="1"/>
    </xf>
    <xf numFmtId="4" fontId="35" fillId="0" borderId="13" xfId="0" applyNumberFormat="1" applyFont="1" applyBorder="1" applyAlignment="1">
      <alignment horizontal="right"/>
    </xf>
    <xf numFmtId="4" fontId="54" fillId="0" borderId="13" xfId="40" applyNumberFormat="1" applyFont="1" applyBorder="1" applyAlignment="1">
      <alignment horizontal="right"/>
      <protection locked="0"/>
    </xf>
    <xf numFmtId="4" fontId="75" fillId="0" borderId="13" xfId="40" applyNumberFormat="1" applyFont="1" applyBorder="1" applyAlignment="1">
      <alignment horizontal="right"/>
      <protection locked="0"/>
    </xf>
    <xf numFmtId="4" fontId="35" fillId="16" borderId="45" xfId="0" applyNumberFormat="1" applyFont="1" applyFill="1" applyBorder="1"/>
    <xf numFmtId="4" fontId="60" fillId="14" borderId="42" xfId="0" applyNumberFormat="1" applyFont="1" applyFill="1" applyBorder="1" applyAlignment="1">
      <alignment horizontal="left"/>
    </xf>
    <xf numFmtId="4" fontId="35" fillId="0" borderId="13" xfId="0" applyNumberFormat="1" applyFont="1" applyFill="1" applyBorder="1"/>
    <xf numFmtId="4" fontId="35" fillId="13" borderId="18" xfId="0" applyNumberFormat="1" applyFont="1" applyFill="1" applyBorder="1" applyAlignment="1">
      <alignment horizontal="center"/>
    </xf>
    <xf numFmtId="4" fontId="35" fillId="5" borderId="13" xfId="0" applyNumberFormat="1" applyFont="1" applyFill="1" applyBorder="1"/>
    <xf numFmtId="4" fontId="35" fillId="13" borderId="18" xfId="0" applyNumberFormat="1" applyFont="1" applyFill="1" applyBorder="1"/>
    <xf numFmtId="4" fontId="35" fillId="5" borderId="13" xfId="0" applyNumberFormat="1" applyFont="1" applyFill="1" applyBorder="1" applyAlignment="1">
      <alignment horizontal="left"/>
    </xf>
    <xf numFmtId="4" fontId="35" fillId="0" borderId="0" xfId="0" applyNumberFormat="1" applyFont="1" applyAlignment="1">
      <alignment horizontal="center"/>
    </xf>
    <xf numFmtId="4" fontId="45" fillId="0" borderId="0" xfId="39" applyNumberFormat="1" applyFont="1">
      <alignment horizontal="left"/>
    </xf>
    <xf numFmtId="4" fontId="29" fillId="5" borderId="0" xfId="0" applyNumberFormat="1" applyFont="1" applyFill="1" applyBorder="1"/>
    <xf numFmtId="4" fontId="29" fillId="0" borderId="0" xfId="9" applyNumberFormat="1" applyFont="1" applyBorder="1" applyAlignment="1">
      <alignment horizontal="left" vertical="center"/>
    </xf>
    <xf numFmtId="4" fontId="35" fillId="0" borderId="53" xfId="0" applyNumberFormat="1" applyFont="1" applyFill="1" applyBorder="1"/>
    <xf numFmtId="4" fontId="35" fillId="0" borderId="13" xfId="0" applyNumberFormat="1" applyFont="1" applyBorder="1" applyAlignment="1">
      <alignment vertical="center"/>
    </xf>
    <xf numFmtId="4" fontId="59" fillId="0" borderId="0" xfId="0" applyNumberFormat="1" applyFont="1"/>
    <xf numFmtId="4" fontId="59" fillId="0" borderId="0" xfId="0" applyNumberFormat="1" applyFont="1" applyFill="1"/>
    <xf numFmtId="4" fontId="76" fillId="0" borderId="0" xfId="0" applyNumberFormat="1" applyFont="1" applyFill="1" applyAlignment="1">
      <alignment horizontal="center"/>
    </xf>
    <xf numFmtId="4" fontId="60" fillId="0" borderId="0" xfId="0" applyNumberFormat="1" applyFont="1" applyFill="1" applyAlignment="1">
      <alignment horizontal="center"/>
    </xf>
    <xf numFmtId="4" fontId="60" fillId="14" borderId="0" xfId="0" applyNumberFormat="1" applyFont="1" applyFill="1" applyBorder="1" applyAlignment="1">
      <alignment horizontal="center"/>
    </xf>
    <xf numFmtId="4" fontId="77" fillId="20" borderId="0" xfId="0" applyNumberFormat="1" applyFont="1" applyFill="1" applyBorder="1" applyAlignment="1">
      <alignment horizontal="center"/>
    </xf>
    <xf numFmtId="4" fontId="59" fillId="16" borderId="13" xfId="0" applyNumberFormat="1" applyFont="1" applyFill="1" applyBorder="1"/>
    <xf numFmtId="4" fontId="59" fillId="0" borderId="13" xfId="0" applyNumberFormat="1" applyFont="1" applyBorder="1" applyAlignment="1">
      <alignment horizontal="center"/>
    </xf>
    <xf numFmtId="4" fontId="59" fillId="0" borderId="0" xfId="0" applyNumberFormat="1" applyFont="1" applyBorder="1"/>
    <xf numFmtId="4" fontId="59" fillId="0" borderId="14" xfId="0" applyNumberFormat="1" applyFont="1" applyBorder="1" applyAlignment="1">
      <alignment horizontal="center"/>
    </xf>
    <xf numFmtId="4" fontId="59" fillId="0" borderId="13" xfId="0" applyNumberFormat="1" applyFont="1" applyFill="1" applyBorder="1" applyAlignment="1">
      <alignment horizontal="center"/>
    </xf>
    <xf numFmtId="4" fontId="60" fillId="0" borderId="0" xfId="0" applyNumberFormat="1" applyFont="1" applyAlignment="1">
      <alignment horizontal="right"/>
    </xf>
    <xf numFmtId="4" fontId="60" fillId="0" borderId="0" xfId="0" applyNumberFormat="1" applyFont="1" applyAlignment="1">
      <alignment horizontal="center"/>
    </xf>
    <xf numFmtId="4" fontId="60" fillId="0" borderId="0" xfId="0" applyNumberFormat="1" applyFont="1"/>
    <xf numFmtId="4" fontId="59" fillId="0" borderId="23" xfId="0" applyNumberFormat="1" applyFont="1" applyFill="1" applyBorder="1" applyAlignment="1">
      <alignment horizontal="center"/>
    </xf>
    <xf numFmtId="4" fontId="59" fillId="0" borderId="6" xfId="0" applyNumberFormat="1" applyFont="1" applyFill="1" applyBorder="1"/>
    <xf numFmtId="4" fontId="59" fillId="0" borderId="0" xfId="0" applyNumberFormat="1" applyFont="1" applyFill="1" applyBorder="1" applyAlignment="1">
      <alignment horizontal="center"/>
    </xf>
    <xf numFmtId="0" fontId="35" fillId="0" borderId="0" xfId="0" applyFont="1" applyAlignment="1">
      <alignment vertical="justify"/>
    </xf>
    <xf numFmtId="0" fontId="35" fillId="18" borderId="13" xfId="0" applyFont="1" applyFill="1" applyBorder="1" applyAlignment="1">
      <alignment horizontal="center" vertical="justify"/>
    </xf>
    <xf numFmtId="0" fontId="35" fillId="11" borderId="13" xfId="0" applyFont="1" applyFill="1" applyBorder="1" applyAlignment="1">
      <alignment vertical="justify"/>
    </xf>
    <xf numFmtId="0" fontId="35" fillId="0" borderId="13" xfId="0" applyFont="1" applyBorder="1" applyAlignment="1">
      <alignment horizontal="center" vertical="justify"/>
    </xf>
    <xf numFmtId="0" fontId="64" fillId="0" borderId="0" xfId="0" applyFont="1" applyBorder="1" applyAlignment="1">
      <alignment vertical="center"/>
    </xf>
    <xf numFmtId="0" fontId="88" fillId="0" borderId="0" xfId="0" applyFont="1" applyBorder="1" applyAlignment="1">
      <alignment horizontal="center" vertical="center"/>
    </xf>
    <xf numFmtId="0" fontId="90" fillId="0" borderId="0" xfId="0" applyFont="1"/>
    <xf numFmtId="0" fontId="35" fillId="0" borderId="56" xfId="0" applyFont="1" applyBorder="1" applyAlignment="1">
      <alignment horizontal="center" vertical="center"/>
    </xf>
    <xf numFmtId="0" fontId="64" fillId="0" borderId="56" xfId="2" applyFont="1" applyFill="1" applyBorder="1" applyAlignment="1">
      <alignment vertical="center"/>
    </xf>
    <xf numFmtId="0" fontId="35" fillId="0" borderId="56" xfId="0" applyFont="1" applyBorder="1" applyAlignment="1">
      <alignment horizontal="center"/>
    </xf>
    <xf numFmtId="0" fontId="28" fillId="0" borderId="16" xfId="0" applyFont="1" applyBorder="1"/>
    <xf numFmtId="0" fontId="35" fillId="0" borderId="53" xfId="0" applyFont="1" applyBorder="1"/>
    <xf numFmtId="0" fontId="35" fillId="18" borderId="56" xfId="0" applyFont="1" applyFill="1" applyBorder="1" applyAlignment="1">
      <alignment horizontal="center" vertical="justify"/>
    </xf>
    <xf numFmtId="0" fontId="35" fillId="0" borderId="56" xfId="0" applyFont="1" applyBorder="1" applyAlignment="1">
      <alignment horizontal="center" vertical="justify"/>
    </xf>
    <xf numFmtId="0" fontId="35" fillId="11" borderId="13" xfId="0" applyFont="1" applyFill="1" applyBorder="1" applyAlignment="1">
      <alignment horizontal="center" vertical="center"/>
    </xf>
    <xf numFmtId="0" fontId="28" fillId="14" borderId="56" xfId="0" applyFont="1" applyFill="1" applyBorder="1" applyAlignment="1">
      <alignment horizontal="center" vertical="center" wrapText="1"/>
    </xf>
    <xf numFmtId="0" fontId="35" fillId="11" borderId="13" xfId="0" applyFont="1" applyFill="1" applyBorder="1" applyAlignment="1">
      <alignment vertical="center"/>
    </xf>
    <xf numFmtId="0" fontId="91" fillId="0" borderId="2" xfId="0" applyFont="1" applyFill="1" applyBorder="1" applyAlignment="1">
      <alignment horizontal="left" vertical="center" wrapText="1"/>
    </xf>
    <xf numFmtId="0" fontId="35" fillId="11" borderId="0" xfId="0" applyFont="1" applyFill="1" applyBorder="1" applyAlignment="1">
      <alignment vertical="justify"/>
    </xf>
    <xf numFmtId="0" fontId="91" fillId="11" borderId="56" xfId="0" applyFont="1" applyFill="1" applyBorder="1" applyAlignment="1">
      <alignment horizontal="left" vertical="center" wrapText="1"/>
    </xf>
    <xf numFmtId="0" fontId="23" fillId="11" borderId="0" xfId="0" applyFont="1" applyFill="1" applyBorder="1" applyAlignment="1">
      <alignment horizontal="left" vertical="center" wrapText="1"/>
    </xf>
    <xf numFmtId="0" fontId="35" fillId="0" borderId="0" xfId="0" applyFont="1" applyBorder="1" applyAlignment="1">
      <alignment vertical="justify"/>
    </xf>
    <xf numFmtId="0" fontId="95" fillId="18" borderId="56" xfId="0" applyFont="1" applyFill="1" applyBorder="1" applyAlignment="1">
      <alignment horizontal="left" vertical="center" wrapText="1"/>
    </xf>
    <xf numFmtId="0" fontId="95" fillId="0" borderId="56" xfId="0" applyFont="1" applyBorder="1" applyAlignment="1">
      <alignment horizontal="left" vertical="center" wrapText="1"/>
    </xf>
    <xf numFmtId="4" fontId="35" fillId="0" borderId="56" xfId="0" applyNumberFormat="1" applyFont="1" applyFill="1" applyBorder="1" applyAlignment="1">
      <alignment horizontal="center"/>
    </xf>
    <xf numFmtId="4" fontId="35" fillId="11" borderId="0" xfId="0" applyNumberFormat="1" applyFont="1" applyFill="1" applyBorder="1"/>
    <xf numFmtId="0" fontId="95" fillId="25" borderId="56" xfId="0" applyFont="1" applyFill="1" applyBorder="1" applyAlignment="1">
      <alignment horizontal="left" vertical="center" wrapText="1"/>
    </xf>
    <xf numFmtId="0" fontId="91" fillId="11" borderId="3" xfId="0" applyFont="1" applyFill="1" applyBorder="1" applyAlignment="1">
      <alignment horizontal="left" vertical="center" wrapText="1"/>
    </xf>
    <xf numFmtId="4" fontId="0" fillId="24" borderId="15" xfId="0" applyNumberFormat="1" applyFill="1" applyBorder="1"/>
    <xf numFmtId="4" fontId="60" fillId="24" borderId="42" xfId="0" applyNumberFormat="1" applyFont="1" applyFill="1" applyBorder="1" applyAlignment="1">
      <alignment horizontal="left"/>
    </xf>
    <xf numFmtId="4" fontId="35" fillId="24" borderId="43" xfId="0" applyNumberFormat="1" applyFont="1" applyFill="1" applyBorder="1" applyAlignment="1">
      <alignment horizontal="center" vertical="center"/>
    </xf>
    <xf numFmtId="4" fontId="35" fillId="0" borderId="0" xfId="0" applyNumberFormat="1" applyFont="1" applyProtection="1">
      <protection locked="0"/>
    </xf>
    <xf numFmtId="4" fontId="35" fillId="18" borderId="0" xfId="0" applyNumberFormat="1" applyFont="1" applyFill="1"/>
    <xf numFmtId="4" fontId="28" fillId="28" borderId="45" xfId="0" applyNumberFormat="1" applyFont="1" applyFill="1" applyBorder="1"/>
    <xf numFmtId="4" fontId="28" fillId="28" borderId="46" xfId="0" applyNumberFormat="1" applyFont="1" applyFill="1" applyBorder="1" applyAlignment="1">
      <alignment horizontal="center" vertical="center"/>
    </xf>
    <xf numFmtId="4" fontId="35" fillId="0" borderId="56" xfId="40" applyNumberFormat="1" applyFont="1" applyBorder="1">
      <protection locked="0"/>
    </xf>
    <xf numFmtId="4" fontId="35" fillId="0" borderId="56" xfId="40" applyNumberFormat="1" applyFont="1" applyBorder="1" applyAlignment="1">
      <alignment wrapText="1"/>
      <protection locked="0"/>
    </xf>
    <xf numFmtId="4" fontId="35" fillId="0" borderId="56" xfId="0" applyNumberFormat="1" applyFont="1" applyBorder="1"/>
    <xf numFmtId="4" fontId="59" fillId="16" borderId="56" xfId="0" applyNumberFormat="1" applyFont="1" applyFill="1" applyBorder="1"/>
    <xf numFmtId="4" fontId="59" fillId="0" borderId="56" xfId="0" applyNumberFormat="1" applyFont="1" applyBorder="1" applyAlignment="1">
      <alignment horizontal="center"/>
    </xf>
    <xf numFmtId="4" fontId="59" fillId="0" borderId="56" xfId="0" applyNumberFormat="1" applyFont="1" applyFill="1" applyBorder="1" applyAlignment="1">
      <alignment horizontal="center"/>
    </xf>
    <xf numFmtId="0" fontId="96" fillId="18" borderId="14" xfId="0" applyFont="1" applyFill="1" applyBorder="1" applyAlignment="1">
      <alignment horizontal="left" vertical="center" wrapText="1"/>
    </xf>
    <xf numFmtId="4" fontId="28" fillId="0" borderId="32" xfId="0" applyNumberFormat="1" applyFont="1" applyBorder="1"/>
    <xf numFmtId="4" fontId="98" fillId="0" borderId="0" xfId="0" applyNumberFormat="1" applyFont="1"/>
    <xf numFmtId="4" fontId="78" fillId="12" borderId="13" xfId="0" applyNumberFormat="1" applyFont="1" applyFill="1" applyBorder="1" applyAlignment="1">
      <alignment horizontal="center"/>
    </xf>
    <xf numFmtId="4" fontId="60" fillId="0" borderId="0" xfId="0" applyNumberFormat="1" applyFont="1" applyFill="1" applyBorder="1" applyAlignment="1">
      <alignment horizontal="center"/>
    </xf>
    <xf numFmtId="4" fontId="59" fillId="0" borderId="0" xfId="0" applyNumberFormat="1" applyFont="1" applyBorder="1" applyAlignment="1">
      <alignment horizontal="center"/>
    </xf>
    <xf numFmtId="4" fontId="60" fillId="14" borderId="42" xfId="0" applyNumberFormat="1" applyFont="1" applyFill="1" applyBorder="1" applyAlignment="1">
      <alignment horizontal="center" vertical="center" wrapText="1"/>
    </xf>
    <xf numFmtId="4" fontId="60" fillId="14" borderId="42" xfId="0" applyNumberFormat="1" applyFont="1" applyFill="1" applyBorder="1" applyAlignment="1">
      <alignment horizontal="center" wrapText="1"/>
    </xf>
    <xf numFmtId="4" fontId="60" fillId="14" borderId="43" xfId="0" applyNumberFormat="1" applyFont="1" applyFill="1" applyBorder="1" applyAlignment="1">
      <alignment horizontal="center" vertical="center" wrapText="1"/>
    </xf>
    <xf numFmtId="4" fontId="60" fillId="16" borderId="0" xfId="63" applyNumberFormat="1" applyFont="1" applyFill="1" applyBorder="1" applyAlignment="1">
      <alignment horizontal="left" vertical="top" wrapText="1"/>
    </xf>
    <xf numFmtId="4" fontId="60" fillId="16" borderId="0" xfId="0" applyNumberFormat="1" applyFont="1" applyFill="1" applyBorder="1" applyAlignment="1">
      <alignment horizontal="center"/>
    </xf>
    <xf numFmtId="4" fontId="60" fillId="16" borderId="18" xfId="0" applyNumberFormat="1" applyFont="1" applyFill="1" applyBorder="1" applyAlignment="1">
      <alignment horizontal="center"/>
    </xf>
    <xf numFmtId="4" fontId="59" fillId="0" borderId="13" xfId="63" applyNumberFormat="1" applyFont="1" applyFill="1" applyBorder="1" applyAlignment="1">
      <alignment horizontal="left" vertical="top" wrapText="1"/>
    </xf>
    <xf numFmtId="4" fontId="59" fillId="0" borderId="17" xfId="0" applyNumberFormat="1" applyFont="1" applyBorder="1" applyAlignment="1">
      <alignment horizontal="center"/>
    </xf>
    <xf numFmtId="4" fontId="60" fillId="0" borderId="0" xfId="63" applyNumberFormat="1" applyFont="1" applyFill="1" applyBorder="1" applyAlignment="1">
      <alignment horizontal="right" vertical="top" wrapText="1"/>
    </xf>
    <xf numFmtId="4" fontId="101" fillId="0" borderId="0" xfId="63" applyNumberFormat="1" applyFont="1" applyFill="1" applyBorder="1" applyAlignment="1">
      <alignment horizontal="center" vertical="top" wrapText="1"/>
    </xf>
    <xf numFmtId="4" fontId="59" fillId="0" borderId="18" xfId="0" applyNumberFormat="1" applyFont="1" applyBorder="1" applyAlignment="1">
      <alignment horizontal="center"/>
    </xf>
    <xf numFmtId="4" fontId="59" fillId="11" borderId="13" xfId="0" applyNumberFormat="1" applyFont="1" applyFill="1" applyBorder="1" applyAlignment="1">
      <alignment horizontal="center"/>
    </xf>
    <xf numFmtId="4" fontId="60" fillId="0" borderId="0" xfId="0" applyNumberFormat="1" applyFont="1" applyBorder="1" applyAlignment="1">
      <alignment horizontal="center"/>
    </xf>
    <xf numFmtId="4" fontId="97" fillId="0" borderId="0" xfId="63" applyNumberFormat="1" applyFont="1" applyFill="1" applyBorder="1" applyAlignment="1">
      <alignment horizontal="center" vertical="top" wrapText="1"/>
    </xf>
    <xf numFmtId="4" fontId="60" fillId="16" borderId="0" xfId="63" applyNumberFormat="1" applyFont="1" applyFill="1" applyBorder="1" applyAlignment="1">
      <alignment horizontal="left" vertical="center" wrapText="1"/>
    </xf>
    <xf numFmtId="4" fontId="60" fillId="0" borderId="0" xfId="63" applyNumberFormat="1" applyFont="1" applyFill="1" applyBorder="1" applyAlignment="1">
      <alignment horizontal="center" vertical="top" wrapText="1"/>
    </xf>
    <xf numFmtId="4" fontId="60" fillId="16" borderId="0" xfId="11" applyNumberFormat="1" applyFont="1" applyFill="1" applyBorder="1" applyAlignment="1">
      <alignment horizontal="left" vertical="top" wrapText="1" readingOrder="1"/>
    </xf>
    <xf numFmtId="0" fontId="21" fillId="11" borderId="56" xfId="0" applyFont="1" applyFill="1" applyBorder="1" applyAlignment="1">
      <alignment horizontal="left" vertical="center" wrapText="1"/>
    </xf>
    <xf numFmtId="4" fontId="59" fillId="0" borderId="56" xfId="0" applyNumberFormat="1" applyFont="1" applyFill="1" applyBorder="1" applyAlignment="1">
      <alignment horizontal="left" vertical="justify"/>
    </xf>
    <xf numFmtId="4" fontId="59" fillId="0" borderId="0" xfId="0" applyNumberFormat="1" applyFont="1" applyFill="1" applyBorder="1" applyAlignment="1">
      <alignment horizontal="left"/>
    </xf>
    <xf numFmtId="4" fontId="97" fillId="0" borderId="0" xfId="0" applyNumberFormat="1" applyFont="1" applyFill="1" applyBorder="1" applyAlignment="1">
      <alignment horizontal="left"/>
    </xf>
    <xf numFmtId="4" fontId="59" fillId="0" borderId="14" xfId="0" applyNumberFormat="1" applyFont="1" applyFill="1" applyBorder="1" applyAlignment="1">
      <alignment horizontal="center" vertical="center"/>
    </xf>
    <xf numFmtId="4" fontId="59" fillId="0" borderId="56" xfId="0" applyNumberFormat="1" applyFont="1" applyBorder="1" applyAlignment="1">
      <alignment horizontal="center" vertical="center"/>
    </xf>
    <xf numFmtId="0" fontId="102" fillId="0" borderId="56" xfId="0" applyFont="1" applyFill="1" applyBorder="1" applyAlignment="1">
      <alignment horizontal="left" vertical="center" wrapText="1"/>
    </xf>
    <xf numFmtId="4" fontId="59" fillId="0" borderId="56" xfId="0" applyNumberFormat="1" applyFont="1" applyFill="1" applyBorder="1" applyAlignment="1">
      <alignment horizontal="center" vertical="center"/>
    </xf>
    <xf numFmtId="4" fontId="60" fillId="16" borderId="0" xfId="0" applyNumberFormat="1" applyFont="1" applyFill="1" applyBorder="1" applyAlignment="1">
      <alignment horizontal="left"/>
    </xf>
    <xf numFmtId="4" fontId="60" fillId="16" borderId="45" xfId="0" applyNumberFormat="1" applyFont="1" applyFill="1" applyBorder="1" applyAlignment="1">
      <alignment horizontal="right"/>
    </xf>
    <xf numFmtId="4" fontId="59" fillId="16" borderId="45" xfId="0" applyNumberFormat="1" applyFont="1" applyFill="1" applyBorder="1" applyAlignment="1">
      <alignment horizontal="center"/>
    </xf>
    <xf numFmtId="4" fontId="60" fillId="16" borderId="45" xfId="0" applyNumberFormat="1" applyFont="1" applyFill="1" applyBorder="1" applyAlignment="1">
      <alignment horizontal="center"/>
    </xf>
    <xf numFmtId="4" fontId="59" fillId="16" borderId="46" xfId="0" applyNumberFormat="1" applyFont="1" applyFill="1" applyBorder="1" applyAlignment="1">
      <alignment horizontal="center"/>
    </xf>
    <xf numFmtId="4" fontId="60" fillId="14" borderId="43" xfId="0" applyNumberFormat="1" applyFont="1" applyFill="1" applyBorder="1" applyAlignment="1">
      <alignment horizontal="center" wrapText="1"/>
    </xf>
    <xf numFmtId="0" fontId="21" fillId="11" borderId="3" xfId="0" applyFont="1" applyFill="1" applyBorder="1" applyAlignment="1">
      <alignment horizontal="left" vertical="center" wrapText="1"/>
    </xf>
    <xf numFmtId="4" fontId="60" fillId="16" borderId="46" xfId="0" applyNumberFormat="1" applyFont="1" applyFill="1" applyBorder="1" applyAlignment="1">
      <alignment horizontal="center"/>
    </xf>
    <xf numFmtId="4" fontId="78" fillId="12" borderId="13" xfId="40" applyNumberFormat="1" applyFont="1" applyFill="1" applyBorder="1" applyAlignment="1">
      <alignment horizontal="center"/>
      <protection locked="0"/>
    </xf>
    <xf numFmtId="4" fontId="78" fillId="12" borderId="17" xfId="0" applyNumberFormat="1" applyFont="1" applyFill="1" applyBorder="1" applyAlignment="1">
      <alignment horizontal="center"/>
    </xf>
    <xf numFmtId="4" fontId="35" fillId="16" borderId="0" xfId="0" applyNumberFormat="1" applyFont="1" applyFill="1" applyBorder="1" applyAlignment="1">
      <alignment horizontal="center"/>
    </xf>
    <xf numFmtId="4" fontId="35" fillId="24" borderId="15" xfId="0" applyNumberFormat="1" applyFont="1" applyFill="1" applyBorder="1"/>
    <xf numFmtId="4" fontId="60" fillId="24" borderId="63" xfId="0" applyNumberFormat="1" applyFont="1" applyFill="1" applyBorder="1" applyAlignment="1">
      <alignment horizontal="left"/>
    </xf>
    <xf numFmtId="4" fontId="78" fillId="22" borderId="27" xfId="0" applyNumberFormat="1" applyFont="1" applyFill="1" applyBorder="1" applyAlignment="1">
      <alignment horizontal="center"/>
    </xf>
    <xf numFmtId="4" fontId="35" fillId="0" borderId="14" xfId="0" applyNumberFormat="1" applyFont="1" applyBorder="1"/>
    <xf numFmtId="4" fontId="78" fillId="22" borderId="61" xfId="0" applyNumberFormat="1" applyFont="1" applyFill="1" applyBorder="1" applyAlignment="1">
      <alignment horizontal="center"/>
    </xf>
    <xf numFmtId="4" fontId="28" fillId="29" borderId="0" xfId="0" applyNumberFormat="1" applyFont="1" applyFill="1"/>
    <xf numFmtId="4" fontId="35" fillId="29" borderId="18" xfId="0" applyNumberFormat="1" applyFont="1" applyFill="1" applyBorder="1" applyAlignment="1">
      <alignment horizontal="center"/>
    </xf>
    <xf numFmtId="4" fontId="35" fillId="18" borderId="14" xfId="0" applyNumberFormat="1" applyFont="1" applyFill="1" applyBorder="1"/>
    <xf numFmtId="4" fontId="35" fillId="18" borderId="56" xfId="0" applyNumberFormat="1" applyFont="1" applyFill="1" applyBorder="1"/>
    <xf numFmtId="4" fontId="35" fillId="18" borderId="14" xfId="0" applyNumberFormat="1" applyFont="1" applyFill="1" applyBorder="1" applyAlignment="1">
      <alignment horizontal="left"/>
    </xf>
    <xf numFmtId="4" fontId="103" fillId="0" borderId="0" xfId="0" applyNumberFormat="1" applyFont="1"/>
    <xf numFmtId="4" fontId="78" fillId="12" borderId="13" xfId="0" applyNumberFormat="1" applyFont="1" applyFill="1" applyBorder="1" applyAlignment="1">
      <alignment horizontal="center" vertical="center"/>
    </xf>
    <xf numFmtId="4" fontId="78" fillId="12" borderId="23" xfId="0" applyNumberFormat="1" applyFont="1" applyFill="1" applyBorder="1" applyAlignment="1">
      <alignment horizontal="center"/>
    </xf>
    <xf numFmtId="4" fontId="78" fillId="12" borderId="18" xfId="0" applyNumberFormat="1" applyFont="1" applyFill="1" applyBorder="1" applyAlignment="1">
      <alignment horizontal="center" vertical="center"/>
    </xf>
    <xf numFmtId="4" fontId="78" fillId="22" borderId="18" xfId="0" applyNumberFormat="1" applyFont="1" applyFill="1" applyBorder="1" applyAlignment="1">
      <alignment horizontal="center" vertical="center"/>
    </xf>
    <xf numFmtId="4" fontId="78" fillId="12" borderId="18" xfId="48" applyNumberFormat="1" applyFont="1" applyFill="1" applyBorder="1" applyAlignment="1" applyProtection="1">
      <alignment horizontal="center" vertical="center"/>
    </xf>
    <xf numFmtId="0" fontId="20" fillId="11" borderId="56" xfId="0" applyFont="1" applyFill="1" applyBorder="1" applyAlignment="1">
      <alignment horizontal="left" vertical="center" wrapText="1"/>
    </xf>
    <xf numFmtId="0" fontId="93" fillId="21" borderId="56" xfId="0" applyFont="1" applyFill="1" applyBorder="1" applyAlignment="1">
      <alignment horizontal="center" vertical="center" wrapText="1"/>
    </xf>
    <xf numFmtId="0" fontId="104" fillId="0" borderId="0" xfId="0" applyFont="1" applyBorder="1" applyAlignment="1">
      <alignment vertical="center"/>
    </xf>
    <xf numFmtId="0" fontId="104" fillId="0" borderId="16" xfId="0" applyFont="1" applyBorder="1" applyAlignment="1">
      <alignment vertical="center"/>
    </xf>
    <xf numFmtId="49" fontId="105" fillId="19" borderId="56" xfId="0" applyNumberFormat="1" applyFont="1" applyFill="1" applyBorder="1" applyAlignment="1">
      <alignment horizontal="center" vertical="center" wrapText="1"/>
    </xf>
    <xf numFmtId="0" fontId="105" fillId="14" borderId="56" xfId="0" applyFont="1" applyFill="1" applyBorder="1" applyAlignment="1">
      <alignment horizontal="center" vertical="center" wrapText="1"/>
    </xf>
    <xf numFmtId="1" fontId="21" fillId="11" borderId="25" xfId="0" applyNumberFormat="1" applyFont="1" applyFill="1" applyBorder="1" applyAlignment="1">
      <alignment horizontal="left" vertical="center" wrapText="1"/>
    </xf>
    <xf numFmtId="0" fontId="104" fillId="0" borderId="56" xfId="0" applyFont="1" applyBorder="1" applyAlignment="1">
      <alignment horizontal="center"/>
    </xf>
    <xf numFmtId="0" fontId="104" fillId="0" borderId="0" xfId="0" applyFont="1" applyBorder="1"/>
    <xf numFmtId="0" fontId="64" fillId="0" borderId="0" xfId="0" applyFont="1" applyFill="1" applyBorder="1" applyAlignment="1">
      <alignment vertical="center"/>
    </xf>
    <xf numFmtId="0" fontId="64" fillId="0" borderId="56" xfId="0" applyFont="1" applyBorder="1" applyAlignment="1">
      <alignment horizontal="center" vertical="center"/>
    </xf>
    <xf numFmtId="0" fontId="64" fillId="0" borderId="56" xfId="0" applyFont="1" applyBorder="1" applyAlignment="1">
      <alignment vertical="center"/>
    </xf>
    <xf numFmtId="0" fontId="91" fillId="0" borderId="0" xfId="0" applyFont="1" applyBorder="1" applyAlignment="1">
      <alignment vertical="center"/>
    </xf>
    <xf numFmtId="0" fontId="108" fillId="0" borderId="0" xfId="0" applyFont="1" applyBorder="1" applyAlignment="1">
      <alignment horizontal="left" vertical="center"/>
    </xf>
    <xf numFmtId="0" fontId="91" fillId="0" borderId="0" xfId="0" applyFont="1" applyAlignment="1">
      <alignment vertical="justify"/>
    </xf>
    <xf numFmtId="9" fontId="91" fillId="0" borderId="0" xfId="62" applyFont="1" applyFill="1" applyBorder="1" applyAlignment="1">
      <alignment vertical="center"/>
    </xf>
    <xf numFmtId="0" fontId="91" fillId="0" borderId="0" xfId="0" applyFont="1" applyBorder="1"/>
    <xf numFmtId="0" fontId="91" fillId="0" borderId="0" xfId="0" applyFont="1"/>
    <xf numFmtId="0" fontId="108" fillId="0" borderId="0" xfId="0" applyFont="1" applyBorder="1" applyAlignment="1">
      <alignment horizontal="center" vertical="center"/>
    </xf>
    <xf numFmtId="0" fontId="91" fillId="0" borderId="18" xfId="0" applyFont="1" applyBorder="1"/>
    <xf numFmtId="0" fontId="91" fillId="0" borderId="0" xfId="1" applyNumberFormat="1" applyFont="1" applyFill="1" applyBorder="1" applyAlignment="1">
      <alignment vertical="center"/>
    </xf>
    <xf numFmtId="0" fontId="91" fillId="0" borderId="0" xfId="0" applyFont="1" applyFill="1" applyBorder="1" applyAlignment="1">
      <alignment vertical="center"/>
    </xf>
    <xf numFmtId="49" fontId="108" fillId="19" borderId="25" xfId="0" applyNumberFormat="1" applyFont="1" applyFill="1" applyBorder="1" applyAlignment="1">
      <alignment horizontal="center" vertical="center" wrapText="1"/>
    </xf>
    <xf numFmtId="49" fontId="108" fillId="19" borderId="56" xfId="0" applyNumberFormat="1" applyFont="1" applyFill="1" applyBorder="1" applyAlignment="1">
      <alignment horizontal="center" vertical="center" wrapText="1"/>
    </xf>
    <xf numFmtId="0" fontId="108" fillId="14" borderId="56" xfId="0" applyFont="1" applyFill="1" applyBorder="1" applyAlignment="1">
      <alignment horizontal="center" vertical="center" wrapText="1"/>
    </xf>
    <xf numFmtId="0" fontId="108" fillId="14" borderId="56" xfId="8" applyFont="1" applyFill="1" applyBorder="1" applyAlignment="1">
      <alignment horizontal="center" vertical="center" wrapText="1"/>
    </xf>
    <xf numFmtId="0" fontId="108" fillId="14" borderId="57" xfId="0" applyFont="1" applyFill="1" applyBorder="1" applyAlignment="1">
      <alignment horizontal="center" vertical="center" wrapText="1"/>
    </xf>
    <xf numFmtId="0" fontId="91" fillId="0" borderId="56" xfId="0" applyFont="1" applyBorder="1" applyAlignment="1">
      <alignment horizontal="center" vertical="center" wrapText="1"/>
    </xf>
    <xf numFmtId="0" fontId="91" fillId="0" borderId="56" xfId="0" applyFont="1" applyBorder="1" applyAlignment="1">
      <alignment horizontal="center" vertical="center"/>
    </xf>
    <xf numFmtId="0" fontId="91" fillId="0" borderId="57" xfId="0" applyFont="1" applyBorder="1" applyAlignment="1">
      <alignment horizontal="center" vertical="center"/>
    </xf>
    <xf numFmtId="0" fontId="108" fillId="18" borderId="56" xfId="0" applyFont="1" applyFill="1" applyBorder="1"/>
    <xf numFmtId="4" fontId="108" fillId="0" borderId="56" xfId="0" applyNumberFormat="1" applyFont="1" applyBorder="1"/>
    <xf numFmtId="0" fontId="108" fillId="18" borderId="19" xfId="0" applyFont="1" applyFill="1" applyBorder="1"/>
    <xf numFmtId="0" fontId="91" fillId="0" borderId="16" xfId="0" applyFont="1" applyFill="1" applyBorder="1" applyAlignment="1">
      <alignment vertical="center"/>
    </xf>
    <xf numFmtId="0" fontId="91" fillId="0" borderId="56" xfId="0" applyFont="1" applyBorder="1" applyAlignment="1">
      <alignment vertical="center"/>
    </xf>
    <xf numFmtId="0" fontId="91" fillId="0" borderId="0" xfId="0" applyFont="1" applyFill="1" applyBorder="1" applyAlignment="1">
      <alignment vertical="center" wrapText="1"/>
    </xf>
    <xf numFmtId="49" fontId="108" fillId="19" borderId="56" xfId="0" applyNumberFormat="1" applyFont="1" applyFill="1" applyBorder="1" applyAlignment="1">
      <alignment vertical="center" wrapText="1"/>
    </xf>
    <xf numFmtId="49" fontId="108" fillId="19" borderId="56" xfId="8" applyNumberFormat="1" applyFont="1" applyFill="1" applyBorder="1" applyAlignment="1">
      <alignment horizontal="center" vertical="center" wrapText="1"/>
    </xf>
    <xf numFmtId="0" fontId="91" fillId="0" borderId="25" xfId="0" applyFont="1" applyFill="1" applyBorder="1" applyAlignment="1">
      <alignment vertical="center"/>
    </xf>
    <xf numFmtId="0" fontId="91" fillId="18" borderId="56" xfId="0" applyFont="1" applyFill="1" applyBorder="1"/>
    <xf numFmtId="0" fontId="91" fillId="0" borderId="56" xfId="0" applyFont="1" applyBorder="1" applyAlignment="1">
      <alignment horizontal="center"/>
    </xf>
    <xf numFmtId="175" fontId="91" fillId="18" borderId="56" xfId="0" applyNumberFormat="1" applyFont="1" applyFill="1" applyBorder="1" applyAlignment="1">
      <alignment horizontal="center"/>
    </xf>
    <xf numFmtId="167" fontId="91" fillId="0" borderId="56" xfId="0" applyNumberFormat="1" applyFont="1" applyBorder="1" applyAlignment="1">
      <alignment horizontal="center"/>
    </xf>
    <xf numFmtId="171" fontId="91" fillId="0" borderId="57" xfId="63" applyNumberFormat="1" applyFont="1" applyFill="1" applyBorder="1"/>
    <xf numFmtId="0" fontId="91" fillId="0" borderId="25" xfId="0" applyFont="1" applyBorder="1"/>
    <xf numFmtId="0" fontId="91" fillId="0" borderId="16" xfId="0" applyFont="1" applyBorder="1"/>
    <xf numFmtId="171" fontId="91" fillId="0" borderId="0" xfId="0" applyNumberFormat="1" applyFont="1" applyBorder="1"/>
    <xf numFmtId="0" fontId="91" fillId="0" borderId="56" xfId="0" applyFont="1" applyBorder="1"/>
    <xf numFmtId="0" fontId="91" fillId="11" borderId="56" xfId="63" applyFont="1" applyFill="1" applyBorder="1" applyAlignment="1">
      <alignment horizontal="center"/>
    </xf>
    <xf numFmtId="171" fontId="91" fillId="11" borderId="56" xfId="63" applyNumberFormat="1" applyFont="1" applyFill="1" applyBorder="1" applyAlignment="1">
      <alignment horizontal="center"/>
    </xf>
    <xf numFmtId="175" fontId="91" fillId="0" borderId="56" xfId="0" applyNumberFormat="1" applyFont="1" applyBorder="1" applyAlignment="1">
      <alignment horizontal="center"/>
    </xf>
    <xf numFmtId="43" fontId="91" fillId="0" borderId="56" xfId="0" applyNumberFormat="1" applyFont="1" applyBorder="1" applyAlignment="1">
      <alignment horizontal="center"/>
    </xf>
    <xf numFmtId="175" fontId="91" fillId="11" borderId="56" xfId="0" applyNumberFormat="1" applyFont="1" applyFill="1" applyBorder="1" applyAlignment="1">
      <alignment horizontal="center"/>
    </xf>
    <xf numFmtId="0" fontId="91" fillId="11" borderId="56" xfId="63" applyFont="1" applyFill="1" applyBorder="1"/>
    <xf numFmtId="175" fontId="91" fillId="0" borderId="56" xfId="63" applyNumberFormat="1" applyFont="1" applyFill="1" applyBorder="1" applyAlignment="1">
      <alignment horizontal="center"/>
    </xf>
    <xf numFmtId="0" fontId="91" fillId="0" borderId="56" xfId="63" applyFont="1" applyFill="1" applyBorder="1"/>
    <xf numFmtId="0" fontId="91" fillId="0" borderId="56" xfId="63" applyFont="1" applyFill="1" applyBorder="1" applyAlignment="1">
      <alignment horizontal="center"/>
    </xf>
    <xf numFmtId="0" fontId="91" fillId="0" borderId="25" xfId="0" applyFont="1" applyFill="1" applyBorder="1"/>
    <xf numFmtId="0" fontId="91" fillId="0" borderId="0" xfId="0" applyFont="1" applyBorder="1" applyAlignment="1">
      <alignment horizontal="right" vertical="center" wrapText="1"/>
    </xf>
    <xf numFmtId="0" fontId="91" fillId="0" borderId="53" xfId="0" applyFont="1" applyBorder="1"/>
    <xf numFmtId="0" fontId="91" fillId="0" borderId="45" xfId="0" applyFont="1" applyBorder="1"/>
    <xf numFmtId="0" fontId="91" fillId="0" borderId="46" xfId="0" applyFont="1" applyBorder="1"/>
    <xf numFmtId="1" fontId="110" fillId="11" borderId="25" xfId="0" applyNumberFormat="1" applyFont="1" applyFill="1" applyBorder="1" applyAlignment="1">
      <alignment horizontal="left" vertical="center" wrapText="1"/>
    </xf>
    <xf numFmtId="0" fontId="105" fillId="0" borderId="0" xfId="0" applyFont="1" applyBorder="1" applyAlignment="1">
      <alignment horizontal="center" vertical="center"/>
    </xf>
    <xf numFmtId="0" fontId="104" fillId="0" borderId="0" xfId="0" applyFont="1"/>
    <xf numFmtId="0" fontId="111" fillId="0" borderId="0" xfId="0" applyFont="1" applyBorder="1" applyAlignment="1">
      <alignment vertical="center"/>
    </xf>
    <xf numFmtId="0" fontId="111" fillId="0" borderId="0" xfId="0" applyFont="1"/>
    <xf numFmtId="49" fontId="108" fillId="19" borderId="2" xfId="0" applyNumberFormat="1" applyFont="1" applyFill="1" applyBorder="1" applyAlignment="1">
      <alignment horizontal="center" vertical="center" wrapText="1"/>
    </xf>
    <xf numFmtId="0" fontId="108" fillId="21" borderId="56" xfId="0" applyFont="1" applyFill="1" applyBorder="1" applyAlignment="1">
      <alignment horizontal="center" wrapText="1"/>
    </xf>
    <xf numFmtId="0" fontId="91" fillId="21" borderId="56" xfId="0" applyFont="1" applyFill="1" applyBorder="1" applyAlignment="1">
      <alignment horizontal="center" vertical="center"/>
    </xf>
    <xf numFmtId="0" fontId="108" fillId="18" borderId="14" xfId="0" applyFont="1" applyFill="1" applyBorder="1"/>
    <xf numFmtId="4" fontId="108" fillId="0" borderId="14" xfId="0" applyNumberFormat="1" applyFont="1" applyBorder="1"/>
    <xf numFmtId="0" fontId="91" fillId="0" borderId="53" xfId="0" applyFont="1" applyFill="1" applyBorder="1" applyAlignment="1">
      <alignment vertical="center"/>
    </xf>
    <xf numFmtId="0" fontId="91" fillId="0" borderId="45" xfId="1" applyNumberFormat="1" applyFont="1" applyFill="1" applyBorder="1" applyAlignment="1">
      <alignment vertical="center"/>
    </xf>
    <xf numFmtId="0" fontId="91" fillId="0" borderId="45" xfId="0" applyFont="1" applyFill="1" applyBorder="1" applyAlignment="1">
      <alignment vertical="center"/>
    </xf>
    <xf numFmtId="0" fontId="91" fillId="0" borderId="45" xfId="0" applyFont="1" applyFill="1" applyBorder="1" applyAlignment="1">
      <alignment vertical="center" wrapText="1"/>
    </xf>
    <xf numFmtId="49" fontId="108" fillId="19" borderId="23" xfId="0" applyNumberFormat="1" applyFont="1" applyFill="1" applyBorder="1" applyAlignment="1">
      <alignment vertical="center" wrapText="1"/>
    </xf>
    <xf numFmtId="0" fontId="91" fillId="0" borderId="3" xfId="0" applyFont="1" applyBorder="1" applyAlignment="1">
      <alignment horizontal="center"/>
    </xf>
    <xf numFmtId="171" fontId="91" fillId="0" borderId="56" xfId="63" applyNumberFormat="1" applyFont="1" applyFill="1" applyBorder="1"/>
    <xf numFmtId="0" fontId="108" fillId="18" borderId="40" xfId="0" applyFont="1" applyFill="1" applyBorder="1"/>
    <xf numFmtId="0" fontId="108" fillId="0" borderId="6" xfId="0" applyFont="1" applyBorder="1" applyAlignment="1">
      <alignment horizontal="center"/>
    </xf>
    <xf numFmtId="167" fontId="108" fillId="0" borderId="29" xfId="0" applyNumberFormat="1" applyFont="1" applyBorder="1" applyAlignment="1">
      <alignment horizontal="center"/>
    </xf>
    <xf numFmtId="0" fontId="108" fillId="18" borderId="47" xfId="0" applyFont="1" applyFill="1" applyBorder="1"/>
    <xf numFmtId="0" fontId="108" fillId="0" borderId="50" xfId="0" applyFont="1" applyBorder="1" applyAlignment="1">
      <alignment horizontal="center"/>
    </xf>
    <xf numFmtId="176" fontId="108" fillId="0" borderId="29" xfId="0" applyNumberFormat="1" applyFont="1" applyFill="1" applyBorder="1" applyAlignment="1">
      <alignment vertical="center" wrapText="1"/>
    </xf>
    <xf numFmtId="167" fontId="108" fillId="0" borderId="0" xfId="8" applyNumberFormat="1" applyFont="1" applyBorder="1" applyAlignment="1">
      <alignment horizontal="center" vertical="center" wrapText="1"/>
    </xf>
    <xf numFmtId="0" fontId="64" fillId="0" borderId="56" xfId="0" applyFont="1" applyFill="1" applyBorder="1" applyAlignment="1">
      <alignment horizontal="center" vertical="center"/>
    </xf>
    <xf numFmtId="0" fontId="88" fillId="0" borderId="16" xfId="0" applyFont="1" applyFill="1" applyBorder="1" applyAlignment="1">
      <alignment vertical="center"/>
    </xf>
    <xf numFmtId="0" fontId="88" fillId="0" borderId="53" xfId="0" applyFont="1" applyFill="1" applyBorder="1" applyAlignment="1">
      <alignment vertical="center"/>
    </xf>
    <xf numFmtId="0" fontId="88" fillId="0" borderId="45" xfId="0" applyFont="1" applyBorder="1" applyAlignment="1">
      <alignment horizontal="center" vertical="center"/>
    </xf>
    <xf numFmtId="44" fontId="88" fillId="0" borderId="46" xfId="61" applyFont="1" applyBorder="1" applyAlignment="1">
      <alignment vertical="center"/>
    </xf>
    <xf numFmtId="1" fontId="21" fillId="11" borderId="51" xfId="0" applyNumberFormat="1" applyFont="1" applyFill="1" applyBorder="1" applyAlignment="1">
      <alignment horizontal="left" vertical="center" wrapText="1"/>
    </xf>
    <xf numFmtId="0" fontId="21" fillId="11" borderId="14" xfId="0" applyFont="1" applyFill="1" applyBorder="1" applyAlignment="1">
      <alignment horizontal="left" vertical="center" wrapText="1"/>
    </xf>
    <xf numFmtId="0" fontId="21" fillId="21" borderId="56" xfId="0" applyFont="1" applyFill="1" applyBorder="1" applyAlignment="1">
      <alignment horizontal="center" vertical="center" wrapText="1"/>
    </xf>
    <xf numFmtId="1" fontId="21" fillId="11" borderId="56" xfId="0" applyNumberFormat="1" applyFont="1" applyFill="1" applyBorder="1" applyAlignment="1">
      <alignment horizontal="left" vertical="center" wrapText="1"/>
    </xf>
    <xf numFmtId="0" fontId="91" fillId="21" borderId="56" xfId="0" applyFont="1" applyFill="1" applyBorder="1" applyAlignment="1">
      <alignment horizontal="center"/>
    </xf>
    <xf numFmtId="0" fontId="91" fillId="0" borderId="56" xfId="0" applyFont="1" applyFill="1" applyBorder="1" applyAlignment="1">
      <alignment horizontal="left" vertical="center"/>
    </xf>
    <xf numFmtId="0" fontId="91" fillId="0" borderId="56" xfId="0" applyFont="1" applyBorder="1" applyAlignment="1">
      <alignment vertical="justify"/>
    </xf>
    <xf numFmtId="0" fontId="104" fillId="0" borderId="0" xfId="0" applyFont="1" applyAlignment="1">
      <alignment vertical="center"/>
    </xf>
    <xf numFmtId="0" fontId="106" fillId="0" borderId="0" xfId="0" applyFont="1" applyAlignment="1">
      <alignment vertical="center"/>
    </xf>
    <xf numFmtId="0" fontId="104" fillId="0" borderId="0" xfId="0" applyFont="1" applyAlignment="1">
      <alignment horizontal="center" vertical="center" wrapText="1"/>
    </xf>
    <xf numFmtId="0" fontId="104" fillId="0" borderId="0" xfId="0" applyFont="1" applyBorder="1" applyAlignment="1">
      <alignment horizontal="center" vertical="center"/>
    </xf>
    <xf numFmtId="0" fontId="104" fillId="0" borderId="13" xfId="0" applyFont="1" applyBorder="1" applyAlignment="1">
      <alignment vertical="center"/>
    </xf>
    <xf numFmtId="0" fontId="104" fillId="0" borderId="13" xfId="0" applyFont="1" applyBorder="1" applyAlignment="1">
      <alignment horizontal="center" vertical="center"/>
    </xf>
    <xf numFmtId="44" fontId="104" fillId="0" borderId="13" xfId="61" applyFont="1" applyBorder="1" applyAlignment="1">
      <alignment horizontal="center" vertical="center"/>
    </xf>
    <xf numFmtId="0" fontId="104" fillId="0" borderId="0" xfId="0" applyFont="1" applyAlignment="1">
      <alignment horizontal="center" vertical="center"/>
    </xf>
    <xf numFmtId="0" fontId="108" fillId="0" borderId="53" xfId="0" applyFont="1" applyFill="1" applyBorder="1" applyAlignment="1">
      <alignment horizontal="left" vertical="center"/>
    </xf>
    <xf numFmtId="43" fontId="91" fillId="0" borderId="46" xfId="0" applyNumberFormat="1" applyFont="1" applyFill="1" applyBorder="1" applyAlignment="1">
      <alignment horizontal="center" vertical="center"/>
    </xf>
    <xf numFmtId="0" fontId="91" fillId="0" borderId="0" xfId="0" applyFont="1" applyAlignment="1">
      <alignment vertical="center"/>
    </xf>
    <xf numFmtId="0" fontId="91" fillId="0" borderId="0" xfId="0" applyFont="1" applyAlignment="1">
      <alignment horizontal="center" vertical="center" wrapText="1"/>
    </xf>
    <xf numFmtId="0" fontId="91" fillId="0" borderId="0" xfId="0" applyFont="1" applyBorder="1" applyAlignment="1">
      <alignment horizontal="center" vertical="center"/>
    </xf>
    <xf numFmtId="0" fontId="109" fillId="0" borderId="0" xfId="0" applyFont="1" applyBorder="1" applyAlignment="1">
      <alignment horizontal="left" vertical="center"/>
    </xf>
    <xf numFmtId="0" fontId="109" fillId="0" borderId="0" xfId="0" applyFont="1" applyBorder="1" applyAlignment="1">
      <alignment horizontal="center" vertical="center"/>
    </xf>
    <xf numFmtId="0" fontId="21" fillId="0" borderId="0" xfId="203" applyFont="1"/>
    <xf numFmtId="0" fontId="21" fillId="0" borderId="0" xfId="203" applyFont="1" applyAlignment="1">
      <alignment vertical="top"/>
    </xf>
    <xf numFmtId="0" fontId="21" fillId="0" borderId="0" xfId="203" applyFont="1" applyAlignment="1">
      <alignment horizontal="center" vertical="top" wrapText="1"/>
    </xf>
    <xf numFmtId="0" fontId="91" fillId="0" borderId="0" xfId="0" applyFont="1" applyAlignment="1">
      <alignment vertical="center" wrapText="1"/>
    </xf>
    <xf numFmtId="0" fontId="108" fillId="15" borderId="38" xfId="0" applyFont="1" applyFill="1" applyBorder="1" applyAlignment="1">
      <alignment horizontal="center" vertical="center" wrapText="1"/>
    </xf>
    <xf numFmtId="0" fontId="108" fillId="15" borderId="21" xfId="0" applyFont="1" applyFill="1" applyBorder="1" applyAlignment="1">
      <alignment horizontal="center" vertical="center" wrapText="1"/>
    </xf>
    <xf numFmtId="0" fontId="108" fillId="15" borderId="52" xfId="0" applyFont="1" applyFill="1" applyBorder="1" applyAlignment="1">
      <alignment horizontal="center" vertical="center" wrapText="1"/>
    </xf>
    <xf numFmtId="0" fontId="91" fillId="0" borderId="14" xfId="0" applyFont="1" applyBorder="1" applyAlignment="1">
      <alignment vertical="center"/>
    </xf>
    <xf numFmtId="0" fontId="91" fillId="0" borderId="34" xfId="0" applyFont="1" applyBorder="1" applyAlignment="1">
      <alignment horizontal="center" vertical="center"/>
    </xf>
    <xf numFmtId="1" fontId="91" fillId="0" borderId="34" xfId="0" applyNumberFormat="1" applyFont="1" applyBorder="1" applyAlignment="1">
      <alignment horizontal="center" vertical="center"/>
    </xf>
    <xf numFmtId="44" fontId="91" fillId="0" borderId="0" xfId="61" applyFont="1" applyBorder="1" applyAlignment="1">
      <alignment horizontal="center" vertical="center"/>
    </xf>
    <xf numFmtId="44" fontId="91" fillId="0" borderId="0" xfId="0" applyNumberFormat="1" applyFont="1" applyAlignment="1">
      <alignment vertical="center"/>
    </xf>
    <xf numFmtId="0" fontId="104" fillId="0" borderId="13" xfId="0" applyFont="1" applyBorder="1" applyAlignment="1">
      <alignment horizontal="center" vertical="center" wrapText="1"/>
    </xf>
    <xf numFmtId="44" fontId="104" fillId="0" borderId="13" xfId="61" applyFont="1" applyBorder="1" applyAlignment="1">
      <alignment horizontal="center" vertical="center" wrapText="1"/>
    </xf>
    <xf numFmtId="0" fontId="64" fillId="0" borderId="0" xfId="0" applyFont="1" applyAlignment="1">
      <alignment horizontal="center" vertical="center"/>
    </xf>
    <xf numFmtId="0" fontId="64" fillId="0" borderId="0" xfId="0" applyFont="1" applyAlignment="1">
      <alignment vertical="center"/>
    </xf>
    <xf numFmtId="0" fontId="88" fillId="0" borderId="0" xfId="8" applyFont="1" applyBorder="1" applyAlignment="1">
      <alignment horizontal="center" vertical="center" wrapText="1"/>
    </xf>
    <xf numFmtId="0" fontId="88" fillId="14" borderId="21" xfId="0" applyFont="1" applyFill="1" applyBorder="1" applyAlignment="1">
      <alignment vertical="center" wrapText="1"/>
    </xf>
    <xf numFmtId="0" fontId="88" fillId="14" borderId="21" xfId="0" applyFont="1" applyFill="1" applyBorder="1" applyAlignment="1">
      <alignment horizontal="center" vertical="center" wrapText="1"/>
    </xf>
    <xf numFmtId="0" fontId="88" fillId="14" borderId="21" xfId="8" applyFont="1" applyFill="1" applyBorder="1" applyAlignment="1">
      <alignment horizontal="center" vertical="center" wrapText="1"/>
    </xf>
    <xf numFmtId="0" fontId="88" fillId="14" borderId="48" xfId="0" applyFont="1" applyFill="1" applyBorder="1" applyAlignment="1">
      <alignment horizontal="center" vertical="center" wrapText="1"/>
    </xf>
    <xf numFmtId="0" fontId="88" fillId="14" borderId="13" xfId="0" applyFont="1" applyFill="1" applyBorder="1" applyAlignment="1">
      <alignment horizontal="center" vertical="center" wrapText="1"/>
    </xf>
    <xf numFmtId="0" fontId="64" fillId="0" borderId="13" xfId="0" applyFont="1" applyBorder="1" applyAlignment="1">
      <alignment horizontal="center" vertical="center"/>
    </xf>
    <xf numFmtId="1" fontId="64" fillId="0" borderId="13" xfId="0" applyNumberFormat="1" applyFont="1" applyBorder="1" applyAlignment="1">
      <alignment horizontal="center" vertical="center" wrapText="1"/>
    </xf>
    <xf numFmtId="0" fontId="64" fillId="0" borderId="2" xfId="8" applyFont="1" applyBorder="1" applyAlignment="1">
      <alignment horizontal="center" vertical="center" wrapText="1"/>
    </xf>
    <xf numFmtId="0" fontId="64" fillId="0" borderId="23" xfId="0" applyFont="1" applyBorder="1" applyAlignment="1">
      <alignment horizontal="center" vertical="center"/>
    </xf>
    <xf numFmtId="1" fontId="64" fillId="0" borderId="23" xfId="0" applyNumberFormat="1" applyFont="1" applyBorder="1" applyAlignment="1">
      <alignment horizontal="center" vertical="center" wrapText="1"/>
    </xf>
    <xf numFmtId="0" fontId="64" fillId="0" borderId="56" xfId="0" applyFont="1" applyFill="1" applyBorder="1" applyAlignment="1">
      <alignment vertical="center" wrapText="1"/>
    </xf>
    <xf numFmtId="44" fontId="64" fillId="0" borderId="56" xfId="61" applyFont="1" applyBorder="1" applyAlignment="1">
      <alignment horizontal="center" vertical="center" wrapText="1"/>
    </xf>
    <xf numFmtId="0" fontId="64" fillId="0" borderId="56" xfId="8" applyFont="1" applyBorder="1" applyAlignment="1">
      <alignment horizontal="center" vertical="center" wrapText="1"/>
    </xf>
    <xf numFmtId="44" fontId="64" fillId="0" borderId="56" xfId="61" applyFont="1" applyFill="1" applyBorder="1" applyAlignment="1">
      <alignment horizontal="center" vertical="center" wrapText="1"/>
    </xf>
    <xf numFmtId="0" fontId="64" fillId="0" borderId="56" xfId="8" applyFont="1" applyFill="1" applyBorder="1" applyAlignment="1">
      <alignment horizontal="center" vertical="center" wrapText="1"/>
    </xf>
    <xf numFmtId="44" fontId="64" fillId="0" borderId="13" xfId="61" applyFont="1" applyBorder="1" applyAlignment="1">
      <alignment vertical="center"/>
    </xf>
    <xf numFmtId="0" fontId="64" fillId="0" borderId="2" xfId="0" applyFont="1" applyBorder="1" applyAlignment="1">
      <alignment horizontal="center" vertical="center"/>
    </xf>
    <xf numFmtId="0" fontId="64" fillId="0" borderId="0" xfId="0" applyFont="1" applyBorder="1" applyAlignment="1">
      <alignment horizontal="center" vertical="center"/>
    </xf>
    <xf numFmtId="44" fontId="64" fillId="0" borderId="0" xfId="61" applyFont="1" applyBorder="1" applyAlignment="1">
      <alignment vertical="center"/>
    </xf>
    <xf numFmtId="174" fontId="88" fillId="0" borderId="18" xfId="61" applyNumberFormat="1" applyFont="1" applyBorder="1" applyAlignment="1">
      <alignment vertical="center"/>
    </xf>
    <xf numFmtId="44" fontId="104" fillId="0" borderId="13" xfId="61" applyFont="1" applyFill="1" applyBorder="1" applyAlignment="1">
      <alignment horizontal="center" vertical="center"/>
    </xf>
    <xf numFmtId="0" fontId="104" fillId="0" borderId="17" xfId="0" applyFont="1" applyBorder="1" applyAlignment="1">
      <alignment horizontal="center" vertical="center" wrapText="1"/>
    </xf>
    <xf numFmtId="1" fontId="114" fillId="11" borderId="13" xfId="50" applyNumberFormat="1" applyFont="1" applyFill="1" applyBorder="1" applyAlignment="1">
      <alignment horizontal="center" vertical="center" wrapText="1"/>
    </xf>
    <xf numFmtId="0" fontId="104" fillId="0" borderId="13" xfId="0" applyFont="1" applyBorder="1" applyAlignment="1">
      <alignment vertical="center" wrapText="1"/>
    </xf>
    <xf numFmtId="1" fontId="114" fillId="11" borderId="3" xfId="50" applyNumberFormat="1" applyFont="1" applyFill="1" applyBorder="1" applyAlignment="1">
      <alignment horizontal="center" vertical="center" wrapText="1"/>
    </xf>
    <xf numFmtId="1" fontId="114" fillId="11" borderId="26" xfId="50" applyNumberFormat="1" applyFont="1" applyFill="1" applyBorder="1" applyAlignment="1">
      <alignment horizontal="center" vertical="center" wrapText="1"/>
    </xf>
    <xf numFmtId="0" fontId="104" fillId="0" borderId="19" xfId="0" applyFont="1" applyBorder="1" applyAlignment="1">
      <alignment vertical="center"/>
    </xf>
    <xf numFmtId="0" fontId="104" fillId="0" borderId="19" xfId="0" applyFont="1" applyBorder="1" applyAlignment="1">
      <alignment horizontal="center" vertical="center"/>
    </xf>
    <xf numFmtId="44" fontId="104" fillId="0" borderId="19" xfId="61" applyFont="1" applyBorder="1" applyAlignment="1">
      <alignment horizontal="center" vertical="center"/>
    </xf>
    <xf numFmtId="0" fontId="104" fillId="0" borderId="20" xfId="0" applyFont="1" applyBorder="1" applyAlignment="1">
      <alignment horizontal="center" vertical="center" wrapText="1"/>
    </xf>
    <xf numFmtId="174" fontId="105" fillId="0" borderId="0" xfId="61" applyNumberFormat="1" applyFont="1" applyAlignment="1">
      <alignment horizontal="center" vertical="center"/>
    </xf>
    <xf numFmtId="44" fontId="104" fillId="0" borderId="13" xfId="61" applyFont="1" applyFill="1" applyBorder="1" applyAlignment="1">
      <alignment horizontal="center" vertical="center" wrapText="1"/>
    </xf>
    <xf numFmtId="0" fontId="105" fillId="0" borderId="58" xfId="0" applyFont="1" applyFill="1" applyBorder="1" applyAlignment="1">
      <alignment vertical="center"/>
    </xf>
    <xf numFmtId="0" fontId="105" fillId="0" borderId="60" xfId="0" applyFont="1" applyFill="1" applyBorder="1" applyAlignment="1">
      <alignment vertical="center"/>
    </xf>
    <xf numFmtId="0" fontId="104" fillId="0" borderId="50" xfId="0" applyFont="1" applyFill="1" applyBorder="1" applyAlignment="1">
      <alignment horizontal="center" vertical="center"/>
    </xf>
    <xf numFmtId="0" fontId="105" fillId="0" borderId="16" xfId="0" applyFont="1" applyBorder="1" applyAlignment="1">
      <alignment vertical="center"/>
    </xf>
    <xf numFmtId="0" fontId="105" fillId="0" borderId="53" xfId="0" applyFont="1" applyBorder="1" applyAlignment="1">
      <alignment vertical="center"/>
    </xf>
    <xf numFmtId="0" fontId="105" fillId="0" borderId="45" xfId="0" applyFont="1" applyBorder="1" applyAlignment="1">
      <alignment horizontal="center" vertical="center"/>
    </xf>
    <xf numFmtId="1" fontId="110" fillId="11" borderId="56" xfId="0" applyNumberFormat="1" applyFont="1" applyFill="1" applyBorder="1" applyAlignment="1">
      <alignment horizontal="left" vertical="center" wrapText="1"/>
    </xf>
    <xf numFmtId="0" fontId="110" fillId="11" borderId="56" xfId="0" applyFont="1" applyFill="1" applyBorder="1" applyAlignment="1">
      <alignment horizontal="left" vertical="center" wrapText="1"/>
    </xf>
    <xf numFmtId="2" fontId="110" fillId="0" borderId="56" xfId="244" applyNumberFormat="1" applyFont="1" applyFill="1" applyBorder="1" applyAlignment="1">
      <alignment horizontal="center" vertical="center"/>
    </xf>
    <xf numFmtId="1" fontId="110" fillId="11" borderId="0" xfId="0" applyNumberFormat="1" applyFont="1" applyFill="1" applyBorder="1" applyAlignment="1">
      <alignment horizontal="left" vertical="center" wrapText="1"/>
    </xf>
    <xf numFmtId="0" fontId="110" fillId="11" borderId="0" xfId="0" applyFont="1" applyFill="1" applyBorder="1" applyAlignment="1">
      <alignment horizontal="left" vertical="center" wrapText="1"/>
    </xf>
    <xf numFmtId="0" fontId="110" fillId="11" borderId="0" xfId="0" applyFont="1" applyFill="1" applyBorder="1" applyAlignment="1">
      <alignment horizontal="center" vertical="center" wrapText="1"/>
    </xf>
    <xf numFmtId="0" fontId="104" fillId="0" borderId="0" xfId="0" applyFont="1" applyBorder="1" applyAlignment="1">
      <alignment horizontal="center"/>
    </xf>
    <xf numFmtId="0" fontId="105" fillId="0" borderId="41" xfId="0" applyFont="1" applyFill="1" applyBorder="1" applyAlignment="1">
      <alignment vertical="center"/>
    </xf>
    <xf numFmtId="0" fontId="105" fillId="0" borderId="44" xfId="0" applyFont="1" applyFill="1" applyBorder="1" applyAlignment="1">
      <alignment vertical="center"/>
    </xf>
    <xf numFmtId="44" fontId="105" fillId="0" borderId="62" xfId="61" applyFont="1" applyBorder="1" applyAlignment="1">
      <alignment vertical="center"/>
    </xf>
    <xf numFmtId="49" fontId="105" fillId="26" borderId="56" xfId="0" applyNumberFormat="1" applyFont="1" applyFill="1" applyBorder="1" applyAlignment="1">
      <alignment horizontal="center" vertical="center" wrapText="1"/>
    </xf>
    <xf numFmtId="49" fontId="105" fillId="26" borderId="3" xfId="0" applyNumberFormat="1" applyFont="1" applyFill="1" applyBorder="1" applyAlignment="1">
      <alignment horizontal="center" vertical="center" wrapText="1"/>
    </xf>
    <xf numFmtId="0" fontId="105" fillId="24" borderId="3" xfId="0" applyFont="1" applyFill="1" applyBorder="1" applyAlignment="1">
      <alignment horizontal="center" vertical="center" wrapText="1"/>
    </xf>
    <xf numFmtId="2" fontId="110" fillId="0" borderId="25" xfId="244" applyNumberFormat="1" applyFont="1" applyFill="1" applyBorder="1" applyAlignment="1">
      <alignment horizontal="center" vertical="center"/>
    </xf>
    <xf numFmtId="1" fontId="110" fillId="11" borderId="28" xfId="0" applyNumberFormat="1" applyFont="1" applyFill="1" applyBorder="1" applyAlignment="1">
      <alignment horizontal="left" vertical="center" wrapText="1"/>
    </xf>
    <xf numFmtId="0" fontId="110" fillId="11" borderId="23" xfId="0" applyFont="1" applyFill="1" applyBorder="1" applyAlignment="1">
      <alignment horizontal="left" vertical="center" wrapText="1"/>
    </xf>
    <xf numFmtId="2" fontId="110" fillId="0" borderId="28" xfId="244" applyNumberFormat="1" applyFont="1" applyFill="1" applyBorder="1" applyAlignment="1">
      <alignment horizontal="center" vertical="center"/>
    </xf>
    <xf numFmtId="0" fontId="104" fillId="0" borderId="0" xfId="0" applyFont="1" applyFill="1" applyBorder="1" applyAlignment="1">
      <alignment horizontal="center" vertical="center"/>
    </xf>
    <xf numFmtId="0" fontId="105" fillId="0" borderId="16" xfId="0" applyFont="1" applyFill="1" applyBorder="1" applyAlignment="1">
      <alignment vertical="center"/>
    </xf>
    <xf numFmtId="0" fontId="105" fillId="0" borderId="53" xfId="0" applyFont="1" applyFill="1" applyBorder="1" applyAlignment="1">
      <alignment vertical="center"/>
    </xf>
    <xf numFmtId="44" fontId="105" fillId="0" borderId="33" xfId="61" applyNumberFormat="1" applyFont="1" applyBorder="1" applyAlignment="1">
      <alignment vertical="center"/>
    </xf>
    <xf numFmtId="44" fontId="105" fillId="0" borderId="18" xfId="61" applyNumberFormat="1" applyFont="1" applyBorder="1" applyAlignment="1">
      <alignment vertical="center"/>
    </xf>
    <xf numFmtId="176" fontId="28" fillId="0" borderId="18" xfId="0" applyNumberFormat="1" applyFont="1" applyBorder="1"/>
    <xf numFmtId="176" fontId="59" fillId="0" borderId="18" xfId="0" applyNumberFormat="1" applyFont="1" applyFill="1" applyBorder="1" applyAlignment="1">
      <alignment horizontal="center"/>
    </xf>
    <xf numFmtId="176" fontId="59" fillId="0" borderId="46" xfId="0" applyNumberFormat="1" applyFont="1" applyFill="1" applyBorder="1" applyAlignment="1">
      <alignment horizontal="center"/>
    </xf>
    <xf numFmtId="176" fontId="60" fillId="0" borderId="46" xfId="0" applyNumberFormat="1" applyFont="1" applyFill="1" applyBorder="1" applyAlignment="1">
      <alignment horizontal="center"/>
    </xf>
    <xf numFmtId="4" fontId="91" fillId="0" borderId="13" xfId="63" applyNumberFormat="1" applyFont="1" applyFill="1" applyBorder="1" applyAlignment="1">
      <alignment horizontal="left" vertical="top" wrapText="1"/>
    </xf>
    <xf numFmtId="4" fontId="28" fillId="16" borderId="18" xfId="0" applyNumberFormat="1" applyFont="1" applyFill="1" applyBorder="1" applyAlignment="1">
      <alignment horizontal="center" vertical="center" wrapText="1"/>
    </xf>
    <xf numFmtId="0" fontId="64" fillId="30" borderId="15" xfId="0" applyFont="1" applyFill="1" applyBorder="1" applyAlignment="1">
      <alignment vertical="center"/>
    </xf>
    <xf numFmtId="0" fontId="64" fillId="30" borderId="42" xfId="0" applyFont="1" applyFill="1" applyBorder="1" applyAlignment="1">
      <alignment vertical="center"/>
    </xf>
    <xf numFmtId="0" fontId="64" fillId="30" borderId="43" xfId="0" applyFont="1" applyFill="1" applyBorder="1" applyAlignment="1">
      <alignment vertical="center"/>
    </xf>
    <xf numFmtId="0" fontId="64" fillId="30" borderId="16" xfId="0" applyFont="1" applyFill="1" applyBorder="1" applyAlignment="1">
      <alignment vertical="center"/>
    </xf>
    <xf numFmtId="0" fontId="64" fillId="30" borderId="0" xfId="0" applyFont="1" applyFill="1" applyBorder="1" applyAlignment="1">
      <alignment vertical="center"/>
    </xf>
    <xf numFmtId="0" fontId="64" fillId="30" borderId="18" xfId="0" applyFont="1" applyFill="1" applyBorder="1" applyAlignment="1">
      <alignment vertical="center"/>
    </xf>
    <xf numFmtId="0" fontId="116" fillId="0" borderId="56" xfId="0" applyFont="1" applyFill="1" applyBorder="1" applyAlignment="1">
      <alignment vertical="justify"/>
    </xf>
    <xf numFmtId="0" fontId="116" fillId="0" borderId="0" xfId="0" applyFont="1" applyFill="1" applyBorder="1" applyAlignment="1">
      <alignment vertical="justify"/>
    </xf>
    <xf numFmtId="1" fontId="116" fillId="0" borderId="56" xfId="0" applyNumberFormat="1" applyFont="1" applyFill="1" applyBorder="1" applyAlignment="1">
      <alignment vertical="justify"/>
    </xf>
    <xf numFmtId="0" fontId="108" fillId="24" borderId="56" xfId="0" applyFont="1" applyFill="1" applyBorder="1" applyAlignment="1">
      <alignment horizontal="center" vertical="center" wrapText="1"/>
    </xf>
    <xf numFmtId="0" fontId="108" fillId="24" borderId="2" xfId="0" applyFont="1" applyFill="1" applyBorder="1" applyAlignment="1">
      <alignment horizontal="center" vertical="center" wrapText="1"/>
    </xf>
    <xf numFmtId="0" fontId="108" fillId="24" borderId="3" xfId="0" applyFont="1" applyFill="1" applyBorder="1" applyAlignment="1">
      <alignment horizontal="center" vertical="center" wrapText="1"/>
    </xf>
    <xf numFmtId="0" fontId="116" fillId="18" borderId="56" xfId="0" applyFont="1" applyFill="1" applyBorder="1" applyAlignment="1">
      <alignment horizontal="left" vertical="center" wrapText="1"/>
    </xf>
    <xf numFmtId="0" fontId="116" fillId="0" borderId="56" xfId="0" applyFont="1" applyFill="1" applyBorder="1" applyAlignment="1">
      <alignment horizontal="center" vertical="justify"/>
    </xf>
    <xf numFmtId="0" fontId="65" fillId="27" borderId="24" xfId="0" applyFont="1" applyFill="1" applyBorder="1" applyAlignment="1">
      <alignment horizontal="left" vertical="center"/>
    </xf>
    <xf numFmtId="0" fontId="86" fillId="23" borderId="56" xfId="203" applyFont="1" applyFill="1" applyBorder="1" applyAlignment="1">
      <alignment horizontal="center" vertical="center" wrapText="1"/>
    </xf>
    <xf numFmtId="0" fontId="108" fillId="0" borderId="2" xfId="0" applyFont="1" applyBorder="1" applyAlignment="1">
      <alignment vertical="center"/>
    </xf>
    <xf numFmtId="3" fontId="108" fillId="0" borderId="56" xfId="0" applyNumberFormat="1" applyFont="1" applyBorder="1" applyAlignment="1">
      <alignment horizontal="center" vertical="center"/>
    </xf>
    <xf numFmtId="0" fontId="86" fillId="0" borderId="0" xfId="203" applyFont="1" applyAlignment="1">
      <alignment horizontal="right"/>
    </xf>
    <xf numFmtId="0" fontId="24" fillId="0" borderId="64" xfId="203" applyBorder="1" applyAlignment="1">
      <alignment horizontal="left" vertical="center" wrapText="1"/>
    </xf>
    <xf numFmtId="0" fontId="21" fillId="0" borderId="64" xfId="203" applyFont="1" applyFill="1" applyBorder="1" applyAlignment="1">
      <alignment vertical="center" wrapText="1"/>
    </xf>
    <xf numFmtId="0" fontId="86" fillId="0" borderId="64" xfId="203" applyFont="1" applyFill="1" applyBorder="1" applyAlignment="1">
      <alignment vertical="center" wrapText="1"/>
    </xf>
    <xf numFmtId="3" fontId="108" fillId="0" borderId="64" xfId="0" applyNumberFormat="1" applyFont="1" applyFill="1" applyBorder="1" applyAlignment="1">
      <alignment horizontal="center" vertical="center"/>
    </xf>
    <xf numFmtId="3" fontId="91" fillId="0" borderId="0" xfId="0" applyNumberFormat="1" applyFont="1" applyAlignment="1">
      <alignment vertical="center"/>
    </xf>
    <xf numFmtId="3" fontId="108" fillId="0" borderId="0" xfId="0" applyNumberFormat="1" applyFont="1" applyBorder="1" applyAlignment="1">
      <alignment horizontal="center" vertical="center"/>
    </xf>
    <xf numFmtId="0" fontId="91" fillId="32" borderId="0" xfId="0" applyFont="1" applyFill="1" applyAlignment="1">
      <alignment vertical="center"/>
    </xf>
    <xf numFmtId="0" fontId="91" fillId="32" borderId="0" xfId="0" applyFont="1" applyFill="1"/>
    <xf numFmtId="0" fontId="21" fillId="32" borderId="0" xfId="203" applyFont="1" applyFill="1"/>
    <xf numFmtId="0" fontId="86" fillId="32" borderId="0" xfId="203" applyFont="1" applyFill="1" applyAlignment="1">
      <alignment horizontal="right"/>
    </xf>
    <xf numFmtId="3" fontId="108" fillId="32" borderId="0" xfId="0" applyNumberFormat="1" applyFont="1" applyFill="1" applyBorder="1" applyAlignment="1">
      <alignment horizontal="center" vertical="center"/>
    </xf>
    <xf numFmtId="0" fontId="14" fillId="0" borderId="0" xfId="203" applyFont="1" applyBorder="1" applyAlignment="1">
      <alignment vertical="center" wrapText="1"/>
    </xf>
    <xf numFmtId="3" fontId="14" fillId="0" borderId="0" xfId="0" applyNumberFormat="1" applyFont="1" applyFill="1" applyBorder="1" applyAlignment="1">
      <alignment horizontal="center" vertical="center"/>
    </xf>
    <xf numFmtId="3" fontId="14" fillId="0" borderId="64" xfId="0" applyNumberFormat="1" applyFont="1" applyFill="1" applyBorder="1" applyAlignment="1">
      <alignment horizontal="center" vertical="center"/>
    </xf>
    <xf numFmtId="0" fontId="108" fillId="15" borderId="49" xfId="0" applyFont="1" applyFill="1" applyBorder="1" applyAlignment="1">
      <alignment horizontal="center" vertical="center" wrapText="1"/>
    </xf>
    <xf numFmtId="44" fontId="91" fillId="0" borderId="64" xfId="61" applyFont="1" applyFill="1" applyBorder="1" applyAlignment="1">
      <alignment vertical="center"/>
    </xf>
    <xf numFmtId="0" fontId="91" fillId="0" borderId="61" xfId="0" applyFont="1" applyBorder="1" applyAlignment="1">
      <alignment horizontal="center" vertical="center" wrapText="1"/>
    </xf>
    <xf numFmtId="0" fontId="91" fillId="0" borderId="64" xfId="0" applyFont="1" applyBorder="1" applyAlignment="1">
      <alignment horizontal="center" vertical="center"/>
    </xf>
    <xf numFmtId="44" fontId="91" fillId="0" borderId="64" xfId="61" applyFont="1" applyBorder="1" applyAlignment="1">
      <alignment horizontal="center" vertical="center"/>
    </xf>
    <xf numFmtId="0" fontId="99" fillId="0" borderId="68" xfId="0" applyFont="1" applyBorder="1" applyAlignment="1">
      <alignment horizontal="center" vertical="center" wrapText="1"/>
    </xf>
    <xf numFmtId="0" fontId="91" fillId="0" borderId="70" xfId="63" applyFont="1" applyFill="1" applyBorder="1"/>
    <xf numFmtId="0" fontId="91" fillId="0" borderId="70" xfId="63" applyFont="1" applyFill="1" applyBorder="1" applyAlignment="1">
      <alignment horizontal="center"/>
    </xf>
    <xf numFmtId="171" fontId="91" fillId="11" borderId="70" xfId="63" applyNumberFormat="1" applyFont="1" applyFill="1" applyBorder="1" applyAlignment="1">
      <alignment horizontal="center"/>
    </xf>
    <xf numFmtId="175" fontId="91" fillId="0" borderId="70" xfId="63" applyNumberFormat="1" applyFont="1" applyFill="1" applyBorder="1" applyAlignment="1">
      <alignment horizontal="center"/>
    </xf>
    <xf numFmtId="43" fontId="91" fillId="0" borderId="71" xfId="0" applyNumberFormat="1" applyFont="1" applyBorder="1" applyAlignment="1">
      <alignment horizontal="center"/>
    </xf>
    <xf numFmtId="0" fontId="91" fillId="0" borderId="67" xfId="0" applyFont="1" applyBorder="1" applyAlignment="1">
      <alignment horizontal="center" vertical="center"/>
    </xf>
    <xf numFmtId="0" fontId="91" fillId="0" borderId="69" xfId="0" applyFont="1" applyBorder="1" applyAlignment="1">
      <alignment horizontal="center" vertical="center"/>
    </xf>
    <xf numFmtId="0" fontId="127" fillId="0" borderId="0" xfId="0" applyFont="1" applyBorder="1" applyAlignment="1">
      <alignment vertical="center"/>
    </xf>
    <xf numFmtId="0" fontId="125" fillId="0" borderId="64" xfId="0" applyFont="1" applyBorder="1" applyAlignment="1">
      <alignment vertical="center"/>
    </xf>
    <xf numFmtId="0" fontId="125" fillId="11" borderId="0" xfId="0" applyFont="1" applyFill="1" applyBorder="1" applyAlignment="1">
      <alignment vertical="center"/>
    </xf>
    <xf numFmtId="0" fontId="129" fillId="11" borderId="0" xfId="0" applyFont="1" applyFill="1" applyBorder="1" applyAlignment="1">
      <alignment horizontal="center" vertical="center"/>
    </xf>
    <xf numFmtId="0" fontId="127" fillId="11" borderId="0" xfId="0" applyFont="1" applyFill="1" applyBorder="1" applyAlignment="1">
      <alignment vertical="center"/>
    </xf>
    <xf numFmtId="0" fontId="14" fillId="0" borderId="64" xfId="203" applyFont="1" applyFill="1" applyBorder="1" applyAlignment="1">
      <alignment vertical="center" wrapText="1"/>
    </xf>
    <xf numFmtId="0" fontId="21" fillId="0" borderId="0" xfId="203" applyFont="1" applyFill="1" applyBorder="1" applyAlignment="1">
      <alignment vertical="center" wrapText="1"/>
    </xf>
    <xf numFmtId="3" fontId="99" fillId="0" borderId="0" xfId="0" applyNumberFormat="1" applyFont="1" applyFill="1" applyBorder="1" applyAlignment="1">
      <alignment horizontal="center" vertical="center"/>
    </xf>
    <xf numFmtId="0" fontId="86" fillId="0" borderId="0" xfId="203" applyFont="1" applyFill="1" applyBorder="1" applyAlignment="1">
      <alignment vertical="center" wrapText="1"/>
    </xf>
    <xf numFmtId="3" fontId="108" fillId="0" borderId="0" xfId="0" applyNumberFormat="1" applyFont="1" applyFill="1" applyBorder="1" applyAlignment="1">
      <alignment horizontal="center" vertical="center"/>
    </xf>
    <xf numFmtId="1" fontId="23" fillId="11" borderId="0" xfId="0" applyNumberFormat="1" applyFont="1" applyFill="1" applyBorder="1" applyAlignment="1">
      <alignment horizontal="left" vertical="center" wrapText="1"/>
    </xf>
    <xf numFmtId="0" fontId="23" fillId="11" borderId="0" xfId="0" applyFont="1" applyFill="1" applyBorder="1" applyAlignment="1">
      <alignment horizontal="center" vertical="center"/>
    </xf>
    <xf numFmtId="1" fontId="91" fillId="0" borderId="64" xfId="0" applyNumberFormat="1" applyFont="1" applyBorder="1" applyAlignment="1">
      <alignment horizontal="center" vertical="center"/>
    </xf>
    <xf numFmtId="0" fontId="91" fillId="0" borderId="64" xfId="0" applyFont="1" applyBorder="1" applyAlignment="1">
      <alignment horizontal="center" vertical="center" wrapText="1"/>
    </xf>
    <xf numFmtId="0" fontId="91" fillId="0" borderId="0" xfId="0" applyFont="1" applyFill="1"/>
    <xf numFmtId="0" fontId="91" fillId="0" borderId="0" xfId="0" applyFont="1" applyFill="1" applyAlignment="1">
      <alignment vertical="center"/>
    </xf>
    <xf numFmtId="0" fontId="91" fillId="0" borderId="0" xfId="0" applyFont="1" applyFill="1" applyAlignment="1">
      <alignment vertical="center" wrapText="1"/>
    </xf>
    <xf numFmtId="0" fontId="86" fillId="33" borderId="56" xfId="203" applyFont="1" applyFill="1" applyBorder="1" applyAlignment="1">
      <alignment horizontal="center" vertical="center" wrapText="1"/>
    </xf>
    <xf numFmtId="9" fontId="99" fillId="33" borderId="64" xfId="62" applyFont="1" applyFill="1" applyBorder="1" applyAlignment="1">
      <alignment horizontal="center" vertical="center"/>
    </xf>
    <xf numFmtId="0" fontId="108" fillId="0" borderId="56" xfId="0" applyFont="1" applyBorder="1" applyAlignment="1">
      <alignment horizontal="center" vertical="center" wrapText="1"/>
    </xf>
    <xf numFmtId="0" fontId="21" fillId="0" borderId="0" xfId="203" applyFont="1" applyFill="1" applyBorder="1"/>
    <xf numFmtId="0" fontId="122" fillId="0" borderId="0" xfId="203" applyFont="1" applyFill="1" applyBorder="1" applyAlignment="1">
      <alignment vertical="center" wrapText="1"/>
    </xf>
    <xf numFmtId="3" fontId="123" fillId="0" borderId="0" xfId="0" applyNumberFormat="1" applyFont="1" applyFill="1" applyBorder="1" applyAlignment="1">
      <alignment horizontal="center" vertical="center"/>
    </xf>
    <xf numFmtId="0" fontId="124" fillId="0" borderId="0" xfId="203" applyFont="1" applyFill="1" applyBorder="1" applyAlignment="1">
      <alignment vertical="top" wrapText="1"/>
    </xf>
    <xf numFmtId="3" fontId="124" fillId="0" borderId="0" xfId="203" applyNumberFormat="1" applyFont="1" applyFill="1" applyBorder="1" applyAlignment="1">
      <alignment horizontal="center" vertical="top" wrapText="1"/>
    </xf>
    <xf numFmtId="0" fontId="91" fillId="0" borderId="0" xfId="0" applyFont="1" applyFill="1" applyBorder="1"/>
    <xf numFmtId="0" fontId="91" fillId="0" borderId="0" xfId="0" applyFont="1" applyFill="1" applyBorder="1" applyAlignment="1">
      <alignment horizontal="left" vertical="center"/>
    </xf>
    <xf numFmtId="44" fontId="23" fillId="0" borderId="0" xfId="0" applyNumberFormat="1" applyFont="1" applyFill="1" applyBorder="1" applyAlignment="1">
      <alignment horizontal="center" vertical="center" wrapText="1"/>
    </xf>
    <xf numFmtId="0" fontId="94" fillId="0" borderId="0" xfId="0" applyFont="1" applyFill="1" applyBorder="1" applyAlignment="1">
      <alignment horizontal="center"/>
    </xf>
    <xf numFmtId="1" fontId="91" fillId="0" borderId="0" xfId="0" applyNumberFormat="1" applyFont="1" applyFill="1" applyBorder="1" applyAlignment="1">
      <alignment horizontal="center" vertical="center"/>
    </xf>
    <xf numFmtId="43" fontId="91" fillId="0" borderId="0" xfId="0" applyNumberFormat="1" applyFont="1" applyFill="1" applyBorder="1" applyAlignment="1">
      <alignment horizontal="center"/>
    </xf>
    <xf numFmtId="44" fontId="21" fillId="0" borderId="56" xfId="0" applyNumberFormat="1" applyFont="1" applyFill="1" applyBorder="1" applyAlignment="1">
      <alignment horizontal="center" vertical="center" wrapText="1"/>
    </xf>
    <xf numFmtId="0" fontId="16" fillId="0" borderId="64" xfId="203" applyFont="1" applyBorder="1" applyAlignment="1">
      <alignment horizontal="left" vertical="center" wrapText="1"/>
    </xf>
    <xf numFmtId="0" fontId="15" fillId="0" borderId="64" xfId="203" applyFont="1" applyBorder="1" applyAlignment="1">
      <alignment horizontal="left" vertical="center" wrapText="1"/>
    </xf>
    <xf numFmtId="0" fontId="108" fillId="0" borderId="30" xfId="0" applyFont="1" applyBorder="1"/>
    <xf numFmtId="44" fontId="91" fillId="0" borderId="46" xfId="0" applyNumberFormat="1" applyFont="1" applyFill="1" applyBorder="1" applyAlignment="1">
      <alignment horizontal="center" vertical="center"/>
    </xf>
    <xf numFmtId="44" fontId="91" fillId="0" borderId="32" xfId="0" applyNumberFormat="1" applyFont="1" applyBorder="1"/>
    <xf numFmtId="0" fontId="88" fillId="0" borderId="64" xfId="0" applyFont="1" applyBorder="1" applyAlignment="1">
      <alignment vertical="center" wrapText="1"/>
    </xf>
    <xf numFmtId="0" fontId="17" fillId="0" borderId="0" xfId="203" applyFont="1" applyFill="1" applyBorder="1" applyAlignment="1">
      <alignment horizontal="left" vertical="center" wrapText="1"/>
    </xf>
    <xf numFmtId="0" fontId="99" fillId="0" borderId="0" xfId="0" applyFont="1" applyFill="1" applyBorder="1" applyAlignment="1">
      <alignment horizontal="center" vertical="center"/>
    </xf>
    <xf numFmtId="0" fontId="17" fillId="0" borderId="0" xfId="203" applyFont="1" applyFill="1" applyBorder="1" applyAlignment="1">
      <alignment vertical="center" wrapText="1"/>
    </xf>
    <xf numFmtId="0" fontId="108" fillId="0" borderId="64" xfId="0" applyFont="1" applyBorder="1" applyAlignment="1">
      <alignment vertical="center"/>
    </xf>
    <xf numFmtId="3" fontId="108" fillId="0" borderId="64" xfId="0" applyNumberFormat="1" applyFont="1" applyBorder="1" applyAlignment="1">
      <alignment horizontal="center" vertical="center"/>
    </xf>
    <xf numFmtId="0" fontId="64" fillId="32" borderId="0" xfId="0" applyFont="1" applyFill="1" applyAlignment="1">
      <alignment vertical="center"/>
    </xf>
    <xf numFmtId="0" fontId="64" fillId="0" borderId="13" xfId="0" applyFont="1" applyBorder="1" applyAlignment="1">
      <alignment vertical="center" wrapText="1"/>
    </xf>
    <xf numFmtId="0" fontId="64" fillId="0" borderId="23" xfId="0" applyFont="1" applyBorder="1" applyAlignment="1">
      <alignment vertical="center" wrapText="1"/>
    </xf>
    <xf numFmtId="0" fontId="15" fillId="0" borderId="64" xfId="0" applyFont="1" applyFill="1" applyBorder="1" applyAlignment="1">
      <alignment vertical="center" wrapText="1"/>
    </xf>
    <xf numFmtId="0" fontId="127" fillId="0" borderId="0" xfId="0" applyFont="1" applyFill="1" applyBorder="1" applyAlignment="1">
      <alignment horizontal="left" vertical="center"/>
    </xf>
    <xf numFmtId="0" fontId="91" fillId="0" borderId="64" xfId="0" applyFont="1" applyBorder="1" applyAlignment="1">
      <alignment horizontal="left" vertical="center" wrapText="1"/>
    </xf>
    <xf numFmtId="0" fontId="35" fillId="0" borderId="0" xfId="0" applyFont="1" applyFill="1" applyBorder="1" applyAlignment="1">
      <alignment vertical="center"/>
    </xf>
    <xf numFmtId="0" fontId="125" fillId="32" borderId="0" xfId="0" applyFont="1" applyFill="1" applyBorder="1" applyAlignment="1">
      <alignment horizontal="left" vertical="center"/>
    </xf>
    <xf numFmtId="0" fontId="127" fillId="32" borderId="0" xfId="0" applyFont="1" applyFill="1" applyBorder="1" applyAlignment="1">
      <alignment horizontal="left" vertical="center"/>
    </xf>
    <xf numFmtId="0" fontId="131" fillId="0" borderId="64" xfId="0" applyFont="1" applyBorder="1" applyAlignment="1">
      <alignment horizontal="center" vertical="center"/>
    </xf>
    <xf numFmtId="0" fontId="64" fillId="0" borderId="64" xfId="0" applyFont="1" applyFill="1" applyBorder="1" applyAlignment="1">
      <alignment vertical="center" wrapText="1"/>
    </xf>
    <xf numFmtId="0" fontId="104" fillId="32" borderId="0" xfId="0" applyFont="1" applyFill="1" applyAlignment="1">
      <alignment vertical="center"/>
    </xf>
    <xf numFmtId="0" fontId="104" fillId="32" borderId="0" xfId="0" applyFont="1" applyFill="1" applyAlignment="1">
      <alignment horizontal="center" vertical="center"/>
    </xf>
    <xf numFmtId="0" fontId="104" fillId="32" borderId="0" xfId="0" applyFont="1" applyFill="1" applyAlignment="1">
      <alignment horizontal="center" vertical="center" wrapText="1"/>
    </xf>
    <xf numFmtId="0" fontId="106" fillId="32" borderId="0" xfId="0" applyFont="1" applyFill="1" applyAlignment="1">
      <alignment vertical="center"/>
    </xf>
    <xf numFmtId="0" fontId="104" fillId="0" borderId="0" xfId="0" applyFont="1" applyBorder="1" applyAlignment="1">
      <alignment horizontal="center" vertical="center" wrapText="1"/>
    </xf>
    <xf numFmtId="0" fontId="132" fillId="0" borderId="64" xfId="0" applyFont="1" applyBorder="1" applyAlignment="1">
      <alignment vertical="center" wrapText="1"/>
    </xf>
    <xf numFmtId="2" fontId="104" fillId="0" borderId="0" xfId="0" applyNumberFormat="1" applyFont="1" applyAlignment="1">
      <alignment horizontal="center" vertical="center" wrapText="1"/>
    </xf>
    <xf numFmtId="0" fontId="112" fillId="0" borderId="0" xfId="0" applyFont="1" applyFill="1" applyBorder="1" applyAlignment="1">
      <alignment horizontal="center" vertical="center"/>
    </xf>
    <xf numFmtId="0" fontId="104" fillId="0" borderId="0" xfId="0" applyFont="1" applyFill="1" applyBorder="1" applyAlignment="1">
      <alignment vertical="center"/>
    </xf>
    <xf numFmtId="0" fontId="104" fillId="0" borderId="0" xfId="0" applyFont="1" applyFill="1" applyBorder="1" applyAlignment="1">
      <alignment horizontal="center" vertical="center" wrapText="1"/>
    </xf>
    <xf numFmtId="0" fontId="105" fillId="0" borderId="64" xfId="0" applyFont="1" applyBorder="1" applyAlignment="1">
      <alignment vertical="center"/>
    </xf>
    <xf numFmtId="1" fontId="104" fillId="0" borderId="64" xfId="0" applyNumberFormat="1" applyFont="1" applyBorder="1" applyAlignment="1">
      <alignment horizontal="center" vertical="center"/>
    </xf>
    <xf numFmtId="1" fontId="114" fillId="11" borderId="75" xfId="50" applyNumberFormat="1" applyFont="1" applyFill="1" applyBorder="1" applyAlignment="1">
      <alignment horizontal="center" vertical="center" wrapText="1"/>
    </xf>
    <xf numFmtId="1" fontId="114" fillId="11" borderId="66" xfId="50" applyNumberFormat="1" applyFont="1" applyFill="1" applyBorder="1" applyAlignment="1">
      <alignment horizontal="center" vertical="center" wrapText="1"/>
    </xf>
    <xf numFmtId="0" fontId="104" fillId="0" borderId="14" xfId="0" applyFont="1" applyBorder="1" applyAlignment="1">
      <alignment vertical="center"/>
    </xf>
    <xf numFmtId="0" fontId="105" fillId="14" borderId="34" xfId="0" applyFont="1" applyFill="1" applyBorder="1" applyAlignment="1">
      <alignment vertical="center" wrapText="1"/>
    </xf>
    <xf numFmtId="0" fontId="105" fillId="14" borderId="14" xfId="0" applyFont="1" applyFill="1" applyBorder="1" applyAlignment="1">
      <alignment vertical="center" wrapText="1"/>
    </xf>
    <xf numFmtId="0" fontId="104" fillId="14" borderId="14" xfId="0" applyFont="1" applyFill="1" applyBorder="1" applyAlignment="1">
      <alignment horizontal="center" vertical="center" wrapText="1"/>
    </xf>
    <xf numFmtId="0" fontId="105" fillId="14" borderId="14" xfId="0" applyFont="1" applyFill="1" applyBorder="1" applyAlignment="1">
      <alignment horizontal="center" vertical="center" wrapText="1"/>
    </xf>
    <xf numFmtId="0" fontId="105" fillId="14" borderId="14" xfId="8" applyFont="1" applyFill="1" applyBorder="1" applyAlignment="1">
      <alignment horizontal="center" vertical="center" wrapText="1"/>
    </xf>
    <xf numFmtId="0" fontId="104" fillId="14" borderId="77" xfId="0" applyFont="1" applyFill="1" applyBorder="1" applyAlignment="1">
      <alignment horizontal="center" vertical="center" wrapText="1"/>
    </xf>
    <xf numFmtId="0" fontId="105" fillId="0" borderId="73" xfId="0" applyFont="1" applyBorder="1" applyAlignment="1">
      <alignment vertical="center"/>
    </xf>
    <xf numFmtId="0" fontId="105" fillId="0" borderId="74" xfId="0" applyFont="1" applyBorder="1" applyAlignment="1">
      <alignment horizontal="center" vertical="center"/>
    </xf>
    <xf numFmtId="174" fontId="105" fillId="0" borderId="76" xfId="61" applyNumberFormat="1" applyFont="1" applyBorder="1" applyAlignment="1">
      <alignment vertical="center"/>
    </xf>
    <xf numFmtId="0" fontId="104" fillId="0" borderId="0" xfId="0" applyFont="1" applyFill="1" applyBorder="1"/>
    <xf numFmtId="0" fontId="108" fillId="0" borderId="0" xfId="0" applyFont="1" applyFill="1" applyBorder="1" applyAlignment="1">
      <alignment vertical="center" wrapText="1"/>
    </xf>
    <xf numFmtId="0" fontId="104" fillId="32" borderId="0" xfId="0" applyFont="1" applyFill="1"/>
    <xf numFmtId="0" fontId="104" fillId="32" borderId="0" xfId="0" applyFont="1" applyFill="1" applyBorder="1"/>
    <xf numFmtId="0" fontId="104" fillId="0" borderId="56" xfId="0" applyFont="1" applyBorder="1" applyAlignment="1">
      <alignment horizontal="center" vertical="center"/>
    </xf>
    <xf numFmtId="0" fontId="105" fillId="14" borderId="64" xfId="8" applyFont="1" applyFill="1" applyBorder="1" applyAlignment="1">
      <alignment horizontal="center" vertical="center" wrapText="1"/>
    </xf>
    <xf numFmtId="2" fontId="110" fillId="0" borderId="64" xfId="244" applyNumberFormat="1" applyFont="1" applyFill="1" applyBorder="1" applyAlignment="1">
      <alignment horizontal="center" vertical="center"/>
    </xf>
    <xf numFmtId="1" fontId="110" fillId="0" borderId="56" xfId="0" applyNumberFormat="1" applyFont="1" applyFill="1" applyBorder="1" applyAlignment="1">
      <alignment horizontal="center" vertical="center" wrapText="1"/>
    </xf>
    <xf numFmtId="0" fontId="135" fillId="11" borderId="56" xfId="0" applyFont="1" applyFill="1" applyBorder="1" applyAlignment="1">
      <alignment vertical="center"/>
    </xf>
    <xf numFmtId="0" fontId="135" fillId="11" borderId="56" xfId="0" applyFont="1" applyFill="1" applyBorder="1" applyAlignment="1">
      <alignment vertical="center" wrapText="1"/>
    </xf>
    <xf numFmtId="0" fontId="136" fillId="32" borderId="14" xfId="0" applyFont="1" applyFill="1" applyBorder="1" applyAlignment="1">
      <alignment horizontal="center" vertical="center" wrapText="1"/>
    </xf>
    <xf numFmtId="0" fontId="139" fillId="0" borderId="0" xfId="0" applyFont="1"/>
    <xf numFmtId="0" fontId="96" fillId="0" borderId="0" xfId="0" applyFont="1" applyBorder="1" applyAlignment="1">
      <alignment horizontal="center" vertical="center"/>
    </xf>
    <xf numFmtId="0" fontId="96" fillId="0" borderId="64" xfId="0" applyFont="1" applyBorder="1" applyAlignment="1">
      <alignment horizontal="left" vertical="center" wrapText="1"/>
    </xf>
    <xf numFmtId="0" fontId="145" fillId="0" borderId="0" xfId="0" applyFont="1" applyBorder="1" applyAlignment="1">
      <alignment horizontal="left" vertical="center"/>
    </xf>
    <xf numFmtId="0" fontId="146" fillId="0" borderId="64" xfId="0" applyFont="1" applyBorder="1" applyAlignment="1">
      <alignment vertical="center"/>
    </xf>
    <xf numFmtId="0" fontId="149" fillId="23" borderId="64" xfId="203" applyFont="1" applyFill="1" applyBorder="1" applyAlignment="1">
      <alignment horizontal="center" vertical="center" wrapText="1"/>
    </xf>
    <xf numFmtId="0" fontId="96" fillId="0" borderId="64" xfId="0" applyFont="1" applyBorder="1" applyAlignment="1">
      <alignment horizontal="center" vertical="center" wrapText="1"/>
    </xf>
    <xf numFmtId="0" fontId="150" fillId="0" borderId="64" xfId="0" applyFont="1" applyBorder="1" applyAlignment="1">
      <alignment horizontal="center" vertical="center"/>
    </xf>
    <xf numFmtId="0" fontId="135" fillId="0" borderId="64" xfId="203" applyFont="1" applyBorder="1" applyAlignment="1">
      <alignment horizontal="left" vertical="center" wrapText="1"/>
    </xf>
    <xf numFmtId="3" fontId="146" fillId="0" borderId="64" xfId="0" applyNumberFormat="1" applyFont="1" applyBorder="1" applyAlignment="1">
      <alignment horizontal="center" vertical="center"/>
    </xf>
    <xf numFmtId="0" fontId="143" fillId="0" borderId="0" xfId="0" applyFont="1" applyBorder="1" applyAlignment="1">
      <alignment horizontal="left" vertical="center"/>
    </xf>
    <xf numFmtId="0" fontId="139" fillId="32" borderId="0" xfId="0" applyFont="1" applyFill="1"/>
    <xf numFmtId="0" fontId="139" fillId="0" borderId="0" xfId="0" applyFont="1" applyFill="1"/>
    <xf numFmtId="0" fontId="139" fillId="0" borderId="0" xfId="0" applyFont="1" applyFill="1" applyBorder="1"/>
    <xf numFmtId="0" fontId="152" fillId="0" borderId="0" xfId="0" applyFont="1" applyFill="1" applyBorder="1" applyAlignment="1">
      <alignment vertical="center"/>
    </xf>
    <xf numFmtId="9" fontId="152" fillId="0" borderId="0" xfId="0" applyNumberFormat="1" applyFont="1" applyFill="1" applyBorder="1" applyAlignment="1">
      <alignment horizontal="center" vertical="center"/>
    </xf>
    <xf numFmtId="0" fontId="142" fillId="0" borderId="0" xfId="0" applyFont="1" applyFill="1" applyAlignment="1">
      <alignment vertical="center" wrapText="1"/>
    </xf>
    <xf numFmtId="0" fontId="139" fillId="0" borderId="13" xfId="0" applyFont="1" applyBorder="1"/>
    <xf numFmtId="0" fontId="139" fillId="5" borderId="2" xfId="0" applyFont="1" applyFill="1" applyBorder="1" applyAlignment="1">
      <alignment vertical="center" wrapText="1"/>
    </xf>
    <xf numFmtId="0" fontId="139" fillId="0" borderId="13" xfId="0" applyFont="1" applyBorder="1" applyAlignment="1">
      <alignment horizontal="center"/>
    </xf>
    <xf numFmtId="0" fontId="139" fillId="0" borderId="56" xfId="0" applyFont="1" applyBorder="1" applyAlignment="1">
      <alignment horizontal="center"/>
    </xf>
    <xf numFmtId="0" fontId="155" fillId="5" borderId="2" xfId="0" applyFont="1" applyFill="1" applyBorder="1" applyAlignment="1">
      <alignment vertical="center" wrapText="1"/>
    </xf>
    <xf numFmtId="0" fontId="139" fillId="5" borderId="41" xfId="0" applyFont="1" applyFill="1" applyBorder="1" applyAlignment="1">
      <alignment vertical="center" wrapText="1"/>
    </xf>
    <xf numFmtId="0" fontId="154" fillId="0" borderId="16" xfId="0" applyFont="1" applyBorder="1"/>
    <xf numFmtId="176" fontId="154" fillId="0" borderId="18" xfId="0" applyNumberFormat="1" applyFont="1" applyBorder="1"/>
    <xf numFmtId="2" fontId="154" fillId="0" borderId="0" xfId="0" applyNumberFormat="1" applyFont="1" applyBorder="1"/>
    <xf numFmtId="0" fontId="139" fillId="0" borderId="53" xfId="0" applyFont="1" applyBorder="1"/>
    <xf numFmtId="2" fontId="139" fillId="0" borderId="0" xfId="0" applyNumberFormat="1" applyFont="1"/>
    <xf numFmtId="9" fontId="137" fillId="0" borderId="0" xfId="0" applyNumberFormat="1" applyFont="1" applyFill="1" applyBorder="1" applyAlignment="1">
      <alignment vertical="center" wrapText="1"/>
    </xf>
    <xf numFmtId="0" fontId="134" fillId="0" borderId="0" xfId="0" applyFont="1" applyFill="1" applyBorder="1" applyAlignment="1">
      <alignment vertical="center"/>
    </xf>
    <xf numFmtId="0" fontId="152" fillId="0" borderId="0" xfId="0" applyFont="1" applyFill="1" applyBorder="1" applyAlignment="1">
      <alignment horizontal="center" vertical="center"/>
    </xf>
    <xf numFmtId="0" fontId="139" fillId="0" borderId="33" xfId="0" applyFont="1" applyBorder="1"/>
    <xf numFmtId="0" fontId="154" fillId="14" borderId="64" xfId="0" applyFont="1" applyFill="1" applyBorder="1" applyAlignment="1">
      <alignment vertical="center" wrapText="1"/>
    </xf>
    <xf numFmtId="0" fontId="154" fillId="14" borderId="64" xfId="0" applyFont="1" applyFill="1" applyBorder="1" applyAlignment="1">
      <alignment horizontal="center" vertical="center" wrapText="1"/>
    </xf>
    <xf numFmtId="0" fontId="153" fillId="32" borderId="64" xfId="0" applyFont="1" applyFill="1" applyBorder="1" applyAlignment="1">
      <alignment horizontal="center" vertical="center" wrapText="1"/>
    </xf>
    <xf numFmtId="0" fontId="154" fillId="14" borderId="64" xfId="8" applyFont="1" applyFill="1" applyBorder="1" applyAlignment="1">
      <alignment horizontal="center" vertical="center" wrapText="1"/>
    </xf>
    <xf numFmtId="0" fontId="149" fillId="0" borderId="0" xfId="203" applyFont="1" applyBorder="1" applyAlignment="1">
      <alignment horizontal="center" vertical="center" wrapText="1"/>
    </xf>
    <xf numFmtId="3" fontId="146" fillId="0" borderId="0" xfId="0" applyNumberFormat="1" applyFont="1" applyBorder="1" applyAlignment="1">
      <alignment horizontal="center" vertical="center"/>
    </xf>
    <xf numFmtId="0" fontId="143" fillId="32" borderId="0" xfId="0" applyFont="1" applyFill="1" applyBorder="1" applyAlignment="1">
      <alignment horizontal="left" vertical="center"/>
    </xf>
    <xf numFmtId="0" fontId="145" fillId="32" borderId="0" xfId="0" applyFont="1" applyFill="1" applyBorder="1" applyAlignment="1">
      <alignment horizontal="left" vertical="center"/>
    </xf>
    <xf numFmtId="0" fontId="149" fillId="32" borderId="0" xfId="203" applyFont="1" applyFill="1" applyBorder="1" applyAlignment="1">
      <alignment horizontal="center" vertical="center" wrapText="1"/>
    </xf>
    <xf numFmtId="3" fontId="146" fillId="32" borderId="0" xfId="0" applyNumberFormat="1" applyFont="1" applyFill="1" applyBorder="1" applyAlignment="1">
      <alignment horizontal="center" vertical="center"/>
    </xf>
    <xf numFmtId="0" fontId="35" fillId="0" borderId="0" xfId="0" applyFont="1" applyFill="1" applyAlignment="1">
      <alignment vertical="justify"/>
    </xf>
    <xf numFmtId="0" fontId="35" fillId="0" borderId="0" xfId="0" applyFont="1" applyFill="1" applyBorder="1" applyAlignment="1">
      <alignment vertical="justify"/>
    </xf>
    <xf numFmtId="0" fontId="146" fillId="0" borderId="64" xfId="0" applyFont="1" applyBorder="1" applyAlignment="1">
      <alignment horizontal="left" vertical="center" wrapText="1"/>
    </xf>
    <xf numFmtId="0" fontId="35" fillId="0" borderId="64" xfId="0" applyFont="1" applyBorder="1" applyAlignment="1">
      <alignment vertical="center"/>
    </xf>
    <xf numFmtId="1" fontId="104" fillId="0" borderId="0" xfId="0" applyNumberFormat="1" applyFont="1" applyBorder="1" applyAlignment="1">
      <alignment horizontal="center" vertical="center"/>
    </xf>
    <xf numFmtId="0" fontId="110" fillId="0" borderId="0" xfId="0" applyFont="1" applyFill="1" applyBorder="1" applyAlignment="1">
      <alignment vertical="center"/>
    </xf>
    <xf numFmtId="0" fontId="112" fillId="0" borderId="0" xfId="0" applyFont="1" applyFill="1" applyBorder="1" applyAlignment="1">
      <alignment vertical="center"/>
    </xf>
    <xf numFmtId="0" fontId="110" fillId="0" borderId="64" xfId="0" applyFont="1" applyBorder="1" applyAlignment="1">
      <alignment horizontal="center" vertical="center"/>
    </xf>
    <xf numFmtId="0" fontId="105" fillId="0" borderId="0" xfId="0" applyFont="1" applyFill="1" applyBorder="1" applyAlignment="1">
      <alignment vertical="center"/>
    </xf>
    <xf numFmtId="0" fontId="100" fillId="0" borderId="0" xfId="0" applyFont="1" applyFill="1" applyBorder="1" applyAlignment="1">
      <alignment horizontal="center" vertical="center"/>
    </xf>
    <xf numFmtId="0" fontId="132" fillId="0" borderId="0" xfId="0" applyFont="1" applyFill="1" applyBorder="1" applyAlignment="1">
      <alignment vertical="center" wrapText="1"/>
    </xf>
    <xf numFmtId="0" fontId="106" fillId="0" borderId="0" xfId="0" applyFont="1" applyBorder="1" applyAlignment="1">
      <alignment vertical="center"/>
    </xf>
    <xf numFmtId="1" fontId="110" fillId="0" borderId="64" xfId="0" applyNumberFormat="1" applyFont="1" applyBorder="1" applyAlignment="1">
      <alignment horizontal="center" vertical="center"/>
    </xf>
    <xf numFmtId="0" fontId="105" fillId="12" borderId="64" xfId="0" applyFont="1" applyFill="1" applyBorder="1" applyAlignment="1">
      <alignment horizontal="center" vertical="center"/>
    </xf>
    <xf numFmtId="174" fontId="105" fillId="0" borderId="0" xfId="61" applyNumberFormat="1" applyFont="1" applyBorder="1" applyAlignment="1">
      <alignment vertical="center"/>
    </xf>
    <xf numFmtId="0" fontId="139" fillId="0" borderId="64" xfId="0" applyFont="1" applyFill="1" applyBorder="1" applyAlignment="1">
      <alignment horizontal="center" vertical="center" wrapText="1"/>
    </xf>
    <xf numFmtId="0" fontId="139" fillId="0" borderId="64" xfId="0" applyFont="1" applyBorder="1" applyAlignment="1">
      <alignment horizontal="center" vertical="center" wrapText="1"/>
    </xf>
    <xf numFmtId="9" fontId="139" fillId="0" borderId="64" xfId="0" applyNumberFormat="1" applyFont="1" applyFill="1" applyBorder="1" applyAlignment="1">
      <alignment horizontal="center" vertical="center" wrapText="1"/>
    </xf>
    <xf numFmtId="0" fontId="139" fillId="0" borderId="0" xfId="0" applyFont="1" applyBorder="1" applyAlignment="1">
      <alignment vertical="center"/>
    </xf>
    <xf numFmtId="0" fontId="139" fillId="0" borderId="0" xfId="0" applyFont="1" applyBorder="1" applyAlignment="1">
      <alignment horizontal="center" vertical="center" wrapText="1"/>
    </xf>
    <xf numFmtId="0" fontId="66" fillId="0" borderId="0" xfId="0" applyFont="1" applyFill="1" applyBorder="1" applyAlignment="1">
      <alignment horizontal="center" vertical="center"/>
    </xf>
    <xf numFmtId="0" fontId="35" fillId="0" borderId="0" xfId="0" applyFont="1" applyFill="1" applyBorder="1" applyAlignment="1">
      <alignment vertical="center" wrapText="1"/>
    </xf>
    <xf numFmtId="0" fontId="149" fillId="0" borderId="64" xfId="0" applyFont="1" applyBorder="1" applyAlignment="1">
      <alignment vertical="center"/>
    </xf>
    <xf numFmtId="0" fontId="96" fillId="0" borderId="64" xfId="0" applyFont="1" applyBorder="1" applyAlignment="1">
      <alignment vertical="center"/>
    </xf>
    <xf numFmtId="1" fontId="96" fillId="0" borderId="64" xfId="0" applyNumberFormat="1" applyFont="1" applyBorder="1" applyAlignment="1">
      <alignment vertical="center" wrapText="1"/>
    </xf>
    <xf numFmtId="1" fontId="96" fillId="0" borderId="64" xfId="0" applyNumberFormat="1" applyFont="1" applyBorder="1" applyAlignment="1">
      <alignment vertical="center"/>
    </xf>
    <xf numFmtId="0" fontId="135" fillId="0" borderId="64" xfId="0" applyFont="1" applyBorder="1" applyAlignment="1">
      <alignment vertical="center" wrapText="1"/>
    </xf>
    <xf numFmtId="0" fontId="35" fillId="0" borderId="0" xfId="0" applyFont="1" applyAlignment="1">
      <alignment horizontal="center" vertical="center"/>
    </xf>
    <xf numFmtId="0" fontId="60" fillId="0" borderId="0" xfId="0" applyFont="1" applyBorder="1" applyAlignment="1">
      <alignment horizontal="left" vertical="center"/>
    </xf>
    <xf numFmtId="174" fontId="60" fillId="0" borderId="0" xfId="61" applyNumberFormat="1" applyFont="1" applyBorder="1" applyAlignment="1">
      <alignment vertical="center"/>
    </xf>
    <xf numFmtId="0" fontId="149" fillId="0" borderId="64" xfId="0" applyFont="1" applyBorder="1" applyAlignment="1">
      <alignment vertical="center" wrapText="1"/>
    </xf>
    <xf numFmtId="0" fontId="96" fillId="0" borderId="25" xfId="0" applyFont="1" applyBorder="1" applyAlignment="1">
      <alignment vertical="justify"/>
    </xf>
    <xf numFmtId="0" fontId="96" fillId="0" borderId="56" xfId="0" applyFont="1" applyBorder="1" applyAlignment="1">
      <alignment vertical="justify" wrapText="1"/>
    </xf>
    <xf numFmtId="0" fontId="96" fillId="0" borderId="56" xfId="0" applyFont="1" applyBorder="1" applyAlignment="1">
      <alignment vertical="justify"/>
    </xf>
    <xf numFmtId="0" fontId="96" fillId="0" borderId="3" xfId="0" applyFont="1" applyBorder="1" applyAlignment="1">
      <alignment horizontal="center" vertical="justify"/>
    </xf>
    <xf numFmtId="0" fontId="96" fillId="0" borderId="56" xfId="0" applyFont="1" applyBorder="1" applyAlignment="1">
      <alignment horizontal="center" vertical="justify"/>
    </xf>
    <xf numFmtId="0" fontId="96" fillId="11" borderId="56" xfId="0" applyFont="1" applyFill="1" applyBorder="1" applyAlignment="1">
      <alignment horizontal="center" vertical="justify"/>
    </xf>
    <xf numFmtId="0" fontId="96" fillId="0" borderId="57" xfId="0" applyFont="1" applyBorder="1" applyAlignment="1">
      <alignment vertical="justify"/>
    </xf>
    <xf numFmtId="0" fontId="96" fillId="0" borderId="56" xfId="0" applyFont="1" applyFill="1" applyBorder="1" applyAlignment="1">
      <alignment horizontal="left" vertical="justify" wrapText="1"/>
    </xf>
    <xf numFmtId="2" fontId="96" fillId="11" borderId="56" xfId="0" applyNumberFormat="1" applyFont="1" applyFill="1" applyBorder="1" applyAlignment="1">
      <alignment horizontal="center" vertical="justify"/>
    </xf>
    <xf numFmtId="0" fontId="135" fillId="11" borderId="56" xfId="0" applyFont="1" applyFill="1" applyBorder="1" applyAlignment="1">
      <alignment vertical="justify" wrapText="1"/>
    </xf>
    <xf numFmtId="0" fontId="135" fillId="0" borderId="64" xfId="0" applyFont="1" applyFill="1" applyBorder="1" applyAlignment="1">
      <alignment vertical="justify" wrapText="1"/>
    </xf>
    <xf numFmtId="0" fontId="135" fillId="0" borderId="64" xfId="0" applyFont="1" applyFill="1" applyBorder="1" applyAlignment="1">
      <alignment vertical="justify"/>
    </xf>
    <xf numFmtId="0" fontId="135" fillId="0" borderId="64" xfId="0" applyFont="1" applyFill="1" applyBorder="1" applyAlignment="1">
      <alignment vertical="center"/>
    </xf>
    <xf numFmtId="0" fontId="91" fillId="11" borderId="0" xfId="0" applyFont="1" applyFill="1" applyBorder="1" applyAlignment="1">
      <alignment vertical="center"/>
    </xf>
    <xf numFmtId="0" fontId="0" fillId="11" borderId="0" xfId="0" applyFill="1" applyBorder="1" applyAlignment="1">
      <alignment vertical="center"/>
    </xf>
    <xf numFmtId="0" fontId="111" fillId="11" borderId="0" xfId="0" applyFont="1" applyFill="1" applyBorder="1"/>
    <xf numFmtId="0" fontId="108" fillId="11" borderId="0" xfId="0" applyFont="1" applyFill="1" applyBorder="1" applyAlignment="1">
      <alignment vertical="center"/>
    </xf>
    <xf numFmtId="0" fontId="86" fillId="11" borderId="0" xfId="203" applyFont="1" applyFill="1" applyBorder="1" applyAlignment="1">
      <alignment horizontal="center" vertical="center" wrapText="1"/>
    </xf>
    <xf numFmtId="0" fontId="108" fillId="11" borderId="0" xfId="0" applyFont="1" applyFill="1" applyBorder="1" applyAlignment="1">
      <alignment horizontal="center" vertical="center" wrapText="1"/>
    </xf>
    <xf numFmtId="0" fontId="24" fillId="11" borderId="0" xfId="203" applyFill="1" applyBorder="1" applyAlignment="1">
      <alignment horizontal="left" vertical="center" wrapText="1"/>
    </xf>
    <xf numFmtId="9" fontId="99" fillId="11" borderId="0" xfId="62" applyFont="1" applyFill="1" applyBorder="1" applyAlignment="1">
      <alignment horizontal="center" vertical="center"/>
    </xf>
    <xf numFmtId="3" fontId="108" fillId="11" borderId="0" xfId="0" applyNumberFormat="1" applyFont="1" applyFill="1" applyBorder="1" applyAlignment="1">
      <alignment horizontal="center" vertical="center"/>
    </xf>
    <xf numFmtId="0" fontId="108" fillId="11" borderId="0" xfId="0" applyFont="1" applyFill="1" applyBorder="1" applyAlignment="1">
      <alignment horizontal="center" vertical="center"/>
    </xf>
    <xf numFmtId="0" fontId="13" fillId="18" borderId="56" xfId="0" applyFont="1" applyFill="1" applyBorder="1" applyAlignment="1">
      <alignment horizontal="center"/>
    </xf>
    <xf numFmtId="0" fontId="13" fillId="11" borderId="25" xfId="0" applyFont="1" applyFill="1" applyBorder="1"/>
    <xf numFmtId="0" fontId="108" fillId="0" borderId="78" xfId="0" applyFont="1" applyBorder="1" applyAlignment="1">
      <alignment horizontal="center" vertical="center"/>
    </xf>
    <xf numFmtId="0" fontId="111" fillId="32" borderId="0" xfId="0" applyFont="1" applyFill="1" applyBorder="1" applyAlignment="1">
      <alignment vertical="center"/>
    </xf>
    <xf numFmtId="0" fontId="108" fillId="32" borderId="0" xfId="0" applyFont="1" applyFill="1" applyBorder="1" applyAlignment="1">
      <alignment horizontal="left" vertical="center"/>
    </xf>
    <xf numFmtId="0" fontId="111" fillId="32" borderId="0" xfId="0" applyFont="1" applyFill="1"/>
    <xf numFmtId="0" fontId="108" fillId="32" borderId="0" xfId="0" applyFont="1" applyFill="1" applyBorder="1" applyAlignment="1">
      <alignment horizontal="center" vertical="center"/>
    </xf>
    <xf numFmtId="0" fontId="104" fillId="34" borderId="0" xfId="0" applyFont="1" applyFill="1" applyBorder="1" applyAlignment="1">
      <alignment vertical="center"/>
    </xf>
    <xf numFmtId="0" fontId="105" fillId="34" borderId="0" xfId="0" applyFont="1" applyFill="1" applyBorder="1" applyAlignment="1">
      <alignment vertical="center" wrapText="1"/>
    </xf>
    <xf numFmtId="0" fontId="105" fillId="34" borderId="0" xfId="0" applyFont="1" applyFill="1" applyBorder="1" applyAlignment="1">
      <alignment horizontal="center" vertical="center" wrapText="1"/>
    </xf>
    <xf numFmtId="0" fontId="105" fillId="34" borderId="0" xfId="0" applyFont="1" applyFill="1" applyBorder="1" applyAlignment="1">
      <alignment horizontal="center" vertical="center"/>
    </xf>
    <xf numFmtId="174" fontId="105" fillId="34" borderId="0" xfId="61" applyNumberFormat="1" applyFont="1" applyFill="1" applyBorder="1" applyAlignment="1">
      <alignment horizontal="center" vertical="center"/>
    </xf>
    <xf numFmtId="0" fontId="104" fillId="34" borderId="18" xfId="0" applyFont="1" applyFill="1" applyBorder="1" applyAlignment="1">
      <alignment horizontal="center" vertical="center" wrapText="1"/>
    </xf>
    <xf numFmtId="0" fontId="128" fillId="0" borderId="0" xfId="0" applyFont="1" applyBorder="1" applyAlignment="1">
      <alignment horizontal="center" vertical="center"/>
    </xf>
    <xf numFmtId="0" fontId="108" fillId="35" borderId="56" xfId="0" applyFont="1" applyFill="1" applyBorder="1" applyAlignment="1">
      <alignment horizontal="center"/>
    </xf>
    <xf numFmtId="0" fontId="108" fillId="35" borderId="43" xfId="0" applyFont="1" applyFill="1" applyBorder="1" applyAlignment="1">
      <alignment horizontal="center"/>
    </xf>
    <xf numFmtId="0" fontId="91" fillId="0" borderId="44" xfId="0" applyFont="1" applyBorder="1"/>
    <xf numFmtId="0" fontId="108" fillId="35" borderId="15" xfId="0" applyFont="1" applyFill="1" applyBorder="1" applyAlignment="1">
      <alignment horizontal="left"/>
    </xf>
    <xf numFmtId="0" fontId="88" fillId="35" borderId="43" xfId="0" applyFont="1" applyFill="1" applyBorder="1" applyAlignment="1">
      <alignment horizontal="center" vertical="center"/>
    </xf>
    <xf numFmtId="0" fontId="105" fillId="35" borderId="52" xfId="0" applyFont="1" applyFill="1" applyBorder="1" applyAlignment="1">
      <alignment vertical="center"/>
    </xf>
    <xf numFmtId="0" fontId="104" fillId="0" borderId="74" xfId="0" applyFont="1" applyFill="1" applyBorder="1" applyAlignment="1">
      <alignment horizontal="center" vertical="center"/>
    </xf>
    <xf numFmtId="174" fontId="104" fillId="0" borderId="59" xfId="0" applyNumberFormat="1" applyFont="1" applyFill="1" applyBorder="1" applyAlignment="1">
      <alignment vertical="center"/>
    </xf>
    <xf numFmtId="174" fontId="104" fillId="0" borderId="18" xfId="0" applyNumberFormat="1" applyFont="1" applyFill="1" applyBorder="1" applyAlignment="1">
      <alignment vertical="center"/>
    </xf>
    <xf numFmtId="174" fontId="104" fillId="0" borderId="61" xfId="0" applyNumberFormat="1" applyFont="1" applyFill="1" applyBorder="1" applyAlignment="1">
      <alignment vertical="center"/>
    </xf>
    <xf numFmtId="3" fontId="81" fillId="0" borderId="0" xfId="203" applyNumberFormat="1" applyFont="1" applyFill="1" applyAlignment="1" applyProtection="1">
      <alignment horizontal="center" vertical="center" wrapText="1"/>
      <protection locked="0"/>
    </xf>
    <xf numFmtId="3" fontId="81" fillId="0" borderId="0" xfId="203" applyNumberFormat="1" applyFont="1" applyFill="1" applyBorder="1" applyAlignment="1" applyProtection="1">
      <alignment horizontal="center" vertical="center" wrapText="1"/>
      <protection locked="0"/>
    </xf>
    <xf numFmtId="3" fontId="83" fillId="0" borderId="0" xfId="203" applyNumberFormat="1" applyFont="1" applyFill="1" applyBorder="1" applyAlignment="1" applyProtection="1">
      <alignment horizontal="center" vertical="center" wrapText="1"/>
    </xf>
    <xf numFmtId="9" fontId="81" fillId="0" borderId="0" xfId="62" applyFont="1" applyFill="1" applyBorder="1" applyAlignment="1" applyProtection="1">
      <alignment horizontal="center" vertical="center" wrapText="1"/>
      <protection locked="0"/>
    </xf>
    <xf numFmtId="3" fontId="81" fillId="0" borderId="50" xfId="203" applyNumberFormat="1" applyFont="1" applyFill="1" applyBorder="1" applyAlignment="1" applyProtection="1">
      <alignment horizontal="center" vertical="center" wrapText="1"/>
      <protection locked="0"/>
    </xf>
    <xf numFmtId="3" fontId="81" fillId="0" borderId="29" xfId="203" applyNumberFormat="1" applyFont="1" applyFill="1" applyBorder="1" applyAlignment="1" applyProtection="1">
      <alignment horizontal="center" vertical="center" wrapText="1"/>
      <protection locked="0"/>
    </xf>
    <xf numFmtId="3" fontId="81" fillId="0" borderId="33" xfId="203" applyNumberFormat="1" applyFont="1" applyFill="1" applyBorder="1" applyAlignment="1" applyProtection="1">
      <alignment horizontal="center" vertical="center" wrapText="1"/>
      <protection locked="0"/>
    </xf>
    <xf numFmtId="9" fontId="81" fillId="0" borderId="33" xfId="62" applyFont="1" applyFill="1" applyBorder="1" applyAlignment="1" applyProtection="1">
      <alignment horizontal="center" vertical="center" wrapText="1"/>
      <protection locked="0"/>
    </xf>
    <xf numFmtId="0" fontId="108" fillId="35" borderId="30" xfId="0" applyFont="1" applyFill="1" applyBorder="1" applyAlignment="1">
      <alignment horizontal="left"/>
    </xf>
    <xf numFmtId="0" fontId="108" fillId="35" borderId="83" xfId="0" applyFont="1" applyFill="1" applyBorder="1" applyAlignment="1">
      <alignment horizontal="center"/>
    </xf>
    <xf numFmtId="0" fontId="86" fillId="33" borderId="64" xfId="203" applyFont="1" applyFill="1" applyBorder="1" applyAlignment="1">
      <alignment horizontal="center" vertical="center" wrapText="1"/>
    </xf>
    <xf numFmtId="0" fontId="113" fillId="0" borderId="78" xfId="8" applyFont="1" applyFill="1" applyBorder="1" applyAlignment="1">
      <alignment horizontal="center" vertical="center" wrapText="1"/>
    </xf>
    <xf numFmtId="0" fontId="113" fillId="0" borderId="78" xfId="8" applyFont="1" applyFill="1" applyBorder="1" applyAlignment="1">
      <alignment horizontal="left" vertical="center" wrapText="1"/>
    </xf>
    <xf numFmtId="0" fontId="105" fillId="34" borderId="64" xfId="0" applyFont="1" applyFill="1" applyBorder="1" applyAlignment="1">
      <alignment vertical="center"/>
    </xf>
    <xf numFmtId="0" fontId="105" fillId="13" borderId="16" xfId="0" applyFont="1" applyFill="1" applyBorder="1" applyAlignment="1">
      <alignment vertical="center"/>
    </xf>
    <xf numFmtId="0" fontId="104" fillId="13" borderId="0" xfId="0" applyFont="1" applyFill="1" applyBorder="1" applyAlignment="1">
      <alignment vertical="center"/>
    </xf>
    <xf numFmtId="0" fontId="104" fillId="13" borderId="0" xfId="0" applyFont="1" applyFill="1" applyBorder="1" applyAlignment="1">
      <alignment horizontal="center" vertical="center"/>
    </xf>
    <xf numFmtId="2" fontId="104" fillId="13" borderId="0" xfId="0" applyNumberFormat="1" applyFont="1" applyFill="1" applyBorder="1" applyAlignment="1">
      <alignment horizontal="center" vertical="center"/>
    </xf>
    <xf numFmtId="0" fontId="104" fillId="13" borderId="18" xfId="0" applyFont="1" applyFill="1" applyBorder="1" applyAlignment="1">
      <alignment horizontal="center" vertical="center" wrapText="1"/>
    </xf>
    <xf numFmtId="0" fontId="105" fillId="13" borderId="25" xfId="0" applyFont="1" applyFill="1" applyBorder="1" applyAlignment="1">
      <alignment vertical="center" wrapText="1"/>
    </xf>
    <xf numFmtId="0" fontId="105" fillId="13" borderId="0" xfId="0" applyFont="1" applyFill="1" applyBorder="1" applyAlignment="1">
      <alignment vertical="center"/>
    </xf>
    <xf numFmtId="0" fontId="105" fillId="0" borderId="13" xfId="0" applyFont="1" applyBorder="1" applyAlignment="1">
      <alignment horizontal="center" vertical="center"/>
    </xf>
    <xf numFmtId="0" fontId="105" fillId="35" borderId="2" xfId="0" applyFont="1" applyFill="1" applyBorder="1" applyAlignment="1">
      <alignment vertical="center"/>
    </xf>
    <xf numFmtId="0" fontId="104" fillId="35" borderId="24" xfId="0" applyFont="1" applyFill="1" applyBorder="1" applyAlignment="1">
      <alignment horizontal="center" vertical="center"/>
    </xf>
    <xf numFmtId="0" fontId="104" fillId="35" borderId="24" xfId="0" applyFont="1" applyFill="1" applyBorder="1" applyAlignment="1">
      <alignment vertical="center"/>
    </xf>
    <xf numFmtId="174" fontId="105" fillId="35" borderId="3" xfId="61" applyNumberFormat="1" applyFont="1" applyFill="1" applyBorder="1" applyAlignment="1">
      <alignment vertical="center"/>
    </xf>
    <xf numFmtId="174" fontId="105" fillId="35" borderId="78" xfId="61" applyNumberFormat="1" applyFont="1" applyFill="1" applyBorder="1" applyAlignment="1">
      <alignment vertical="center"/>
    </xf>
    <xf numFmtId="0" fontId="105" fillId="35" borderId="73" xfId="0" applyFont="1" applyFill="1" applyBorder="1" applyAlignment="1">
      <alignment vertical="center"/>
    </xf>
    <xf numFmtId="0" fontId="105" fillId="35" borderId="74" xfId="0" applyFont="1" applyFill="1" applyBorder="1" applyAlignment="1">
      <alignment horizontal="center" vertical="center"/>
    </xf>
    <xf numFmtId="174" fontId="105" fillId="35" borderId="76" xfId="61" applyNumberFormat="1" applyFont="1" applyFill="1" applyBorder="1" applyAlignment="1">
      <alignment vertical="center"/>
    </xf>
    <xf numFmtId="0" fontId="105" fillId="35" borderId="40" xfId="0" applyFont="1" applyFill="1" applyBorder="1"/>
    <xf numFmtId="0" fontId="104" fillId="35" borderId="6" xfId="0" applyFont="1" applyFill="1" applyBorder="1" applyAlignment="1">
      <alignment horizontal="center" vertical="center"/>
    </xf>
    <xf numFmtId="0" fontId="105" fillId="35" borderId="15" xfId="0" applyFont="1" applyFill="1" applyBorder="1"/>
    <xf numFmtId="0" fontId="104" fillId="35" borderId="42" xfId="0" applyFont="1" applyFill="1" applyBorder="1" applyAlignment="1">
      <alignment horizontal="center" vertical="center"/>
    </xf>
    <xf numFmtId="0" fontId="105" fillId="35" borderId="29" xfId="0" applyFont="1" applyFill="1" applyBorder="1" applyAlignment="1">
      <alignment horizontal="center" vertical="center"/>
    </xf>
    <xf numFmtId="0" fontId="149" fillId="33" borderId="64" xfId="203" applyFont="1" applyFill="1" applyBorder="1" applyAlignment="1">
      <alignment horizontal="center" vertical="center" wrapText="1"/>
    </xf>
    <xf numFmtId="0" fontId="153" fillId="25" borderId="78" xfId="0" applyFont="1" applyFill="1" applyBorder="1" applyAlignment="1">
      <alignment horizontal="center" vertical="center"/>
    </xf>
    <xf numFmtId="0" fontId="143" fillId="35" borderId="15" xfId="0" applyFont="1" applyFill="1" applyBorder="1"/>
    <xf numFmtId="0" fontId="71" fillId="35" borderId="15" xfId="0" applyFont="1" applyFill="1" applyBorder="1"/>
    <xf numFmtId="0" fontId="136" fillId="25" borderId="78" xfId="0" applyFont="1" applyFill="1" applyBorder="1" applyAlignment="1">
      <alignment horizontal="center" vertical="center"/>
    </xf>
    <xf numFmtId="0" fontId="59" fillId="0" borderId="16" xfId="0" applyFont="1" applyFill="1" applyBorder="1" applyAlignment="1">
      <alignment wrapText="1"/>
    </xf>
    <xf numFmtId="0" fontId="59" fillId="0" borderId="53" xfId="0" applyFont="1" applyFill="1" applyBorder="1" applyAlignment="1">
      <alignment wrapText="1"/>
    </xf>
    <xf numFmtId="0" fontId="60" fillId="0" borderId="53" xfId="0" applyFont="1" applyFill="1" applyBorder="1" applyAlignment="1">
      <alignment wrapText="1"/>
    </xf>
    <xf numFmtId="0" fontId="60" fillId="35" borderId="15" xfId="0" applyFont="1" applyFill="1" applyBorder="1"/>
    <xf numFmtId="0" fontId="60" fillId="35" borderId="43" xfId="0" applyFont="1" applyFill="1" applyBorder="1" applyAlignment="1">
      <alignment horizontal="center"/>
    </xf>
    <xf numFmtId="174" fontId="60" fillId="35" borderId="64" xfId="61" applyNumberFormat="1" applyFont="1" applyFill="1" applyBorder="1" applyAlignment="1">
      <alignment vertical="center"/>
    </xf>
    <xf numFmtId="0" fontId="35" fillId="0" borderId="78" xfId="0" applyFont="1" applyBorder="1" applyAlignment="1">
      <alignment vertical="center" wrapText="1"/>
    </xf>
    <xf numFmtId="0" fontId="28" fillId="11" borderId="78" xfId="0" applyFont="1" applyFill="1" applyBorder="1" applyAlignment="1">
      <alignment vertical="justify"/>
    </xf>
    <xf numFmtId="174" fontId="146" fillId="35" borderId="72" xfId="61" applyNumberFormat="1" applyFont="1" applyFill="1" applyBorder="1" applyAlignment="1">
      <alignment vertical="center"/>
    </xf>
    <xf numFmtId="1" fontId="159" fillId="0" borderId="56" xfId="0" applyNumberFormat="1" applyFont="1" applyFill="1" applyBorder="1" applyAlignment="1">
      <alignment horizontal="center" vertical="justify"/>
    </xf>
    <xf numFmtId="0" fontId="128" fillId="24" borderId="2" xfId="0" applyFont="1" applyFill="1" applyBorder="1" applyAlignment="1">
      <alignment horizontal="center" vertical="center" wrapText="1"/>
    </xf>
    <xf numFmtId="0" fontId="128" fillId="24" borderId="3" xfId="0" applyFont="1" applyFill="1" applyBorder="1" applyAlignment="1">
      <alignment horizontal="center" vertical="center" wrapText="1"/>
    </xf>
    <xf numFmtId="0" fontId="128" fillId="24" borderId="56" xfId="0" applyFont="1" applyFill="1" applyBorder="1" applyAlignment="1">
      <alignment horizontal="center" vertical="center" wrapText="1"/>
    </xf>
    <xf numFmtId="1" fontId="159" fillId="0" borderId="56" xfId="0" applyNumberFormat="1" applyFont="1" applyFill="1" applyBorder="1" applyAlignment="1">
      <alignment vertical="justify"/>
    </xf>
    <xf numFmtId="1" fontId="160" fillId="0" borderId="56" xfId="0" applyNumberFormat="1" applyFont="1" applyFill="1" applyBorder="1" applyAlignment="1">
      <alignment vertical="justify"/>
    </xf>
    <xf numFmtId="0" fontId="78" fillId="0" borderId="0" xfId="0" applyFont="1" applyAlignment="1">
      <alignment vertical="justify"/>
    </xf>
    <xf numFmtId="2" fontId="160" fillId="0" borderId="56" xfId="0" applyNumberFormat="1" applyFont="1" applyFill="1" applyBorder="1" applyAlignment="1">
      <alignment vertical="justify"/>
    </xf>
    <xf numFmtId="4" fontId="59" fillId="0" borderId="14" xfId="63" applyNumberFormat="1" applyFont="1" applyFill="1" applyBorder="1" applyAlignment="1">
      <alignment horizontal="center" vertical="top" wrapText="1"/>
    </xf>
    <xf numFmtId="4" fontId="59" fillId="0" borderId="56" xfId="63" applyNumberFormat="1" applyFont="1" applyFill="1" applyBorder="1" applyAlignment="1">
      <alignment horizontal="center" vertical="top" wrapText="1"/>
    </xf>
    <xf numFmtId="4" fontId="60" fillId="36" borderId="18" xfId="0" applyNumberFormat="1" applyFont="1" applyFill="1" applyBorder="1" applyAlignment="1">
      <alignment horizontal="center"/>
    </xf>
    <xf numFmtId="4" fontId="60" fillId="36" borderId="0" xfId="0" applyNumberFormat="1" applyFont="1" applyFill="1" applyBorder="1" applyAlignment="1">
      <alignment horizontal="center"/>
    </xf>
    <xf numFmtId="4" fontId="60" fillId="36" borderId="56" xfId="0" applyNumberFormat="1" applyFont="1" applyFill="1" applyBorder="1" applyAlignment="1">
      <alignment horizontal="center" vertical="center" wrapText="1"/>
    </xf>
    <xf numFmtId="4" fontId="60" fillId="36" borderId="56" xfId="0" applyNumberFormat="1" applyFont="1" applyFill="1" applyBorder="1" applyAlignment="1">
      <alignment horizontal="center" vertical="justify"/>
    </xf>
    <xf numFmtId="4" fontId="101" fillId="36" borderId="0" xfId="0" applyNumberFormat="1" applyFont="1" applyFill="1" applyBorder="1" applyAlignment="1">
      <alignment horizontal="center"/>
    </xf>
    <xf numFmtId="3" fontId="60" fillId="36" borderId="0" xfId="63" applyNumberFormat="1" applyFont="1" applyFill="1" applyBorder="1" applyAlignment="1">
      <alignment horizontal="center" vertical="top" wrapText="1"/>
    </xf>
    <xf numFmtId="3" fontId="101" fillId="36" borderId="0" xfId="63" applyNumberFormat="1" applyFont="1" applyFill="1" applyBorder="1" applyAlignment="1">
      <alignment horizontal="center" vertical="top" wrapText="1"/>
    </xf>
    <xf numFmtId="3" fontId="101" fillId="36" borderId="0" xfId="63" applyNumberFormat="1" applyFont="1" applyFill="1" applyBorder="1" applyAlignment="1">
      <alignment horizontal="center" vertical="center" wrapText="1"/>
    </xf>
    <xf numFmtId="3" fontId="60" fillId="36" borderId="56" xfId="0" applyNumberFormat="1" applyFont="1" applyFill="1" applyBorder="1" applyAlignment="1">
      <alignment horizontal="center" vertical="center" wrapText="1"/>
    </xf>
    <xf numFmtId="3" fontId="59" fillId="0" borderId="14" xfId="63" applyNumberFormat="1" applyFont="1" applyFill="1" applyBorder="1" applyAlignment="1">
      <alignment horizontal="center" vertical="top" wrapText="1"/>
    </xf>
    <xf numFmtId="3" fontId="59" fillId="0" borderId="56" xfId="63" applyNumberFormat="1" applyFont="1" applyFill="1" applyBorder="1" applyAlignment="1">
      <alignment horizontal="center" vertical="top" wrapText="1"/>
    </xf>
    <xf numFmtId="3" fontId="101" fillId="36" borderId="0" xfId="0" applyNumberFormat="1" applyFont="1" applyFill="1" applyBorder="1" applyAlignment="1">
      <alignment horizontal="center"/>
    </xf>
    <xf numFmtId="1" fontId="78" fillId="0" borderId="13" xfId="0" applyNumberFormat="1" applyFont="1" applyFill="1" applyBorder="1" applyAlignment="1" applyProtection="1">
      <alignment horizontal="center" vertical="center"/>
      <protection locked="0"/>
    </xf>
    <xf numFmtId="3" fontId="59" fillId="0" borderId="14" xfId="0" applyNumberFormat="1" applyFont="1" applyBorder="1" applyAlignment="1">
      <alignment horizontal="center"/>
    </xf>
    <xf numFmtId="4" fontId="59" fillId="16" borderId="78" xfId="0" applyNumberFormat="1" applyFont="1" applyFill="1" applyBorder="1"/>
    <xf numFmtId="4" fontId="59" fillId="0" borderId="78" xfId="0" applyNumberFormat="1" applyFont="1" applyBorder="1" applyAlignment="1">
      <alignment horizontal="center"/>
    </xf>
    <xf numFmtId="4" fontId="59" fillId="0" borderId="78" xfId="0" applyNumberFormat="1" applyFont="1" applyFill="1" applyBorder="1" applyAlignment="1">
      <alignment horizontal="center"/>
    </xf>
    <xf numFmtId="3" fontId="59" fillId="0" borderId="78" xfId="0" applyNumberFormat="1" applyFont="1" applyBorder="1" applyAlignment="1">
      <alignment horizontal="center"/>
    </xf>
    <xf numFmtId="3" fontId="59" fillId="0" borderId="56" xfId="0" applyNumberFormat="1" applyFont="1" applyBorder="1" applyAlignment="1">
      <alignment horizontal="center"/>
    </xf>
    <xf numFmtId="0" fontId="0" fillId="35" borderId="42" xfId="0" applyFill="1" applyBorder="1"/>
    <xf numFmtId="0" fontId="51" fillId="35" borderId="42" xfId="0" applyFont="1" applyFill="1" applyBorder="1"/>
    <xf numFmtId="0" fontId="0" fillId="0" borderId="0" xfId="0" applyFill="1"/>
    <xf numFmtId="0" fontId="61" fillId="0" borderId="53" xfId="50" applyFont="1" applyFill="1" applyBorder="1" applyAlignment="1">
      <alignment vertical="center" wrapText="1"/>
    </xf>
    <xf numFmtId="1" fontId="78" fillId="0" borderId="78" xfId="0" applyNumberFormat="1" applyFont="1" applyFill="1" applyBorder="1" applyAlignment="1" applyProtection="1">
      <alignment horizontal="center" vertical="center"/>
      <protection locked="0"/>
    </xf>
    <xf numFmtId="0" fontId="55" fillId="0" borderId="0" xfId="50" applyFont="1" applyFill="1" applyBorder="1" applyAlignment="1">
      <alignment vertical="center" wrapText="1"/>
    </xf>
    <xf numFmtId="4" fontId="59" fillId="37" borderId="13" xfId="0" applyNumberFormat="1" applyFont="1" applyFill="1" applyBorder="1"/>
    <xf numFmtId="4" fontId="59" fillId="37" borderId="13" xfId="0" applyNumberFormat="1" applyFont="1" applyFill="1" applyBorder="1" applyAlignment="1">
      <alignment horizontal="left"/>
    </xf>
    <xf numFmtId="4" fontId="59" fillId="37" borderId="56" xfId="0" applyNumberFormat="1" applyFont="1" applyFill="1" applyBorder="1" applyAlignment="1">
      <alignment horizontal="left"/>
    </xf>
    <xf numFmtId="0" fontId="0" fillId="39" borderId="0" xfId="0" applyFill="1"/>
    <xf numFmtId="0" fontId="0" fillId="13" borderId="0" xfId="0" applyFill="1"/>
    <xf numFmtId="0" fontId="0" fillId="38" borderId="0" xfId="0" applyFill="1"/>
    <xf numFmtId="0" fontId="0" fillId="41" borderId="0" xfId="0" applyFill="1"/>
    <xf numFmtId="0" fontId="163" fillId="41" borderId="0" xfId="0" applyFont="1" applyFill="1" applyAlignment="1">
      <alignment horizontal="center" vertical="center" wrapText="1"/>
    </xf>
    <xf numFmtId="1" fontId="79" fillId="41" borderId="0" xfId="0" applyNumberFormat="1" applyFont="1" applyFill="1" applyBorder="1" applyAlignment="1" applyProtection="1">
      <alignment horizontal="center" vertical="center"/>
      <protection locked="0"/>
    </xf>
    <xf numFmtId="3" fontId="85" fillId="0" borderId="0" xfId="203" applyNumberFormat="1" applyFont="1" applyFill="1" applyBorder="1" applyAlignment="1" applyProtection="1">
      <alignment horizontal="center" vertical="center" wrapText="1"/>
    </xf>
    <xf numFmtId="3" fontId="85" fillId="0" borderId="33" xfId="203" applyNumberFormat="1" applyFont="1" applyFill="1" applyBorder="1" applyAlignment="1" applyProtection="1">
      <alignment horizontal="center" vertical="center" wrapText="1"/>
    </xf>
    <xf numFmtId="0" fontId="108" fillId="14" borderId="77" xfId="0" applyFont="1" applyFill="1" applyBorder="1" applyAlignment="1">
      <alignment horizontal="center" vertical="center" wrapText="1"/>
    </xf>
    <xf numFmtId="0" fontId="91" fillId="38" borderId="0" xfId="0" applyFont="1" applyFill="1"/>
    <xf numFmtId="0" fontId="91" fillId="38" borderId="0" xfId="0" applyFont="1" applyFill="1" applyBorder="1"/>
    <xf numFmtId="0" fontId="91" fillId="41" borderId="0" xfId="0" applyFont="1" applyFill="1"/>
    <xf numFmtId="0" fontId="91" fillId="41" borderId="0" xfId="0" applyFont="1" applyFill="1" applyBorder="1"/>
    <xf numFmtId="0" fontId="91" fillId="11" borderId="0" xfId="0" applyFont="1" applyFill="1"/>
    <xf numFmtId="0" fontId="91" fillId="32" borderId="0" xfId="0" applyFont="1" applyFill="1" applyBorder="1" applyAlignment="1">
      <alignment vertical="center"/>
    </xf>
    <xf numFmtId="9" fontId="91" fillId="32" borderId="0" xfId="62" applyFont="1" applyFill="1" applyBorder="1" applyAlignment="1">
      <alignment vertical="center"/>
    </xf>
    <xf numFmtId="0" fontId="91" fillId="32" borderId="0" xfId="0" applyFont="1" applyFill="1" applyBorder="1" applyAlignment="1">
      <alignment vertical="center" wrapText="1"/>
    </xf>
    <xf numFmtId="0" fontId="91" fillId="32" borderId="0" xfId="0" applyFont="1" applyFill="1" applyBorder="1"/>
    <xf numFmtId="0" fontId="91" fillId="38" borderId="0" xfId="0" applyFont="1" applyFill="1" applyAlignment="1">
      <alignment vertical="center"/>
    </xf>
    <xf numFmtId="0" fontId="91" fillId="38" borderId="0" xfId="0" applyFont="1" applyFill="1" applyBorder="1" applyAlignment="1">
      <alignment vertical="center"/>
    </xf>
    <xf numFmtId="0" fontId="91" fillId="11" borderId="0" xfId="0" applyFont="1" applyFill="1" applyAlignment="1">
      <alignment vertical="center"/>
    </xf>
    <xf numFmtId="0" fontId="91" fillId="31" borderId="0" xfId="0" applyFont="1" applyFill="1" applyAlignment="1">
      <alignment vertical="center"/>
    </xf>
    <xf numFmtId="0" fontId="91" fillId="31" borderId="0" xfId="0" applyFont="1" applyFill="1" applyBorder="1" applyAlignment="1">
      <alignment vertical="center"/>
    </xf>
    <xf numFmtId="0" fontId="91" fillId="31" borderId="0" xfId="0" applyFont="1" applyFill="1"/>
    <xf numFmtId="0" fontId="64" fillId="38" borderId="0" xfId="0" applyFont="1" applyFill="1" applyAlignment="1">
      <alignment vertical="center"/>
    </xf>
    <xf numFmtId="0" fontId="0" fillId="38" borderId="0" xfId="0" applyFill="1" applyBorder="1" applyAlignment="1">
      <alignment vertical="center" wrapText="1"/>
    </xf>
    <xf numFmtId="0" fontId="64" fillId="38" borderId="0" xfId="0" applyFont="1" applyFill="1" applyBorder="1" applyAlignment="1">
      <alignment vertical="center"/>
    </xf>
    <xf numFmtId="9" fontId="99" fillId="38" borderId="0" xfId="62" applyFont="1" applyFill="1" applyBorder="1" applyAlignment="1">
      <alignment horizontal="center" vertical="center"/>
    </xf>
    <xf numFmtId="0" fontId="35" fillId="38" borderId="0" xfId="0" applyFont="1" applyFill="1" applyAlignment="1">
      <alignment vertical="center"/>
    </xf>
    <xf numFmtId="0" fontId="64" fillId="38" borderId="0" xfId="0" applyFont="1" applyFill="1" applyAlignment="1">
      <alignment horizontal="center" vertical="center"/>
    </xf>
    <xf numFmtId="0" fontId="125" fillId="11" borderId="0" xfId="0" applyFont="1" applyFill="1" applyBorder="1" applyAlignment="1">
      <alignment horizontal="left" vertical="center"/>
    </xf>
    <xf numFmtId="0" fontId="127" fillId="11" borderId="0" xfId="0" applyFont="1" applyFill="1" applyBorder="1" applyAlignment="1">
      <alignment horizontal="left" vertical="center"/>
    </xf>
    <xf numFmtId="0" fontId="106" fillId="38" borderId="0" xfId="0" applyFont="1" applyFill="1" applyAlignment="1">
      <alignment vertical="center"/>
    </xf>
    <xf numFmtId="0" fontId="104" fillId="38" borderId="0" xfId="0" applyFont="1" applyFill="1" applyAlignment="1">
      <alignment horizontal="center" vertical="center" wrapText="1"/>
    </xf>
    <xf numFmtId="0" fontId="104" fillId="38" borderId="0" xfId="0" applyFont="1" applyFill="1" applyAlignment="1">
      <alignment vertical="center"/>
    </xf>
    <xf numFmtId="0" fontId="104" fillId="38" borderId="0" xfId="0" applyFont="1" applyFill="1" applyAlignment="1">
      <alignment horizontal="center" vertical="center"/>
    </xf>
    <xf numFmtId="0" fontId="104" fillId="38" borderId="0" xfId="0" applyFont="1" applyFill="1"/>
    <xf numFmtId="0" fontId="104" fillId="38" borderId="0" xfId="0" applyFont="1" applyFill="1" applyBorder="1"/>
    <xf numFmtId="0" fontId="105" fillId="38" borderId="0" xfId="0" applyFont="1" applyFill="1" applyBorder="1" applyAlignment="1">
      <alignment horizontal="center" vertical="center" wrapText="1"/>
    </xf>
    <xf numFmtId="0" fontId="104" fillId="38" borderId="0" xfId="0" applyFont="1" applyFill="1" applyBorder="1" applyAlignment="1">
      <alignment vertical="justify"/>
    </xf>
    <xf numFmtId="0" fontId="104" fillId="38" borderId="0" xfId="0" applyFont="1" applyFill="1" applyBorder="1" applyAlignment="1">
      <alignment horizontal="left" vertical="center" wrapText="1"/>
    </xf>
    <xf numFmtId="0" fontId="91" fillId="11" borderId="0" xfId="0" applyFont="1" applyFill="1" applyBorder="1" applyAlignment="1">
      <alignment horizontal="center" vertical="center"/>
    </xf>
    <xf numFmtId="0" fontId="108" fillId="11" borderId="0" xfId="0" applyFont="1" applyFill="1" applyBorder="1" applyAlignment="1">
      <alignment vertical="center" wrapText="1"/>
    </xf>
    <xf numFmtId="0" fontId="104" fillId="11" borderId="0" xfId="0" applyFont="1" applyFill="1" applyBorder="1"/>
    <xf numFmtId="0" fontId="91" fillId="11" borderId="0" xfId="0" applyFont="1" applyFill="1" applyBorder="1" applyAlignment="1">
      <alignment horizontal="center" vertical="center" wrapText="1"/>
    </xf>
    <xf numFmtId="0" fontId="81" fillId="11" borderId="0" xfId="203" applyFont="1" applyFill="1" applyBorder="1" applyAlignment="1">
      <alignment horizontal="left" vertical="center" wrapText="1"/>
    </xf>
    <xf numFmtId="3" fontId="128" fillId="11" borderId="0" xfId="0" applyNumberFormat="1" applyFont="1" applyFill="1" applyBorder="1" applyAlignment="1">
      <alignment horizontal="center" vertical="center"/>
    </xf>
    <xf numFmtId="0" fontId="128" fillId="11" borderId="0" xfId="203" applyFont="1" applyFill="1" applyBorder="1" applyAlignment="1">
      <alignment vertical="center" wrapText="1"/>
    </xf>
    <xf numFmtId="0" fontId="104" fillId="11" borderId="0" xfId="0" applyFont="1" applyFill="1"/>
    <xf numFmtId="0" fontId="133" fillId="11" borderId="0" xfId="1" applyNumberFormat="1" applyFont="1" applyFill="1" applyBorder="1" applyAlignment="1">
      <alignment horizontal="left" vertical="center"/>
    </xf>
    <xf numFmtId="0" fontId="105" fillId="11" borderId="0" xfId="0" applyFont="1" applyFill="1" applyBorder="1" applyAlignment="1">
      <alignment horizontal="center" vertical="center" wrapText="1"/>
    </xf>
    <xf numFmtId="168" fontId="110" fillId="11" borderId="0" xfId="0" applyNumberFormat="1" applyFont="1" applyFill="1" applyBorder="1" applyAlignment="1">
      <alignment horizontal="center" vertical="center" wrapText="1"/>
    </xf>
    <xf numFmtId="2" fontId="110" fillId="11" borderId="0" xfId="244" applyNumberFormat="1" applyFont="1" applyFill="1" applyBorder="1" applyAlignment="1">
      <alignment horizontal="center" vertical="center"/>
    </xf>
    <xf numFmtId="168" fontId="110" fillId="11" borderId="45" xfId="0" applyNumberFormat="1" applyFont="1" applyFill="1" applyBorder="1" applyAlignment="1">
      <alignment horizontal="center" vertical="center" wrapText="1"/>
    </xf>
    <xf numFmtId="2" fontId="110" fillId="11" borderId="45" xfId="244" applyNumberFormat="1" applyFont="1" applyFill="1" applyBorder="1" applyAlignment="1">
      <alignment horizontal="center" vertical="center"/>
    </xf>
    <xf numFmtId="2" fontId="110" fillId="11" borderId="0" xfId="0" applyNumberFormat="1" applyFont="1" applyFill="1" applyBorder="1" applyAlignment="1">
      <alignment horizontal="center" vertical="center" wrapText="1"/>
    </xf>
    <xf numFmtId="0" fontId="104" fillId="11" borderId="45" xfId="0" applyFont="1" applyFill="1" applyBorder="1"/>
    <xf numFmtId="3" fontId="110" fillId="11" borderId="3" xfId="0" applyNumberFormat="1" applyFont="1" applyFill="1" applyBorder="1" applyAlignment="1">
      <alignment horizontal="center" vertical="center"/>
    </xf>
    <xf numFmtId="0" fontId="104" fillId="11" borderId="16" xfId="0" applyFont="1" applyFill="1" applyBorder="1"/>
    <xf numFmtId="0" fontId="107" fillId="11" borderId="0" xfId="0" applyFont="1" applyFill="1" applyBorder="1" applyAlignment="1">
      <alignment vertical="center"/>
    </xf>
    <xf numFmtId="0" fontId="104" fillId="11" borderId="53" xfId="0" applyFont="1" applyFill="1" applyBorder="1"/>
    <xf numFmtId="1" fontId="110" fillId="11" borderId="45" xfId="0" applyNumberFormat="1" applyFont="1" applyFill="1" applyBorder="1" applyAlignment="1">
      <alignment horizontal="left" vertical="center" wrapText="1"/>
    </xf>
    <xf numFmtId="0" fontId="104" fillId="11" borderId="0" xfId="0" applyFont="1" applyFill="1" applyBorder="1" applyAlignment="1">
      <alignment horizontal="center"/>
    </xf>
    <xf numFmtId="0" fontId="105" fillId="11" borderId="0" xfId="0" applyFont="1" applyFill="1" applyBorder="1"/>
    <xf numFmtId="0" fontId="112" fillId="11" borderId="0" xfId="0" applyFont="1" applyFill="1" applyBorder="1" applyAlignment="1">
      <alignment vertical="center"/>
    </xf>
    <xf numFmtId="0" fontId="139" fillId="31" borderId="0" xfId="0" applyFont="1" applyFill="1"/>
    <xf numFmtId="0" fontId="35" fillId="31" borderId="0" xfId="0" applyFont="1" applyFill="1" applyAlignment="1">
      <alignment vertical="justify"/>
    </xf>
    <xf numFmtId="0" fontId="35" fillId="31" borderId="0" xfId="0" applyFont="1" applyFill="1"/>
    <xf numFmtId="0" fontId="35" fillId="31" borderId="0" xfId="0" applyFont="1" applyFill="1" applyAlignment="1">
      <alignment vertical="center"/>
    </xf>
    <xf numFmtId="0" fontId="139" fillId="11" borderId="0" xfId="0" applyFont="1" applyFill="1"/>
    <xf numFmtId="0" fontId="35" fillId="11" borderId="0" xfId="0" applyFont="1" applyFill="1" applyAlignment="1">
      <alignment vertical="justify"/>
    </xf>
    <xf numFmtId="0" fontId="143" fillId="11" borderId="0" xfId="0" applyFont="1" applyFill="1" applyBorder="1" applyAlignment="1">
      <alignment horizontal="left" vertical="center"/>
    </xf>
    <xf numFmtId="0" fontId="145" fillId="11" borderId="0" xfId="0" applyFont="1" applyFill="1" applyBorder="1" applyAlignment="1">
      <alignment horizontal="left" vertical="center"/>
    </xf>
    <xf numFmtId="0" fontId="96" fillId="11" borderId="0" xfId="0" applyFont="1" applyFill="1" applyBorder="1" applyAlignment="1">
      <alignment horizontal="center" vertical="center"/>
    </xf>
    <xf numFmtId="0" fontId="138" fillId="11" borderId="0" xfId="0" applyFont="1" applyFill="1" applyBorder="1" applyAlignment="1">
      <alignment vertical="center"/>
    </xf>
    <xf numFmtId="0" fontId="80" fillId="11" borderId="0" xfId="0" applyFont="1" applyFill="1" applyBorder="1" applyAlignment="1">
      <alignment vertical="center"/>
    </xf>
    <xf numFmtId="0" fontId="80" fillId="11" borderId="0" xfId="0" applyFont="1" applyFill="1" applyBorder="1" applyAlignment="1">
      <alignment horizontal="center" vertical="center"/>
    </xf>
    <xf numFmtId="9" fontId="138" fillId="11" borderId="0" xfId="0" applyNumberFormat="1" applyFont="1" applyFill="1" applyBorder="1" applyAlignment="1">
      <alignment vertical="center" wrapText="1"/>
    </xf>
    <xf numFmtId="0" fontId="0" fillId="11" borderId="0" xfId="0" applyFill="1" applyAlignment="1">
      <alignment vertical="center" wrapText="1"/>
    </xf>
    <xf numFmtId="0" fontId="35" fillId="11" borderId="14" xfId="0" applyFont="1" applyFill="1" applyBorder="1"/>
    <xf numFmtId="0" fontId="35" fillId="11" borderId="0" xfId="0" applyFont="1" applyFill="1"/>
    <xf numFmtId="0" fontId="35" fillId="11" borderId="0" xfId="0" applyFont="1" applyFill="1" applyAlignment="1">
      <alignment vertical="center"/>
    </xf>
    <xf numFmtId="4" fontId="28" fillId="11" borderId="0" xfId="0" applyNumberFormat="1" applyFont="1" applyFill="1" applyBorder="1"/>
    <xf numFmtId="2" fontId="35" fillId="11" borderId="0" xfId="0" applyNumberFormat="1" applyFont="1" applyFill="1" applyAlignment="1">
      <alignment vertical="justify"/>
    </xf>
    <xf numFmtId="0" fontId="149" fillId="11" borderId="0" xfId="203" applyFont="1" applyFill="1" applyBorder="1" applyAlignment="1">
      <alignment horizontal="center" vertical="center" wrapText="1"/>
    </xf>
    <xf numFmtId="3" fontId="146" fillId="11" borderId="0" xfId="0" applyNumberFormat="1" applyFont="1" applyFill="1" applyBorder="1" applyAlignment="1">
      <alignment horizontal="center" vertical="center"/>
    </xf>
    <xf numFmtId="0" fontId="139" fillId="38" borderId="0" xfId="0" applyFont="1" applyFill="1"/>
    <xf numFmtId="0" fontId="62" fillId="38" borderId="0" xfId="0" applyFont="1" applyFill="1" applyAlignment="1">
      <alignment vertical="center" wrapText="1"/>
    </xf>
    <xf numFmtId="0" fontId="35" fillId="38" borderId="0" xfId="0" applyFont="1" applyFill="1" applyBorder="1" applyAlignment="1">
      <alignment vertical="center"/>
    </xf>
    <xf numFmtId="0" fontId="35" fillId="38" borderId="0" xfId="0" applyFont="1" applyFill="1" applyAlignment="1">
      <alignment vertical="center" wrapText="1"/>
    </xf>
    <xf numFmtId="1" fontId="22" fillId="11" borderId="16" xfId="0" applyNumberFormat="1" applyFont="1" applyFill="1" applyBorder="1" applyAlignment="1">
      <alignment horizontal="left" vertical="center" wrapText="1"/>
    </xf>
    <xf numFmtId="0" fontId="22" fillId="11" borderId="0" xfId="0" applyFont="1" applyFill="1" applyBorder="1" applyAlignment="1">
      <alignment horizontal="left" vertical="center" wrapText="1"/>
    </xf>
    <xf numFmtId="0" fontId="35" fillId="11" borderId="0" xfId="0" applyFont="1" applyFill="1" applyBorder="1" applyAlignment="1">
      <alignment horizontal="center" vertical="justify"/>
    </xf>
    <xf numFmtId="0" fontId="35" fillId="11" borderId="16" xfId="0" applyFont="1" applyFill="1" applyBorder="1" applyAlignment="1">
      <alignment vertical="justify"/>
    </xf>
    <xf numFmtId="0" fontId="35" fillId="38" borderId="0" xfId="0" applyFont="1" applyFill="1" applyAlignment="1">
      <alignment vertical="justify"/>
    </xf>
    <xf numFmtId="0" fontId="35" fillId="38" borderId="0" xfId="0" applyFont="1" applyFill="1" applyBorder="1" applyAlignment="1">
      <alignment vertical="justify"/>
    </xf>
    <xf numFmtId="0" fontId="116" fillId="11" borderId="41" xfId="0" applyFont="1" applyFill="1" applyBorder="1" applyAlignment="1">
      <alignment vertical="justify"/>
    </xf>
    <xf numFmtId="0" fontId="116" fillId="11" borderId="0" xfId="0" applyFont="1" applyFill="1" applyBorder="1" applyAlignment="1">
      <alignment vertical="justify"/>
    </xf>
    <xf numFmtId="1" fontId="116" fillId="11" borderId="0" xfId="0" applyNumberFormat="1" applyFont="1" applyFill="1" applyBorder="1" applyAlignment="1">
      <alignment vertical="justify"/>
    </xf>
    <xf numFmtId="0" fontId="117" fillId="11" borderId="0" xfId="0" applyFont="1" applyFill="1" applyBorder="1" applyAlignment="1">
      <alignment vertical="justify"/>
    </xf>
    <xf numFmtId="0" fontId="146" fillId="11" borderId="0" xfId="0" applyFont="1" applyFill="1" applyBorder="1" applyAlignment="1">
      <alignment horizontal="left" vertical="center"/>
    </xf>
    <xf numFmtId="174" fontId="146" fillId="11" borderId="0" xfId="61" applyNumberFormat="1" applyFont="1" applyFill="1" applyBorder="1" applyAlignment="1">
      <alignment vertical="center"/>
    </xf>
    <xf numFmtId="0" fontId="35" fillId="11" borderId="33" xfId="0" applyFont="1" applyFill="1" applyBorder="1" applyAlignment="1">
      <alignment vertical="justify"/>
    </xf>
    <xf numFmtId="0" fontId="92" fillId="11" borderId="0" xfId="0" applyFont="1" applyFill="1" applyBorder="1" applyAlignment="1">
      <alignment vertical="center"/>
    </xf>
    <xf numFmtId="0" fontId="92" fillId="11" borderId="0" xfId="0" applyFont="1" applyFill="1" applyBorder="1" applyAlignment="1">
      <alignment horizontal="center" vertical="justify"/>
    </xf>
    <xf numFmtId="0" fontId="80" fillId="11" borderId="0" xfId="0" applyFont="1" applyFill="1" applyBorder="1" applyAlignment="1">
      <alignment horizontal="center" vertical="justify"/>
    </xf>
    <xf numFmtId="9" fontId="78" fillId="11" borderId="0" xfId="0" applyNumberFormat="1" applyFont="1" applyFill="1" applyBorder="1" applyAlignment="1">
      <alignment horizontal="center" vertical="center" wrapText="1"/>
    </xf>
    <xf numFmtId="0" fontId="79" fillId="11" borderId="0" xfId="0" applyFont="1" applyFill="1" applyBorder="1" applyAlignment="1">
      <alignment vertical="center"/>
    </xf>
    <xf numFmtId="0" fontId="90" fillId="11" borderId="0" xfId="0" applyFont="1" applyFill="1" applyBorder="1" applyAlignment="1"/>
    <xf numFmtId="0" fontId="135" fillId="11" borderId="0" xfId="0" applyFont="1" applyFill="1" applyBorder="1" applyAlignment="1">
      <alignment vertical="center"/>
    </xf>
    <xf numFmtId="1" fontId="92" fillId="11" borderId="0" xfId="0" applyNumberFormat="1" applyFont="1" applyFill="1" applyBorder="1" applyAlignment="1">
      <alignment horizontal="center" vertical="justify"/>
    </xf>
    <xf numFmtId="0" fontId="135" fillId="11" borderId="0" xfId="0" applyFont="1" applyFill="1" applyBorder="1" applyAlignment="1">
      <alignment vertical="justify" wrapText="1"/>
    </xf>
    <xf numFmtId="0" fontId="80" fillId="11" borderId="0" xfId="0" applyFont="1" applyFill="1" applyBorder="1" applyAlignment="1">
      <alignment vertical="justify"/>
    </xf>
    <xf numFmtId="0" fontId="146" fillId="24" borderId="89" xfId="0" applyFont="1" applyFill="1" applyBorder="1" applyAlignment="1">
      <alignment vertical="center" wrapText="1"/>
    </xf>
    <xf numFmtId="0" fontId="146" fillId="24" borderId="90" xfId="0" applyFont="1" applyFill="1" applyBorder="1" applyAlignment="1">
      <alignment vertical="center" wrapText="1"/>
    </xf>
    <xf numFmtId="0" fontId="146" fillId="24" borderId="90" xfId="0" applyFont="1" applyFill="1" applyBorder="1" applyAlignment="1">
      <alignment horizontal="center" vertical="center" wrapText="1"/>
    </xf>
    <xf numFmtId="0" fontId="146" fillId="24" borderId="86" xfId="0" applyFont="1" applyFill="1" applyBorder="1" applyAlignment="1">
      <alignment horizontal="center" vertical="center" wrapText="1"/>
    </xf>
    <xf numFmtId="0" fontId="149" fillId="32" borderId="90" xfId="0" applyFont="1" applyFill="1" applyBorder="1" applyAlignment="1">
      <alignment horizontal="center" vertical="center" wrapText="1"/>
    </xf>
    <xf numFmtId="0" fontId="146" fillId="24" borderId="83" xfId="0" applyFont="1" applyFill="1" applyBorder="1" applyAlignment="1">
      <alignment horizontal="center" vertical="center" wrapText="1"/>
    </xf>
    <xf numFmtId="1" fontId="69" fillId="0" borderId="87" xfId="0" applyNumberFormat="1" applyFont="1" applyFill="1" applyBorder="1" applyAlignment="1">
      <alignment horizontal="center" vertical="justify"/>
    </xf>
    <xf numFmtId="0" fontId="35" fillId="0" borderId="87" xfId="0" applyFont="1" applyBorder="1" applyAlignment="1">
      <alignment vertical="justify"/>
    </xf>
    <xf numFmtId="174" fontId="146" fillId="35" borderId="44" xfId="61" applyNumberFormat="1" applyFont="1" applyFill="1" applyBorder="1" applyAlignment="1">
      <alignment vertical="center"/>
    </xf>
    <xf numFmtId="0" fontId="28" fillId="24" borderId="49" xfId="0" applyFont="1" applyFill="1" applyBorder="1" applyAlignment="1">
      <alignment vertical="center" wrapText="1"/>
    </xf>
    <xf numFmtId="0" fontId="28" fillId="24" borderId="21" xfId="0" applyFont="1" applyFill="1" applyBorder="1" applyAlignment="1">
      <alignment vertical="center" wrapText="1"/>
    </xf>
    <xf numFmtId="0" fontId="28" fillId="24" borderId="21" xfId="0" applyFont="1" applyFill="1" applyBorder="1" applyAlignment="1">
      <alignment horizontal="center" vertical="center" wrapText="1"/>
    </xf>
    <xf numFmtId="0" fontId="149" fillId="32" borderId="21" xfId="0" applyFont="1" applyFill="1" applyBorder="1" applyAlignment="1">
      <alignment horizontal="center" vertical="center" wrapText="1"/>
    </xf>
    <xf numFmtId="0" fontId="28" fillId="24" borderId="22" xfId="0" applyFont="1" applyFill="1" applyBorder="1" applyAlignment="1">
      <alignment horizontal="center" vertical="center" wrapText="1"/>
    </xf>
    <xf numFmtId="1" fontId="22" fillId="11" borderId="88" xfId="0" applyNumberFormat="1" applyFont="1" applyFill="1" applyBorder="1" applyAlignment="1">
      <alignment horizontal="left" vertical="center" wrapText="1"/>
    </xf>
    <xf numFmtId="0" fontId="35" fillId="0" borderId="87" xfId="0" applyFont="1" applyBorder="1" applyAlignment="1">
      <alignment horizontal="center"/>
    </xf>
    <xf numFmtId="0" fontId="35" fillId="0" borderId="87" xfId="0" applyFont="1" applyBorder="1" applyAlignment="1">
      <alignment horizontal="center" vertical="justify"/>
    </xf>
    <xf numFmtId="2" fontId="22" fillId="0" borderId="87" xfId="0" applyNumberFormat="1" applyFont="1" applyFill="1" applyBorder="1" applyAlignment="1">
      <alignment horizontal="center" vertical="center" wrapText="1"/>
    </xf>
    <xf numFmtId="0" fontId="35" fillId="0" borderId="91" xfId="0" applyFont="1" applyBorder="1" applyAlignment="1">
      <alignment vertical="justify"/>
    </xf>
    <xf numFmtId="0" fontId="91" fillId="11" borderId="87" xfId="0" applyFont="1" applyFill="1" applyBorder="1" applyAlignment="1">
      <alignment horizontal="left" vertical="center" wrapText="1"/>
    </xf>
    <xf numFmtId="0" fontId="21" fillId="11" borderId="87" xfId="0" applyFont="1" applyFill="1" applyBorder="1" applyAlignment="1">
      <alignment horizontal="left" vertical="center" wrapText="1"/>
    </xf>
    <xf numFmtId="2" fontId="22" fillId="0" borderId="87" xfId="52" applyNumberFormat="1" applyFont="1" applyFill="1" applyBorder="1" applyAlignment="1">
      <alignment horizontal="center" vertical="center" wrapText="1"/>
    </xf>
    <xf numFmtId="1" fontId="99" fillId="11" borderId="88" xfId="0" applyNumberFormat="1" applyFont="1" applyFill="1" applyBorder="1" applyAlignment="1">
      <alignment horizontal="left" vertical="center" wrapText="1"/>
    </xf>
    <xf numFmtId="0" fontId="78" fillId="0" borderId="91" xfId="0" applyFont="1" applyBorder="1" applyAlignment="1">
      <alignment vertical="justify"/>
    </xf>
    <xf numFmtId="0" fontId="91" fillId="0" borderId="87" xfId="0" applyFont="1" applyFill="1" applyBorder="1" applyAlignment="1">
      <alignment horizontal="left" vertical="justify" wrapText="1"/>
    </xf>
    <xf numFmtId="0" fontId="35" fillId="11" borderId="87" xfId="0" applyFont="1" applyFill="1" applyBorder="1" applyAlignment="1">
      <alignment horizontal="center" vertical="justify"/>
    </xf>
    <xf numFmtId="0" fontId="0" fillId="31" borderId="0" xfId="0" applyFill="1"/>
    <xf numFmtId="0" fontId="0" fillId="31" borderId="0" xfId="0" applyFill="1" applyBorder="1"/>
    <xf numFmtId="0" fontId="51" fillId="31" borderId="0" xfId="0" applyFont="1" applyFill="1"/>
    <xf numFmtId="4" fontId="35" fillId="31" borderId="0" xfId="0" applyNumberFormat="1" applyFont="1" applyFill="1" applyBorder="1"/>
    <xf numFmtId="4" fontId="35" fillId="31" borderId="0" xfId="0" applyNumberFormat="1" applyFont="1" applyFill="1" applyBorder="1" applyAlignment="1">
      <alignment horizontal="center"/>
    </xf>
    <xf numFmtId="0" fontId="161" fillId="31" borderId="0" xfId="203" applyFont="1" applyFill="1" applyAlignment="1">
      <alignment vertical="center"/>
    </xf>
    <xf numFmtId="4" fontId="35" fillId="31" borderId="0" xfId="0" applyNumberFormat="1" applyFont="1" applyFill="1" applyBorder="1" applyAlignment="1">
      <alignment wrapText="1"/>
    </xf>
    <xf numFmtId="4" fontId="28" fillId="31" borderId="0" xfId="0" applyNumberFormat="1" applyFont="1" applyFill="1" applyBorder="1"/>
    <xf numFmtId="0" fontId="0" fillId="39" borderId="43" xfId="0" applyFill="1" applyBorder="1"/>
    <xf numFmtId="0" fontId="0" fillId="39" borderId="18" xfId="0" applyFill="1" applyBorder="1"/>
    <xf numFmtId="0" fontId="0" fillId="39" borderId="46" xfId="0" applyFill="1" applyBorder="1"/>
    <xf numFmtId="0" fontId="163" fillId="0" borderId="88" xfId="0" applyFont="1" applyBorder="1"/>
    <xf numFmtId="0" fontId="163" fillId="16" borderId="88" xfId="0" applyFont="1" applyFill="1" applyBorder="1"/>
    <xf numFmtId="0" fontId="163" fillId="16" borderId="92" xfId="0" applyFont="1" applyFill="1" applyBorder="1"/>
    <xf numFmtId="4" fontId="59" fillId="31" borderId="0" xfId="0" applyNumberFormat="1" applyFont="1" applyFill="1" applyBorder="1"/>
    <xf numFmtId="4" fontId="59" fillId="31" borderId="0" xfId="0" applyNumberFormat="1" applyFont="1" applyFill="1"/>
    <xf numFmtId="4" fontId="76" fillId="35" borderId="0" xfId="0" applyNumberFormat="1" applyFont="1" applyFill="1"/>
    <xf numFmtId="4" fontId="77" fillId="35" borderId="50" xfId="0" applyNumberFormat="1" applyFont="1" applyFill="1" applyBorder="1" applyAlignment="1">
      <alignment horizontal="center"/>
    </xf>
    <xf numFmtId="4" fontId="166" fillId="35" borderId="0" xfId="0" applyNumberFormat="1" applyFont="1" applyFill="1"/>
    <xf numFmtId="4" fontId="136" fillId="35" borderId="50" xfId="0" applyNumberFormat="1" applyFont="1" applyFill="1" applyBorder="1" applyAlignment="1">
      <alignment horizontal="center"/>
    </xf>
    <xf numFmtId="0" fontId="93" fillId="21" borderId="21" xfId="0" applyFont="1" applyFill="1" applyBorder="1" applyAlignment="1">
      <alignment horizontal="center" vertical="center" wrapText="1"/>
    </xf>
    <xf numFmtId="1" fontId="23" fillId="0" borderId="88" xfId="0" applyNumberFormat="1" applyFont="1" applyFill="1" applyBorder="1" applyAlignment="1">
      <alignment horizontal="left" vertical="center" wrapText="1"/>
    </xf>
    <xf numFmtId="0" fontId="23" fillId="11" borderId="87" xfId="0" applyFont="1" applyFill="1" applyBorder="1" applyAlignment="1">
      <alignment horizontal="left" vertical="center" wrapText="1"/>
    </xf>
    <xf numFmtId="0" fontId="94" fillId="0" borderId="87" xfId="0" applyFont="1" applyBorder="1" applyAlignment="1">
      <alignment horizontal="center" vertical="center"/>
    </xf>
    <xf numFmtId="0" fontId="23" fillId="21" borderId="87" xfId="0" applyFont="1" applyFill="1" applyBorder="1" applyAlignment="1">
      <alignment horizontal="center" vertical="center" wrapText="1"/>
    </xf>
    <xf numFmtId="1" fontId="91" fillId="0" borderId="87" xfId="0" applyNumberFormat="1" applyFont="1" applyBorder="1" applyAlignment="1">
      <alignment horizontal="center" vertical="center"/>
    </xf>
    <xf numFmtId="44" fontId="23" fillId="0" borderId="87" xfId="0" applyNumberFormat="1" applyFont="1" applyFill="1" applyBorder="1" applyAlignment="1">
      <alignment horizontal="center" vertical="center" wrapText="1"/>
    </xf>
    <xf numFmtId="0" fontId="94" fillId="0" borderId="87" xfId="0" applyFont="1" applyBorder="1" applyAlignment="1">
      <alignment horizontal="center"/>
    </xf>
    <xf numFmtId="0" fontId="94" fillId="21" borderId="87" xfId="0" applyFont="1" applyFill="1" applyBorder="1" applyAlignment="1">
      <alignment horizontal="center"/>
    </xf>
    <xf numFmtId="43" fontId="91" fillId="0" borderId="91" xfId="0" applyNumberFormat="1" applyFont="1" applyBorder="1" applyAlignment="1">
      <alignment horizontal="center"/>
    </xf>
    <xf numFmtId="0" fontId="128" fillId="41" borderId="0" xfId="0" applyFont="1" applyFill="1" applyBorder="1" applyAlignment="1">
      <alignment horizontal="center" vertical="center"/>
    </xf>
    <xf numFmtId="0" fontId="21" fillId="0" borderId="0" xfId="203" applyFont="1" applyFill="1"/>
    <xf numFmtId="0" fontId="86" fillId="0" borderId="0" xfId="203" applyFont="1" applyFill="1" applyAlignment="1">
      <alignment horizontal="right"/>
    </xf>
    <xf numFmtId="0" fontId="88" fillId="0" borderId="79" xfId="0" applyFont="1" applyBorder="1" applyAlignment="1">
      <alignment vertical="center" wrapText="1"/>
    </xf>
    <xf numFmtId="0" fontId="86" fillId="0" borderId="56" xfId="203" applyFont="1" applyFill="1" applyBorder="1" applyAlignment="1">
      <alignment vertical="center" wrapText="1"/>
    </xf>
    <xf numFmtId="3" fontId="12" fillId="0" borderId="87" xfId="0" applyNumberFormat="1" applyFont="1" applyFill="1" applyBorder="1" applyAlignment="1">
      <alignment horizontal="center" vertical="center"/>
    </xf>
    <xf numFmtId="1" fontId="91" fillId="0" borderId="0" xfId="0" applyNumberFormat="1" applyFont="1"/>
    <xf numFmtId="178" fontId="91" fillId="0" borderId="0" xfId="0" applyNumberFormat="1" applyFont="1"/>
    <xf numFmtId="179" fontId="91" fillId="0" borderId="0" xfId="0" applyNumberFormat="1" applyFont="1"/>
    <xf numFmtId="2" fontId="11" fillId="0" borderId="87" xfId="52" applyNumberFormat="1" applyFont="1" applyFill="1" applyBorder="1" applyAlignment="1">
      <alignment horizontal="center" vertical="center" wrapText="1"/>
    </xf>
    <xf numFmtId="0" fontId="11" fillId="0" borderId="87" xfId="0" applyFont="1" applyBorder="1"/>
    <xf numFmtId="1" fontId="11" fillId="11" borderId="88" xfId="0" applyNumberFormat="1" applyFont="1" applyFill="1" applyBorder="1" applyAlignment="1">
      <alignment horizontal="left" vertical="center" wrapText="1"/>
    </xf>
    <xf numFmtId="0" fontId="110" fillId="0" borderId="87" xfId="0" applyFont="1" applyBorder="1" applyAlignment="1">
      <alignment horizontal="center"/>
    </xf>
    <xf numFmtId="0" fontId="91" fillId="0" borderId="87" xfId="0" applyFont="1" applyBorder="1" applyAlignment="1">
      <alignment horizontal="center" vertical="center"/>
    </xf>
    <xf numFmtId="44" fontId="91" fillId="0" borderId="87" xfId="61" applyFont="1" applyFill="1" applyBorder="1" applyAlignment="1">
      <alignment horizontal="center" vertical="center"/>
    </xf>
    <xf numFmtId="0" fontId="91" fillId="0" borderId="87" xfId="63" applyFont="1" applyBorder="1"/>
    <xf numFmtId="0" fontId="91" fillId="0" borderId="87" xfId="63" applyFont="1" applyBorder="1" applyAlignment="1">
      <alignment horizontal="center"/>
    </xf>
    <xf numFmtId="175" fontId="91" fillId="0" borderId="87" xfId="63" applyNumberFormat="1" applyFont="1" applyBorder="1" applyAlignment="1">
      <alignment horizontal="center"/>
    </xf>
    <xf numFmtId="0" fontId="9" fillId="0" borderId="87" xfId="203" applyFont="1" applyBorder="1" applyAlignment="1">
      <alignment vertical="center" wrapText="1"/>
    </xf>
    <xf numFmtId="3" fontId="9" fillId="0" borderId="87" xfId="0" applyNumberFormat="1" applyFont="1" applyBorder="1" applyAlignment="1">
      <alignment horizontal="center" vertical="center"/>
    </xf>
    <xf numFmtId="0" fontId="108" fillId="0" borderId="30" xfId="0" applyFont="1" applyBorder="1" applyAlignment="1">
      <alignment vertical="center"/>
    </xf>
    <xf numFmtId="0" fontId="35" fillId="0" borderId="87" xfId="0" applyFont="1" applyBorder="1" applyAlignment="1">
      <alignment vertical="center"/>
    </xf>
    <xf numFmtId="0" fontId="9" fillId="0" borderId="87" xfId="0" applyFont="1" applyBorder="1" applyAlignment="1">
      <alignment horizontal="center" vertical="center" wrapText="1"/>
    </xf>
    <xf numFmtId="4" fontId="59" fillId="0" borderId="87" xfId="63" applyNumberFormat="1" applyFont="1" applyBorder="1" applyAlignment="1">
      <alignment horizontal="center" vertical="center" wrapText="1"/>
    </xf>
    <xf numFmtId="4" fontId="59" fillId="0" borderId="87" xfId="0" applyNumberFormat="1" applyFont="1" applyBorder="1" applyAlignment="1">
      <alignment horizontal="center" vertical="center"/>
    </xf>
    <xf numFmtId="4" fontId="59" fillId="0" borderId="87" xfId="0" applyNumberFormat="1" applyFont="1" applyBorder="1" applyAlignment="1">
      <alignment horizontal="left" vertical="center" wrapText="1"/>
    </xf>
    <xf numFmtId="4" fontId="60" fillId="36" borderId="0" xfId="11" applyNumberFormat="1" applyFont="1" applyFill="1" applyBorder="1" applyAlignment="1">
      <alignment horizontal="left" vertical="top" wrapText="1" readingOrder="1"/>
    </xf>
    <xf numFmtId="4" fontId="60" fillId="36" borderId="72" xfId="0" applyNumberFormat="1" applyFont="1" applyFill="1" applyBorder="1" applyAlignment="1">
      <alignment horizontal="center" vertical="center" wrapText="1"/>
    </xf>
    <xf numFmtId="4" fontId="60" fillId="36" borderId="0" xfId="0" applyNumberFormat="1" applyFont="1" applyFill="1" applyAlignment="1">
      <alignment horizontal="center"/>
    </xf>
    <xf numFmtId="4" fontId="59" fillId="37" borderId="87" xfId="0" applyNumberFormat="1" applyFont="1" applyFill="1" applyBorder="1" applyAlignment="1">
      <alignment horizontal="left"/>
    </xf>
    <xf numFmtId="4" fontId="35" fillId="0" borderId="87" xfId="0" applyNumberFormat="1" applyFont="1" applyFill="1" applyBorder="1" applyAlignment="1">
      <alignment horizontal="center"/>
    </xf>
    <xf numFmtId="4" fontId="59" fillId="0" borderId="87" xfId="0" applyNumberFormat="1" applyFont="1" applyFill="1" applyBorder="1" applyAlignment="1">
      <alignment horizontal="center"/>
    </xf>
    <xf numFmtId="0" fontId="125" fillId="0" borderId="0" xfId="0" applyFont="1" applyBorder="1" applyAlignment="1">
      <alignment horizontal="left" vertical="center"/>
    </xf>
    <xf numFmtId="0" fontId="127" fillId="0" borderId="0" xfId="0" applyFont="1" applyBorder="1" applyAlignment="1">
      <alignment horizontal="left" vertical="center"/>
    </xf>
    <xf numFmtId="0" fontId="35" fillId="0" borderId="87" xfId="0" applyFont="1" applyBorder="1" applyAlignment="1">
      <alignment horizontal="center" vertical="center"/>
    </xf>
    <xf numFmtId="44" fontId="35" fillId="0" borderId="87" xfId="61" applyFont="1" applyBorder="1" applyAlignment="1">
      <alignment vertical="center"/>
    </xf>
    <xf numFmtId="0" fontId="64" fillId="0" borderId="72" xfId="0" applyFont="1" applyBorder="1" applyAlignment="1">
      <alignment horizontal="center" vertical="center"/>
    </xf>
    <xf numFmtId="0" fontId="64" fillId="0" borderId="72" xfId="0" applyFont="1" applyBorder="1" applyAlignment="1">
      <alignment vertical="center" wrapText="1"/>
    </xf>
    <xf numFmtId="1" fontId="64" fillId="0" borderId="72" xfId="0" applyNumberFormat="1" applyFont="1" applyBorder="1" applyAlignment="1">
      <alignment horizontal="center" vertical="center" wrapText="1"/>
    </xf>
    <xf numFmtId="0" fontId="64" fillId="0" borderId="87" xfId="0" applyFont="1" applyBorder="1" applyAlignment="1">
      <alignment horizontal="center" vertical="center" wrapText="1"/>
    </xf>
    <xf numFmtId="0" fontId="64" fillId="0" borderId="87" xfId="2" applyFont="1" applyFill="1" applyBorder="1" applyAlignment="1">
      <alignment vertical="center"/>
    </xf>
    <xf numFmtId="0" fontId="64" fillId="0" borderId="72" xfId="0" applyFont="1" applyFill="1" applyBorder="1" applyAlignment="1">
      <alignment horizontal="center" vertical="center"/>
    </xf>
    <xf numFmtId="0" fontId="64" fillId="0" borderId="23" xfId="0" applyFont="1" applyFill="1" applyBorder="1" applyAlignment="1">
      <alignment horizontal="center" vertical="center"/>
    </xf>
    <xf numFmtId="4" fontId="59" fillId="16" borderId="87" xfId="0" applyNumberFormat="1" applyFont="1" applyFill="1" applyBorder="1"/>
    <xf numFmtId="4" fontId="59" fillId="0" borderId="87" xfId="0" applyNumberFormat="1" applyFont="1" applyBorder="1" applyAlignment="1">
      <alignment horizontal="center"/>
    </xf>
    <xf numFmtId="3" fontId="59" fillId="0" borderId="13" xfId="0" applyNumberFormat="1" applyFont="1" applyBorder="1" applyAlignment="1">
      <alignment horizontal="center"/>
    </xf>
    <xf numFmtId="3" fontId="59" fillId="0" borderId="2" xfId="0" applyNumberFormat="1" applyFont="1" applyBorder="1" applyAlignment="1">
      <alignment horizontal="center"/>
    </xf>
    <xf numFmtId="0" fontId="163" fillId="0" borderId="88" xfId="0" applyFont="1" applyFill="1" applyBorder="1"/>
    <xf numFmtId="0" fontId="162" fillId="41" borderId="0" xfId="0" applyFont="1" applyFill="1" applyAlignment="1">
      <alignment horizontal="center" vertical="center"/>
    </xf>
    <xf numFmtId="0" fontId="64" fillId="0" borderId="87" xfId="0" applyFont="1" applyBorder="1" applyAlignment="1">
      <alignment horizontal="center" vertical="center" wrapText="1"/>
    </xf>
    <xf numFmtId="180" fontId="91" fillId="0" borderId="0" xfId="0" applyNumberFormat="1" applyFont="1" applyAlignment="1">
      <alignment horizontal="center" vertical="center" wrapText="1"/>
    </xf>
    <xf numFmtId="43" fontId="91" fillId="0" borderId="0" xfId="0" applyNumberFormat="1" applyFont="1" applyAlignment="1">
      <alignment horizontal="center" vertical="center" wrapText="1"/>
    </xf>
    <xf numFmtId="1" fontId="8" fillId="0" borderId="87" xfId="0" applyNumberFormat="1" applyFont="1" applyBorder="1" applyAlignment="1">
      <alignment horizontal="center" vertical="center"/>
    </xf>
    <xf numFmtId="180" fontId="91" fillId="0" borderId="0" xfId="0" applyNumberFormat="1" applyFont="1"/>
    <xf numFmtId="4" fontId="65" fillId="35" borderId="0" xfId="0" applyNumberFormat="1" applyFont="1" applyFill="1"/>
    <xf numFmtId="4" fontId="65" fillId="35" borderId="0" xfId="0" applyNumberFormat="1" applyFont="1" applyFill="1" applyAlignment="1">
      <alignment horizontal="center"/>
    </xf>
    <xf numFmtId="44" fontId="91" fillId="0" borderId="31" xfId="0" applyNumberFormat="1" applyFont="1" applyBorder="1" applyAlignment="1">
      <alignment vertical="center"/>
    </xf>
    <xf numFmtId="0" fontId="64" fillId="0" borderId="0" xfId="0" applyFont="1" applyFill="1" applyBorder="1" applyAlignment="1">
      <alignment vertical="center" wrapText="1"/>
    </xf>
    <xf numFmtId="0" fontId="64" fillId="0" borderId="0" xfId="0" applyFont="1" applyBorder="1" applyAlignment="1">
      <alignment horizontal="center" vertical="center" wrapText="1"/>
    </xf>
    <xf numFmtId="0" fontId="88" fillId="0" borderId="0" xfId="0" applyFont="1" applyBorder="1" applyAlignment="1">
      <alignment vertical="center" wrapText="1"/>
    </xf>
    <xf numFmtId="3" fontId="91" fillId="0" borderId="0" xfId="0" applyNumberFormat="1" applyFont="1" applyBorder="1" applyAlignment="1">
      <alignment vertical="center"/>
    </xf>
    <xf numFmtId="0" fontId="86" fillId="0" borderId="0" xfId="203" applyFont="1" applyFill="1" applyBorder="1" applyAlignment="1">
      <alignment vertical="center"/>
    </xf>
    <xf numFmtId="3" fontId="99" fillId="0" borderId="0" xfId="0" applyNumberFormat="1" applyFont="1" applyFill="1" applyBorder="1" applyAlignment="1">
      <alignment vertical="center"/>
    </xf>
    <xf numFmtId="0" fontId="15" fillId="0" borderId="0" xfId="203" applyFont="1" applyFill="1" applyBorder="1" applyAlignment="1">
      <alignment vertical="center" wrapText="1"/>
    </xf>
    <xf numFmtId="0" fontId="115" fillId="0" borderId="0" xfId="0" applyFont="1" applyBorder="1" applyAlignment="1">
      <alignment vertical="center"/>
    </xf>
    <xf numFmtId="0" fontId="88" fillId="0" borderId="0" xfId="0" applyFont="1" applyFill="1" applyBorder="1" applyAlignment="1">
      <alignment vertical="center" wrapText="1"/>
    </xf>
    <xf numFmtId="0" fontId="88" fillId="0" borderId="0" xfId="0" applyFont="1" applyFill="1" applyBorder="1" applyAlignment="1">
      <alignment horizontal="center" vertical="center" wrapText="1"/>
    </xf>
    <xf numFmtId="1" fontId="64" fillId="0" borderId="0" xfId="0" applyNumberFormat="1" applyFont="1" applyFill="1" applyBorder="1" applyAlignment="1">
      <alignment horizontal="center" vertical="center" wrapText="1"/>
    </xf>
    <xf numFmtId="44" fontId="64" fillId="0" borderId="0" xfId="61" applyFont="1" applyFill="1" applyBorder="1" applyAlignment="1">
      <alignment vertical="center" wrapText="1"/>
    </xf>
    <xf numFmtId="0" fontId="64" fillId="0" borderId="0" xfId="8" applyFont="1" applyFill="1" applyBorder="1" applyAlignment="1">
      <alignment horizontal="center" vertical="center" wrapText="1"/>
    </xf>
    <xf numFmtId="2" fontId="104" fillId="0" borderId="13" xfId="0" applyNumberFormat="1" applyFont="1" applyBorder="1" applyAlignment="1">
      <alignment vertical="center" wrapText="1"/>
    </xf>
    <xf numFmtId="0" fontId="104" fillId="0" borderId="13" xfId="0" applyFont="1" applyBorder="1" applyAlignment="1">
      <alignment horizontal="left" vertical="center" wrapText="1"/>
    </xf>
    <xf numFmtId="0" fontId="156" fillId="5" borderId="2" xfId="0" applyFont="1" applyFill="1" applyBorder="1" applyAlignment="1">
      <alignment vertical="center" wrapText="1"/>
    </xf>
    <xf numFmtId="2" fontId="7" fillId="0" borderId="87" xfId="52" applyNumberFormat="1" applyFont="1" applyFill="1" applyBorder="1" applyAlignment="1">
      <alignment horizontal="center" vertical="center" wrapText="1"/>
    </xf>
    <xf numFmtId="0" fontId="69" fillId="11" borderId="13" xfId="50" applyFont="1" applyFill="1" applyBorder="1" applyAlignment="1">
      <alignment vertical="center" wrapText="1"/>
    </xf>
    <xf numFmtId="0" fontId="54" fillId="0" borderId="13" xfId="50" applyFont="1" applyFill="1" applyBorder="1" applyAlignment="1">
      <alignment vertical="center" wrapText="1"/>
    </xf>
    <xf numFmtId="4" fontId="60" fillId="16" borderId="87" xfId="11" applyNumberFormat="1" applyFont="1" applyFill="1" applyBorder="1" applyAlignment="1">
      <alignment horizontal="left" vertical="top" wrapText="1" readingOrder="1"/>
    </xf>
    <xf numFmtId="0" fontId="7" fillId="11" borderId="14" xfId="0" applyFont="1" applyFill="1" applyBorder="1" applyAlignment="1">
      <alignment horizontal="left" vertical="center" wrapText="1"/>
    </xf>
    <xf numFmtId="0" fontId="7" fillId="11" borderId="56" xfId="0" applyFont="1" applyFill="1" applyBorder="1" applyAlignment="1">
      <alignment horizontal="left" vertical="center" wrapText="1"/>
    </xf>
    <xf numFmtId="0" fontId="95" fillId="25" borderId="56" xfId="0" applyFont="1" applyFill="1" applyBorder="1" applyAlignment="1">
      <alignment horizontal="center" vertical="center" wrapText="1"/>
    </xf>
    <xf numFmtId="4" fontId="60" fillId="14" borderId="87" xfId="11" applyNumberFormat="1" applyFont="1" applyFill="1" applyBorder="1" applyAlignment="1">
      <alignment horizontal="center" vertical="center" wrapText="1" readingOrder="1"/>
    </xf>
    <xf numFmtId="0" fontId="95" fillId="25" borderId="87" xfId="0" applyFont="1" applyFill="1" applyBorder="1" applyAlignment="1">
      <alignment horizontal="left" vertical="center" wrapText="1"/>
    </xf>
    <xf numFmtId="4" fontId="60" fillId="12" borderId="0" xfId="0" applyNumberFormat="1" applyFont="1" applyFill="1" applyBorder="1"/>
    <xf numFmtId="1" fontId="56" fillId="11" borderId="87" xfId="50" applyNumberFormat="1" applyFont="1" applyFill="1" applyBorder="1" applyAlignment="1">
      <alignment horizontal="center" vertical="center" wrapText="1"/>
    </xf>
    <xf numFmtId="0" fontId="56" fillId="11" borderId="87" xfId="50" applyFont="1" applyFill="1" applyBorder="1" applyAlignment="1">
      <alignment vertical="center" wrapText="1"/>
    </xf>
    <xf numFmtId="0" fontId="56" fillId="11" borderId="87" xfId="50" applyFont="1" applyFill="1" applyBorder="1" applyAlignment="1">
      <alignment horizontal="center" vertical="center" wrapText="1"/>
    </xf>
    <xf numFmtId="0" fontId="35" fillId="11" borderId="87" xfId="50" applyFont="1" applyFill="1" applyBorder="1" applyAlignment="1">
      <alignment horizontal="center" vertical="center" wrapText="1"/>
    </xf>
    <xf numFmtId="0" fontId="54" fillId="11" borderId="87" xfId="50" applyFont="1" applyFill="1" applyBorder="1" applyAlignment="1">
      <alignment horizontal="center" vertical="center" wrapText="1"/>
    </xf>
    <xf numFmtId="0" fontId="95" fillId="0" borderId="56" xfId="0" applyFont="1" applyFill="1" applyBorder="1" applyAlignment="1">
      <alignment horizontal="left" vertical="center" wrapText="1"/>
    </xf>
    <xf numFmtId="0" fontId="125" fillId="0" borderId="0" xfId="0" applyFont="1" applyBorder="1" applyAlignment="1">
      <alignment horizontal="left" vertical="center"/>
    </xf>
    <xf numFmtId="0" fontId="127" fillId="0" borderId="0" xfId="0" applyFont="1" applyBorder="1" applyAlignment="1">
      <alignment horizontal="left" vertical="center"/>
    </xf>
    <xf numFmtId="0" fontId="130" fillId="0" borderId="0" xfId="8" applyFont="1" applyBorder="1" applyAlignment="1">
      <alignment horizontal="center" vertical="center" wrapText="1"/>
    </xf>
    <xf numFmtId="0" fontId="138" fillId="0" borderId="0" xfId="0" applyFont="1" applyFill="1" applyBorder="1" applyAlignment="1">
      <alignment horizontal="center" vertical="center"/>
    </xf>
    <xf numFmtId="4" fontId="60" fillId="0" borderId="96" xfId="0" applyNumberFormat="1" applyFont="1" applyFill="1" applyBorder="1" applyAlignment="1">
      <alignment horizontal="center"/>
    </xf>
    <xf numFmtId="181" fontId="59" fillId="0" borderId="96" xfId="0" applyNumberFormat="1" applyFont="1" applyFill="1" applyBorder="1" applyAlignment="1">
      <alignment horizontal="center"/>
    </xf>
    <xf numFmtId="0" fontId="95" fillId="0" borderId="56" xfId="0" applyFont="1" applyFill="1" applyBorder="1" applyAlignment="1">
      <alignment horizontal="center" vertical="center" wrapText="1"/>
    </xf>
    <xf numFmtId="2" fontId="95" fillId="0" borderId="56" xfId="0" applyNumberFormat="1" applyFont="1" applyFill="1" applyBorder="1" applyAlignment="1">
      <alignment horizontal="center" vertical="center" wrapText="1"/>
    </xf>
    <xf numFmtId="4" fontId="59" fillId="0" borderId="96" xfId="0" applyNumberFormat="1" applyFont="1" applyBorder="1" applyAlignment="1">
      <alignment horizontal="center"/>
    </xf>
    <xf numFmtId="4" fontId="59" fillId="0" borderId="96" xfId="0" applyNumberFormat="1" applyFont="1" applyFill="1" applyBorder="1" applyAlignment="1">
      <alignment horizontal="center"/>
    </xf>
    <xf numFmtId="3" fontId="59" fillId="0" borderId="96" xfId="0" applyNumberFormat="1" applyFont="1" applyBorder="1" applyAlignment="1">
      <alignment horizontal="center"/>
    </xf>
    <xf numFmtId="0" fontId="91" fillId="18" borderId="96" xfId="0" applyFont="1" applyFill="1" applyBorder="1"/>
    <xf numFmtId="1" fontId="139" fillId="0" borderId="56" xfId="0" applyNumberFormat="1" applyFont="1" applyBorder="1" applyAlignment="1">
      <alignment horizontal="center"/>
    </xf>
    <xf numFmtId="0" fontId="91" fillId="0" borderId="96" xfId="0" applyFont="1" applyBorder="1"/>
    <xf numFmtId="4" fontId="59" fillId="0" borderId="72" xfId="0" applyNumberFormat="1" applyFont="1" applyFill="1" applyBorder="1" applyAlignment="1">
      <alignment horizontal="center"/>
    </xf>
    <xf numFmtId="4" fontId="60" fillId="35" borderId="96" xfId="0" applyNumberFormat="1" applyFont="1" applyFill="1" applyBorder="1"/>
    <xf numFmtId="0" fontId="13" fillId="11" borderId="96" xfId="0" applyFont="1" applyFill="1" applyBorder="1"/>
    <xf numFmtId="0" fontId="91" fillId="0" borderId="96" xfId="0" applyFont="1" applyFill="1" applyBorder="1" applyAlignment="1">
      <alignment vertical="center"/>
    </xf>
    <xf numFmtId="4" fontId="166" fillId="35" borderId="96" xfId="0" applyNumberFormat="1" applyFont="1" applyFill="1" applyBorder="1" applyAlignment="1">
      <alignment horizontal="center"/>
    </xf>
    <xf numFmtId="4" fontId="60" fillId="35" borderId="72" xfId="0" applyNumberFormat="1" applyFont="1" applyFill="1" applyBorder="1"/>
    <xf numFmtId="4" fontId="136" fillId="35" borderId="0" xfId="0" applyNumberFormat="1" applyFont="1" applyFill="1" applyBorder="1" applyAlignment="1">
      <alignment horizontal="center"/>
    </xf>
    <xf numFmtId="0" fontId="5" fillId="0" borderId="96" xfId="203" applyFont="1" applyFill="1" applyBorder="1" applyAlignment="1">
      <alignment vertical="center" wrapText="1"/>
    </xf>
    <xf numFmtId="3" fontId="5" fillId="0" borderId="96" xfId="0" applyNumberFormat="1" applyFont="1" applyFill="1" applyBorder="1" applyAlignment="1">
      <alignment horizontal="center" vertical="center"/>
    </xf>
    <xf numFmtId="0" fontId="5" fillId="0" borderId="14" xfId="203" applyFont="1" applyBorder="1" applyAlignment="1">
      <alignment vertical="center" wrapText="1"/>
    </xf>
    <xf numFmtId="0" fontId="6" fillId="0" borderId="96" xfId="0" applyFont="1" applyFill="1" applyBorder="1" applyAlignment="1">
      <alignment vertical="center" wrapText="1"/>
    </xf>
    <xf numFmtId="0" fontId="91" fillId="0" borderId="96" xfId="0" applyFont="1" applyBorder="1" applyAlignment="1">
      <alignment horizontal="left" vertical="center" wrapText="1"/>
    </xf>
    <xf numFmtId="0" fontId="135" fillId="11" borderId="96" xfId="0" applyFont="1" applyFill="1" applyBorder="1" applyAlignment="1">
      <alignment vertical="center"/>
    </xf>
    <xf numFmtId="0" fontId="149" fillId="0" borderId="96" xfId="0" applyFont="1" applyBorder="1" applyAlignment="1">
      <alignment vertical="center"/>
    </xf>
    <xf numFmtId="0" fontId="151" fillId="0" borderId="96" xfId="0" applyFont="1" applyBorder="1" applyAlignment="1">
      <alignment horizontal="center" vertical="center"/>
    </xf>
    <xf numFmtId="0" fontId="135" fillId="0" borderId="96" xfId="0" applyFont="1" applyFill="1" applyBorder="1" applyAlignment="1">
      <alignment vertical="justify"/>
    </xf>
    <xf numFmtId="0" fontId="95" fillId="18" borderId="96" xfId="0" applyFont="1" applyFill="1" applyBorder="1" applyAlignment="1">
      <alignment horizontal="left" vertical="center" wrapText="1"/>
    </xf>
    <xf numFmtId="0" fontId="95" fillId="18" borderId="14" xfId="0" applyFont="1" applyFill="1" applyBorder="1" applyAlignment="1">
      <alignment horizontal="left" vertical="center" wrapText="1"/>
    </xf>
    <xf numFmtId="4" fontId="59" fillId="0" borderId="81" xfId="0" applyNumberFormat="1" applyFont="1" applyBorder="1" applyAlignment="1">
      <alignment horizontal="center"/>
    </xf>
    <xf numFmtId="0" fontId="6" fillId="0" borderId="64" xfId="203" applyFont="1" applyBorder="1" applyAlignment="1">
      <alignment horizontal="left" vertical="center" wrapText="1"/>
    </xf>
    <xf numFmtId="0" fontId="86" fillId="0" borderId="64" xfId="203" applyFont="1" applyBorder="1" applyAlignment="1">
      <alignment vertical="center"/>
    </xf>
    <xf numFmtId="0" fontId="86" fillId="0" borderId="0" xfId="203" applyFont="1" applyBorder="1" applyAlignment="1">
      <alignment vertical="center"/>
    </xf>
    <xf numFmtId="0" fontId="4" fillId="0" borderId="64" xfId="203" applyFont="1" applyFill="1" applyBorder="1" applyAlignment="1">
      <alignment vertical="center" wrapText="1"/>
    </xf>
    <xf numFmtId="0" fontId="6" fillId="0" borderId="64" xfId="203" applyFont="1" applyBorder="1" applyAlignment="1">
      <alignment vertical="center" wrapText="1"/>
    </xf>
    <xf numFmtId="0" fontId="4" fillId="0" borderId="14" xfId="203" applyFont="1" applyBorder="1" applyAlignment="1">
      <alignment vertical="center" wrapText="1"/>
    </xf>
    <xf numFmtId="0" fontId="6" fillId="11" borderId="91" xfId="0" applyFont="1" applyFill="1" applyBorder="1" applyAlignment="1">
      <alignment horizontal="left" vertical="center" wrapText="1"/>
    </xf>
    <xf numFmtId="0" fontId="4" fillId="0" borderId="78" xfId="203" applyFont="1" applyFill="1" applyBorder="1" applyAlignment="1">
      <alignment vertical="center" wrapText="1"/>
    </xf>
    <xf numFmtId="0" fontId="6" fillId="0" borderId="64" xfId="0" applyFont="1" applyFill="1" applyBorder="1" applyAlignment="1">
      <alignment vertical="center" wrapText="1"/>
    </xf>
    <xf numFmtId="0" fontId="108" fillId="0" borderId="64" xfId="0" applyFont="1" applyBorder="1" applyAlignment="1">
      <alignment horizontal="center" vertical="center" wrapText="1"/>
    </xf>
    <xf numFmtId="0" fontId="4" fillId="11" borderId="87" xfId="0" applyFont="1" applyFill="1" applyBorder="1" applyAlignment="1">
      <alignment horizontal="left" vertical="center" wrapText="1"/>
    </xf>
    <xf numFmtId="0" fontId="54" fillId="0" borderId="13" xfId="50" applyFont="1" applyFill="1" applyBorder="1" applyAlignment="1">
      <alignment horizontal="left" vertical="center" wrapText="1"/>
    </xf>
    <xf numFmtId="0" fontId="4" fillId="11" borderId="56" xfId="0" applyFont="1" applyFill="1" applyBorder="1" applyAlignment="1">
      <alignment horizontal="left" vertical="center" wrapText="1"/>
    </xf>
    <xf numFmtId="0" fontId="91" fillId="0" borderId="64" xfId="0" applyFont="1" applyBorder="1" applyAlignment="1">
      <alignment vertical="center"/>
    </xf>
    <xf numFmtId="0" fontId="91" fillId="0" borderId="87" xfId="0" applyFont="1" applyBorder="1" applyAlignment="1">
      <alignment vertical="center"/>
    </xf>
    <xf numFmtId="0" fontId="91" fillId="11" borderId="0" xfId="0" applyFont="1" applyFill="1" applyBorder="1" applyAlignment="1">
      <alignment vertical="center"/>
    </xf>
    <xf numFmtId="0" fontId="64" fillId="0" borderId="0" xfId="0" applyFont="1" applyFill="1" applyBorder="1" applyAlignment="1">
      <alignment horizontal="center" vertical="center"/>
    </xf>
    <xf numFmtId="0" fontId="64" fillId="0" borderId="0" xfId="0" applyFont="1" applyBorder="1" applyAlignment="1">
      <alignment horizontal="center" vertical="center"/>
    </xf>
    <xf numFmtId="0" fontId="0" fillId="0" borderId="0" xfId="0" applyFill="1" applyBorder="1" applyAlignment="1">
      <alignment vertical="center" wrapText="1"/>
    </xf>
    <xf numFmtId="4" fontId="3" fillId="0" borderId="13" xfId="0" applyNumberFormat="1" applyFont="1" applyBorder="1"/>
    <xf numFmtId="0" fontId="3" fillId="11" borderId="56" xfId="0" applyFont="1" applyFill="1" applyBorder="1" applyAlignment="1">
      <alignment horizontal="left" vertical="center" wrapText="1"/>
    </xf>
    <xf numFmtId="4" fontId="59" fillId="0" borderId="56" xfId="0" applyNumberFormat="1" applyFont="1" applyFill="1" applyBorder="1" applyAlignment="1">
      <alignment horizontal="left" vertical="justify" wrapText="1"/>
    </xf>
    <xf numFmtId="0" fontId="3" fillId="11" borderId="96" xfId="0" applyFont="1" applyFill="1" applyBorder="1" applyAlignment="1">
      <alignment horizontal="left" vertical="center" wrapText="1"/>
    </xf>
    <xf numFmtId="0" fontId="3" fillId="0" borderId="87" xfId="0" applyFont="1" applyBorder="1" applyAlignment="1">
      <alignment horizontal="center" vertical="center" wrapText="1"/>
    </xf>
    <xf numFmtId="0" fontId="3" fillId="11" borderId="3" xfId="0" applyFont="1" applyFill="1" applyBorder="1" applyAlignment="1">
      <alignment horizontal="left" vertical="center" wrapText="1"/>
    </xf>
    <xf numFmtId="0" fontId="3" fillId="0" borderId="96" xfId="203" applyFont="1" applyFill="1" applyBorder="1" applyAlignment="1">
      <alignment vertical="center" wrapText="1"/>
    </xf>
    <xf numFmtId="0" fontId="3" fillId="0" borderId="64" xfId="203" applyFont="1" applyFill="1" applyBorder="1" applyAlignment="1">
      <alignment vertical="center" wrapText="1"/>
    </xf>
    <xf numFmtId="0" fontId="3" fillId="0" borderId="56" xfId="203" applyFont="1" applyFill="1" applyBorder="1" applyAlignment="1">
      <alignment vertical="center" wrapText="1"/>
    </xf>
    <xf numFmtId="0" fontId="3" fillId="0" borderId="64" xfId="203" applyFont="1" applyBorder="1" applyAlignment="1">
      <alignment vertical="center" wrapText="1"/>
    </xf>
    <xf numFmtId="0" fontId="6" fillId="11" borderId="87" xfId="0" applyFont="1" applyFill="1" applyBorder="1" applyAlignment="1">
      <alignment horizontal="left" vertical="center" wrapText="1"/>
    </xf>
    <xf numFmtId="0" fontId="3" fillId="0" borderId="47" xfId="0" applyFont="1" applyFill="1" applyBorder="1" applyAlignment="1">
      <alignment horizontal="left" vertical="center" wrapText="1"/>
    </xf>
    <xf numFmtId="0" fontId="3" fillId="0" borderId="14" xfId="203" applyFont="1" applyBorder="1" applyAlignment="1">
      <alignment vertical="center" wrapText="1"/>
    </xf>
    <xf numFmtId="0" fontId="146" fillId="0" borderId="64" xfId="0" applyFont="1" applyBorder="1" applyAlignment="1">
      <alignment horizontal="center" vertical="center" wrapText="1"/>
    </xf>
    <xf numFmtId="0" fontId="105" fillId="0" borderId="28" xfId="0" applyFont="1" applyBorder="1" applyAlignment="1">
      <alignment horizontal="center" vertical="center" wrapText="1"/>
    </xf>
    <xf numFmtId="0" fontId="78" fillId="11" borderId="0" xfId="0" applyFont="1" applyFill="1" applyBorder="1" applyAlignment="1">
      <alignment horizontal="center" vertical="center"/>
    </xf>
    <xf numFmtId="0" fontId="147" fillId="0" borderId="91" xfId="0" applyFont="1" applyBorder="1" applyAlignment="1" applyProtection="1">
      <alignment horizontal="center"/>
      <protection locked="0"/>
    </xf>
    <xf numFmtId="9" fontId="99" fillId="0" borderId="56" xfId="203" applyNumberFormat="1" applyFont="1" applyFill="1" applyBorder="1" applyAlignment="1" applyProtection="1">
      <alignment horizontal="center" vertical="center" wrapText="1"/>
      <protection locked="0"/>
    </xf>
    <xf numFmtId="0" fontId="99" fillId="0" borderId="56" xfId="203" applyFont="1" applyFill="1" applyBorder="1" applyAlignment="1" applyProtection="1">
      <alignment horizontal="center" vertical="center" wrapText="1"/>
      <protection locked="0"/>
    </xf>
    <xf numFmtId="9" fontId="99" fillId="0" borderId="87" xfId="62" applyFont="1" applyBorder="1" applyAlignment="1" applyProtection="1">
      <alignment horizontal="center" vertical="center"/>
      <protection locked="0"/>
    </xf>
    <xf numFmtId="0" fontId="99" fillId="0" borderId="87" xfId="0" applyFont="1" applyBorder="1" applyAlignment="1" applyProtection="1">
      <alignment horizontal="center" vertical="center"/>
      <protection locked="0"/>
    </xf>
    <xf numFmtId="0" fontId="81" fillId="38" borderId="0" xfId="203" applyFont="1" applyFill="1" applyAlignment="1" applyProtection="1">
      <alignment vertical="top" wrapText="1"/>
    </xf>
    <xf numFmtId="0" fontId="24" fillId="38" borderId="0" xfId="203" applyFill="1" applyAlignment="1" applyProtection="1">
      <alignment vertical="top" wrapText="1"/>
    </xf>
    <xf numFmtId="0" fontId="24" fillId="11" borderId="0" xfId="203" applyFill="1" applyAlignment="1" applyProtection="1">
      <alignment vertical="top" wrapText="1"/>
    </xf>
    <xf numFmtId="0" fontId="24" fillId="11" borderId="0" xfId="203" applyFill="1" applyAlignment="1" applyProtection="1">
      <alignment vertical="top"/>
    </xf>
    <xf numFmtId="0" fontId="24" fillId="11" borderId="0" xfId="203" applyFill="1" applyProtection="1"/>
    <xf numFmtId="0" fontId="24" fillId="0" borderId="0" xfId="203" applyProtection="1"/>
    <xf numFmtId="0" fontId="127" fillId="41" borderId="0" xfId="0" applyFont="1" applyFill="1" applyBorder="1" applyAlignment="1" applyProtection="1">
      <alignment vertical="center"/>
    </xf>
    <xf numFmtId="0" fontId="24" fillId="38" borderId="0" xfId="203" applyFill="1" applyAlignment="1" applyProtection="1">
      <alignment vertical="top"/>
    </xf>
    <xf numFmtId="0" fontId="24" fillId="41" borderId="0" xfId="203" applyFill="1" applyAlignment="1" applyProtection="1">
      <alignment vertical="top"/>
    </xf>
    <xf numFmtId="0" fontId="24" fillId="0" borderId="41" xfId="203" applyFont="1" applyFill="1" applyBorder="1" applyAlignment="1" applyProtection="1">
      <alignment vertical="center" wrapText="1"/>
    </xf>
    <xf numFmtId="0" fontId="24" fillId="0" borderId="0" xfId="203" applyFill="1" applyBorder="1" applyAlignment="1" applyProtection="1">
      <alignment horizontal="right" vertical="center" wrapText="1"/>
    </xf>
    <xf numFmtId="0" fontId="83" fillId="0" borderId="41" xfId="203" applyFont="1" applyFill="1" applyBorder="1" applyAlignment="1" applyProtection="1">
      <alignment vertical="center" wrapText="1"/>
    </xf>
    <xf numFmtId="0" fontId="83" fillId="0" borderId="0" xfId="203" applyFont="1" applyFill="1" applyBorder="1" applyAlignment="1" applyProtection="1">
      <alignment horizontal="right" vertical="center" wrapText="1"/>
    </xf>
    <xf numFmtId="0" fontId="24" fillId="41" borderId="0" xfId="203" applyFill="1" applyProtection="1"/>
    <xf numFmtId="0" fontId="24" fillId="38" borderId="0" xfId="203" applyFill="1" applyProtection="1"/>
    <xf numFmtId="0" fontId="24" fillId="0" borderId="41" xfId="203" applyFill="1" applyBorder="1" applyAlignment="1" applyProtection="1">
      <alignment vertical="center" wrapText="1"/>
    </xf>
    <xf numFmtId="0" fontId="24" fillId="0" borderId="0" xfId="203" applyFill="1" applyBorder="1" applyAlignment="1" applyProtection="1">
      <alignment vertical="center"/>
    </xf>
    <xf numFmtId="0" fontId="24" fillId="0" borderId="0" xfId="203" applyFill="1" applyBorder="1" applyAlignment="1" applyProtection="1">
      <alignment vertical="center" wrapText="1"/>
    </xf>
    <xf numFmtId="0" fontId="24" fillId="0" borderId="33" xfId="203" applyFill="1" applyBorder="1" applyAlignment="1" applyProtection="1">
      <alignment horizontal="center" vertical="center" wrapText="1"/>
    </xf>
    <xf numFmtId="0" fontId="6" fillId="0" borderId="41" xfId="203" applyFont="1" applyFill="1" applyBorder="1" applyAlignment="1" applyProtection="1">
      <alignment vertical="center" wrapText="1"/>
    </xf>
    <xf numFmtId="0" fontId="6" fillId="0" borderId="0" xfId="203" applyFont="1" applyFill="1" applyBorder="1" applyAlignment="1" applyProtection="1">
      <alignment horizontal="right" vertical="center" wrapText="1"/>
    </xf>
    <xf numFmtId="9" fontId="81" fillId="0" borderId="33" xfId="62" applyFont="1" applyFill="1" applyBorder="1" applyAlignment="1" applyProtection="1">
      <alignment horizontal="center" vertical="center" wrapText="1"/>
    </xf>
    <xf numFmtId="0" fontId="10" fillId="11" borderId="0" xfId="203" applyFont="1" applyFill="1" applyProtection="1"/>
    <xf numFmtId="0" fontId="18" fillId="0" borderId="41" xfId="203" applyFont="1" applyFill="1" applyBorder="1" applyAlignment="1" applyProtection="1">
      <alignment vertical="center" wrapText="1"/>
    </xf>
    <xf numFmtId="2" fontId="24" fillId="0" borderId="0" xfId="203" applyNumberFormat="1" applyFill="1" applyBorder="1" applyAlignment="1" applyProtection="1">
      <alignment vertical="center" wrapText="1"/>
    </xf>
    <xf numFmtId="0" fontId="6" fillId="0" borderId="47" xfId="203" applyFont="1" applyFill="1" applyBorder="1" applyAlignment="1" applyProtection="1">
      <alignment vertical="center" wrapText="1"/>
    </xf>
    <xf numFmtId="0" fontId="24" fillId="0" borderId="50" xfId="203" applyFill="1" applyBorder="1" applyAlignment="1" applyProtection="1">
      <alignment vertical="center" wrapText="1"/>
    </xf>
    <xf numFmtId="0" fontId="24" fillId="0" borderId="34" xfId="203" applyFill="1" applyBorder="1" applyAlignment="1" applyProtection="1">
      <alignment vertical="center" wrapText="1"/>
    </xf>
    <xf numFmtId="0" fontId="6" fillId="0" borderId="56" xfId="203" applyFont="1" applyBorder="1" applyAlignment="1" applyProtection="1">
      <alignment vertical="center" wrapText="1"/>
    </xf>
    <xf numFmtId="0" fontId="24" fillId="41" borderId="0" xfId="203" applyFill="1" applyAlignment="1" applyProtection="1">
      <alignment horizontal="center" vertical="top" wrapText="1"/>
    </xf>
    <xf numFmtId="0" fontId="24" fillId="0" borderId="56" xfId="203" applyBorder="1" applyAlignment="1" applyProtection="1">
      <alignment vertical="center" wrapText="1"/>
    </xf>
    <xf numFmtId="0" fontId="82" fillId="41" borderId="0" xfId="203" applyFont="1" applyFill="1" applyAlignment="1" applyProtection="1">
      <alignment horizontal="center" vertical="center" wrapText="1"/>
    </xf>
    <xf numFmtId="0" fontId="6" fillId="0" borderId="87" xfId="203" applyFont="1" applyBorder="1" applyAlignment="1" applyProtection="1">
      <alignment horizontal="left" vertical="center" wrapText="1"/>
    </xf>
    <xf numFmtId="0" fontId="17" fillId="0" borderId="87" xfId="203" applyFont="1" applyBorder="1" applyAlignment="1" applyProtection="1">
      <alignment vertical="center" wrapText="1"/>
    </xf>
    <xf numFmtId="9" fontId="99" fillId="0" borderId="87" xfId="62" applyFont="1" applyBorder="1" applyAlignment="1" applyProtection="1">
      <alignment horizontal="center" vertical="center"/>
    </xf>
    <xf numFmtId="0" fontId="10" fillId="0" borderId="87" xfId="203" applyFont="1" applyBorder="1" applyAlignment="1" applyProtection="1">
      <alignment vertical="center" wrapText="1"/>
    </xf>
    <xf numFmtId="0" fontId="15" fillId="0" borderId="87" xfId="203" applyFont="1" applyBorder="1" applyAlignment="1" applyProtection="1">
      <alignment vertical="center" wrapText="1"/>
    </xf>
    <xf numFmtId="0" fontId="17" fillId="0" borderId="87" xfId="203" applyFont="1" applyBorder="1" applyAlignment="1" applyProtection="1">
      <alignment horizontal="left" vertical="center" wrapText="1"/>
    </xf>
    <xf numFmtId="0" fontId="28" fillId="38" borderId="0" xfId="203" applyFont="1" applyFill="1" applyBorder="1" applyAlignment="1" applyProtection="1">
      <alignment horizontal="center" vertical="center" wrapText="1"/>
    </xf>
    <xf numFmtId="0" fontId="35" fillId="38" borderId="0" xfId="203" applyFont="1" applyFill="1" applyBorder="1" applyAlignment="1" applyProtection="1">
      <alignment horizontal="center" vertical="center" wrapText="1"/>
    </xf>
    <xf numFmtId="0" fontId="89" fillId="38" borderId="0" xfId="203" applyFont="1" applyFill="1" applyAlignment="1" applyProtection="1">
      <alignment horizontal="center" vertical="center" wrapText="1"/>
    </xf>
    <xf numFmtId="0" fontId="87" fillId="38" borderId="0" xfId="203" applyFont="1" applyFill="1" applyProtection="1"/>
    <xf numFmtId="0" fontId="88" fillId="11" borderId="0" xfId="203" applyFont="1" applyFill="1" applyBorder="1" applyAlignment="1" applyProtection="1">
      <alignment vertical="top" wrapText="1"/>
    </xf>
    <xf numFmtId="0" fontId="64" fillId="11" borderId="0" xfId="203" applyFont="1" applyFill="1" applyBorder="1" applyAlignment="1" applyProtection="1">
      <alignment vertical="top" wrapText="1"/>
    </xf>
    <xf numFmtId="0" fontId="87" fillId="11" borderId="0" xfId="203" applyFont="1" applyFill="1" applyAlignment="1" applyProtection="1">
      <alignment vertical="top" wrapText="1"/>
    </xf>
    <xf numFmtId="0" fontId="87" fillId="11" borderId="0" xfId="203" applyFont="1" applyFill="1" applyProtection="1"/>
    <xf numFmtId="177" fontId="64" fillId="11" borderId="0" xfId="203" applyNumberFormat="1" applyFont="1" applyFill="1" applyBorder="1" applyAlignment="1" applyProtection="1">
      <alignment horizontal="center" vertical="top" wrapText="1"/>
    </xf>
    <xf numFmtId="3" fontId="64" fillId="11" borderId="0" xfId="203" applyNumberFormat="1" applyFont="1" applyFill="1" applyBorder="1" applyAlignment="1" applyProtection="1">
      <alignment horizontal="center" vertical="top" wrapText="1"/>
    </xf>
    <xf numFmtId="0" fontId="87" fillId="11" borderId="0" xfId="203" applyFont="1" applyFill="1" applyAlignment="1" applyProtection="1">
      <alignment vertical="top"/>
    </xf>
    <xf numFmtId="0" fontId="87" fillId="11" borderId="0" xfId="203" applyFont="1" applyFill="1" applyAlignment="1" applyProtection="1">
      <alignment horizontal="center" vertical="top" wrapText="1"/>
    </xf>
    <xf numFmtId="0" fontId="163" fillId="11" borderId="0" xfId="203" applyFont="1" applyFill="1" applyProtection="1"/>
    <xf numFmtId="3" fontId="88" fillId="11" borderId="0" xfId="203" applyNumberFormat="1" applyFont="1" applyFill="1" applyBorder="1" applyAlignment="1" applyProtection="1">
      <alignment horizontal="center" vertical="top"/>
    </xf>
    <xf numFmtId="0" fontId="27" fillId="11" borderId="0" xfId="203" applyFont="1" applyFill="1" applyAlignment="1" applyProtection="1">
      <alignment vertical="top" wrapText="1"/>
    </xf>
    <xf numFmtId="1" fontId="87" fillId="11" borderId="0" xfId="203" applyNumberFormat="1" applyFont="1" applyFill="1" applyAlignment="1" applyProtection="1">
      <alignment horizontal="center" vertical="top" wrapText="1"/>
    </xf>
    <xf numFmtId="1" fontId="64" fillId="11" borderId="0" xfId="203" applyNumberFormat="1" applyFont="1" applyFill="1" applyBorder="1" applyAlignment="1" applyProtection="1">
      <alignment horizontal="center" vertical="top" wrapText="1"/>
    </xf>
    <xf numFmtId="0" fontId="64" fillId="11" borderId="0" xfId="203" applyFont="1" applyFill="1" applyProtection="1"/>
    <xf numFmtId="0" fontId="87" fillId="0" borderId="0" xfId="203" applyFont="1" applyProtection="1"/>
    <xf numFmtId="3" fontId="99" fillId="0" borderId="64" xfId="0" applyNumberFormat="1" applyFont="1" applyFill="1" applyBorder="1" applyAlignment="1" applyProtection="1">
      <alignment horizontal="center" vertical="center"/>
      <protection locked="0"/>
    </xf>
    <xf numFmtId="9" fontId="99" fillId="33" borderId="64" xfId="62" applyFont="1" applyFill="1" applyBorder="1" applyAlignment="1" applyProtection="1">
      <alignment horizontal="center" vertical="center"/>
      <protection locked="0"/>
    </xf>
    <xf numFmtId="3" fontId="99" fillId="0" borderId="96" xfId="0" applyNumberFormat="1" applyFont="1" applyFill="1" applyBorder="1" applyAlignment="1" applyProtection="1">
      <alignment horizontal="center" vertical="center"/>
      <protection locked="0"/>
    </xf>
    <xf numFmtId="0" fontId="129" fillId="12" borderId="64" xfId="0" applyFont="1" applyFill="1" applyBorder="1" applyAlignment="1" applyProtection="1">
      <alignment horizontal="center" vertical="center"/>
      <protection locked="0"/>
    </xf>
    <xf numFmtId="9" fontId="99" fillId="0" borderId="64" xfId="62" applyFont="1" applyFill="1" applyBorder="1" applyAlignment="1" applyProtection="1">
      <alignment horizontal="center" vertical="center"/>
      <protection locked="0"/>
    </xf>
    <xf numFmtId="3" fontId="99" fillId="0" borderId="56" xfId="0" applyNumberFormat="1" applyFont="1" applyFill="1" applyBorder="1" applyAlignment="1" applyProtection="1">
      <alignment horizontal="center" vertical="center"/>
      <protection locked="0"/>
    </xf>
    <xf numFmtId="9" fontId="99" fillId="0" borderId="34" xfId="62" applyFont="1" applyFill="1" applyBorder="1" applyAlignment="1" applyProtection="1">
      <alignment horizontal="center" vertical="center"/>
      <protection locked="0"/>
    </xf>
    <xf numFmtId="171" fontId="99" fillId="11" borderId="87" xfId="63" applyNumberFormat="1" applyFont="1" applyFill="1" applyBorder="1" applyAlignment="1" applyProtection="1">
      <alignment horizontal="center"/>
      <protection locked="0"/>
    </xf>
    <xf numFmtId="1" fontId="99" fillId="0" borderId="34" xfId="62" applyNumberFormat="1" applyFont="1" applyFill="1" applyBorder="1" applyAlignment="1" applyProtection="1">
      <alignment horizontal="center" vertical="center"/>
      <protection locked="0"/>
    </xf>
    <xf numFmtId="0" fontId="99" fillId="0" borderId="87" xfId="0" applyFont="1" applyFill="1" applyBorder="1" applyAlignment="1" applyProtection="1">
      <alignment horizontal="center" vertical="center"/>
      <protection locked="0"/>
    </xf>
    <xf numFmtId="3" fontId="91" fillId="0" borderId="87" xfId="0" applyNumberFormat="1" applyFont="1" applyFill="1" applyBorder="1" applyAlignment="1" applyProtection="1">
      <alignment horizontal="center" vertical="center"/>
    </xf>
    <xf numFmtId="0" fontId="91" fillId="0" borderId="0" xfId="0" applyFont="1" applyAlignment="1" applyProtection="1">
      <alignment vertical="center"/>
      <protection locked="0"/>
    </xf>
    <xf numFmtId="0" fontId="91" fillId="11" borderId="0" xfId="0" applyFont="1" applyFill="1" applyBorder="1" applyAlignment="1" applyProtection="1">
      <alignment vertical="center"/>
      <protection locked="0"/>
    </xf>
    <xf numFmtId="0" fontId="91" fillId="11" borderId="0" xfId="0" applyFont="1" applyFill="1" applyAlignment="1" applyProtection="1">
      <alignment vertical="center"/>
      <protection locked="0"/>
    </xf>
    <xf numFmtId="0" fontId="91" fillId="0" borderId="0" xfId="0" applyFont="1" applyProtection="1">
      <protection locked="0"/>
    </xf>
    <xf numFmtId="1" fontId="99" fillId="0" borderId="34" xfId="0" applyNumberFormat="1" applyFont="1" applyBorder="1" applyAlignment="1" applyProtection="1">
      <alignment horizontal="center" vertical="center"/>
      <protection locked="0"/>
    </xf>
    <xf numFmtId="3" fontId="99" fillId="0" borderId="78" xfId="0" applyNumberFormat="1" applyFont="1" applyFill="1" applyBorder="1" applyAlignment="1" applyProtection="1">
      <alignment horizontal="center" vertical="center"/>
      <protection locked="0"/>
    </xf>
    <xf numFmtId="0" fontId="174" fillId="0" borderId="78" xfId="0" applyFont="1" applyFill="1" applyBorder="1" applyAlignment="1" applyProtection="1">
      <alignment horizontal="center" vertical="center"/>
      <protection locked="0"/>
    </xf>
    <xf numFmtId="3" fontId="91" fillId="0" borderId="78" xfId="0" applyNumberFormat="1" applyFont="1" applyFill="1" applyBorder="1" applyAlignment="1" applyProtection="1">
      <alignment horizontal="center" vertical="center"/>
    </xf>
    <xf numFmtId="0" fontId="91" fillId="11" borderId="0" xfId="0" applyFont="1" applyFill="1" applyProtection="1">
      <protection locked="0"/>
    </xf>
    <xf numFmtId="0" fontId="91" fillId="0" borderId="0" xfId="0" applyFont="1" applyBorder="1" applyProtection="1">
      <protection locked="0"/>
    </xf>
    <xf numFmtId="4" fontId="108" fillId="0" borderId="19" xfId="0" applyNumberFormat="1" applyFont="1" applyBorder="1" applyAlignment="1">
      <alignment horizontal="right"/>
    </xf>
    <xf numFmtId="0" fontId="64" fillId="0" borderId="0" xfId="0" applyFont="1" applyAlignment="1" applyProtection="1">
      <alignment vertical="center"/>
      <protection locked="0"/>
    </xf>
    <xf numFmtId="0" fontId="64" fillId="11" borderId="0" xfId="0" applyFont="1" applyFill="1" applyAlignment="1" applyProtection="1">
      <alignment vertical="center"/>
      <protection locked="0"/>
    </xf>
    <xf numFmtId="0" fontId="81" fillId="0" borderId="64" xfId="0" applyFont="1" applyBorder="1" applyAlignment="1" applyProtection="1">
      <alignment horizontal="center" vertical="center"/>
      <protection locked="0"/>
    </xf>
    <xf numFmtId="182" fontId="88" fillId="0" borderId="46" xfId="61" applyNumberFormat="1" applyFont="1" applyBorder="1" applyAlignment="1">
      <alignment horizontal="right" vertical="center"/>
    </xf>
    <xf numFmtId="0" fontId="91" fillId="38" borderId="0" xfId="0" applyFont="1" applyFill="1" applyAlignment="1" applyProtection="1">
      <alignment vertical="center"/>
    </xf>
    <xf numFmtId="0" fontId="64" fillId="38" borderId="0" xfId="0" applyFont="1" applyFill="1" applyAlignment="1" applyProtection="1">
      <alignment vertical="center"/>
    </xf>
    <xf numFmtId="0" fontId="64" fillId="0" borderId="0" xfId="0" applyFont="1" applyAlignment="1" applyProtection="1">
      <alignment vertical="center"/>
    </xf>
    <xf numFmtId="0" fontId="91" fillId="0" borderId="0" xfId="0" applyFont="1" applyBorder="1" applyAlignment="1" applyProtection="1">
      <alignment horizontal="center" vertical="center"/>
    </xf>
    <xf numFmtId="0" fontId="91" fillId="0" borderId="0" xfId="0" applyFont="1" applyAlignment="1" applyProtection="1">
      <alignment vertical="center"/>
    </xf>
    <xf numFmtId="0" fontId="91" fillId="0" borderId="64" xfId="0" applyFont="1" applyBorder="1" applyAlignment="1" applyProtection="1">
      <alignment horizontal="left" vertical="center" wrapText="1"/>
    </xf>
    <xf numFmtId="0" fontId="127" fillId="0" borderId="0" xfId="0" applyFont="1" applyBorder="1" applyAlignment="1" applyProtection="1">
      <alignment horizontal="left" vertical="center"/>
    </xf>
    <xf numFmtId="0" fontId="108" fillId="0" borderId="64" xfId="0" applyFont="1" applyBorder="1" applyAlignment="1" applyProtection="1">
      <alignment vertical="center"/>
    </xf>
    <xf numFmtId="0" fontId="86" fillId="33" borderId="64" xfId="203" applyFont="1" applyFill="1" applyBorder="1" applyAlignment="1" applyProtection="1">
      <alignment horizontal="center" vertical="center" wrapText="1"/>
    </xf>
    <xf numFmtId="0" fontId="91" fillId="0" borderId="64" xfId="0" applyFont="1" applyBorder="1" applyAlignment="1" applyProtection="1">
      <alignment horizontal="center" vertical="center" wrapText="1"/>
    </xf>
    <xf numFmtId="0" fontId="131" fillId="0" borderId="64" xfId="0" applyFont="1" applyBorder="1" applyAlignment="1" applyProtection="1">
      <alignment horizontal="center" vertical="center"/>
    </xf>
    <xf numFmtId="0" fontId="6" fillId="0" borderId="64" xfId="203" applyFont="1" applyBorder="1" applyAlignment="1" applyProtection="1">
      <alignment horizontal="left" vertical="center" wrapText="1"/>
    </xf>
    <xf numFmtId="3" fontId="108" fillId="0" borderId="64" xfId="0" applyNumberFormat="1" applyFont="1" applyBorder="1" applyAlignment="1" applyProtection="1">
      <alignment horizontal="center" vertical="center"/>
    </xf>
    <xf numFmtId="0" fontId="125" fillId="0" borderId="0" xfId="0" applyFont="1" applyBorder="1" applyAlignment="1" applyProtection="1">
      <alignment horizontal="left" vertical="center"/>
    </xf>
    <xf numFmtId="0" fontId="64" fillId="32" borderId="0" xfId="0" applyFont="1" applyFill="1" applyAlignment="1" applyProtection="1">
      <alignment vertical="center"/>
    </xf>
    <xf numFmtId="0" fontId="125" fillId="32" borderId="0" xfId="0" applyFont="1" applyFill="1" applyBorder="1" applyAlignment="1" applyProtection="1">
      <alignment horizontal="left" vertical="center"/>
    </xf>
    <xf numFmtId="0" fontId="127" fillId="32" borderId="0" xfId="0" applyFont="1" applyFill="1" applyBorder="1" applyAlignment="1" applyProtection="1">
      <alignment horizontal="left" vertical="center"/>
    </xf>
    <xf numFmtId="0" fontId="91" fillId="32" borderId="0" xfId="0" applyFont="1" applyFill="1" applyAlignment="1" applyProtection="1">
      <alignment vertical="center"/>
    </xf>
    <xf numFmtId="0" fontId="64" fillId="11" borderId="0" xfId="0" applyFont="1" applyFill="1" applyAlignment="1" applyProtection="1">
      <alignment vertical="center"/>
    </xf>
    <xf numFmtId="0" fontId="127" fillId="0" borderId="0" xfId="0" applyFont="1" applyFill="1" applyBorder="1" applyAlignment="1" applyProtection="1">
      <alignment horizontal="left" vertical="center"/>
    </xf>
    <xf numFmtId="0" fontId="125" fillId="0" borderId="87" xfId="0" applyFont="1" applyBorder="1" applyAlignment="1" applyProtection="1">
      <alignment horizontal="right" vertical="center"/>
    </xf>
    <xf numFmtId="0" fontId="113" fillId="0" borderId="87" xfId="8" applyFont="1" applyFill="1" applyBorder="1" applyAlignment="1" applyProtection="1">
      <alignment horizontal="center" vertical="center" wrapText="1"/>
    </xf>
    <xf numFmtId="0" fontId="86" fillId="0" borderId="64" xfId="203" applyFont="1" applyFill="1" applyBorder="1" applyAlignment="1" applyProtection="1">
      <alignment vertical="center" wrapText="1"/>
    </xf>
    <xf numFmtId="3" fontId="108" fillId="0" borderId="0" xfId="0" applyNumberFormat="1" applyFont="1" applyFill="1" applyBorder="1" applyAlignment="1" applyProtection="1">
      <alignment horizontal="center" vertical="center"/>
    </xf>
    <xf numFmtId="0" fontId="108" fillId="0" borderId="0" xfId="0" applyFont="1" applyFill="1" applyBorder="1" applyAlignment="1" applyProtection="1">
      <alignment vertical="center" wrapText="1"/>
    </xf>
    <xf numFmtId="0" fontId="0" fillId="0" borderId="0" xfId="0" applyFill="1" applyBorder="1" applyAlignment="1" applyProtection="1">
      <alignment vertical="center" wrapText="1"/>
    </xf>
    <xf numFmtId="0" fontId="0" fillId="38" borderId="0" xfId="0" applyFill="1" applyBorder="1" applyAlignment="1" applyProtection="1">
      <alignment vertical="center" wrapText="1"/>
    </xf>
    <xf numFmtId="0" fontId="64" fillId="38" borderId="0" xfId="0" applyFont="1" applyFill="1" applyBorder="1" applyAlignment="1" applyProtection="1">
      <alignment vertical="center"/>
    </xf>
    <xf numFmtId="0" fontId="17" fillId="0" borderId="0" xfId="203" applyFont="1" applyFill="1" applyBorder="1" applyAlignment="1" applyProtection="1">
      <alignment horizontal="left" vertical="center" wrapText="1"/>
    </xf>
    <xf numFmtId="0" fontId="99" fillId="0" borderId="0" xfId="0" applyFont="1" applyFill="1" applyBorder="1" applyAlignment="1" applyProtection="1">
      <alignment horizontal="center" vertical="center"/>
    </xf>
    <xf numFmtId="0" fontId="17" fillId="0" borderId="0" xfId="203" applyFont="1" applyFill="1" applyBorder="1" applyAlignment="1" applyProtection="1">
      <alignment vertical="center" wrapText="1"/>
    </xf>
    <xf numFmtId="9" fontId="99" fillId="38" borderId="0" xfId="62" applyFont="1" applyFill="1" applyBorder="1" applyAlignment="1" applyProtection="1">
      <alignment horizontal="center" vertical="center"/>
    </xf>
    <xf numFmtId="0" fontId="91" fillId="0" borderId="0" xfId="0" applyFont="1" applyFill="1" applyBorder="1" applyAlignment="1" applyProtection="1">
      <alignment vertical="center"/>
    </xf>
    <xf numFmtId="0" fontId="91" fillId="38" borderId="0" xfId="0" applyFont="1" applyFill="1" applyBorder="1" applyAlignment="1" applyProtection="1">
      <alignment vertical="center"/>
    </xf>
    <xf numFmtId="0" fontId="88" fillId="0" borderId="64" xfId="0" applyFont="1" applyBorder="1" applyAlignment="1" applyProtection="1">
      <alignment vertical="center" wrapText="1"/>
    </xf>
    <xf numFmtId="0" fontId="91" fillId="0" borderId="0" xfId="0" applyFont="1" applyFill="1" applyBorder="1" applyProtection="1"/>
    <xf numFmtId="0" fontId="64" fillId="0" borderId="0" xfId="0" applyFont="1" applyFill="1" applyBorder="1" applyAlignment="1" applyProtection="1">
      <alignment vertical="center"/>
    </xf>
    <xf numFmtId="0" fontId="6" fillId="0" borderId="64" xfId="0" applyFont="1" applyFill="1" applyBorder="1" applyAlignment="1" applyProtection="1">
      <alignment vertical="center" wrapText="1"/>
    </xf>
    <xf numFmtId="0" fontId="88" fillId="0" borderId="0" xfId="8" applyFont="1" applyBorder="1" applyAlignment="1" applyProtection="1">
      <alignment horizontal="center" vertical="center" wrapText="1"/>
    </xf>
    <xf numFmtId="0" fontId="15" fillId="0" borderId="64" xfId="0" applyFont="1" applyFill="1" applyBorder="1" applyAlignment="1" applyProtection="1">
      <alignment vertical="center" wrapText="1"/>
    </xf>
    <xf numFmtId="0" fontId="113" fillId="0" borderId="78" xfId="8" applyFont="1" applyFill="1" applyBorder="1" applyAlignment="1" applyProtection="1">
      <alignment horizontal="center" vertical="center" wrapText="1"/>
    </xf>
    <xf numFmtId="0" fontId="64" fillId="30" borderId="15" xfId="0" applyFont="1" applyFill="1" applyBorder="1" applyAlignment="1" applyProtection="1">
      <alignment vertical="center"/>
    </xf>
    <xf numFmtId="0" fontId="64" fillId="30" borderId="42" xfId="0" applyFont="1" applyFill="1" applyBorder="1" applyAlignment="1" applyProtection="1">
      <alignment vertical="center"/>
    </xf>
    <xf numFmtId="0" fontId="64" fillId="30" borderId="43" xfId="0" applyFont="1" applyFill="1" applyBorder="1" applyAlignment="1" applyProtection="1">
      <alignment vertical="center"/>
    </xf>
    <xf numFmtId="0" fontId="64" fillId="30" borderId="16" xfId="0" applyFont="1" applyFill="1" applyBorder="1" applyAlignment="1" applyProtection="1">
      <alignment vertical="center"/>
    </xf>
    <xf numFmtId="0" fontId="64" fillId="30" borderId="0" xfId="0" applyFont="1" applyFill="1" applyBorder="1" applyAlignment="1" applyProtection="1">
      <alignment vertical="center"/>
    </xf>
    <xf numFmtId="0" fontId="64" fillId="30" borderId="18" xfId="0" applyFont="1" applyFill="1" applyBorder="1" applyAlignment="1" applyProtection="1">
      <alignment vertical="center"/>
    </xf>
    <xf numFmtId="0" fontId="35" fillId="30" borderId="0" xfId="0" applyFont="1" applyFill="1" applyBorder="1" applyAlignment="1" applyProtection="1">
      <alignment vertical="center"/>
    </xf>
    <xf numFmtId="0" fontId="6" fillId="0" borderId="96" xfId="0" applyFont="1" applyFill="1" applyBorder="1" applyAlignment="1" applyProtection="1">
      <alignment vertical="center" wrapText="1"/>
    </xf>
    <xf numFmtId="0" fontId="113" fillId="0" borderId="0" xfId="8" applyFont="1" applyFill="1" applyBorder="1" applyAlignment="1" applyProtection="1">
      <alignment horizontal="center" vertical="center" wrapText="1"/>
    </xf>
    <xf numFmtId="0" fontId="130" fillId="0" borderId="0" xfId="8" applyFont="1" applyBorder="1" applyAlignment="1" applyProtection="1">
      <alignment horizontal="center" vertical="center" wrapText="1"/>
    </xf>
    <xf numFmtId="0" fontId="64" fillId="0" borderId="64" xfId="0" applyFont="1" applyFill="1" applyBorder="1" applyAlignment="1" applyProtection="1">
      <alignment vertical="center" wrapText="1"/>
    </xf>
    <xf numFmtId="0" fontId="64" fillId="0" borderId="0" xfId="0" applyFont="1" applyBorder="1" applyAlignment="1" applyProtection="1">
      <alignment vertical="center"/>
    </xf>
    <xf numFmtId="0" fontId="88" fillId="14" borderId="21" xfId="0" applyFont="1" applyFill="1" applyBorder="1" applyAlignment="1" applyProtection="1">
      <alignment vertical="center" wrapText="1"/>
    </xf>
    <xf numFmtId="0" fontId="88" fillId="14" borderId="21" xfId="0" applyFont="1" applyFill="1" applyBorder="1" applyAlignment="1" applyProtection="1">
      <alignment horizontal="center" vertical="center" wrapText="1"/>
    </xf>
    <xf numFmtId="0" fontId="88" fillId="14" borderId="21" xfId="8" applyFont="1" applyFill="1" applyBorder="1" applyAlignment="1" applyProtection="1">
      <alignment horizontal="center" vertical="center" wrapText="1"/>
    </xf>
    <xf numFmtId="0" fontId="88" fillId="14" borderId="48" xfId="0" applyFont="1" applyFill="1" applyBorder="1" applyAlignment="1" applyProtection="1">
      <alignment horizontal="center" vertical="center" wrapText="1"/>
    </xf>
    <xf numFmtId="0" fontId="88" fillId="14" borderId="13" xfId="0" applyFont="1" applyFill="1" applyBorder="1" applyAlignment="1" applyProtection="1">
      <alignment horizontal="center" vertical="center" wrapText="1"/>
    </xf>
    <xf numFmtId="0" fontId="64" fillId="0" borderId="13" xfId="0" applyFont="1" applyBorder="1" applyAlignment="1" applyProtection="1">
      <alignment horizontal="center" vertical="center"/>
    </xf>
    <xf numFmtId="0" fontId="64" fillId="0" borderId="13" xfId="0" applyFont="1" applyBorder="1" applyAlignment="1" applyProtection="1">
      <alignment horizontal="left" vertical="center"/>
    </xf>
    <xf numFmtId="44" fontId="64" fillId="0" borderId="13" xfId="61" applyFont="1" applyBorder="1" applyAlignment="1" applyProtection="1">
      <alignment horizontal="center" vertical="center" wrapText="1"/>
    </xf>
    <xf numFmtId="0" fontId="64" fillId="0" borderId="13" xfId="0" applyFont="1" applyBorder="1" applyAlignment="1" applyProtection="1">
      <alignment vertical="center" wrapText="1"/>
    </xf>
    <xf numFmtId="1" fontId="64" fillId="0" borderId="13" xfId="0" applyNumberFormat="1" applyFont="1" applyBorder="1" applyAlignment="1" applyProtection="1">
      <alignment horizontal="center" vertical="center" wrapText="1"/>
    </xf>
    <xf numFmtId="0" fontId="64" fillId="0" borderId="2" xfId="8" applyFont="1" applyBorder="1" applyAlignment="1" applyProtection="1">
      <alignment horizontal="center" vertical="center" wrapText="1"/>
    </xf>
    <xf numFmtId="0" fontId="64" fillId="0" borderId="23" xfId="0" applyFont="1" applyBorder="1" applyAlignment="1" applyProtection="1">
      <alignment horizontal="center" vertical="center"/>
    </xf>
    <xf numFmtId="0" fontId="64" fillId="0" borderId="23" xfId="0" applyFont="1" applyBorder="1" applyAlignment="1" applyProtection="1">
      <alignment vertical="center" wrapText="1"/>
    </xf>
    <xf numFmtId="1" fontId="64" fillId="0" borderId="23" xfId="0" applyNumberFormat="1" applyFont="1" applyBorder="1" applyAlignment="1" applyProtection="1">
      <alignment horizontal="center" vertical="center" wrapText="1"/>
    </xf>
    <xf numFmtId="44" fontId="64" fillId="0" borderId="23" xfId="61" applyFont="1" applyBorder="1" applyAlignment="1" applyProtection="1">
      <alignment horizontal="center" vertical="center" wrapText="1"/>
    </xf>
    <xf numFmtId="0" fontId="64" fillId="0" borderId="40" xfId="8" applyFont="1" applyBorder="1" applyAlignment="1" applyProtection="1">
      <alignment horizontal="center" vertical="center" wrapText="1"/>
    </xf>
    <xf numFmtId="0" fontId="64" fillId="0" borderId="56" xfId="0" applyFont="1" applyBorder="1" applyAlignment="1" applyProtection="1">
      <alignment horizontal="center" vertical="center"/>
    </xf>
    <xf numFmtId="0" fontId="64" fillId="0" borderId="56" xfId="0" applyFont="1" applyFill="1" applyBorder="1" applyAlignment="1" applyProtection="1">
      <alignment vertical="center" wrapText="1"/>
    </xf>
    <xf numFmtId="0" fontId="64" fillId="0" borderId="56" xfId="0" applyFont="1" applyFill="1" applyBorder="1" applyAlignment="1" applyProtection="1">
      <alignment horizontal="center" vertical="center" wrapText="1"/>
    </xf>
    <xf numFmtId="0" fontId="64" fillId="0" borderId="56" xfId="0" applyFont="1" applyBorder="1" applyAlignment="1" applyProtection="1">
      <alignment horizontal="center" vertical="center" wrapText="1"/>
    </xf>
    <xf numFmtId="44" fontId="64" fillId="0" borderId="56" xfId="61" applyFont="1" applyBorder="1" applyAlignment="1" applyProtection="1">
      <alignment horizontal="center" vertical="center" wrapText="1"/>
    </xf>
    <xf numFmtId="0" fontId="64" fillId="0" borderId="56" xfId="8" applyFont="1" applyBorder="1" applyAlignment="1" applyProtection="1">
      <alignment horizontal="center" vertical="center" wrapText="1"/>
    </xf>
    <xf numFmtId="0" fontId="64" fillId="0" borderId="56" xfId="0" applyFont="1" applyBorder="1" applyAlignment="1" applyProtection="1">
      <alignment vertical="center" wrapText="1"/>
    </xf>
    <xf numFmtId="0" fontId="64" fillId="0" borderId="56" xfId="2" applyFont="1" applyFill="1" applyBorder="1" applyAlignment="1" applyProtection="1">
      <alignment vertical="center"/>
    </xf>
    <xf numFmtId="0" fontId="64" fillId="0" borderId="56" xfId="0" applyFont="1" applyFill="1" applyBorder="1" applyAlignment="1" applyProtection="1">
      <alignment horizontal="center" vertical="center"/>
    </xf>
    <xf numFmtId="0" fontId="35" fillId="0" borderId="0" xfId="0" applyFont="1" applyAlignment="1" applyProtection="1">
      <alignment vertical="center"/>
    </xf>
    <xf numFmtId="0" fontId="35" fillId="38" borderId="0" xfId="0" applyFont="1" applyFill="1" applyAlignment="1" applyProtection="1">
      <alignment vertical="center"/>
    </xf>
    <xf numFmtId="0" fontId="35" fillId="30" borderId="16" xfId="0" applyFont="1" applyFill="1" applyBorder="1" applyAlignment="1" applyProtection="1">
      <alignment vertical="center"/>
    </xf>
    <xf numFmtId="0" fontId="35" fillId="30" borderId="18" xfId="0" applyFont="1" applyFill="1" applyBorder="1" applyAlignment="1" applyProtection="1">
      <alignment vertical="center"/>
    </xf>
    <xf numFmtId="44" fontId="64" fillId="0" borderId="56" xfId="61" applyFont="1" applyFill="1" applyBorder="1" applyAlignment="1" applyProtection="1">
      <alignment horizontal="center" vertical="center" wrapText="1"/>
    </xf>
    <xf numFmtId="0" fontId="64" fillId="0" borderId="56" xfId="0" applyFont="1" applyBorder="1" applyAlignment="1" applyProtection="1">
      <alignment vertical="center"/>
    </xf>
    <xf numFmtId="0" fontId="64" fillId="0" borderId="56" xfId="8" applyFont="1" applyFill="1" applyBorder="1" applyAlignment="1" applyProtection="1">
      <alignment horizontal="center" vertical="center" wrapText="1"/>
    </xf>
    <xf numFmtId="0" fontId="64" fillId="0" borderId="64" xfId="0" applyFont="1" applyBorder="1" applyAlignment="1" applyProtection="1">
      <alignment vertical="center" wrapText="1"/>
    </xf>
    <xf numFmtId="0" fontId="64" fillId="30" borderId="53" xfId="0" applyFont="1" applyFill="1" applyBorder="1" applyAlignment="1" applyProtection="1">
      <alignment vertical="center"/>
    </xf>
    <xf numFmtId="0" fontId="64" fillId="30" borderId="45" xfId="0" applyFont="1" applyFill="1" applyBorder="1" applyAlignment="1" applyProtection="1">
      <alignment vertical="center"/>
    </xf>
    <xf numFmtId="0" fontId="64" fillId="30" borderId="46" xfId="0" applyFont="1" applyFill="1" applyBorder="1" applyAlignment="1" applyProtection="1">
      <alignment vertical="center"/>
    </xf>
    <xf numFmtId="0" fontId="64" fillId="0" borderId="14" xfId="0" applyFont="1" applyFill="1" applyBorder="1" applyAlignment="1" applyProtection="1">
      <alignment horizontal="center" vertical="center"/>
    </xf>
    <xf numFmtId="0" fontId="64" fillId="0" borderId="14" xfId="0" applyFont="1" applyFill="1" applyBorder="1" applyAlignment="1" applyProtection="1">
      <alignment vertical="center" wrapText="1"/>
    </xf>
    <xf numFmtId="44" fontId="64" fillId="0" borderId="14" xfId="61" applyFont="1" applyFill="1" applyBorder="1" applyAlignment="1" applyProtection="1">
      <alignment horizontal="center" vertical="center" wrapText="1"/>
    </xf>
    <xf numFmtId="0" fontId="64" fillId="0" borderId="47" xfId="8" applyFont="1" applyBorder="1" applyAlignment="1" applyProtection="1">
      <alignment horizontal="center" vertical="center" wrapText="1"/>
    </xf>
    <xf numFmtId="44" fontId="64" fillId="0" borderId="13" xfId="61" applyFont="1" applyBorder="1" applyAlignment="1" applyProtection="1">
      <alignment vertical="center"/>
    </xf>
    <xf numFmtId="0" fontId="64" fillId="0" borderId="2" xfId="0" applyFont="1" applyBorder="1" applyAlignment="1" applyProtection="1">
      <alignment horizontal="center" vertical="center"/>
    </xf>
    <xf numFmtId="0" fontId="64" fillId="0" borderId="0" xfId="0" applyFont="1" applyBorder="1" applyAlignment="1" applyProtection="1">
      <alignment horizontal="center" vertical="center"/>
    </xf>
    <xf numFmtId="44" fontId="64" fillId="0" borderId="0" xfId="61" applyFont="1" applyBorder="1" applyAlignment="1" applyProtection="1">
      <alignment vertical="center"/>
    </xf>
    <xf numFmtId="0" fontId="88" fillId="35" borderId="43" xfId="0" applyFont="1" applyFill="1" applyBorder="1" applyAlignment="1" applyProtection="1">
      <alignment horizontal="center" vertical="center"/>
    </xf>
    <xf numFmtId="0" fontId="88" fillId="0" borderId="16" xfId="0" applyFont="1" applyFill="1" applyBorder="1" applyAlignment="1" applyProtection="1">
      <alignment vertical="center"/>
    </xf>
    <xf numFmtId="0" fontId="88" fillId="0" borderId="0" xfId="0" applyFont="1" applyBorder="1" applyAlignment="1" applyProtection="1">
      <alignment horizontal="center" vertical="center"/>
    </xf>
    <xf numFmtId="174" fontId="88" fillId="0" borderId="18" xfId="61" applyNumberFormat="1" applyFont="1" applyBorder="1" applyAlignment="1" applyProtection="1">
      <alignment vertical="center"/>
    </xf>
    <xf numFmtId="0" fontId="88" fillId="0" borderId="53" xfId="0" applyFont="1" applyFill="1" applyBorder="1" applyAlignment="1" applyProtection="1">
      <alignment vertical="center"/>
    </xf>
    <xf numFmtId="0" fontId="88" fillId="0" borderId="45" xfId="0" applyFont="1" applyBorder="1" applyAlignment="1" applyProtection="1">
      <alignment horizontal="center" vertical="center"/>
    </xf>
    <xf numFmtId="44" fontId="88" fillId="0" borderId="46" xfId="61" applyFont="1" applyBorder="1" applyAlignment="1" applyProtection="1">
      <alignment vertical="center"/>
    </xf>
    <xf numFmtId="0" fontId="64" fillId="0" borderId="0" xfId="0" applyFont="1" applyAlignment="1" applyProtection="1">
      <alignment horizontal="center" vertical="center"/>
    </xf>
    <xf numFmtId="0" fontId="64" fillId="38" borderId="0" xfId="0" applyFont="1" applyFill="1" applyAlignment="1" applyProtection="1">
      <alignment horizontal="center" vertical="center"/>
    </xf>
    <xf numFmtId="0" fontId="129" fillId="0" borderId="87" xfId="0" applyFont="1" applyBorder="1" applyAlignment="1" applyProtection="1">
      <alignment horizontal="left" vertical="center"/>
      <protection locked="0"/>
    </xf>
    <xf numFmtId="0" fontId="64" fillId="12" borderId="56" xfId="2" applyFont="1" applyFill="1" applyBorder="1" applyAlignment="1" applyProtection="1">
      <alignment vertical="center"/>
      <protection locked="0"/>
    </xf>
    <xf numFmtId="0" fontId="64" fillId="0" borderId="0" xfId="0" applyFont="1" applyFill="1" applyAlignment="1" applyProtection="1">
      <alignment vertical="center"/>
    </xf>
    <xf numFmtId="0" fontId="86" fillId="23" borderId="64" xfId="203" applyFont="1" applyFill="1" applyBorder="1" applyAlignment="1" applyProtection="1">
      <alignment horizontal="center" vertical="center" wrapText="1"/>
    </xf>
    <xf numFmtId="0" fontId="15" fillId="0" borderId="64" xfId="203" applyFont="1" applyBorder="1" applyAlignment="1" applyProtection="1">
      <alignment horizontal="left" vertical="center" wrapText="1"/>
    </xf>
    <xf numFmtId="0" fontId="125" fillId="11" borderId="0" xfId="0" applyFont="1" applyFill="1" applyBorder="1" applyAlignment="1" applyProtection="1">
      <alignment vertical="center"/>
    </xf>
    <xf numFmtId="0" fontId="129" fillId="11" borderId="0" xfId="0" applyFont="1" applyFill="1" applyBorder="1" applyAlignment="1" applyProtection="1">
      <alignment horizontal="center" vertical="center"/>
    </xf>
    <xf numFmtId="0" fontId="127" fillId="11" borderId="0" xfId="0" applyFont="1" applyFill="1" applyBorder="1" applyAlignment="1" applyProtection="1">
      <alignment vertical="center"/>
    </xf>
    <xf numFmtId="0" fontId="108" fillId="0" borderId="0" xfId="0" applyFont="1" applyFill="1" applyBorder="1" applyAlignment="1" applyProtection="1">
      <alignment vertical="center"/>
    </xf>
    <xf numFmtId="0" fontId="86" fillId="0" borderId="0" xfId="203" applyFont="1" applyFill="1" applyBorder="1" applyAlignment="1" applyProtection="1">
      <alignment horizontal="center" vertical="center" wrapText="1"/>
    </xf>
    <xf numFmtId="0" fontId="91" fillId="0" borderId="0" xfId="0" applyFont="1" applyFill="1" applyBorder="1" applyAlignment="1" applyProtection="1">
      <alignment horizontal="center" vertical="center" wrapText="1"/>
    </xf>
    <xf numFmtId="0" fontId="91" fillId="11" borderId="0" xfId="0" applyFont="1" applyFill="1" applyBorder="1" applyAlignment="1" applyProtection="1">
      <alignment vertical="center"/>
    </xf>
    <xf numFmtId="0" fontId="17" fillId="38" borderId="0" xfId="203" applyFont="1" applyFill="1" applyBorder="1" applyAlignment="1" applyProtection="1">
      <alignment vertical="center" wrapText="1"/>
    </xf>
    <xf numFmtId="0" fontId="88" fillId="35" borderId="15" xfId="0" applyFont="1" applyFill="1" applyBorder="1" applyProtection="1"/>
    <xf numFmtId="0" fontId="64" fillId="35" borderId="42" xfId="0" applyFont="1" applyFill="1" applyBorder="1" applyAlignment="1" applyProtection="1">
      <alignment horizontal="center" vertical="center"/>
    </xf>
    <xf numFmtId="0" fontId="91" fillId="0" borderId="0" xfId="0" applyFont="1" applyFill="1" applyAlignment="1" applyProtection="1">
      <alignment vertical="center"/>
      <protection locked="0"/>
    </xf>
    <xf numFmtId="0" fontId="64" fillId="0" borderId="0" xfId="0" applyFont="1" applyFill="1" applyAlignment="1" applyProtection="1">
      <alignment vertical="center"/>
      <protection locked="0"/>
    </xf>
    <xf numFmtId="0" fontId="91" fillId="0" borderId="0" xfId="0" applyFont="1" applyFill="1" applyBorder="1" applyAlignment="1" applyProtection="1">
      <alignment vertical="center"/>
      <protection locked="0"/>
    </xf>
    <xf numFmtId="0" fontId="0" fillId="0" borderId="0" xfId="0" applyFill="1" applyBorder="1" applyAlignment="1" applyProtection="1">
      <alignment vertical="center" wrapText="1"/>
      <protection locked="0"/>
    </xf>
    <xf numFmtId="0" fontId="64" fillId="0" borderId="0" xfId="0" applyFont="1" applyFill="1" applyBorder="1" applyAlignment="1" applyProtection="1">
      <alignment vertical="center"/>
      <protection locked="0"/>
    </xf>
    <xf numFmtId="9" fontId="99" fillId="0" borderId="0" xfId="62" applyFont="1" applyFill="1" applyBorder="1" applyAlignment="1" applyProtection="1">
      <alignment horizontal="center" vertical="center"/>
      <protection locked="0"/>
    </xf>
    <xf numFmtId="0" fontId="35" fillId="0" borderId="0" xfId="0" applyFont="1" applyFill="1" applyAlignment="1" applyProtection="1">
      <alignment vertical="center"/>
      <protection locked="0"/>
    </xf>
    <xf numFmtId="0" fontId="35" fillId="0" borderId="0" xfId="0" applyFont="1" applyAlignment="1" applyProtection="1">
      <alignment vertical="center"/>
      <protection locked="0"/>
    </xf>
    <xf numFmtId="0" fontId="24" fillId="0" borderId="64" xfId="203" applyBorder="1" applyAlignment="1" applyProtection="1">
      <alignment horizontal="left" vertical="center" wrapText="1"/>
    </xf>
    <xf numFmtId="3" fontId="108" fillId="0" borderId="56" xfId="0" applyNumberFormat="1" applyFont="1" applyBorder="1" applyAlignment="1" applyProtection="1">
      <alignment horizontal="center" vertical="center"/>
    </xf>
    <xf numFmtId="0" fontId="6" fillId="0" borderId="64" xfId="203" applyFont="1" applyBorder="1" applyAlignment="1" applyProtection="1">
      <alignment vertical="center" wrapText="1"/>
    </xf>
    <xf numFmtId="0" fontId="86" fillId="0" borderId="0" xfId="203" applyFont="1" applyBorder="1" applyAlignment="1" applyProtection="1">
      <alignment horizontal="center" vertical="center"/>
    </xf>
    <xf numFmtId="3" fontId="108" fillId="0" borderId="0" xfId="0" applyNumberFormat="1" applyFont="1" applyBorder="1" applyAlignment="1" applyProtection="1">
      <alignment horizontal="center" vertical="center"/>
    </xf>
    <xf numFmtId="0" fontId="64" fillId="0" borderId="0" xfId="0" applyFont="1" applyBorder="1" applyAlignment="1" applyProtection="1">
      <alignment horizontal="center" vertical="center"/>
    </xf>
    <xf numFmtId="0" fontId="115" fillId="0" borderId="0" xfId="0" applyFont="1" applyBorder="1" applyAlignment="1" applyProtection="1">
      <alignment horizontal="center" vertical="center"/>
    </xf>
    <xf numFmtId="0" fontId="88" fillId="14" borderId="87" xfId="0" applyFont="1" applyFill="1" applyBorder="1" applyAlignment="1" applyProtection="1">
      <alignment horizontal="center" vertical="center" wrapText="1"/>
    </xf>
    <xf numFmtId="0" fontId="64" fillId="0" borderId="87" xfId="0" applyFont="1" applyBorder="1" applyAlignment="1" applyProtection="1">
      <alignment horizontal="center" vertical="center"/>
    </xf>
    <xf numFmtId="0" fontId="64" fillId="0" borderId="87" xfId="0" applyFont="1" applyBorder="1" applyAlignment="1" applyProtection="1">
      <alignment vertical="center" wrapText="1"/>
    </xf>
    <xf numFmtId="1" fontId="64" fillId="0" borderId="87" xfId="0" applyNumberFormat="1" applyFont="1" applyBorder="1" applyAlignment="1" applyProtection="1">
      <alignment horizontal="center" vertical="center" wrapText="1"/>
    </xf>
    <xf numFmtId="0" fontId="64" fillId="0" borderId="87" xfId="0" applyFont="1" applyFill="1" applyBorder="1" applyAlignment="1" applyProtection="1">
      <alignment horizontal="center" vertical="center"/>
    </xf>
    <xf numFmtId="0" fontId="64" fillId="0" borderId="87" xfId="8" applyFont="1" applyBorder="1" applyAlignment="1" applyProtection="1">
      <alignment horizontal="center" vertical="center" wrapText="1"/>
    </xf>
    <xf numFmtId="0" fontId="64" fillId="0" borderId="87" xfId="8" applyFont="1" applyFill="1" applyBorder="1" applyAlignment="1" applyProtection="1">
      <alignment horizontal="center" vertical="center" wrapText="1"/>
    </xf>
    <xf numFmtId="0" fontId="64" fillId="0" borderId="0" xfId="0" applyFont="1" applyBorder="1" applyAlignment="1" applyProtection="1">
      <alignment vertical="center" wrapText="1"/>
    </xf>
    <xf numFmtId="0" fontId="64" fillId="0" borderId="0" xfId="0" applyFont="1" applyFill="1" applyBorder="1" applyAlignment="1" applyProtection="1">
      <alignment horizontal="center" vertical="center"/>
    </xf>
    <xf numFmtId="1" fontId="64" fillId="0" borderId="0" xfId="0" applyNumberFormat="1" applyFont="1" applyBorder="1" applyAlignment="1" applyProtection="1">
      <alignment horizontal="center" vertical="center" wrapText="1"/>
    </xf>
    <xf numFmtId="44" fontId="81" fillId="0" borderId="0" xfId="61" applyFont="1" applyBorder="1" applyAlignment="1" applyProtection="1">
      <alignment horizontal="center" vertical="center" wrapText="1"/>
    </xf>
    <xf numFmtId="0" fontId="64" fillId="0" borderId="0" xfId="8" applyFont="1" applyBorder="1" applyAlignment="1" applyProtection="1">
      <alignment horizontal="center" vertical="center" wrapText="1"/>
    </xf>
    <xf numFmtId="44" fontId="88" fillId="0" borderId="46" xfId="61" applyFont="1" applyBorder="1" applyAlignment="1" applyProtection="1">
      <alignment horizontal="center" vertical="center"/>
    </xf>
    <xf numFmtId="0" fontId="64" fillId="32" borderId="0" xfId="0" applyFont="1" applyFill="1" applyAlignment="1" applyProtection="1">
      <alignment vertical="center"/>
      <protection locked="0"/>
    </xf>
    <xf numFmtId="0" fontId="115" fillId="0" borderId="0" xfId="0" applyFont="1" applyBorder="1" applyAlignment="1" applyProtection="1">
      <alignment horizontal="center" vertical="center"/>
      <protection locked="0"/>
    </xf>
    <xf numFmtId="0" fontId="64" fillId="30" borderId="16" xfId="0" applyFont="1" applyFill="1" applyBorder="1" applyAlignment="1" applyProtection="1">
      <alignment vertical="center"/>
      <protection locked="0"/>
    </xf>
    <xf numFmtId="0" fontId="64" fillId="30" borderId="0" xfId="0" applyFont="1" applyFill="1" applyBorder="1" applyAlignment="1" applyProtection="1">
      <alignment vertical="center"/>
      <protection locked="0"/>
    </xf>
    <xf numFmtId="0" fontId="64" fillId="30" borderId="18" xfId="0" applyFont="1" applyFill="1" applyBorder="1" applyAlignment="1" applyProtection="1">
      <alignment vertical="center"/>
      <protection locked="0"/>
    </xf>
    <xf numFmtId="0" fontId="35" fillId="30" borderId="16" xfId="0" applyFont="1" applyFill="1" applyBorder="1" applyAlignment="1" applyProtection="1">
      <alignment vertical="center"/>
      <protection locked="0"/>
    </xf>
    <xf numFmtId="0" fontId="35" fillId="30" borderId="0" xfId="0" applyFont="1" applyFill="1" applyBorder="1" applyAlignment="1" applyProtection="1">
      <alignment vertical="center"/>
      <protection locked="0"/>
    </xf>
    <xf numFmtId="0" fontId="35" fillId="30" borderId="18" xfId="0" applyFont="1" applyFill="1" applyBorder="1" applyAlignment="1" applyProtection="1">
      <alignment vertical="center"/>
      <protection locked="0"/>
    </xf>
    <xf numFmtId="44" fontId="81" fillId="0" borderId="87" xfId="61" applyFont="1" applyBorder="1" applyAlignment="1" applyProtection="1">
      <alignment horizontal="center" vertical="center" wrapText="1"/>
      <protection locked="0"/>
    </xf>
    <xf numFmtId="3" fontId="108" fillId="0" borderId="96" xfId="0" applyNumberFormat="1" applyFont="1" applyBorder="1" applyAlignment="1" applyProtection="1">
      <alignment horizontal="center" vertical="center"/>
    </xf>
    <xf numFmtId="0" fontId="64" fillId="0" borderId="13" xfId="0" applyFont="1" applyFill="1" applyBorder="1" applyAlignment="1" applyProtection="1">
      <alignment horizontal="center" vertical="center"/>
    </xf>
    <xf numFmtId="0" fontId="64" fillId="0" borderId="23" xfId="0" applyFont="1" applyFill="1" applyBorder="1" applyAlignment="1" applyProtection="1">
      <alignment horizontal="center" vertical="center"/>
    </xf>
    <xf numFmtId="0" fontId="64" fillId="0" borderId="72" xfId="0" applyFont="1" applyBorder="1" applyAlignment="1" applyProtection="1">
      <alignment horizontal="center" vertical="center"/>
    </xf>
    <xf numFmtId="0" fontId="64" fillId="0" borderId="72" xfId="0" applyFont="1" applyBorder="1" applyAlignment="1" applyProtection="1">
      <alignment vertical="center" wrapText="1"/>
    </xf>
    <xf numFmtId="0" fontId="64" fillId="0" borderId="72" xfId="0" applyFont="1" applyFill="1" applyBorder="1" applyAlignment="1" applyProtection="1">
      <alignment horizontal="center" vertical="center"/>
    </xf>
    <xf numFmtId="1" fontId="64" fillId="0" borderId="72" xfId="0" applyNumberFormat="1" applyFont="1" applyBorder="1" applyAlignment="1" applyProtection="1">
      <alignment horizontal="center" vertical="center" wrapText="1"/>
    </xf>
    <xf numFmtId="0" fontId="64" fillId="0" borderId="87" xfId="8" applyFont="1" applyBorder="1" applyAlignment="1" applyProtection="1">
      <alignment vertical="center" wrapText="1"/>
    </xf>
    <xf numFmtId="0" fontId="64" fillId="42" borderId="87" xfId="0" applyFont="1" applyFill="1" applyBorder="1" applyAlignment="1" applyProtection="1">
      <alignment horizontal="center" vertical="center"/>
    </xf>
    <xf numFmtId="182" fontId="64" fillId="0" borderId="87" xfId="0" applyNumberFormat="1" applyFont="1" applyBorder="1" applyAlignment="1" applyProtection="1">
      <alignment horizontal="center" vertical="center"/>
    </xf>
    <xf numFmtId="0" fontId="64" fillId="0" borderId="87" xfId="0" applyFont="1" applyBorder="1" applyAlignment="1" applyProtection="1">
      <alignment horizontal="left" vertical="center" wrapText="1"/>
    </xf>
    <xf numFmtId="182" fontId="64" fillId="0" borderId="13" xfId="61" applyNumberFormat="1" applyFont="1" applyBorder="1" applyAlignment="1" applyProtection="1">
      <alignment horizontal="center" vertical="center" wrapText="1"/>
    </xf>
    <xf numFmtId="182" fontId="64" fillId="0" borderId="23" xfId="61" applyNumberFormat="1" applyFont="1" applyBorder="1" applyAlignment="1" applyProtection="1">
      <alignment horizontal="center" vertical="center" wrapText="1"/>
    </xf>
    <xf numFmtId="182" fontId="64" fillId="0" borderId="72" xfId="61" applyNumberFormat="1" applyFont="1" applyBorder="1" applyAlignment="1" applyProtection="1">
      <alignment horizontal="center" vertical="center" wrapText="1"/>
    </xf>
    <xf numFmtId="0" fontId="100" fillId="0" borderId="64" xfId="0" applyFont="1" applyBorder="1" applyAlignment="1" applyProtection="1">
      <alignment horizontal="center" vertical="center"/>
      <protection locked="0"/>
    </xf>
    <xf numFmtId="9" fontId="100" fillId="0" borderId="64" xfId="62" applyFont="1" applyBorder="1" applyAlignment="1" applyProtection="1">
      <alignment horizontal="center" vertical="center"/>
      <protection locked="0"/>
    </xf>
    <xf numFmtId="1" fontId="100" fillId="0" borderId="96" xfId="62" applyNumberFormat="1" applyFont="1" applyBorder="1" applyAlignment="1" applyProtection="1">
      <alignment horizontal="center" vertical="center"/>
      <protection locked="0"/>
    </xf>
    <xf numFmtId="0" fontId="100" fillId="0" borderId="96" xfId="0" applyFont="1" applyBorder="1" applyAlignment="1" applyProtection="1">
      <alignment horizontal="center" vertical="center"/>
      <protection locked="0"/>
    </xf>
    <xf numFmtId="0" fontId="100" fillId="0" borderId="13" xfId="0" applyFont="1" applyBorder="1" applyAlignment="1" applyProtection="1">
      <alignment vertical="center" wrapText="1"/>
      <protection locked="0"/>
    </xf>
    <xf numFmtId="44" fontId="104" fillId="0" borderId="18" xfId="0" applyNumberFormat="1" applyFont="1" applyFill="1" applyBorder="1" applyAlignment="1">
      <alignment horizontal="right" vertical="center"/>
    </xf>
    <xf numFmtId="44" fontId="104" fillId="0" borderId="46" xfId="0" applyNumberFormat="1" applyFont="1" applyFill="1" applyBorder="1" applyAlignment="1">
      <alignment horizontal="right" vertical="center"/>
    </xf>
    <xf numFmtId="0" fontId="104" fillId="0" borderId="13" xfId="0" applyFont="1" applyBorder="1" applyAlignment="1" applyProtection="1">
      <alignment vertical="center" wrapText="1"/>
      <protection locked="0"/>
    </xf>
    <xf numFmtId="0" fontId="104" fillId="0" borderId="0" xfId="0" applyFont="1" applyBorder="1" applyProtection="1">
      <protection locked="0"/>
    </xf>
    <xf numFmtId="0" fontId="104" fillId="11" borderId="0" xfId="0" applyFont="1" applyFill="1" applyBorder="1" applyProtection="1">
      <protection locked="0"/>
    </xf>
    <xf numFmtId="0" fontId="104" fillId="0" borderId="0" xfId="0" applyFont="1" applyFill="1" applyBorder="1" applyProtection="1">
      <protection locked="0"/>
    </xf>
    <xf numFmtId="0" fontId="81" fillId="0" borderId="96" xfId="0" applyFont="1" applyBorder="1" applyAlignment="1" applyProtection="1">
      <alignment horizontal="center" vertical="center"/>
      <protection locked="0"/>
    </xf>
    <xf numFmtId="3" fontId="100" fillId="11" borderId="64" xfId="0" applyNumberFormat="1" applyFont="1" applyFill="1" applyBorder="1" applyAlignment="1" applyProtection="1">
      <alignment horizontal="center" vertical="center"/>
      <protection locked="0"/>
    </xf>
    <xf numFmtId="0" fontId="138" fillId="0" borderId="13" xfId="0" applyFont="1" applyFill="1" applyBorder="1" applyAlignment="1" applyProtection="1">
      <alignment horizontal="center"/>
      <protection locked="0"/>
    </xf>
    <xf numFmtId="0" fontId="139" fillId="0" borderId="0" xfId="0" applyFont="1" applyProtection="1">
      <protection locked="0"/>
    </xf>
    <xf numFmtId="0" fontId="148" fillId="0" borderId="64" xfId="0" applyFont="1" applyBorder="1" applyAlignment="1" applyProtection="1">
      <alignment horizontal="center" vertical="center"/>
      <protection locked="0"/>
    </xf>
    <xf numFmtId="9" fontId="151" fillId="33" borderId="64" xfId="62" applyFont="1" applyFill="1" applyBorder="1" applyAlignment="1" applyProtection="1">
      <alignment horizontal="center" vertical="center"/>
      <protection locked="0"/>
    </xf>
    <xf numFmtId="0" fontId="138" fillId="0" borderId="78" xfId="0" applyFont="1" applyFill="1" applyBorder="1" applyAlignment="1" applyProtection="1">
      <alignment horizontal="center" vertical="center"/>
      <protection locked="0"/>
    </xf>
    <xf numFmtId="0" fontId="138" fillId="0" borderId="96" xfId="0" applyFont="1" applyFill="1" applyBorder="1" applyAlignment="1" applyProtection="1">
      <alignment horizontal="center" vertical="center"/>
      <protection locked="0"/>
    </xf>
    <xf numFmtId="176" fontId="139" fillId="0" borderId="46" xfId="0" applyNumberFormat="1" applyFont="1" applyBorder="1" applyAlignment="1">
      <alignment horizontal="right"/>
    </xf>
    <xf numFmtId="0" fontId="139" fillId="11" borderId="0" xfId="0" applyFont="1" applyFill="1" applyProtection="1">
      <protection locked="0"/>
    </xf>
    <xf numFmtId="0" fontId="35" fillId="0" borderId="0" xfId="0" applyFont="1" applyAlignment="1" applyProtection="1">
      <alignment vertical="justify"/>
      <protection locked="0"/>
    </xf>
    <xf numFmtId="0" fontId="35" fillId="0" borderId="0" xfId="0" applyFont="1" applyProtection="1">
      <protection locked="0"/>
    </xf>
    <xf numFmtId="0" fontId="78" fillId="0" borderId="78" xfId="0" applyFont="1" applyFill="1" applyBorder="1" applyAlignment="1" applyProtection="1">
      <alignment horizontal="center" vertical="center"/>
      <protection locked="0"/>
    </xf>
    <xf numFmtId="0" fontId="78" fillId="0" borderId="96" xfId="0" applyFont="1" applyFill="1" applyBorder="1" applyAlignment="1" applyProtection="1">
      <alignment horizontal="center" vertical="center"/>
      <protection locked="0"/>
    </xf>
    <xf numFmtId="9" fontId="151" fillId="0" borderId="64" xfId="62" applyFont="1" applyFill="1" applyBorder="1" applyAlignment="1" applyProtection="1">
      <alignment horizontal="center" vertical="center"/>
      <protection locked="0"/>
    </xf>
    <xf numFmtId="0" fontId="78" fillId="0" borderId="13" xfId="0" applyFont="1" applyFill="1" applyBorder="1" applyAlignment="1" applyProtection="1">
      <alignment horizontal="center" vertical="center"/>
      <protection locked="0"/>
    </xf>
    <xf numFmtId="176" fontId="35" fillId="0" borderId="46" xfId="0" applyNumberFormat="1" applyFont="1" applyBorder="1" applyAlignment="1">
      <alignment horizontal="right"/>
    </xf>
    <xf numFmtId="0" fontId="158" fillId="0" borderId="64" xfId="0" applyFont="1" applyBorder="1" applyAlignment="1" applyProtection="1">
      <alignment vertical="center"/>
      <protection locked="0"/>
    </xf>
    <xf numFmtId="9" fontId="158" fillId="0" borderId="64" xfId="0" applyNumberFormat="1" applyFont="1" applyBorder="1" applyAlignment="1" applyProtection="1">
      <alignment vertical="center"/>
      <protection locked="0"/>
    </xf>
    <xf numFmtId="0" fontId="151" fillId="0" borderId="64" xfId="0" applyFont="1" applyBorder="1" applyAlignment="1" applyProtection="1">
      <alignment vertical="center"/>
      <protection locked="0"/>
    </xf>
    <xf numFmtId="9" fontId="151" fillId="0" borderId="64" xfId="0" applyNumberFormat="1" applyFont="1" applyBorder="1" applyAlignment="1" applyProtection="1">
      <alignment vertical="center"/>
      <protection locked="0"/>
    </xf>
    <xf numFmtId="1" fontId="151" fillId="0" borderId="96" xfId="0" applyNumberFormat="1" applyFont="1" applyBorder="1" applyAlignment="1" applyProtection="1">
      <alignment vertical="center"/>
      <protection locked="0"/>
    </xf>
    <xf numFmtId="0" fontId="139" fillId="0" borderId="0" xfId="0" applyFont="1" applyFill="1" applyProtection="1">
      <protection locked="0"/>
    </xf>
    <xf numFmtId="0" fontId="78" fillId="0" borderId="87" xfId="0" applyFont="1" applyFill="1" applyBorder="1" applyAlignment="1" applyProtection="1">
      <alignment horizontal="center" vertical="justify"/>
      <protection locked="0"/>
    </xf>
    <xf numFmtId="0" fontId="100" fillId="0" borderId="87" xfId="0" applyFont="1" applyFill="1" applyBorder="1" applyAlignment="1" applyProtection="1">
      <alignment horizontal="center" vertical="justify"/>
      <protection locked="0"/>
    </xf>
    <xf numFmtId="2" fontId="99" fillId="0" borderId="87" xfId="52" applyNumberFormat="1" applyFont="1" applyFill="1" applyBorder="1" applyAlignment="1" applyProtection="1">
      <alignment horizontal="center" vertical="center" wrapText="1"/>
      <protection locked="0"/>
    </xf>
    <xf numFmtId="0" fontId="100" fillId="0" borderId="87" xfId="0" applyFont="1" applyBorder="1" applyAlignment="1" applyProtection="1">
      <alignment horizontal="center" vertical="justify"/>
      <protection locked="0"/>
    </xf>
    <xf numFmtId="0" fontId="100" fillId="0" borderId="87" xfId="0" applyFont="1" applyBorder="1" applyAlignment="1" applyProtection="1">
      <alignment horizontal="center"/>
      <protection locked="0"/>
    </xf>
    <xf numFmtId="0" fontId="151" fillId="0" borderId="56" xfId="0" applyFont="1" applyFill="1" applyBorder="1" applyAlignment="1" applyProtection="1">
      <alignment horizontal="center" vertical="justify"/>
      <protection locked="0"/>
    </xf>
    <xf numFmtId="0" fontId="78" fillId="11" borderId="87" xfId="0" applyFont="1" applyFill="1" applyBorder="1" applyAlignment="1" applyProtection="1">
      <alignment vertical="justify"/>
      <protection locked="0"/>
    </xf>
    <xf numFmtId="9" fontId="78" fillId="0" borderId="87" xfId="62" applyFont="1" applyFill="1" applyBorder="1" applyAlignment="1" applyProtection="1">
      <alignment horizontal="center" vertical="justify"/>
      <protection locked="0"/>
    </xf>
    <xf numFmtId="1" fontId="78" fillId="0" borderId="96" xfId="62" applyNumberFormat="1" applyFont="1" applyFill="1" applyBorder="1" applyAlignment="1" applyProtection="1">
      <alignment horizontal="center" vertical="justify"/>
      <protection locked="0"/>
    </xf>
    <xf numFmtId="0" fontId="99" fillId="0" borderId="87" xfId="0" applyFont="1" applyBorder="1" applyProtection="1">
      <protection locked="0"/>
    </xf>
    <xf numFmtId="0" fontId="0" fillId="0" borderId="0" xfId="0" applyProtection="1">
      <protection locked="0"/>
    </xf>
    <xf numFmtId="0" fontId="0" fillId="0" borderId="0" xfId="0" applyProtection="1"/>
    <xf numFmtId="3" fontId="97" fillId="0" borderId="56" xfId="0" applyNumberFormat="1" applyFont="1" applyFill="1" applyBorder="1" applyAlignment="1" applyProtection="1">
      <alignment horizontal="center"/>
      <protection locked="0"/>
    </xf>
    <xf numFmtId="3" fontId="101" fillId="0" borderId="13" xfId="0" applyNumberFormat="1" applyFont="1" applyFill="1" applyBorder="1" applyAlignment="1" applyProtection="1">
      <alignment horizontal="center"/>
      <protection locked="0"/>
    </xf>
    <xf numFmtId="3" fontId="97" fillId="0" borderId="13" xfId="0" applyNumberFormat="1" applyFont="1" applyFill="1" applyBorder="1" applyAlignment="1" applyProtection="1">
      <alignment horizontal="center"/>
      <protection locked="0"/>
    </xf>
    <xf numFmtId="3" fontId="101" fillId="0" borderId="40" xfId="11" applyNumberFormat="1" applyFont="1" applyFill="1" applyBorder="1" applyAlignment="1" applyProtection="1">
      <alignment horizontal="center" vertical="top" wrapText="1" readingOrder="1"/>
      <protection locked="0"/>
    </xf>
    <xf numFmtId="3" fontId="97" fillId="0" borderId="56" xfId="63" applyNumberFormat="1" applyFont="1" applyFill="1" applyBorder="1" applyAlignment="1" applyProtection="1">
      <alignment horizontal="center" vertical="center" wrapText="1"/>
      <protection locked="0"/>
    </xf>
    <xf numFmtId="3" fontId="101" fillId="0" borderId="73" xfId="11" applyNumberFormat="1" applyFont="1" applyFill="1" applyBorder="1" applyAlignment="1" applyProtection="1">
      <alignment horizontal="center" vertical="top" wrapText="1" readingOrder="1"/>
      <protection locked="0"/>
    </xf>
    <xf numFmtId="3" fontId="97" fillId="0" borderId="87" xfId="63" applyNumberFormat="1" applyFont="1" applyBorder="1" applyAlignment="1" applyProtection="1">
      <alignment horizontal="center" vertical="center" wrapText="1"/>
      <protection locked="0"/>
    </xf>
    <xf numFmtId="3" fontId="97" fillId="0" borderId="56" xfId="63" applyNumberFormat="1" applyFont="1" applyFill="1" applyBorder="1" applyAlignment="1" applyProtection="1">
      <alignment horizontal="center" vertical="top" wrapText="1"/>
      <protection locked="0"/>
    </xf>
    <xf numFmtId="3" fontId="97" fillId="0" borderId="96" xfId="0" applyNumberFormat="1" applyFont="1" applyBorder="1" applyAlignment="1" applyProtection="1">
      <alignment horizontal="center" vertical="top" wrapText="1"/>
      <protection locked="0"/>
    </xf>
    <xf numFmtId="3" fontId="97" fillId="0" borderId="13" xfId="63" applyNumberFormat="1" applyFont="1" applyFill="1" applyBorder="1" applyAlignment="1" applyProtection="1">
      <alignment horizontal="center" vertical="top" wrapText="1"/>
      <protection locked="0"/>
    </xf>
    <xf numFmtId="3" fontId="97" fillId="0" borderId="96" xfId="63" applyNumberFormat="1" applyFont="1" applyFill="1" applyBorder="1" applyAlignment="1" applyProtection="1">
      <alignment horizontal="center" vertical="top" wrapText="1"/>
      <protection locked="0"/>
    </xf>
    <xf numFmtId="3" fontId="101" fillId="0" borderId="13" xfId="63" applyNumberFormat="1" applyFont="1" applyFill="1" applyBorder="1" applyAlignment="1" applyProtection="1">
      <alignment horizontal="center" vertical="center" wrapText="1"/>
      <protection locked="0"/>
    </xf>
    <xf numFmtId="176" fontId="97" fillId="0" borderId="96" xfId="0" applyNumberFormat="1" applyFont="1" applyFill="1" applyBorder="1" applyAlignment="1" applyProtection="1">
      <alignment horizontal="center"/>
      <protection locked="0"/>
    </xf>
    <xf numFmtId="176" fontId="108" fillId="0" borderId="34" xfId="0" applyNumberFormat="1" applyFont="1" applyFill="1" applyBorder="1" applyAlignment="1">
      <alignment horizontal="right" vertical="center" wrapText="1"/>
    </xf>
    <xf numFmtId="164" fontId="108" fillId="0" borderId="34" xfId="0" applyNumberFormat="1" applyFont="1" applyBorder="1" applyAlignment="1">
      <alignment horizontal="right"/>
    </xf>
    <xf numFmtId="0" fontId="106" fillId="0" borderId="0" xfId="0" applyFont="1" applyFill="1" applyAlignment="1">
      <alignment vertical="center"/>
    </xf>
    <xf numFmtId="0" fontId="106" fillId="0" borderId="0" xfId="0" applyFont="1" applyAlignment="1" applyProtection="1">
      <alignment vertical="center"/>
      <protection locked="0"/>
    </xf>
    <xf numFmtId="0" fontId="106" fillId="0" borderId="0" xfId="0" applyFont="1" applyFill="1" applyAlignment="1" applyProtection="1">
      <alignment vertical="center"/>
      <protection locked="0"/>
    </xf>
    <xf numFmtId="0" fontId="104" fillId="0" borderId="0" xfId="0" applyFont="1" applyAlignment="1" applyProtection="1">
      <alignment vertical="center"/>
      <protection locked="0"/>
    </xf>
    <xf numFmtId="0" fontId="35" fillId="11" borderId="0" xfId="0" applyFont="1" applyFill="1" applyAlignment="1" applyProtection="1">
      <alignment vertical="justify"/>
      <protection locked="0"/>
    </xf>
    <xf numFmtId="0" fontId="35" fillId="0" borderId="0" xfId="0" applyFont="1" applyBorder="1" applyAlignment="1" applyProtection="1">
      <alignment vertical="justify"/>
      <protection locked="0"/>
    </xf>
    <xf numFmtId="0" fontId="35" fillId="0" borderId="0" xfId="0" applyFont="1" applyFill="1" applyBorder="1" applyAlignment="1" applyProtection="1">
      <alignment vertical="justify"/>
      <protection locked="0"/>
    </xf>
    <xf numFmtId="0" fontId="35" fillId="0" borderId="0" xfId="0" applyFont="1" applyFill="1" applyAlignment="1" applyProtection="1">
      <alignment vertical="justify"/>
      <protection locked="0"/>
    </xf>
    <xf numFmtId="4" fontId="35" fillId="0" borderId="0" xfId="0" applyNumberFormat="1" applyFont="1" applyFill="1" applyBorder="1" applyProtection="1">
      <protection locked="0"/>
    </xf>
    <xf numFmtId="4" fontId="35" fillId="0" borderId="0" xfId="0" applyNumberFormat="1" applyFont="1" applyFill="1" applyBorder="1" applyAlignment="1" applyProtection="1">
      <alignment wrapText="1"/>
      <protection locked="0"/>
    </xf>
    <xf numFmtId="4" fontId="28" fillId="0" borderId="0" xfId="0" applyNumberFormat="1" applyFont="1" applyFill="1" applyBorder="1" applyProtection="1">
      <protection locked="0"/>
    </xf>
    <xf numFmtId="4" fontId="35" fillId="0" borderId="0" xfId="0" applyNumberFormat="1" applyFont="1" applyBorder="1" applyProtection="1">
      <protection locked="0"/>
    </xf>
    <xf numFmtId="0" fontId="2" fillId="0" borderId="96" xfId="203" applyFont="1" applyFill="1" applyBorder="1" applyAlignment="1">
      <alignment vertical="center" wrapText="1"/>
    </xf>
    <xf numFmtId="0" fontId="9" fillId="0" borderId="0" xfId="203" applyFont="1" applyBorder="1" applyAlignment="1">
      <alignment vertical="center" wrapText="1"/>
    </xf>
    <xf numFmtId="3" fontId="9" fillId="0" borderId="0" xfId="0" applyNumberFormat="1" applyFont="1" applyBorder="1" applyAlignment="1">
      <alignment horizontal="center" vertical="center"/>
    </xf>
    <xf numFmtId="3" fontId="14" fillId="0" borderId="96" xfId="0" applyNumberFormat="1" applyFont="1" applyFill="1" applyBorder="1" applyAlignment="1">
      <alignment horizontal="center" vertical="center"/>
    </xf>
    <xf numFmtId="0" fontId="2" fillId="0" borderId="64" xfId="203" applyFont="1" applyBorder="1" applyAlignment="1">
      <alignment vertical="center" wrapText="1"/>
    </xf>
    <xf numFmtId="3" fontId="108" fillId="0" borderId="96" xfId="0" applyNumberFormat="1" applyFont="1" applyBorder="1" applyAlignment="1">
      <alignment horizontal="center"/>
    </xf>
    <xf numFmtId="0" fontId="64" fillId="0" borderId="96" xfId="0" applyFont="1" applyFill="1" applyBorder="1" applyAlignment="1" applyProtection="1">
      <alignment vertical="center" wrapText="1"/>
    </xf>
    <xf numFmtId="0" fontId="151" fillId="0" borderId="96" xfId="0" applyFont="1" applyBorder="1" applyAlignment="1">
      <alignment horizontal="center" vertical="center" wrapText="1"/>
    </xf>
    <xf numFmtId="9" fontId="66" fillId="0" borderId="0" xfId="0" applyNumberFormat="1" applyFont="1" applyFill="1" applyBorder="1" applyAlignment="1">
      <alignment horizontal="center" vertical="center"/>
    </xf>
    <xf numFmtId="1" fontId="66" fillId="0" borderId="0" xfId="0" applyNumberFormat="1" applyFont="1" applyFill="1" applyBorder="1" applyAlignment="1">
      <alignment horizontal="center" vertical="center"/>
    </xf>
    <xf numFmtId="44" fontId="88" fillId="0" borderId="46" xfId="61" applyFont="1" applyBorder="1" applyAlignment="1" applyProtection="1">
      <alignment horizontal="right" vertical="center"/>
    </xf>
    <xf numFmtId="0" fontId="104" fillId="31" borderId="0" xfId="0" applyFont="1" applyFill="1" applyProtection="1">
      <protection locked="0"/>
    </xf>
    <xf numFmtId="0" fontId="104" fillId="31" borderId="0" xfId="0" applyFont="1" applyFill="1" applyBorder="1" applyProtection="1">
      <protection locked="0"/>
    </xf>
    <xf numFmtId="0" fontId="157" fillId="12" borderId="97" xfId="0" applyFont="1" applyFill="1" applyBorder="1" applyAlignment="1" applyProtection="1">
      <alignment horizontal="center" vertical="center"/>
      <protection locked="0"/>
    </xf>
    <xf numFmtId="0" fontId="78" fillId="11" borderId="13" xfId="50" applyFont="1" applyFill="1" applyBorder="1" applyAlignment="1" applyProtection="1">
      <alignment horizontal="center" vertical="center" wrapText="1"/>
      <protection locked="0"/>
    </xf>
    <xf numFmtId="1" fontId="64" fillId="0" borderId="72" xfId="0" applyNumberFormat="1" applyFont="1" applyFill="1" applyBorder="1" applyAlignment="1" applyProtection="1">
      <alignment horizontal="center" vertical="center" wrapText="1"/>
    </xf>
    <xf numFmtId="0" fontId="180" fillId="0" borderId="0" xfId="0" applyFont="1"/>
    <xf numFmtId="0" fontId="181" fillId="0" borderId="0" xfId="5" applyFont="1" applyAlignment="1" applyProtection="1"/>
    <xf numFmtId="0" fontId="162" fillId="41" borderId="0" xfId="0" applyFont="1" applyFill="1" applyAlignment="1">
      <alignment horizontal="center" vertical="center"/>
    </xf>
    <xf numFmtId="0" fontId="163" fillId="40" borderId="93" xfId="0" applyFont="1" applyFill="1" applyBorder="1" applyAlignment="1">
      <alignment horizontal="center" vertical="center" wrapText="1"/>
    </xf>
    <xf numFmtId="0" fontId="163" fillId="40" borderId="94" xfId="0" applyFont="1" applyFill="1" applyBorder="1" applyAlignment="1">
      <alignment horizontal="center" vertical="center" wrapText="1"/>
    </xf>
    <xf numFmtId="0" fontId="163" fillId="40" borderId="95" xfId="0" applyFont="1" applyFill="1" applyBorder="1" applyAlignment="1">
      <alignment horizontal="center" vertical="center" wrapText="1"/>
    </xf>
    <xf numFmtId="0" fontId="164" fillId="38" borderId="0" xfId="0" applyFont="1" applyFill="1" applyAlignment="1">
      <alignment horizontal="center" vertical="center" wrapText="1"/>
    </xf>
    <xf numFmtId="0" fontId="169" fillId="0" borderId="0" xfId="0" applyFont="1" applyAlignment="1">
      <alignment horizontal="center" vertical="center" wrapText="1"/>
    </xf>
    <xf numFmtId="0" fontId="163" fillId="40" borderId="12" xfId="0" applyFont="1" applyFill="1" applyBorder="1" applyAlignment="1">
      <alignment horizontal="center" vertical="center" wrapText="1"/>
    </xf>
    <xf numFmtId="0" fontId="163" fillId="40" borderId="52" xfId="0" applyFont="1" applyFill="1" applyBorder="1" applyAlignment="1">
      <alignment horizontal="center" vertical="center" wrapText="1"/>
    </xf>
    <xf numFmtId="0" fontId="163" fillId="40" borderId="15" xfId="0" applyFont="1" applyFill="1" applyBorder="1" applyAlignment="1">
      <alignment horizontal="center" vertical="center" wrapText="1"/>
    </xf>
    <xf numFmtId="0" fontId="163" fillId="40" borderId="16" xfId="0" applyFont="1" applyFill="1" applyBorder="1" applyAlignment="1">
      <alignment horizontal="center" vertical="center" wrapText="1"/>
    </xf>
    <xf numFmtId="0" fontId="163" fillId="40" borderId="53" xfId="0" applyFont="1" applyFill="1" applyBorder="1" applyAlignment="1">
      <alignment horizontal="center" vertical="center" wrapText="1"/>
    </xf>
    <xf numFmtId="1" fontId="167" fillId="40" borderId="35" xfId="0" applyNumberFormat="1" applyFont="1" applyFill="1" applyBorder="1" applyAlignment="1" applyProtection="1">
      <alignment horizontal="center" vertical="center"/>
      <protection locked="0"/>
    </xf>
    <xf numFmtId="1" fontId="167" fillId="40" borderId="36" xfId="0" applyNumberFormat="1" applyFont="1" applyFill="1" applyBorder="1" applyAlignment="1" applyProtection="1">
      <alignment horizontal="center" vertical="center"/>
      <protection locked="0"/>
    </xf>
    <xf numFmtId="1" fontId="167" fillId="40" borderId="37" xfId="0" applyNumberFormat="1" applyFont="1" applyFill="1" applyBorder="1" applyAlignment="1" applyProtection="1">
      <alignment horizontal="center" vertical="center"/>
      <protection locked="0"/>
    </xf>
    <xf numFmtId="0" fontId="119" fillId="38" borderId="0" xfId="203" applyFont="1" applyFill="1" applyAlignment="1" applyProtection="1">
      <alignment horizontal="center" vertical="center" wrapText="1"/>
    </xf>
    <xf numFmtId="0" fontId="89" fillId="38" borderId="0" xfId="203" applyFont="1" applyFill="1" applyAlignment="1" applyProtection="1">
      <alignment horizontal="center" vertical="center" wrapText="1"/>
    </xf>
    <xf numFmtId="0" fontId="84" fillId="36" borderId="2" xfId="203" applyFont="1" applyFill="1" applyBorder="1" applyAlignment="1" applyProtection="1">
      <alignment horizontal="center" vertical="center" wrapText="1"/>
    </xf>
    <xf numFmtId="0" fontId="82" fillId="36" borderId="24" xfId="203" applyFont="1" applyFill="1" applyBorder="1" applyAlignment="1" applyProtection="1">
      <alignment horizontal="center" vertical="center" wrapText="1"/>
    </xf>
    <xf numFmtId="0" fontId="82" fillId="36" borderId="3" xfId="203" applyFont="1" applyFill="1" applyBorder="1" applyAlignment="1" applyProtection="1">
      <alignment horizontal="center" vertical="center" wrapText="1"/>
    </xf>
    <xf numFmtId="0" fontId="125" fillId="41" borderId="50" xfId="0" applyFont="1" applyFill="1" applyBorder="1" applyAlignment="1" applyProtection="1">
      <alignment horizontal="center" vertical="center"/>
    </xf>
    <xf numFmtId="0" fontId="163" fillId="40" borderId="15" xfId="0" applyFont="1" applyFill="1" applyBorder="1" applyAlignment="1" applyProtection="1">
      <alignment horizontal="center" vertical="center" wrapText="1"/>
    </xf>
    <xf numFmtId="0" fontId="163" fillId="40" borderId="43" xfId="0" applyFont="1" applyFill="1" applyBorder="1" applyAlignment="1" applyProtection="1">
      <alignment horizontal="center" vertical="center" wrapText="1"/>
    </xf>
    <xf numFmtId="0" fontId="163" fillId="40" borderId="16" xfId="0" applyFont="1" applyFill="1" applyBorder="1" applyAlignment="1" applyProtection="1">
      <alignment horizontal="center" vertical="center" wrapText="1"/>
    </xf>
    <xf numFmtId="0" fontId="163" fillId="40" borderId="18" xfId="0" applyFont="1" applyFill="1" applyBorder="1" applyAlignment="1" applyProtection="1">
      <alignment horizontal="center" vertical="center" wrapText="1"/>
    </xf>
    <xf numFmtId="0" fontId="163" fillId="40" borderId="53" xfId="0" applyFont="1" applyFill="1" applyBorder="1" applyAlignment="1" applyProtection="1">
      <alignment horizontal="center" vertical="center" wrapText="1"/>
    </xf>
    <xf numFmtId="0" fontId="163" fillId="40" borderId="46" xfId="0" applyFont="1" applyFill="1" applyBorder="1" applyAlignment="1" applyProtection="1">
      <alignment horizontal="center" vertical="center" wrapText="1"/>
    </xf>
    <xf numFmtId="0" fontId="84" fillId="36" borderId="50" xfId="203" applyFont="1" applyFill="1" applyBorder="1" applyAlignment="1" applyProtection="1">
      <alignment horizontal="center" vertical="center" wrapText="1"/>
    </xf>
    <xf numFmtId="0" fontId="84" fillId="36" borderId="34" xfId="203" applyFont="1" applyFill="1" applyBorder="1" applyAlignment="1" applyProtection="1">
      <alignment horizontal="center" vertical="center" wrapText="1"/>
    </xf>
    <xf numFmtId="0" fontId="119" fillId="31" borderId="0" xfId="203" applyFont="1" applyFill="1" applyAlignment="1">
      <alignment horizontal="center" vertical="center" wrapText="1"/>
    </xf>
    <xf numFmtId="0" fontId="125" fillId="0" borderId="0" xfId="0" applyFont="1" applyBorder="1" applyAlignment="1">
      <alignment horizontal="center" vertical="center"/>
    </xf>
    <xf numFmtId="0" fontId="118" fillId="24" borderId="2" xfId="0" applyFont="1" applyFill="1" applyBorder="1" applyAlignment="1">
      <alignment vertical="center" wrapText="1"/>
    </xf>
    <xf numFmtId="0" fontId="0" fillId="32" borderId="3" xfId="0" applyFill="1" applyBorder="1" applyAlignment="1"/>
    <xf numFmtId="0" fontId="108" fillId="15" borderId="64" xfId="0" applyFont="1" applyFill="1" applyBorder="1" applyAlignment="1">
      <alignment vertical="center" wrapText="1"/>
    </xf>
    <xf numFmtId="0" fontId="91" fillId="0" borderId="64" xfId="0" applyFont="1" applyBorder="1" applyAlignment="1">
      <alignment vertical="center"/>
    </xf>
    <xf numFmtId="0" fontId="108" fillId="15" borderId="47" xfId="0" applyFont="1" applyFill="1" applyBorder="1" applyAlignment="1">
      <alignment vertical="center" wrapText="1"/>
    </xf>
    <xf numFmtId="0" fontId="91" fillId="0" borderId="50" xfId="0" applyFont="1" applyBorder="1" applyAlignment="1">
      <alignment vertical="center"/>
    </xf>
    <xf numFmtId="0" fontId="0" fillId="0" borderId="34" xfId="0" applyBorder="1" applyAlignment="1">
      <alignment vertical="center"/>
    </xf>
    <xf numFmtId="0" fontId="86" fillId="0" borderId="65" xfId="203" applyFont="1" applyBorder="1" applyAlignment="1">
      <alignment horizontal="center" vertical="center"/>
    </xf>
    <xf numFmtId="0" fontId="86" fillId="0" borderId="66" xfId="203" applyFont="1" applyBorder="1" applyAlignment="1">
      <alignment horizontal="center" vertical="center"/>
    </xf>
    <xf numFmtId="0" fontId="119" fillId="38" borderId="0" xfId="203" applyFont="1" applyFill="1" applyAlignment="1">
      <alignment horizontal="center" vertical="center" wrapText="1"/>
    </xf>
    <xf numFmtId="0" fontId="89" fillId="38" borderId="0" xfId="203" applyFont="1" applyFill="1" applyAlignment="1">
      <alignment horizontal="center" vertical="center" wrapText="1"/>
    </xf>
    <xf numFmtId="0" fontId="0" fillId="38" borderId="0" xfId="0" applyFill="1" applyAlignment="1">
      <alignment horizontal="center" vertical="center" wrapText="1"/>
    </xf>
    <xf numFmtId="0" fontId="127" fillId="0" borderId="0" xfId="0" applyFont="1" applyBorder="1" applyAlignment="1">
      <alignment horizontal="center" vertical="center"/>
    </xf>
    <xf numFmtId="0" fontId="91" fillId="0" borderId="34" xfId="0" applyFont="1" applyBorder="1" applyAlignment="1">
      <alignment vertical="center"/>
    </xf>
    <xf numFmtId="0" fontId="91" fillId="0" borderId="87" xfId="0" applyFont="1" applyBorder="1" applyAlignment="1">
      <alignment horizontal="left" vertical="center" wrapText="1"/>
    </xf>
    <xf numFmtId="0" fontId="108" fillId="15" borderId="87" xfId="0" applyFont="1" applyFill="1" applyBorder="1" applyAlignment="1">
      <alignment vertical="center" wrapText="1"/>
    </xf>
    <xf numFmtId="0" fontId="91" fillId="0" borderId="87" xfId="0" applyFont="1" applyBorder="1" applyAlignment="1">
      <alignment vertical="center"/>
    </xf>
    <xf numFmtId="0" fontId="0" fillId="0" borderId="87" xfId="0" applyBorder="1" applyAlignment="1">
      <alignment vertical="center"/>
    </xf>
    <xf numFmtId="0" fontId="6" fillId="0" borderId="73" xfId="203" applyFont="1" applyFill="1" applyBorder="1" applyAlignment="1">
      <alignment horizontal="center" vertical="center" wrapText="1"/>
    </xf>
    <xf numFmtId="0" fontId="15" fillId="0" borderId="76" xfId="203" applyFont="1" applyFill="1" applyBorder="1" applyAlignment="1">
      <alignment horizontal="center" vertical="center" wrapText="1"/>
    </xf>
    <xf numFmtId="0" fontId="15" fillId="0" borderId="41" xfId="203" applyFont="1" applyFill="1" applyBorder="1" applyAlignment="1">
      <alignment horizontal="center" vertical="center" wrapText="1"/>
    </xf>
    <xf numFmtId="0" fontId="15" fillId="0" borderId="33" xfId="203" applyFont="1" applyFill="1" applyBorder="1" applyAlignment="1">
      <alignment horizontal="center" vertical="center" wrapText="1"/>
    </xf>
    <xf numFmtId="0" fontId="15" fillId="0" borderId="47" xfId="203" applyFont="1" applyFill="1" applyBorder="1" applyAlignment="1">
      <alignment horizontal="center" vertical="center" wrapText="1"/>
    </xf>
    <xf numFmtId="0" fontId="15" fillId="0" borderId="34" xfId="203" applyFont="1" applyFill="1" applyBorder="1" applyAlignment="1">
      <alignment horizontal="center" vertical="center" wrapText="1"/>
    </xf>
    <xf numFmtId="0" fontId="108" fillId="25" borderId="0" xfId="0" applyFont="1" applyFill="1" applyBorder="1" applyAlignment="1">
      <alignment vertical="center" wrapText="1"/>
    </xf>
    <xf numFmtId="0" fontId="91" fillId="11" borderId="0" xfId="0" applyFont="1" applyFill="1" applyBorder="1" applyAlignment="1">
      <alignment vertical="center"/>
    </xf>
    <xf numFmtId="0" fontId="0" fillId="11" borderId="0" xfId="0" applyFill="1" applyBorder="1" applyAlignment="1">
      <alignment vertical="center"/>
    </xf>
    <xf numFmtId="0" fontId="165" fillId="0" borderId="0" xfId="0" applyFont="1" applyBorder="1" applyAlignment="1">
      <alignment horizontal="center" vertical="center"/>
    </xf>
    <xf numFmtId="0" fontId="86" fillId="0" borderId="41" xfId="0" applyFont="1" applyBorder="1" applyAlignment="1">
      <alignment horizontal="left" vertical="center" wrapText="1"/>
    </xf>
    <xf numFmtId="0" fontId="86" fillId="0" borderId="0" xfId="0" applyFont="1" applyBorder="1" applyAlignment="1">
      <alignment horizontal="left" vertical="center" wrapText="1"/>
    </xf>
    <xf numFmtId="0" fontId="88" fillId="35" borderId="15" xfId="0" applyFont="1" applyFill="1" applyBorder="1" applyAlignment="1">
      <alignment horizontal="center"/>
    </xf>
    <xf numFmtId="0" fontId="88" fillId="35" borderId="42" xfId="0" applyFont="1" applyFill="1" applyBorder="1" applyAlignment="1">
      <alignment horizontal="center"/>
    </xf>
    <xf numFmtId="0" fontId="0" fillId="0" borderId="64" xfId="0" applyBorder="1" applyAlignment="1">
      <alignment vertical="center"/>
    </xf>
    <xf numFmtId="0" fontId="86" fillId="0" borderId="64" xfId="203" applyFont="1" applyBorder="1" applyAlignment="1">
      <alignment horizontal="center" vertical="center"/>
    </xf>
    <xf numFmtId="0" fontId="125" fillId="0" borderId="0" xfId="0" applyFont="1" applyBorder="1" applyAlignment="1" applyProtection="1">
      <alignment horizontal="center" vertical="center"/>
    </xf>
    <xf numFmtId="0" fontId="64" fillId="0" borderId="64" xfId="0" applyFont="1" applyBorder="1" applyAlignment="1" applyProtection="1">
      <alignment horizontal="center" vertical="center" wrapText="1"/>
    </xf>
    <xf numFmtId="3" fontId="64" fillId="0" borderId="64" xfId="0" applyNumberFormat="1" applyFont="1" applyBorder="1" applyAlignment="1" applyProtection="1">
      <alignment horizontal="center" vertical="center"/>
    </xf>
    <xf numFmtId="1" fontId="88" fillId="0" borderId="64" xfId="0" applyNumberFormat="1" applyFont="1" applyBorder="1" applyAlignment="1" applyProtection="1">
      <alignment horizontal="center" vertical="center"/>
    </xf>
    <xf numFmtId="0" fontId="6" fillId="0" borderId="64" xfId="203" applyFont="1" applyFill="1" applyBorder="1" applyAlignment="1" applyProtection="1">
      <alignment horizontal="center" vertical="center" wrapText="1"/>
    </xf>
    <xf numFmtId="0" fontId="15" fillId="0" borderId="64" xfId="203" applyFont="1" applyFill="1" applyBorder="1" applyAlignment="1" applyProtection="1">
      <alignment horizontal="center" vertical="center" wrapText="1"/>
    </xf>
    <xf numFmtId="0" fontId="64" fillId="0" borderId="65" xfId="0" applyFont="1" applyFill="1" applyBorder="1" applyAlignment="1" applyProtection="1">
      <alignment horizontal="center" vertical="center"/>
    </xf>
    <xf numFmtId="0" fontId="64" fillId="0" borderId="66" xfId="0" applyFont="1" applyFill="1" applyBorder="1" applyAlignment="1" applyProtection="1">
      <alignment horizontal="center" vertical="center"/>
    </xf>
    <xf numFmtId="0" fontId="64" fillId="0" borderId="78" xfId="0" applyFont="1" applyBorder="1" applyAlignment="1" applyProtection="1">
      <alignment horizontal="center" vertical="center"/>
    </xf>
    <xf numFmtId="0" fontId="115" fillId="0" borderId="65" xfId="0" applyFont="1" applyBorder="1" applyAlignment="1" applyProtection="1">
      <alignment horizontal="center" vertical="center"/>
      <protection locked="0"/>
    </xf>
    <xf numFmtId="0" fontId="115" fillId="0" borderId="66" xfId="0" applyFont="1" applyBorder="1" applyAlignment="1" applyProtection="1">
      <alignment horizontal="center" vertical="center"/>
      <protection locked="0"/>
    </xf>
    <xf numFmtId="0" fontId="88" fillId="0" borderId="65" xfId="0" applyFont="1" applyFill="1" applyBorder="1" applyAlignment="1" applyProtection="1">
      <alignment horizontal="left" vertical="center" wrapText="1"/>
    </xf>
    <xf numFmtId="0" fontId="88" fillId="0" borderId="66" xfId="0" applyFont="1" applyFill="1" applyBorder="1" applyAlignment="1" applyProtection="1">
      <alignment horizontal="left" vertical="center" wrapText="1"/>
    </xf>
    <xf numFmtId="3" fontId="99" fillId="0" borderId="64" xfId="0" applyNumberFormat="1" applyFont="1" applyFill="1" applyBorder="1" applyAlignment="1" applyProtection="1">
      <alignment horizontal="center" vertical="center"/>
      <protection locked="0"/>
    </xf>
    <xf numFmtId="9" fontId="115" fillId="0" borderId="65" xfId="62" applyFont="1" applyFill="1" applyBorder="1" applyAlignment="1" applyProtection="1">
      <alignment horizontal="center" vertical="center" wrapText="1"/>
      <protection locked="0"/>
    </xf>
    <xf numFmtId="9" fontId="115" fillId="0" borderId="66" xfId="62" applyFont="1" applyFill="1" applyBorder="1" applyAlignment="1" applyProtection="1">
      <alignment horizontal="center" vertical="center" wrapText="1"/>
      <protection locked="0"/>
    </xf>
    <xf numFmtId="0" fontId="130" fillId="0" borderId="0" xfId="8" applyFont="1" applyBorder="1" applyAlignment="1" applyProtection="1">
      <alignment horizontal="center" vertical="center" wrapText="1"/>
    </xf>
    <xf numFmtId="0" fontId="115" fillId="0" borderId="65" xfId="62" applyNumberFormat="1" applyFont="1" applyFill="1" applyBorder="1" applyAlignment="1" applyProtection="1">
      <alignment horizontal="center" vertical="center" wrapText="1"/>
      <protection locked="0"/>
    </xf>
    <xf numFmtId="0" fontId="115" fillId="0" borderId="66" xfId="62" applyNumberFormat="1" applyFont="1" applyFill="1" applyBorder="1" applyAlignment="1" applyProtection="1">
      <alignment horizontal="center" vertical="center" wrapText="1"/>
      <protection locked="0"/>
    </xf>
    <xf numFmtId="0" fontId="88" fillId="35" borderId="15" xfId="0" applyFont="1" applyFill="1" applyBorder="1" applyAlignment="1" applyProtection="1">
      <alignment horizontal="center"/>
    </xf>
    <xf numFmtId="0" fontId="88" fillId="35" borderId="42" xfId="0" applyFont="1" applyFill="1" applyBorder="1" applyAlignment="1" applyProtection="1">
      <alignment horizontal="center"/>
    </xf>
    <xf numFmtId="0" fontId="115" fillId="0" borderId="45" xfId="0" applyFont="1" applyBorder="1" applyAlignment="1" applyProtection="1">
      <alignment horizontal="center" vertical="center"/>
    </xf>
    <xf numFmtId="0" fontId="115" fillId="0" borderId="64" xfId="0" applyNumberFormat="1" applyFont="1" applyFill="1" applyBorder="1" applyAlignment="1" applyProtection="1">
      <alignment horizontal="center" vertical="center" wrapText="1"/>
      <protection locked="0"/>
    </xf>
    <xf numFmtId="0" fontId="86" fillId="0" borderId="64" xfId="203" applyFont="1" applyFill="1" applyBorder="1" applyAlignment="1" applyProtection="1">
      <alignment horizontal="center" vertical="center"/>
    </xf>
    <xf numFmtId="0" fontId="115" fillId="0" borderId="65" xfId="0" applyNumberFormat="1" applyFont="1" applyFill="1" applyBorder="1" applyAlignment="1" applyProtection="1">
      <alignment horizontal="center" vertical="center" wrapText="1"/>
      <protection locked="0"/>
    </xf>
    <xf numFmtId="0" fontId="115" fillId="0" borderId="66" xfId="0" applyNumberFormat="1" applyFont="1" applyFill="1" applyBorder="1" applyAlignment="1" applyProtection="1">
      <alignment horizontal="center" vertical="center" wrapText="1"/>
      <protection locked="0"/>
    </xf>
    <xf numFmtId="0" fontId="81" fillId="0" borderId="64" xfId="0" applyFont="1" applyBorder="1" applyAlignment="1" applyProtection="1">
      <alignment horizontal="center" vertical="center" wrapText="1"/>
      <protection locked="0"/>
    </xf>
    <xf numFmtId="3" fontId="91" fillId="0" borderId="64" xfId="0" applyNumberFormat="1" applyFont="1" applyBorder="1" applyAlignment="1" applyProtection="1">
      <alignment horizontal="center" vertical="center"/>
    </xf>
    <xf numFmtId="0" fontId="64" fillId="0" borderId="23" xfId="0" applyFont="1" applyBorder="1" applyAlignment="1" applyProtection="1">
      <alignment horizontal="center" vertical="center" wrapText="1"/>
    </xf>
    <xf numFmtId="0" fontId="64" fillId="0" borderId="39" xfId="0" applyFont="1" applyBorder="1" applyAlignment="1" applyProtection="1">
      <alignment horizontal="center" vertical="center" wrapText="1"/>
    </xf>
    <xf numFmtId="0" fontId="108" fillId="15" borderId="64" xfId="0" applyFont="1" applyFill="1" applyBorder="1" applyAlignment="1" applyProtection="1">
      <alignment vertical="center" wrapText="1"/>
    </xf>
    <xf numFmtId="0" fontId="91" fillId="0" borderId="64" xfId="0" applyFont="1" applyBorder="1" applyAlignment="1" applyProtection="1">
      <alignment vertical="center"/>
    </xf>
    <xf numFmtId="0" fontId="0" fillId="0" borderId="64" xfId="0" applyBorder="1" applyAlignment="1" applyProtection="1">
      <alignment vertical="center"/>
    </xf>
    <xf numFmtId="0" fontId="86" fillId="0" borderId="64" xfId="203" applyFont="1" applyBorder="1" applyAlignment="1" applyProtection="1">
      <alignment horizontal="center" vertical="center"/>
    </xf>
    <xf numFmtId="0" fontId="0" fillId="38" borderId="0" xfId="0" applyFill="1" applyAlignment="1" applyProtection="1">
      <alignment horizontal="center" vertical="center" wrapText="1"/>
    </xf>
    <xf numFmtId="0" fontId="127" fillId="0" borderId="0" xfId="0" applyFont="1" applyBorder="1" applyAlignment="1" applyProtection="1">
      <alignment horizontal="center" vertical="center"/>
    </xf>
    <xf numFmtId="3" fontId="99" fillId="0" borderId="87" xfId="0" applyNumberFormat="1" applyFont="1" applyFill="1" applyBorder="1" applyAlignment="1" applyProtection="1">
      <alignment horizontal="center" vertical="center"/>
      <protection locked="0"/>
    </xf>
    <xf numFmtId="0" fontId="10" fillId="0" borderId="0" xfId="203" applyFont="1" applyFill="1" applyBorder="1" applyAlignment="1" applyProtection="1">
      <alignment horizontal="center" vertical="center" wrapText="1"/>
    </xf>
    <xf numFmtId="0" fontId="15" fillId="0" borderId="0" xfId="203" applyFont="1" applyFill="1" applyBorder="1" applyAlignment="1" applyProtection="1">
      <alignment horizontal="center" vertical="center" wrapText="1"/>
    </xf>
    <xf numFmtId="0" fontId="86" fillId="0" borderId="65" xfId="203" applyFont="1" applyBorder="1" applyAlignment="1" applyProtection="1">
      <alignment horizontal="center" vertical="center"/>
    </xf>
    <xf numFmtId="0" fontId="86" fillId="0" borderId="66" xfId="203" applyFont="1" applyBorder="1" applyAlignment="1" applyProtection="1">
      <alignment horizontal="center" vertical="center"/>
    </xf>
    <xf numFmtId="0" fontId="115" fillId="0" borderId="87" xfId="0" applyFont="1" applyBorder="1" applyAlignment="1" applyProtection="1">
      <alignment horizontal="center" vertical="center"/>
      <protection locked="0"/>
    </xf>
    <xf numFmtId="0" fontId="88" fillId="0" borderId="0" xfId="0" applyFont="1" applyFill="1" applyBorder="1" applyAlignment="1" applyProtection="1">
      <alignment horizontal="left" vertical="center" wrapText="1"/>
    </xf>
    <xf numFmtId="3" fontId="91" fillId="0" borderId="87" xfId="0" applyNumberFormat="1" applyFont="1" applyBorder="1" applyAlignment="1" applyProtection="1">
      <alignment horizontal="center" vertical="center"/>
    </xf>
    <xf numFmtId="0" fontId="86" fillId="0" borderId="0" xfId="203" applyFont="1" applyFill="1" applyBorder="1" applyAlignment="1" applyProtection="1">
      <alignment horizontal="center" vertical="center"/>
    </xf>
    <xf numFmtId="0" fontId="64" fillId="0" borderId="87" xfId="0" applyFont="1" applyBorder="1" applyAlignment="1" applyProtection="1">
      <alignment horizontal="center" vertical="center" wrapText="1"/>
    </xf>
    <xf numFmtId="3" fontId="64" fillId="0" borderId="87" xfId="0" applyNumberFormat="1" applyFont="1" applyBorder="1" applyAlignment="1" applyProtection="1">
      <alignment horizontal="center" vertical="center"/>
    </xf>
    <xf numFmtId="0" fontId="64" fillId="0" borderId="0" xfId="0" applyFont="1" applyFill="1" applyBorder="1" applyAlignment="1" applyProtection="1">
      <alignment horizontal="center" vertical="center"/>
    </xf>
    <xf numFmtId="1" fontId="88" fillId="0" borderId="87" xfId="0" applyNumberFormat="1" applyFont="1" applyBorder="1" applyAlignment="1" applyProtection="1">
      <alignment horizontal="center" vertical="center"/>
    </xf>
    <xf numFmtId="0" fontId="64" fillId="0" borderId="0" xfId="0" applyFont="1" applyBorder="1" applyAlignment="1" applyProtection="1">
      <alignment horizontal="center" vertical="center"/>
    </xf>
    <xf numFmtId="9" fontId="115" fillId="0" borderId="87" xfId="62" applyFont="1" applyFill="1" applyBorder="1" applyAlignment="1" applyProtection="1">
      <alignment horizontal="center" vertical="center" wrapText="1"/>
      <protection locked="0"/>
    </xf>
    <xf numFmtId="0" fontId="115" fillId="0" borderId="87" xfId="62" applyNumberFormat="1" applyFont="1" applyFill="1" applyBorder="1" applyAlignment="1" applyProtection="1">
      <alignment horizontal="center" vertical="center" wrapText="1"/>
      <protection locked="0"/>
    </xf>
    <xf numFmtId="0" fontId="64" fillId="0" borderId="87" xfId="8" applyFont="1" applyBorder="1" applyAlignment="1" applyProtection="1">
      <alignment horizontal="center" vertical="center" wrapText="1"/>
    </xf>
    <xf numFmtId="0" fontId="10" fillId="0" borderId="0" xfId="203" applyFont="1" applyFill="1" applyBorder="1" applyAlignment="1">
      <alignment horizontal="center" vertical="center" wrapText="1"/>
    </xf>
    <xf numFmtId="0" fontId="15" fillId="0" borderId="0" xfId="203" applyFont="1" applyFill="1" applyBorder="1" applyAlignment="1">
      <alignment horizontal="center" vertical="center" wrapText="1"/>
    </xf>
    <xf numFmtId="0" fontId="88" fillId="0" borderId="0" xfId="0" applyFont="1" applyFill="1" applyBorder="1" applyAlignment="1">
      <alignment horizontal="left" vertical="center" wrapText="1"/>
    </xf>
    <xf numFmtId="3" fontId="91" fillId="0" borderId="87" xfId="0" applyNumberFormat="1" applyFont="1" applyBorder="1" applyAlignment="1">
      <alignment horizontal="center" vertical="center"/>
    </xf>
    <xf numFmtId="0" fontId="86" fillId="0" borderId="0" xfId="203" applyFont="1" applyFill="1" applyBorder="1" applyAlignment="1">
      <alignment horizontal="center" vertical="center"/>
    </xf>
    <xf numFmtId="0" fontId="115" fillId="0" borderId="45" xfId="0" applyFont="1" applyBorder="1" applyAlignment="1" applyProtection="1">
      <alignment horizontal="center" vertical="center"/>
      <protection locked="0"/>
    </xf>
    <xf numFmtId="0" fontId="64" fillId="0" borderId="79" xfId="0" applyFont="1" applyBorder="1" applyAlignment="1">
      <alignment horizontal="center" vertical="center" wrapText="1"/>
    </xf>
    <xf numFmtId="0" fontId="64" fillId="0" borderId="81" xfId="0" applyFont="1" applyBorder="1" applyAlignment="1">
      <alignment horizontal="center" vertical="center" wrapText="1"/>
    </xf>
    <xf numFmtId="3" fontId="64" fillId="0" borderId="87" xfId="0" applyNumberFormat="1" applyFont="1" applyBorder="1" applyAlignment="1">
      <alignment horizontal="center" vertical="center"/>
    </xf>
    <xf numFmtId="0" fontId="64" fillId="0" borderId="0" xfId="0" applyFont="1" applyFill="1" applyBorder="1" applyAlignment="1">
      <alignment horizontal="center" vertical="center"/>
    </xf>
    <xf numFmtId="1" fontId="88" fillId="0" borderId="87" xfId="0" applyNumberFormat="1" applyFont="1" applyBorder="1" applyAlignment="1">
      <alignment horizontal="center" vertical="center"/>
    </xf>
    <xf numFmtId="0" fontId="64" fillId="0" borderId="0" xfId="0" applyFont="1" applyBorder="1" applyAlignment="1">
      <alignment horizontal="center" vertical="center"/>
    </xf>
    <xf numFmtId="0" fontId="130" fillId="0" borderId="0" xfId="8" applyFont="1" applyBorder="1" applyAlignment="1">
      <alignment horizontal="center" vertical="center" wrapText="1"/>
    </xf>
    <xf numFmtId="0" fontId="64" fillId="0" borderId="72" xfId="8" applyFont="1" applyBorder="1" applyAlignment="1">
      <alignment horizontal="center" vertical="center" wrapText="1"/>
    </xf>
    <xf numFmtId="0" fontId="64" fillId="0" borderId="39" xfId="8" applyFont="1" applyBorder="1" applyAlignment="1">
      <alignment horizontal="center" vertical="center" wrapText="1"/>
    </xf>
    <xf numFmtId="0" fontId="64" fillId="0" borderId="14" xfId="8" applyFont="1" applyBorder="1" applyAlignment="1">
      <alignment horizontal="center" vertical="center" wrapText="1"/>
    </xf>
    <xf numFmtId="0" fontId="115" fillId="0" borderId="79" xfId="8" applyFont="1" applyBorder="1" applyAlignment="1" applyProtection="1">
      <alignment horizontal="center" vertical="center" wrapText="1"/>
      <protection locked="0"/>
    </xf>
    <xf numFmtId="0" fontId="115" fillId="0" borderId="80" xfId="8" applyFont="1" applyBorder="1" applyAlignment="1" applyProtection="1">
      <alignment horizontal="center" vertical="center" wrapText="1"/>
      <protection locked="0"/>
    </xf>
    <xf numFmtId="0" fontId="115" fillId="0" borderId="79" xfId="62" applyNumberFormat="1" applyFont="1" applyFill="1" applyBorder="1" applyAlignment="1" applyProtection="1">
      <alignment horizontal="center" vertical="center" wrapText="1"/>
      <protection locked="0"/>
    </xf>
    <xf numFmtId="0" fontId="115" fillId="0" borderId="81" xfId="62" applyNumberFormat="1" applyFont="1" applyFill="1" applyBorder="1" applyAlignment="1" applyProtection="1">
      <alignment horizontal="center" vertical="center" wrapText="1"/>
      <protection locked="0"/>
    </xf>
    <xf numFmtId="0" fontId="115" fillId="0" borderId="96" xfId="8" applyFont="1" applyBorder="1" applyAlignment="1" applyProtection="1">
      <alignment horizontal="center" vertical="center" wrapText="1"/>
      <protection locked="0"/>
    </xf>
    <xf numFmtId="0" fontId="115" fillId="0" borderId="45" xfId="0" applyFont="1" applyBorder="1" applyAlignment="1">
      <alignment horizontal="center" vertical="center"/>
    </xf>
    <xf numFmtId="0" fontId="108" fillId="14" borderId="64" xfId="0" applyFont="1" applyFill="1" applyBorder="1" applyAlignment="1">
      <alignment horizontal="center" vertical="center"/>
    </xf>
    <xf numFmtId="0" fontId="108" fillId="14" borderId="14" xfId="0" applyFont="1" applyFill="1" applyBorder="1" applyAlignment="1">
      <alignment horizontal="center" vertical="center"/>
    </xf>
    <xf numFmtId="0" fontId="105" fillId="0" borderId="64" xfId="0" applyFont="1" applyBorder="1" applyAlignment="1">
      <alignment horizontal="center" vertical="center"/>
    </xf>
    <xf numFmtId="0" fontId="91" fillId="0" borderId="72" xfId="0" applyFont="1" applyBorder="1" applyAlignment="1">
      <alignment horizontal="left" vertical="center" wrapText="1"/>
    </xf>
    <xf numFmtId="0" fontId="91" fillId="0" borderId="14" xfId="0" applyFont="1" applyBorder="1" applyAlignment="1">
      <alignment horizontal="left" vertical="center" wrapText="1"/>
    </xf>
    <xf numFmtId="0" fontId="100" fillId="0" borderId="72" xfId="0" applyFont="1" applyBorder="1" applyAlignment="1" applyProtection="1">
      <alignment horizontal="center" vertical="center"/>
      <protection locked="0"/>
    </xf>
    <xf numFmtId="0" fontId="100" fillId="0" borderId="14" xfId="0" applyFont="1" applyBorder="1" applyAlignment="1" applyProtection="1">
      <alignment horizontal="center" vertical="center"/>
      <protection locked="0"/>
    </xf>
    <xf numFmtId="0" fontId="86" fillId="0" borderId="64" xfId="203" applyFont="1" applyBorder="1" applyAlignment="1">
      <alignment horizontal="center" vertical="center" wrapText="1"/>
    </xf>
    <xf numFmtId="0" fontId="105" fillId="35" borderId="12" xfId="0" applyFont="1" applyFill="1" applyBorder="1" applyAlignment="1">
      <alignment horizontal="center" vertical="center"/>
    </xf>
    <xf numFmtId="0" fontId="105" fillId="35" borderId="82" xfId="0" applyFont="1" applyFill="1" applyBorder="1" applyAlignment="1">
      <alignment horizontal="center" vertical="center"/>
    </xf>
    <xf numFmtId="0" fontId="105" fillId="0" borderId="28" xfId="0" applyFont="1" applyBorder="1" applyAlignment="1">
      <alignment horizontal="center" vertical="center" wrapText="1"/>
    </xf>
    <xf numFmtId="0" fontId="105" fillId="0" borderId="84" xfId="0" applyFont="1" applyBorder="1" applyAlignment="1">
      <alignment horizontal="center" vertical="center" wrapText="1"/>
    </xf>
    <xf numFmtId="0" fontId="105" fillId="0" borderId="85" xfId="0" applyFont="1" applyBorder="1" applyAlignment="1">
      <alignment horizontal="center" vertical="center" wrapText="1"/>
    </xf>
    <xf numFmtId="0" fontId="105" fillId="0" borderId="25" xfId="0" applyFont="1" applyBorder="1" applyAlignment="1">
      <alignment horizontal="center" vertical="center" wrapText="1"/>
    </xf>
    <xf numFmtId="0" fontId="105" fillId="0" borderId="64" xfId="0" applyFont="1" applyBorder="1" applyAlignment="1">
      <alignment horizontal="center" vertical="center" wrapText="1"/>
    </xf>
    <xf numFmtId="0" fontId="105" fillId="35" borderId="79" xfId="0" applyFont="1" applyFill="1" applyBorder="1" applyAlignment="1">
      <alignment horizontal="left" vertical="center"/>
    </xf>
    <xf numFmtId="0" fontId="105" fillId="35" borderId="80" xfId="0" applyFont="1" applyFill="1" applyBorder="1" applyAlignment="1">
      <alignment horizontal="left" vertical="center"/>
    </xf>
    <xf numFmtId="0" fontId="105" fillId="35" borderId="81" xfId="0" applyFont="1" applyFill="1" applyBorder="1" applyAlignment="1">
      <alignment horizontal="left" vertical="center"/>
    </xf>
    <xf numFmtId="0" fontId="110" fillId="11" borderId="87" xfId="0" applyFont="1" applyFill="1" applyBorder="1" applyAlignment="1">
      <alignment horizontal="center" vertical="center" wrapText="1"/>
    </xf>
    <xf numFmtId="0" fontId="140" fillId="31" borderId="0" xfId="203" applyFont="1" applyFill="1" applyAlignment="1">
      <alignment horizontal="center" vertical="center" wrapText="1"/>
    </xf>
    <xf numFmtId="0" fontId="143" fillId="0" borderId="0" xfId="0" applyFont="1" applyBorder="1" applyAlignment="1">
      <alignment horizontal="center" vertical="center"/>
    </xf>
    <xf numFmtId="0" fontId="138" fillId="0" borderId="0" xfId="0" applyFont="1" applyFill="1" applyBorder="1" applyAlignment="1">
      <alignment horizontal="center" vertical="center"/>
    </xf>
    <xf numFmtId="0" fontId="146" fillId="15" borderId="64" xfId="0" applyFont="1" applyFill="1" applyBorder="1" applyAlignment="1">
      <alignment vertical="center" wrapText="1"/>
    </xf>
    <xf numFmtId="0" fontId="96" fillId="0" borderId="64" xfId="0" applyFont="1" applyBorder="1" applyAlignment="1">
      <alignment vertical="center"/>
    </xf>
    <xf numFmtId="0" fontId="142" fillId="0" borderId="64" xfId="0" applyFont="1" applyBorder="1" applyAlignment="1">
      <alignment vertical="center"/>
    </xf>
    <xf numFmtId="0" fontId="149" fillId="0" borderId="64" xfId="203" applyFont="1" applyBorder="1" applyAlignment="1">
      <alignment horizontal="center" vertical="center" wrapText="1"/>
    </xf>
    <xf numFmtId="0" fontId="149" fillId="0" borderId="64" xfId="203" applyFont="1" applyBorder="1" applyAlignment="1">
      <alignment horizontal="left" vertical="center" wrapText="1"/>
    </xf>
    <xf numFmtId="0" fontId="140" fillId="38" borderId="0" xfId="203" applyFont="1" applyFill="1" applyAlignment="1">
      <alignment horizontal="center" vertical="center" wrapText="1"/>
    </xf>
    <xf numFmtId="0" fontId="60" fillId="35" borderId="79" xfId="0" applyFont="1" applyFill="1" applyBorder="1" applyAlignment="1">
      <alignment horizontal="center" vertical="center"/>
    </xf>
    <xf numFmtId="0" fontId="60" fillId="35" borderId="75" xfId="0" applyFont="1" applyFill="1" applyBorder="1" applyAlignment="1">
      <alignment horizontal="center" vertical="center"/>
    </xf>
    <xf numFmtId="0" fontId="60" fillId="35" borderId="81" xfId="0" applyFont="1" applyFill="1" applyBorder="1" applyAlignment="1">
      <alignment horizontal="center" vertical="center"/>
    </xf>
    <xf numFmtId="0" fontId="151" fillId="0" borderId="64" xfId="0" applyFont="1" applyBorder="1" applyAlignment="1">
      <alignment horizontal="center" vertical="center" wrapText="1"/>
    </xf>
    <xf numFmtId="0" fontId="151" fillId="0" borderId="64" xfId="0" applyFont="1" applyBorder="1" applyAlignment="1">
      <alignment horizontal="center" vertical="center"/>
    </xf>
    <xf numFmtId="0" fontId="28" fillId="34" borderId="47" xfId="0" applyFont="1" applyFill="1" applyBorder="1" applyAlignment="1">
      <alignment horizontal="center" vertical="center"/>
    </xf>
    <xf numFmtId="0" fontId="28" fillId="34" borderId="50" xfId="0" applyFont="1" applyFill="1" applyBorder="1" applyAlignment="1">
      <alignment horizontal="center" vertical="center"/>
    </xf>
    <xf numFmtId="0" fontId="149" fillId="34" borderId="80" xfId="0" applyFont="1" applyFill="1" applyBorder="1" applyAlignment="1">
      <alignment horizontal="center" vertical="center"/>
    </xf>
    <xf numFmtId="0" fontId="158" fillId="0" borderId="2" xfId="0" applyFont="1" applyFill="1" applyBorder="1" applyAlignment="1">
      <alignment vertical="justify"/>
    </xf>
    <xf numFmtId="0" fontId="90" fillId="0" borderId="3" xfId="0" applyFont="1" applyBorder="1" applyAlignment="1">
      <alignment vertical="justify"/>
    </xf>
    <xf numFmtId="0" fontId="116" fillId="0" borderId="2" xfId="0" applyFont="1" applyFill="1" applyBorder="1" applyAlignment="1">
      <alignment vertical="justify"/>
    </xf>
    <xf numFmtId="0" fontId="0" fillId="0" borderId="3" xfId="0" applyBorder="1" applyAlignment="1">
      <alignment vertical="justify"/>
    </xf>
    <xf numFmtId="0" fontId="159" fillId="0" borderId="56" xfId="0" applyFont="1" applyFill="1" applyBorder="1" applyAlignment="1">
      <alignment vertical="justify"/>
    </xf>
    <xf numFmtId="0" fontId="90" fillId="0" borderId="56" xfId="0" applyFont="1" applyBorder="1" applyAlignment="1">
      <alignment vertical="justify"/>
    </xf>
    <xf numFmtId="0" fontId="78" fillId="11" borderId="0" xfId="0" applyFont="1" applyFill="1" applyBorder="1" applyAlignment="1">
      <alignment horizontal="center" vertical="center"/>
    </xf>
    <xf numFmtId="0" fontId="146" fillId="35" borderId="73" xfId="0" applyFont="1" applyFill="1" applyBorder="1" applyAlignment="1">
      <alignment horizontal="left" vertical="center"/>
    </xf>
    <xf numFmtId="0" fontId="146" fillId="35" borderId="74" xfId="0" applyFont="1" applyFill="1" applyBorder="1" applyAlignment="1">
      <alignment horizontal="left" vertical="center"/>
    </xf>
    <xf numFmtId="0" fontId="146" fillId="35" borderId="76" xfId="0" applyFont="1" applyFill="1" applyBorder="1" applyAlignment="1">
      <alignment horizontal="left" vertical="center"/>
    </xf>
    <xf numFmtId="0" fontId="146" fillId="35" borderId="53" xfId="0" applyFont="1" applyFill="1" applyBorder="1" applyAlignment="1">
      <alignment horizontal="left" vertical="center"/>
    </xf>
    <xf numFmtId="0" fontId="146" fillId="35" borderId="45" xfId="0" applyFont="1" applyFill="1" applyBorder="1" applyAlignment="1">
      <alignment horizontal="left" vertical="center"/>
    </xf>
    <xf numFmtId="0" fontId="146" fillId="35" borderId="62" xfId="0" applyFont="1" applyFill="1" applyBorder="1" applyAlignment="1">
      <alignment horizontal="left" vertical="center"/>
    </xf>
    <xf numFmtId="0" fontId="160" fillId="0" borderId="56" xfId="0" applyFont="1" applyFill="1" applyBorder="1" applyAlignment="1">
      <alignment vertical="justify"/>
    </xf>
    <xf numFmtId="0" fontId="161" fillId="31" borderId="0" xfId="203" applyFont="1" applyFill="1" applyAlignment="1">
      <alignment horizontal="center" vertical="center" wrapText="1"/>
    </xf>
    <xf numFmtId="0" fontId="161" fillId="31" borderId="0" xfId="203" applyFont="1" applyFill="1" applyAlignment="1">
      <alignment horizontal="center" vertical="center"/>
    </xf>
    <xf numFmtId="4" fontId="97" fillId="0" borderId="0" xfId="0" applyNumberFormat="1" applyFont="1" applyAlignment="1">
      <alignment horizontal="center" wrapText="1"/>
    </xf>
    <xf numFmtId="4" fontId="59" fillId="37" borderId="96" xfId="0" applyNumberFormat="1" applyFont="1" applyFill="1" applyBorder="1" applyAlignment="1">
      <alignment horizontal="center"/>
    </xf>
    <xf numFmtId="4" fontId="59" fillId="16" borderId="96" xfId="0" applyNumberFormat="1" applyFont="1" applyFill="1" applyBorder="1" applyAlignment="1">
      <alignment horizontal="center"/>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0" fillId="0" borderId="23" xfId="0" applyBorder="1" applyAlignment="1">
      <alignment horizontal="center" vertical="center" wrapText="1"/>
    </xf>
    <xf numFmtId="0" fontId="0" fillId="0" borderId="39" xfId="0" applyBorder="1" applyAlignment="1">
      <alignment horizontal="center" vertical="center" wrapText="1"/>
    </xf>
    <xf numFmtId="0" fontId="0" fillId="0" borderId="14" xfId="0" applyBorder="1" applyAlignment="1">
      <alignment horizontal="center" vertical="center" wrapText="1"/>
    </xf>
    <xf numFmtId="0" fontId="0" fillId="0" borderId="39" xfId="0" applyBorder="1" applyAlignment="1">
      <alignment horizontal="center" vertical="center"/>
    </xf>
    <xf numFmtId="0" fontId="0" fillId="0" borderId="14" xfId="0" applyBorder="1" applyAlignment="1">
      <alignment horizontal="center" vertical="center"/>
    </xf>
    <xf numFmtId="0" fontId="0" fillId="0" borderId="0" xfId="0" applyFill="1" applyBorder="1" applyAlignment="1">
      <alignment vertical="center" wrapText="1"/>
    </xf>
    <xf numFmtId="0" fontId="28" fillId="0" borderId="0" xfId="0" applyFont="1" applyAlignment="1">
      <alignment horizontal="left" wrapText="1"/>
    </xf>
    <xf numFmtId="0" fontId="47" fillId="0" borderId="0" xfId="0" applyFont="1" applyAlignment="1">
      <alignment horizontal="left" wrapText="1"/>
    </xf>
    <xf numFmtId="0" fontId="47" fillId="0" borderId="8" xfId="0" applyFont="1" applyBorder="1" applyAlignment="1">
      <alignment horizontal="left" wrapText="1"/>
    </xf>
  </cellXfs>
  <cellStyles count="281">
    <cellStyle name="_Impl" xfId="17" xr:uid="{00000000-0005-0000-0000-000000000000}"/>
    <cellStyle name="_implem_perc" xfId="18" xr:uid="{00000000-0005-0000-0000-000001000000}"/>
    <cellStyle name="_implem_perc 2" xfId="276" xr:uid="{00000000-0005-0000-0000-000002000000}"/>
    <cellStyle name="_implementer" xfId="19" xr:uid="{00000000-0005-0000-0000-000003000000}"/>
    <cellStyle name="_number" xfId="20" xr:uid="{00000000-0005-0000-0000-000004000000}"/>
    <cellStyle name="_TB_Calc_number" xfId="21" xr:uid="{00000000-0005-0000-0000-000005000000}"/>
    <cellStyle name="_TB_Calc_numbercrrncy" xfId="22" xr:uid="{00000000-0005-0000-0000-000006000000}"/>
    <cellStyle name="_TB_Calc_percent" xfId="23" xr:uid="{00000000-0005-0000-0000-000007000000}"/>
    <cellStyle name="_TB_chktext" xfId="24" xr:uid="{00000000-0005-0000-0000-000008000000}"/>
    <cellStyle name="_TB_costresults1" xfId="25" xr:uid="{00000000-0005-0000-0000-000009000000}"/>
    <cellStyle name="_TB_def_number" xfId="26" xr:uid="{00000000-0005-0000-0000-00000A000000}"/>
    <cellStyle name="_TB_def_number 2" xfId="27" xr:uid="{00000000-0005-0000-0000-00000B000000}"/>
    <cellStyle name="_TB_def_numbercrrcy" xfId="10" xr:uid="{00000000-0005-0000-0000-00000C000000}"/>
    <cellStyle name="_TB_def_numbercrrcy 2" xfId="28" xr:uid="{00000000-0005-0000-0000-00000D000000}"/>
    <cellStyle name="_TB_def_percent" xfId="29" xr:uid="{00000000-0005-0000-0000-00000E000000}"/>
    <cellStyle name="_TB_def_percent 2" xfId="30" xr:uid="{00000000-0005-0000-0000-00000F000000}"/>
    <cellStyle name="_TB_idcountry" xfId="31" xr:uid="{00000000-0005-0000-0000-000010000000}"/>
    <cellStyle name="_TB_input_number" xfId="32" xr:uid="{00000000-0005-0000-0000-000011000000}"/>
    <cellStyle name="_TB_input_percent" xfId="33" xr:uid="{00000000-0005-0000-0000-000012000000}"/>
    <cellStyle name="_TB_navigation" xfId="7" xr:uid="{00000000-0005-0000-0000-000013000000}"/>
    <cellStyle name="_TB_navigation__epibyregion" xfId="34" xr:uid="{00000000-0005-0000-0000-000014000000}"/>
    <cellStyle name="_TB_results1" xfId="9" xr:uid="{00000000-0005-0000-0000-000015000000}"/>
    <cellStyle name="_TB_results1_epi" xfId="35" xr:uid="{00000000-0005-0000-0000-000016000000}"/>
    <cellStyle name="_TB_sheettitle" xfId="4" xr:uid="{00000000-0005-0000-0000-000017000000}"/>
    <cellStyle name="_TB_subtitle1" xfId="6" xr:uid="{00000000-0005-0000-0000-000018000000}"/>
    <cellStyle name="_TB_subtitle1__costbycountry" xfId="36" xr:uid="{00000000-0005-0000-0000-000019000000}"/>
    <cellStyle name="_TB_subtitle1_2.1 TB HIV" xfId="37" xr:uid="{00000000-0005-0000-0000-00001A000000}"/>
    <cellStyle name="_TB_subtitle1_Unit costs new March 2010" xfId="38" xr:uid="{00000000-0005-0000-0000-00001B000000}"/>
    <cellStyle name="_TB_subtitle2" xfId="39" xr:uid="{00000000-0005-0000-0000-00001C000000}"/>
    <cellStyle name="_TB_textunprotect" xfId="40" xr:uid="{00000000-0005-0000-0000-00001D000000}"/>
    <cellStyle name="_TB_textunprotect 2" xfId="41" xr:uid="{00000000-0005-0000-0000-00001E000000}"/>
    <cellStyle name="_TB_textunprotect__costbycountry" xfId="42" xr:uid="{00000000-0005-0000-0000-00001F000000}"/>
    <cellStyle name="_TB_textunprotect_all" xfId="43" xr:uid="{00000000-0005-0000-0000-000020000000}"/>
    <cellStyle name="_TB_textunprotect_GovHE" xfId="44" xr:uid="{00000000-0005-0000-0000-000021000000}"/>
    <cellStyle name="_TB_textunprotect_Unit costs new March 2010" xfId="45" xr:uid="{00000000-0005-0000-0000-000022000000}"/>
    <cellStyle name="_TB_years" xfId="8" xr:uid="{00000000-0005-0000-0000-000023000000}"/>
    <cellStyle name="_TB_years 2" xfId="16" xr:uid="{00000000-0005-0000-0000-000024000000}"/>
    <cellStyle name="Bad" xfId="2" builtinId="27"/>
    <cellStyle name="Check Cell" xfId="3" builtinId="23"/>
    <cellStyle name="Comma" xfId="1" builtinId="3"/>
    <cellStyle name="Comma 2" xfId="51" xr:uid="{00000000-0005-0000-0000-000028000000}"/>
    <cellStyle name="Comma 2 2" xfId="277" xr:uid="{00000000-0005-0000-0000-000029000000}"/>
    <cellStyle name="Comma 3 2" xfId="244" xr:uid="{00000000-0005-0000-0000-00002A000000}"/>
    <cellStyle name="Currency" xfId="61" builtinId="4"/>
    <cellStyle name="Currency 2" xfId="52" xr:uid="{00000000-0005-0000-0000-00002C000000}"/>
    <cellStyle name="Dezimal 2" xfId="54" xr:uid="{00000000-0005-0000-0000-00002D000000}"/>
    <cellStyle name="Euro" xfId="11" xr:uid="{00000000-0005-0000-0000-00002E000000}"/>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Hyperlink" xfId="5" builtinId="8"/>
    <cellStyle name="Hyperlink 2" xfId="53" xr:uid="{00000000-0005-0000-0000-000002010000}"/>
    <cellStyle name="Hyperlink 2 2" xfId="278" xr:uid="{00000000-0005-0000-0000-000003010000}"/>
    <cellStyle name="Normal" xfId="0" builtinId="0"/>
    <cellStyle name="Normal 10" xfId="63" xr:uid="{00000000-0005-0000-0000-000005010000}"/>
    <cellStyle name="Normal 2" xfId="15" xr:uid="{00000000-0005-0000-0000-000006010000}"/>
    <cellStyle name="Normal 3" xfId="50" xr:uid="{00000000-0005-0000-0000-000007010000}"/>
    <cellStyle name="Normal 4" xfId="55" xr:uid="{00000000-0005-0000-0000-000008010000}"/>
    <cellStyle name="Normal 5" xfId="56" xr:uid="{00000000-0005-0000-0000-000009010000}"/>
    <cellStyle name="Normal 5 2" xfId="279" xr:uid="{00000000-0005-0000-0000-00000A010000}"/>
    <cellStyle name="Normal 6" xfId="57" xr:uid="{00000000-0005-0000-0000-00000B010000}"/>
    <cellStyle name="Normal 7" xfId="203" xr:uid="{00000000-0005-0000-0000-00000C010000}"/>
    <cellStyle name="Normal 7 2" xfId="280" xr:uid="{00000000-0005-0000-0000-00000D010000}"/>
    <cellStyle name="Normal_Lab items list" xfId="14" xr:uid="{00000000-0005-0000-0000-00000E010000}"/>
    <cellStyle name="Normal_LABeqmntLIST" xfId="13" xr:uid="{00000000-0005-0000-0000-00000F010000}"/>
    <cellStyle name="Percent" xfId="62" builtinId="5"/>
    <cellStyle name="pivotTableThousands" xfId="46" xr:uid="{00000000-0005-0000-0000-000011010000}"/>
    <cellStyle name="Standard 2" xfId="58" xr:uid="{00000000-0005-0000-0000-000012010000}"/>
    <cellStyle name="Standard 2 2" xfId="59" xr:uid="{00000000-0005-0000-0000-000013010000}"/>
    <cellStyle name="Standard_Lab-equip " xfId="12" xr:uid="{00000000-0005-0000-0000-000014010000}"/>
    <cellStyle name="Style 1" xfId="47" xr:uid="{00000000-0005-0000-0000-000015010000}"/>
    <cellStyle name="TB_input_numbercrrcy" xfId="48" xr:uid="{00000000-0005-0000-0000-000016010000}"/>
    <cellStyle name="Währung 2" xfId="60" xr:uid="{00000000-0005-0000-0000-000017010000}"/>
    <cellStyle name="常规_China_Form" xfId="49" xr:uid="{00000000-0005-0000-0000-000018010000}"/>
  </cellStyles>
  <dxfs count="2">
    <dxf>
      <font>
        <color rgb="FF006100"/>
      </font>
      <fill>
        <patternFill>
          <bgColor rgb="FFC6EFCE"/>
        </patternFill>
      </fill>
    </dxf>
    <dxf>
      <font>
        <color rgb="FF9C0006"/>
      </font>
      <fill>
        <patternFill>
          <bgColor rgb="FFFFC7CE"/>
        </patternFill>
      </fill>
    </dxf>
  </dxfs>
  <tableStyles count="0" defaultTableStyle="TableStyleMedium9" defaultPivotStyle="PivotStyleMedium4"/>
  <colors>
    <mruColors>
      <color rgb="FF92D050"/>
      <color rgb="FFC00100"/>
      <color rgb="FF95B3D7"/>
      <color rgb="FFDBE7F0"/>
      <color rgb="FFDCE6F1"/>
      <color rgb="FFCCFFFF"/>
      <color rgb="FFFFFB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hyperlink" Target="#Epidemiology!A1"/></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469590</xdr:colOff>
      <xdr:row>49</xdr:row>
      <xdr:rowOff>8283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0"/>
          <a:ext cx="9912868" cy="69076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50800</xdr:colOff>
      <xdr:row>35</xdr:row>
      <xdr:rowOff>25400</xdr:rowOff>
    </xdr:from>
    <xdr:to>
      <xdr:col>4</xdr:col>
      <xdr:colOff>12700</xdr:colOff>
      <xdr:row>38</xdr:row>
      <xdr:rowOff>0</xdr:rowOff>
    </xdr:to>
    <xdr:sp macro="" textlink="">
      <xdr:nvSpPr>
        <xdr:cNvPr id="3" name="Rettangolo con angoli arrotondati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4610100" y="9652000"/>
          <a:ext cx="2133600" cy="571500"/>
        </a:xfrm>
        <a:prstGeom prst="roundRect">
          <a:avLst/>
        </a:prstGeom>
        <a:solidFill>
          <a:srgbClr val="C001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300" b="1"/>
            <a:t>Epidemiology</a:t>
          </a:r>
        </a:p>
        <a:p>
          <a:pPr algn="ctr"/>
          <a:r>
            <a:rPr lang="it-IT" sz="1300" b="1"/>
            <a:t>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50799</xdr:colOff>
      <xdr:row>20</xdr:row>
      <xdr:rowOff>84670</xdr:rowOff>
    </xdr:from>
    <xdr:to>
      <xdr:col>4</xdr:col>
      <xdr:colOff>2099736</xdr:colOff>
      <xdr:row>21</xdr:row>
      <xdr:rowOff>1</xdr:rowOff>
    </xdr:to>
    <xdr:sp macro="" textlink="">
      <xdr:nvSpPr>
        <xdr:cNvPr id="4" name="Right Brace 3">
          <a:extLst>
            <a:ext uri="{FF2B5EF4-FFF2-40B4-BE49-F238E27FC236}">
              <a16:creationId xmlns:a16="http://schemas.microsoft.com/office/drawing/2014/main" id="{00000000-0008-0000-1200-000004000000}"/>
            </a:ext>
          </a:extLst>
        </xdr:cNvPr>
        <xdr:cNvSpPr/>
      </xdr:nvSpPr>
      <xdr:spPr>
        <a:xfrm rot="16200000" flipH="1">
          <a:off x="9728202" y="6883400"/>
          <a:ext cx="304798" cy="2048937"/>
        </a:xfrm>
        <a:prstGeom prst="rightBrace">
          <a:avLst/>
        </a:prstGeom>
      </xdr:spPr>
      <xdr:style>
        <a:lnRef idx="1">
          <a:schemeClr val="accent2"/>
        </a:lnRef>
        <a:fillRef idx="0">
          <a:schemeClr val="accent2"/>
        </a:fillRef>
        <a:effectRef idx="0">
          <a:schemeClr val="accent2"/>
        </a:effectRef>
        <a:fontRef idx="minor">
          <a:schemeClr val="tx1"/>
        </a:fontRef>
      </xdr:style>
      <xdr:txBody>
        <a:bodyPr vertOverflow="clip" rtlCol="0" anchor="ctr"/>
        <a:lstStyle/>
        <a:p>
          <a:pPr algn="ct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43295</xdr:colOff>
      <xdr:row>17</xdr:row>
      <xdr:rowOff>548409</xdr:rowOff>
    </xdr:from>
    <xdr:to>
      <xdr:col>4</xdr:col>
      <xdr:colOff>2092232</xdr:colOff>
      <xdr:row>18</xdr:row>
      <xdr:rowOff>274524</xdr:rowOff>
    </xdr:to>
    <xdr:sp macro="" textlink="">
      <xdr:nvSpPr>
        <xdr:cNvPr id="2" name="Right Brace 3">
          <a:extLst>
            <a:ext uri="{FF2B5EF4-FFF2-40B4-BE49-F238E27FC236}">
              <a16:creationId xmlns:a16="http://schemas.microsoft.com/office/drawing/2014/main" id="{00000000-0008-0000-1300-000002000000}"/>
            </a:ext>
          </a:extLst>
        </xdr:cNvPr>
        <xdr:cNvSpPr/>
      </xdr:nvSpPr>
      <xdr:spPr>
        <a:xfrm rot="16200000" flipH="1">
          <a:off x="9907093" y="6299839"/>
          <a:ext cx="303387" cy="2048937"/>
        </a:xfrm>
        <a:prstGeom prst="rightBrace">
          <a:avLst/>
        </a:prstGeom>
      </xdr:spPr>
      <xdr:style>
        <a:lnRef idx="1">
          <a:schemeClr val="accent2"/>
        </a:lnRef>
        <a:fillRef idx="0">
          <a:schemeClr val="accent2"/>
        </a:fillRef>
        <a:effectRef idx="0">
          <a:schemeClr val="accent2"/>
        </a:effectRef>
        <a:fontRef idx="minor">
          <a:schemeClr val="tx1"/>
        </a:fontRef>
      </xdr:style>
      <xdr:txBody>
        <a:bodyPr vertOverflow="clip" rtlCol="0" anchor="ctr"/>
        <a:lstStyle/>
        <a:p>
          <a:pPr algn="ct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0</xdr:colOff>
      <xdr:row>1048576</xdr:row>
      <xdr:rowOff>9525</xdr:rowOff>
    </xdr:to>
    <xdr:pic>
      <xdr:nvPicPr>
        <xdr:cNvPr id="3" name="Pictur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stretch>
          <a:fillRect/>
        </a:stretch>
      </xdr:blipFill>
      <xdr:spPr>
        <a:xfrm>
          <a:off x="0" y="0"/>
          <a:ext cx="8911572" cy="62960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142875</xdr:colOff>
          <xdr:row>0</xdr:row>
          <xdr:rowOff>66675</xdr:rowOff>
        </xdr:from>
        <xdr:to>
          <xdr:col>16</xdr:col>
          <xdr:colOff>180975</xdr:colOff>
          <xdr:row>1</xdr:row>
          <xdr:rowOff>104775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F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Back to Menu</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creativecommons.org/licenses/by-nc-sa/3.0/igo/"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0.bin"/><Relationship Id="rId1" Type="http://schemas.openxmlformats.org/officeDocument/2006/relationships/hyperlink" Target="http://whqlibdoc.who.int/hq/2011/WHO_HTM_TB_2011.12_eng.pdf" TargetMode="External"/><Relationship Id="rId6" Type="http://schemas.openxmlformats.org/officeDocument/2006/relationships/comments" Target="../comments3.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E0F55-6DEE-484E-9559-172B86938FFF}">
  <sheetPr published="0" codeName="Sheet1"/>
  <dimension ref="A1:S51"/>
  <sheetViews>
    <sheetView showGridLines="0" tabSelected="1" zoomScale="110" zoomScaleNormal="110" workbookViewId="0">
      <selection activeCell="A50" sqref="A50"/>
    </sheetView>
  </sheetViews>
  <sheetFormatPr defaultColWidth="0" defaultRowHeight="11.25" zeroHeight="1"/>
  <cols>
    <col min="1" max="19" width="9.1640625" customWidth="1"/>
    <col min="20" max="16384" width="9.1640625"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spans="1:15"/>
    <row r="50" spans="1:15" ht="17.100000000000001" customHeight="1">
      <c r="A50" s="1687" t="s">
        <v>1429</v>
      </c>
    </row>
    <row r="51" spans="1:15" ht="15.75">
      <c r="A51" s="1687" t="s">
        <v>1427</v>
      </c>
      <c r="K51" s="1688" t="s">
        <v>1426</v>
      </c>
      <c r="O51" s="1687" t="s">
        <v>1428</v>
      </c>
    </row>
  </sheetData>
  <sheetProtection algorithmName="SHA-512" hashValue="gHbDgBp+cMUz/3m76DY7ac71WmKgDf7KxHfcbuXLdNf6f+vow/8hslGL7O5xHXFlBC3DB+bbVipsTHy5iFaA6g==" saltValue="4qhypkAmoC/4d07oFKsjKA==" spinCount="100000" sheet="1" objects="1" scenarios="1"/>
  <hyperlinks>
    <hyperlink ref="K51" r:id="rId1" display="https://creativecommons.org/licenses/by-nc-sa/3.0/igo/" xr:uid="{E4640915-3899-664A-8CD5-5BF6100A8E87}"/>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C9B2F-619C-4A41-AF7A-1D3B6942B9A4}">
  <sheetPr published="0" codeName="Foglio1"/>
  <dimension ref="A1:O46"/>
  <sheetViews>
    <sheetView workbookViewId="0">
      <selection activeCell="B32" sqref="B32:B34"/>
    </sheetView>
  </sheetViews>
  <sheetFormatPr defaultColWidth="0" defaultRowHeight="11.25" zeroHeight="1"/>
  <cols>
    <col min="1" max="1" width="89.6640625" customWidth="1"/>
    <col min="2" max="2" width="9.6640625" bestFit="1" customWidth="1"/>
    <col min="3" max="3" width="20" bestFit="1" customWidth="1"/>
    <col min="4" max="4" width="8.6640625" customWidth="1"/>
    <col min="5" max="5" width="9.1640625" bestFit="1" customWidth="1"/>
    <col min="6" max="12" width="8.6640625" customWidth="1"/>
    <col min="13" max="13" width="12" hidden="1" customWidth="1"/>
    <col min="14" max="15" width="0" hidden="1" customWidth="1"/>
    <col min="16" max="16384" width="12" hidden="1"/>
  </cols>
  <sheetData>
    <row r="1" spans="1:15" ht="28.5">
      <c r="A1" s="1693" t="s">
        <v>891</v>
      </c>
      <c r="B1" s="1693"/>
      <c r="C1" s="1693"/>
      <c r="D1" s="1693"/>
      <c r="E1" s="1693"/>
      <c r="F1" s="1693"/>
      <c r="G1" s="1693"/>
      <c r="H1" s="1693"/>
      <c r="I1" s="1693"/>
      <c r="J1" s="1693"/>
      <c r="K1" s="1693"/>
      <c r="L1" s="1693"/>
    </row>
    <row r="2" spans="1:15">
      <c r="A2" s="1013"/>
      <c r="B2" s="1013"/>
      <c r="C2" s="1013"/>
      <c r="D2" s="1013"/>
      <c r="E2" s="1013"/>
      <c r="F2" s="1013"/>
      <c r="G2" s="1013"/>
      <c r="H2" s="1013"/>
      <c r="I2" s="1013"/>
      <c r="J2" s="1013"/>
      <c r="K2" s="1013"/>
      <c r="L2" s="1014"/>
    </row>
    <row r="3" spans="1:15" ht="81" customHeight="1">
      <c r="A3" s="1694" t="s">
        <v>892</v>
      </c>
      <c r="B3" s="1694"/>
      <c r="C3" s="1694"/>
      <c r="D3" s="1694"/>
      <c r="E3" s="1694"/>
      <c r="F3" s="1694"/>
      <c r="G3" s="1694"/>
      <c r="H3" s="1694"/>
      <c r="I3" s="1694"/>
      <c r="J3" s="1694"/>
      <c r="K3" s="1694"/>
      <c r="L3" s="1014"/>
    </row>
    <row r="4" spans="1:15" ht="19.5" thickBot="1">
      <c r="A4" s="1016"/>
      <c r="B4" s="1017"/>
      <c r="C4" s="1017"/>
      <c r="D4" s="1017"/>
      <c r="E4" s="1015"/>
      <c r="F4" s="1015"/>
      <c r="G4" s="1015"/>
      <c r="H4" s="1015"/>
      <c r="I4" s="1015"/>
      <c r="J4" s="1015"/>
      <c r="K4" s="1015"/>
      <c r="L4" s="1014"/>
    </row>
    <row r="5" spans="1:15" ht="39" customHeight="1">
      <c r="A5" s="1695" t="s">
        <v>1279</v>
      </c>
      <c r="B5" s="1696"/>
      <c r="C5" s="1017"/>
      <c r="D5" s="1017"/>
      <c r="E5" s="1015"/>
      <c r="F5" s="1015"/>
      <c r="G5" s="1015"/>
      <c r="H5" s="1015"/>
      <c r="I5" s="1015"/>
      <c r="J5" s="1015"/>
      <c r="K5" s="1015"/>
      <c r="L5" s="1014"/>
    </row>
    <row r="6" spans="1:15" ht="21">
      <c r="A6" s="1162" t="s">
        <v>635</v>
      </c>
      <c r="B6" s="1338" t="s">
        <v>822</v>
      </c>
      <c r="C6" s="1181" t="s">
        <v>0</v>
      </c>
      <c r="D6" s="1181"/>
      <c r="E6" s="1015"/>
      <c r="F6" s="1015"/>
      <c r="G6" s="1015"/>
      <c r="H6" s="1015"/>
      <c r="I6" s="1015"/>
      <c r="J6" s="1015"/>
      <c r="K6" s="1015"/>
      <c r="L6" s="1014"/>
    </row>
    <row r="7" spans="1:15" ht="21">
      <c r="A7" s="1163" t="s">
        <v>817</v>
      </c>
      <c r="B7" s="1338" t="s">
        <v>822</v>
      </c>
      <c r="C7" s="1181" t="s">
        <v>0</v>
      </c>
      <c r="D7" s="1015"/>
      <c r="E7" s="1015"/>
      <c r="F7" s="1015"/>
      <c r="G7" s="1015"/>
      <c r="H7" s="1015"/>
      <c r="I7" s="1015"/>
      <c r="J7" s="1015"/>
      <c r="K7" s="1015"/>
      <c r="L7" s="1014"/>
    </row>
    <row r="8" spans="1:15" ht="21">
      <c r="A8" s="1162" t="s">
        <v>652</v>
      </c>
      <c r="B8" s="1338" t="s">
        <v>822</v>
      </c>
      <c r="C8" s="1181" t="s">
        <v>0</v>
      </c>
      <c r="D8" s="1015"/>
      <c r="E8" s="1015"/>
      <c r="F8" s="1015"/>
      <c r="G8" s="1015"/>
      <c r="H8" s="1015"/>
      <c r="I8" s="1015"/>
      <c r="J8" s="1015"/>
      <c r="K8" s="1015"/>
      <c r="L8" s="1014"/>
    </row>
    <row r="9" spans="1:15" ht="21">
      <c r="A9" s="1163" t="s">
        <v>819</v>
      </c>
      <c r="B9" s="1338" t="s">
        <v>822</v>
      </c>
      <c r="C9" s="1181" t="s">
        <v>0</v>
      </c>
      <c r="D9" s="1015"/>
      <c r="E9" s="1015"/>
      <c r="F9" s="1015"/>
      <c r="G9" s="1015"/>
      <c r="H9" s="1015"/>
      <c r="I9" s="1015"/>
      <c r="J9" s="1015"/>
      <c r="K9" s="1015"/>
      <c r="L9" s="1014"/>
    </row>
    <row r="10" spans="1:15" ht="21">
      <c r="A10" s="1162" t="s">
        <v>893</v>
      </c>
      <c r="B10" s="1338" t="s">
        <v>822</v>
      </c>
      <c r="C10" s="1181" t="s">
        <v>0</v>
      </c>
      <c r="D10" s="1015"/>
      <c r="E10" s="1015"/>
      <c r="F10" s="1015"/>
      <c r="G10" s="1015"/>
      <c r="H10" s="1015"/>
      <c r="I10" s="1015"/>
      <c r="J10" s="1015"/>
      <c r="K10" s="1015"/>
      <c r="L10" s="1014"/>
      <c r="N10" t="s">
        <v>822</v>
      </c>
      <c r="O10" t="s">
        <v>807</v>
      </c>
    </row>
    <row r="11" spans="1:15" ht="21">
      <c r="A11" s="1163" t="s">
        <v>894</v>
      </c>
      <c r="B11" s="1338" t="s">
        <v>822</v>
      </c>
      <c r="C11" s="1181" t="s">
        <v>0</v>
      </c>
      <c r="D11" s="1015"/>
      <c r="E11" s="1015"/>
      <c r="F11" s="1015"/>
      <c r="G11" s="1015"/>
      <c r="H11" s="1015"/>
      <c r="I11" s="1015"/>
      <c r="J11" s="1015"/>
      <c r="K11" s="1015"/>
      <c r="L11" s="1014"/>
    </row>
    <row r="12" spans="1:15" ht="21">
      <c r="A12" s="1163" t="s">
        <v>1430</v>
      </c>
      <c r="B12" s="1338" t="s">
        <v>822</v>
      </c>
      <c r="C12" s="1181" t="s">
        <v>0</v>
      </c>
      <c r="D12" s="1015"/>
      <c r="E12" s="1015"/>
      <c r="F12" s="1015"/>
      <c r="G12" s="1015"/>
      <c r="H12" s="1015"/>
      <c r="I12" s="1015"/>
      <c r="J12" s="1015"/>
      <c r="K12" s="1015"/>
      <c r="L12" s="1014"/>
    </row>
    <row r="13" spans="1:15" ht="21">
      <c r="A13" s="1162" t="s">
        <v>698</v>
      </c>
      <c r="B13" s="1338" t="s">
        <v>822</v>
      </c>
      <c r="C13" s="1181" t="s">
        <v>0</v>
      </c>
      <c r="D13" s="1015"/>
      <c r="E13" s="1015"/>
      <c r="F13" s="1015"/>
      <c r="G13" s="1015"/>
      <c r="H13" s="1015"/>
      <c r="I13" s="1015"/>
      <c r="J13" s="1015"/>
      <c r="K13" s="1015"/>
      <c r="L13" s="1014"/>
    </row>
    <row r="14" spans="1:15" ht="21">
      <c r="A14" s="1163" t="s">
        <v>699</v>
      </c>
      <c r="B14" s="1338" t="s">
        <v>822</v>
      </c>
      <c r="C14" s="1181" t="s">
        <v>0</v>
      </c>
      <c r="D14" s="1015"/>
      <c r="E14" s="1015"/>
      <c r="F14" s="1015"/>
      <c r="G14" s="1015"/>
      <c r="H14" s="1015"/>
      <c r="I14" s="1015"/>
      <c r="J14" s="1015"/>
      <c r="K14" s="1015"/>
      <c r="L14" s="1014"/>
    </row>
    <row r="15" spans="1:15" ht="21">
      <c r="A15" s="1228" t="s">
        <v>842</v>
      </c>
      <c r="B15" s="1338" t="s">
        <v>822</v>
      </c>
      <c r="C15" s="1181" t="s">
        <v>0</v>
      </c>
      <c r="D15" s="1015"/>
      <c r="E15" s="1015"/>
      <c r="F15" s="1015"/>
      <c r="G15" s="1015"/>
      <c r="H15" s="1015"/>
      <c r="I15" s="1015"/>
      <c r="J15" s="1015"/>
      <c r="K15" s="1015"/>
      <c r="L15" s="1014"/>
    </row>
    <row r="16" spans="1:15" ht="21">
      <c r="A16" s="1163" t="s">
        <v>843</v>
      </c>
      <c r="B16" s="1338" t="s">
        <v>822</v>
      </c>
      <c r="C16" s="1181" t="s">
        <v>0</v>
      </c>
      <c r="D16" s="1015"/>
      <c r="E16" s="1015"/>
      <c r="F16" s="1015"/>
      <c r="G16" s="1015"/>
      <c r="H16" s="1015"/>
      <c r="I16" s="1015"/>
      <c r="J16" s="1015"/>
      <c r="K16" s="1015"/>
      <c r="L16" s="1014"/>
    </row>
    <row r="17" spans="1:12" ht="21">
      <c r="A17" s="1228" t="s">
        <v>1280</v>
      </c>
      <c r="B17" s="1338" t="s">
        <v>822</v>
      </c>
      <c r="C17" s="1181" t="s">
        <v>0</v>
      </c>
      <c r="D17" s="1015"/>
      <c r="E17" s="1015"/>
      <c r="F17" s="1015"/>
      <c r="G17" s="1015"/>
      <c r="H17" s="1015"/>
      <c r="I17" s="1015"/>
      <c r="J17" s="1015"/>
      <c r="K17" s="1015"/>
      <c r="L17" s="1014"/>
    </row>
    <row r="18" spans="1:12" ht="21">
      <c r="A18" s="1163" t="s">
        <v>1213</v>
      </c>
      <c r="B18" s="1338" t="s">
        <v>822</v>
      </c>
      <c r="C18" s="1181" t="s">
        <v>0</v>
      </c>
      <c r="D18" s="1015"/>
      <c r="E18" s="1015"/>
      <c r="F18" s="1015"/>
      <c r="G18" s="1015"/>
      <c r="H18" s="1015"/>
      <c r="I18" s="1015"/>
      <c r="J18" s="1015"/>
      <c r="K18" s="1015"/>
      <c r="L18" s="1014"/>
    </row>
    <row r="19" spans="1:12" ht="21">
      <c r="A19" s="1162" t="s">
        <v>1281</v>
      </c>
      <c r="B19" s="1338" t="s">
        <v>822</v>
      </c>
      <c r="C19" s="1181" t="s">
        <v>0</v>
      </c>
      <c r="D19" s="1015"/>
      <c r="E19" s="1015"/>
      <c r="F19" s="1015"/>
      <c r="G19" s="1015"/>
      <c r="H19" s="1015"/>
      <c r="I19" s="1015"/>
      <c r="J19" s="1015"/>
      <c r="K19" s="1015"/>
      <c r="L19" s="1014"/>
    </row>
    <row r="20" spans="1:12" ht="21">
      <c r="A20" s="1163" t="s">
        <v>895</v>
      </c>
      <c r="B20" s="1338" t="s">
        <v>822</v>
      </c>
      <c r="C20" s="1181" t="s">
        <v>0</v>
      </c>
      <c r="D20" s="1015"/>
      <c r="E20" s="1015"/>
      <c r="F20" s="1015"/>
      <c r="G20" s="1015"/>
      <c r="H20" s="1015"/>
      <c r="I20" s="1015"/>
      <c r="J20" s="1015"/>
      <c r="K20" s="1015"/>
      <c r="L20" s="1014"/>
    </row>
    <row r="21" spans="1:12" ht="21">
      <c r="A21" s="1162" t="s">
        <v>896</v>
      </c>
      <c r="B21" s="1338" t="s">
        <v>822</v>
      </c>
      <c r="C21" s="1181" t="s">
        <v>0</v>
      </c>
      <c r="D21" s="1015"/>
      <c r="E21" s="1015"/>
      <c r="F21" s="1015"/>
      <c r="G21" s="1015"/>
      <c r="H21" s="1015"/>
      <c r="I21" s="1015"/>
      <c r="J21" s="1015"/>
      <c r="K21" s="1015"/>
      <c r="L21" s="1014"/>
    </row>
    <row r="22" spans="1:12" ht="21">
      <c r="A22" s="1163" t="s">
        <v>897</v>
      </c>
      <c r="B22" s="1338" t="s">
        <v>822</v>
      </c>
      <c r="C22" s="1181" t="s">
        <v>0</v>
      </c>
      <c r="D22" s="1015"/>
      <c r="E22" s="1015"/>
      <c r="F22" s="1015"/>
      <c r="G22" s="1015"/>
      <c r="H22" s="1015"/>
      <c r="I22" s="1015"/>
      <c r="J22" s="1015"/>
      <c r="K22" s="1015"/>
      <c r="L22" s="1014"/>
    </row>
    <row r="23" spans="1:12" ht="21">
      <c r="A23" s="1162" t="s">
        <v>898</v>
      </c>
      <c r="B23" s="1338" t="s">
        <v>822</v>
      </c>
      <c r="C23" s="1181" t="s">
        <v>0</v>
      </c>
      <c r="D23" s="1015"/>
      <c r="E23" s="1015"/>
      <c r="F23" s="1015"/>
      <c r="G23" s="1015"/>
      <c r="H23" s="1015"/>
      <c r="I23" s="1015"/>
      <c r="J23" s="1015"/>
      <c r="K23" s="1015"/>
      <c r="L23" s="1014"/>
    </row>
    <row r="24" spans="1:12" ht="21">
      <c r="A24" s="1163" t="s">
        <v>899</v>
      </c>
      <c r="B24" s="1338" t="s">
        <v>822</v>
      </c>
      <c r="C24" s="1181" t="s">
        <v>0</v>
      </c>
      <c r="D24" s="1015"/>
      <c r="E24" s="1015"/>
      <c r="F24" s="1015"/>
      <c r="G24" s="1015"/>
      <c r="H24" s="1015"/>
      <c r="I24" s="1015"/>
      <c r="J24" s="1015"/>
      <c r="K24" s="1015"/>
      <c r="L24" s="1014"/>
    </row>
    <row r="25" spans="1:12" ht="21">
      <c r="A25" s="1162" t="s">
        <v>900</v>
      </c>
      <c r="B25" s="1338" t="s">
        <v>822</v>
      </c>
      <c r="C25" s="1181" t="s">
        <v>0</v>
      </c>
      <c r="D25" s="1015"/>
      <c r="E25" s="1015"/>
      <c r="F25" s="1015"/>
      <c r="G25" s="1015"/>
      <c r="H25" s="1015"/>
      <c r="I25" s="1015"/>
      <c r="J25" s="1015"/>
      <c r="K25" s="1015"/>
      <c r="L25" s="1014"/>
    </row>
    <row r="26" spans="1:12" ht="21.75" thickBot="1">
      <c r="A26" s="1164" t="s">
        <v>901</v>
      </c>
      <c r="B26" s="1338" t="s">
        <v>822</v>
      </c>
      <c r="C26" s="1181" t="s">
        <v>0</v>
      </c>
      <c r="D26" s="1015"/>
      <c r="E26" s="1015"/>
      <c r="F26" s="1015"/>
      <c r="G26" s="1015"/>
      <c r="H26" s="1015"/>
      <c r="I26" s="1015"/>
      <c r="J26" s="1015"/>
      <c r="K26" s="1015"/>
      <c r="L26" s="1014"/>
    </row>
    <row r="27" spans="1:12" ht="12" thickBot="1">
      <c r="A27" s="1015"/>
      <c r="B27" s="1015"/>
      <c r="C27" s="1015"/>
      <c r="D27" s="1015"/>
      <c r="E27" s="1015"/>
      <c r="F27" s="1015"/>
      <c r="G27" s="1015"/>
      <c r="H27" s="1015"/>
      <c r="I27" s="1015"/>
      <c r="J27" s="1015"/>
      <c r="K27" s="1015"/>
      <c r="L27" s="1014"/>
    </row>
    <row r="28" spans="1:12">
      <c r="A28" s="1697" t="s">
        <v>902</v>
      </c>
      <c r="B28" s="1700"/>
      <c r="C28" s="1015"/>
      <c r="D28" s="1015"/>
      <c r="E28" s="1015"/>
      <c r="F28" s="1015"/>
      <c r="G28" s="1015"/>
      <c r="H28" s="1015"/>
      <c r="I28" s="1015"/>
      <c r="J28" s="1015"/>
      <c r="K28" s="1015"/>
      <c r="L28" s="1014"/>
    </row>
    <row r="29" spans="1:12">
      <c r="A29" s="1698"/>
      <c r="B29" s="1701"/>
      <c r="C29" s="1015"/>
      <c r="D29" s="1015"/>
      <c r="E29" s="1015"/>
      <c r="F29" s="1015"/>
      <c r="G29" s="1015"/>
      <c r="H29" s="1015"/>
      <c r="I29" s="1015"/>
      <c r="J29" s="1015"/>
      <c r="K29" s="1015"/>
      <c r="L29" s="1014"/>
    </row>
    <row r="30" spans="1:12" ht="12" thickBot="1">
      <c r="A30" s="1699"/>
      <c r="B30" s="1702"/>
      <c r="C30" s="1015"/>
      <c r="D30" s="1015"/>
      <c r="E30" s="1015"/>
      <c r="F30" s="1015"/>
      <c r="G30" s="1015"/>
      <c r="H30" s="1015"/>
      <c r="I30" s="1015"/>
      <c r="J30" s="1015"/>
      <c r="K30" s="1015"/>
      <c r="L30" s="1014"/>
    </row>
    <row r="31" spans="1:12" ht="12" thickBot="1">
      <c r="A31" s="1015"/>
      <c r="B31" s="1015"/>
      <c r="C31" s="1015"/>
      <c r="D31" s="1015"/>
      <c r="E31" s="1015"/>
      <c r="F31" s="1015"/>
      <c r="G31" s="1015"/>
      <c r="H31" s="1015"/>
      <c r="I31" s="1015"/>
      <c r="J31" s="1015"/>
      <c r="K31" s="1015"/>
      <c r="L31" s="1014"/>
    </row>
    <row r="32" spans="1:12">
      <c r="A32" s="1697" t="s">
        <v>903</v>
      </c>
      <c r="B32" s="1700"/>
      <c r="C32" s="1015"/>
      <c r="D32" s="1015"/>
      <c r="E32" s="1015"/>
      <c r="F32" s="1015"/>
      <c r="G32" s="1015"/>
      <c r="H32" s="1015"/>
      <c r="I32" s="1015"/>
      <c r="J32" s="1015"/>
      <c r="K32" s="1015"/>
      <c r="L32" s="1014"/>
    </row>
    <row r="33" spans="1:12">
      <c r="A33" s="1698"/>
      <c r="B33" s="1701"/>
      <c r="C33" s="1015"/>
      <c r="D33" s="1015"/>
      <c r="E33" s="1015"/>
      <c r="F33" s="1015"/>
      <c r="G33" s="1015"/>
      <c r="H33" s="1015"/>
      <c r="I33" s="1015"/>
      <c r="J33" s="1015"/>
      <c r="K33" s="1015"/>
      <c r="L33" s="1014"/>
    </row>
    <row r="34" spans="1:12" ht="12" thickBot="1">
      <c r="A34" s="1699"/>
      <c r="B34" s="1702"/>
      <c r="C34" s="1015"/>
      <c r="D34" s="1015"/>
      <c r="E34" s="1015"/>
      <c r="F34" s="1015"/>
      <c r="G34" s="1015"/>
      <c r="H34" s="1015"/>
      <c r="I34" s="1015"/>
      <c r="J34" s="1015"/>
      <c r="K34" s="1015"/>
      <c r="L34" s="1014"/>
    </row>
    <row r="35" spans="1:12" ht="12" thickBot="1">
      <c r="A35" s="1015"/>
      <c r="B35" s="1015"/>
      <c r="C35" s="1015"/>
      <c r="D35" s="1015"/>
      <c r="E35" s="1015"/>
      <c r="F35" s="1015"/>
      <c r="G35" s="1015"/>
      <c r="H35" s="1015"/>
      <c r="I35" s="1015"/>
      <c r="J35" s="1015"/>
      <c r="K35" s="1015"/>
      <c r="L35" s="1014"/>
    </row>
    <row r="36" spans="1:12">
      <c r="A36" s="1697" t="s">
        <v>904</v>
      </c>
      <c r="B36" s="1159"/>
      <c r="C36" s="1012"/>
      <c r="D36" s="1012"/>
      <c r="E36" s="1015"/>
      <c r="F36" s="1015"/>
      <c r="G36" s="1015"/>
      <c r="H36" s="1015"/>
      <c r="I36" s="1015"/>
      <c r="J36" s="1015"/>
      <c r="K36" s="1015"/>
      <c r="L36" s="1014"/>
    </row>
    <row r="37" spans="1:12">
      <c r="A37" s="1698"/>
      <c r="B37" s="1160"/>
      <c r="C37" s="1012"/>
      <c r="D37" s="1012"/>
      <c r="E37" s="1015"/>
      <c r="F37" s="1015"/>
      <c r="G37" s="1015"/>
      <c r="H37" s="1015"/>
      <c r="I37" s="1015"/>
      <c r="J37" s="1015"/>
      <c r="K37" s="1015"/>
      <c r="L37" s="1014"/>
    </row>
    <row r="38" spans="1:12" ht="12" thickBot="1">
      <c r="A38" s="1699"/>
      <c r="B38" s="1161"/>
      <c r="C38" s="1012"/>
      <c r="D38" s="1012"/>
      <c r="E38" s="1015"/>
      <c r="F38" s="1015"/>
      <c r="G38" s="1015"/>
      <c r="H38" s="1015"/>
      <c r="I38" s="1015"/>
      <c r="J38" s="1015"/>
      <c r="K38" s="1015"/>
      <c r="L38" s="1014"/>
    </row>
    <row r="39" spans="1:12" ht="16.5" thickBot="1">
      <c r="A39" s="1689"/>
      <c r="B39" s="1689"/>
      <c r="C39" s="1689"/>
      <c r="D39" s="1689"/>
      <c r="E39" s="1015"/>
      <c r="F39" s="1015"/>
      <c r="G39" s="1015"/>
      <c r="H39" s="1015"/>
      <c r="I39" s="1015"/>
      <c r="J39" s="1015"/>
      <c r="K39" s="1015"/>
      <c r="L39" s="1014"/>
    </row>
    <row r="40" spans="1:12" ht="15.75">
      <c r="A40" s="1690" t="s">
        <v>905</v>
      </c>
      <c r="B40" s="1229"/>
      <c r="C40" s="1229"/>
      <c r="D40" s="1229"/>
      <c r="E40" s="1015"/>
      <c r="F40" s="1015"/>
      <c r="G40" s="1015"/>
      <c r="H40" s="1015"/>
      <c r="I40" s="1015"/>
      <c r="J40" s="1015"/>
      <c r="K40" s="1015"/>
      <c r="L40" s="1014"/>
    </row>
    <row r="41" spans="1:12" ht="18.95" customHeight="1">
      <c r="A41" s="1691"/>
      <c r="B41" s="1229"/>
      <c r="C41" s="1229"/>
      <c r="D41" s="1229"/>
      <c r="E41" s="1015"/>
      <c r="F41" s="1015"/>
      <c r="G41" s="1015"/>
      <c r="H41" s="1015"/>
      <c r="I41" s="1015"/>
      <c r="J41" s="1015"/>
      <c r="K41" s="1015"/>
      <c r="L41" s="1014"/>
    </row>
    <row r="42" spans="1:12" ht="26.1" customHeight="1" thickBot="1">
      <c r="A42" s="1692"/>
      <c r="B42" s="1229"/>
      <c r="C42" s="1229"/>
      <c r="D42" s="1229"/>
      <c r="E42" s="1015"/>
      <c r="F42" s="1015"/>
      <c r="G42" s="1015"/>
      <c r="H42" s="1015"/>
      <c r="I42" s="1015"/>
      <c r="J42" s="1015"/>
      <c r="K42" s="1015"/>
      <c r="L42" s="1014"/>
    </row>
    <row r="43" spans="1:12" ht="15.75">
      <c r="A43" s="1229"/>
      <c r="B43" s="1229"/>
      <c r="C43" s="1229"/>
      <c r="D43" s="1229"/>
      <c r="E43" s="1015"/>
      <c r="F43" s="1015"/>
      <c r="G43" s="1015"/>
      <c r="H43" s="1015"/>
      <c r="I43" s="1015"/>
      <c r="J43" s="1015"/>
      <c r="K43" s="1015"/>
      <c r="L43" s="1014"/>
    </row>
    <row r="44" spans="1:12">
      <c r="A44" s="1014"/>
      <c r="B44" s="1014"/>
      <c r="C44" s="1014"/>
      <c r="D44" s="1014"/>
      <c r="E44" s="1014"/>
      <c r="F44" s="1014"/>
      <c r="G44" s="1014"/>
      <c r="H44" s="1014"/>
      <c r="I44" s="1014"/>
      <c r="J44" s="1014"/>
      <c r="K44" s="1014"/>
      <c r="L44" s="1014"/>
    </row>
    <row r="45" spans="1:12">
      <c r="A45" s="1014"/>
      <c r="B45" s="1014"/>
      <c r="C45" s="1014"/>
      <c r="D45" s="1014"/>
      <c r="E45" s="1014"/>
      <c r="F45" s="1014"/>
      <c r="G45" s="1014"/>
      <c r="H45" s="1014"/>
      <c r="I45" s="1014"/>
      <c r="J45" s="1014"/>
      <c r="K45" s="1014"/>
      <c r="L45" s="1014"/>
    </row>
    <row r="46" spans="1:12">
      <c r="A46" s="1014"/>
      <c r="B46" s="1014"/>
      <c r="C46" s="1014"/>
      <c r="D46" s="1014"/>
      <c r="E46" s="1014"/>
      <c r="F46" s="1014"/>
      <c r="G46" s="1014"/>
      <c r="H46" s="1014"/>
      <c r="I46" s="1014"/>
      <c r="J46" s="1014"/>
      <c r="K46" s="1014"/>
      <c r="L46" s="1014"/>
    </row>
  </sheetData>
  <sheetProtection algorithmName="SHA-512" hashValue="P33p1Ra0LYo+Be+66ujri5JANB4pySDnhPap0UKvJ/K4Ae/mqQchic6eCSUg+90c+cjHAvbnEl8xgG5iwCzORg==" saltValue="5eMKubIqjB4yH1RlcYKl4w==" spinCount="100000" sheet="1" objects="1" scenarios="1" selectLockedCells="1"/>
  <mergeCells count="10">
    <mergeCell ref="A39:D39"/>
    <mergeCell ref="A40:A42"/>
    <mergeCell ref="A1:L1"/>
    <mergeCell ref="A3:K3"/>
    <mergeCell ref="A5:B5"/>
    <mergeCell ref="A32:A34"/>
    <mergeCell ref="B32:B34"/>
    <mergeCell ref="A36:A38"/>
    <mergeCell ref="A28:A30"/>
    <mergeCell ref="B28:B30"/>
  </mergeCells>
  <conditionalFormatting sqref="B6:B26">
    <cfRule type="containsText" dxfId="1" priority="1" operator="containsText" text="No">
      <formula>NOT(ISERROR(SEARCH("No",B6)))</formula>
    </cfRule>
    <cfRule type="containsText" dxfId="0" priority="2" operator="containsText" text="Yes">
      <formula>NOT(ISERROR(SEARCH("Yes",B6)))</formula>
    </cfRule>
  </conditionalFormatting>
  <dataValidations count="3">
    <dataValidation type="list" allowBlank="1" showInputMessage="1" showErrorMessage="1" sqref="B6:B26" xr:uid="{CB8B31F9-E72B-0A4C-8E10-4B5ED8D830AE}">
      <formula1>$N$10:$O$10</formula1>
    </dataValidation>
    <dataValidation type="decimal" allowBlank="1" showInputMessage="1" showErrorMessage="1" error="Please enter decimal" sqref="B28:B30" xr:uid="{9CAE4F69-B4BA-094E-8E68-FD861C2F0650}">
      <formula1>2000</formula1>
      <formula2>2050</formula2>
    </dataValidation>
    <dataValidation type="decimal" allowBlank="1" showInputMessage="1" showErrorMessage="1" error="Please enter decimal" sqref="B32:B34" xr:uid="{86AF41F9-71B2-0B46-BD9C-D6015DEF5DB0}">
      <formula1>1</formula1>
      <formula2>16</formula2>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pageSetUpPr fitToPage="1"/>
  </sheetPr>
  <dimension ref="A1:WVL90"/>
  <sheetViews>
    <sheetView zoomScaleNormal="100" zoomScalePageLayoutView="75" workbookViewId="0">
      <selection activeCell="C4" sqref="C4"/>
    </sheetView>
  </sheetViews>
  <sheetFormatPr defaultColWidth="0" defaultRowHeight="15" zeroHeight="1"/>
  <cols>
    <col min="1" max="1" width="64.6640625" style="1348" customWidth="1"/>
    <col min="2" max="3" width="13.1640625" style="1348" customWidth="1"/>
    <col min="4" max="4" width="49.1640625" style="1348" customWidth="1"/>
    <col min="5" max="5" width="9.5" style="1348" bestFit="1" customWidth="1"/>
    <col min="6" max="6" width="8" style="1348" customWidth="1"/>
    <col min="7" max="7" width="9" style="1348" customWidth="1"/>
    <col min="8" max="256" width="9" style="1348" hidden="1"/>
    <col min="257" max="257" width="64.6640625" style="1348" hidden="1"/>
    <col min="258" max="258" width="13.1640625" style="1348" hidden="1"/>
    <col min="259" max="259" width="11.1640625" style="1348" hidden="1"/>
    <col min="260" max="260" width="49.1640625" style="1348" hidden="1"/>
    <col min="261" max="512" width="9" style="1348" hidden="1"/>
    <col min="513" max="513" width="64.6640625" style="1348" hidden="1"/>
    <col min="514" max="514" width="13.1640625" style="1348" hidden="1"/>
    <col min="515" max="515" width="11.1640625" style="1348" hidden="1"/>
    <col min="516" max="516" width="49.1640625" style="1348" hidden="1"/>
    <col min="517" max="768" width="9" style="1348" hidden="1"/>
    <col min="769" max="769" width="64.6640625" style="1348" hidden="1"/>
    <col min="770" max="770" width="13.1640625" style="1348" hidden="1"/>
    <col min="771" max="771" width="11.1640625" style="1348" hidden="1"/>
    <col min="772" max="772" width="49.1640625" style="1348" hidden="1"/>
    <col min="773" max="1024" width="9" style="1348" hidden="1"/>
    <col min="1025" max="1025" width="64.6640625" style="1348" hidden="1"/>
    <col min="1026" max="1026" width="13.1640625" style="1348" hidden="1"/>
    <col min="1027" max="1027" width="11.1640625" style="1348" hidden="1"/>
    <col min="1028" max="1028" width="49.1640625" style="1348" hidden="1"/>
    <col min="1029" max="1280" width="9" style="1348" hidden="1"/>
    <col min="1281" max="1281" width="64.6640625" style="1348" hidden="1"/>
    <col min="1282" max="1282" width="13.1640625" style="1348" hidden="1"/>
    <col min="1283" max="1283" width="11.1640625" style="1348" hidden="1"/>
    <col min="1284" max="1284" width="49.1640625" style="1348" hidden="1"/>
    <col min="1285" max="1536" width="9" style="1348" hidden="1"/>
    <col min="1537" max="1537" width="64.6640625" style="1348" hidden="1"/>
    <col min="1538" max="1538" width="13.1640625" style="1348" hidden="1"/>
    <col min="1539" max="1539" width="11.1640625" style="1348" hidden="1"/>
    <col min="1540" max="1540" width="49.1640625" style="1348" hidden="1"/>
    <col min="1541" max="1792" width="9" style="1348" hidden="1"/>
    <col min="1793" max="1793" width="64.6640625" style="1348" hidden="1"/>
    <col min="1794" max="1794" width="13.1640625" style="1348" hidden="1"/>
    <col min="1795" max="1795" width="11.1640625" style="1348" hidden="1"/>
    <col min="1796" max="1796" width="49.1640625" style="1348" hidden="1"/>
    <col min="1797" max="2048" width="9" style="1348" hidden="1"/>
    <col min="2049" max="2049" width="64.6640625" style="1348" hidden="1"/>
    <col min="2050" max="2050" width="13.1640625" style="1348" hidden="1"/>
    <col min="2051" max="2051" width="11.1640625" style="1348" hidden="1"/>
    <col min="2052" max="2052" width="49.1640625" style="1348" hidden="1"/>
    <col min="2053" max="2304" width="9" style="1348" hidden="1"/>
    <col min="2305" max="2305" width="64.6640625" style="1348" hidden="1"/>
    <col min="2306" max="2306" width="13.1640625" style="1348" hidden="1"/>
    <col min="2307" max="2307" width="11.1640625" style="1348" hidden="1"/>
    <col min="2308" max="2308" width="49.1640625" style="1348" hidden="1"/>
    <col min="2309" max="2560" width="9" style="1348" hidden="1"/>
    <col min="2561" max="2561" width="64.6640625" style="1348" hidden="1"/>
    <col min="2562" max="2562" width="13.1640625" style="1348" hidden="1"/>
    <col min="2563" max="2563" width="11.1640625" style="1348" hidden="1"/>
    <col min="2564" max="2564" width="49.1640625" style="1348" hidden="1"/>
    <col min="2565" max="2816" width="9" style="1348" hidden="1"/>
    <col min="2817" max="2817" width="64.6640625" style="1348" hidden="1"/>
    <col min="2818" max="2818" width="13.1640625" style="1348" hidden="1"/>
    <col min="2819" max="2819" width="11.1640625" style="1348" hidden="1"/>
    <col min="2820" max="2820" width="49.1640625" style="1348" hidden="1"/>
    <col min="2821" max="3072" width="9" style="1348" hidden="1"/>
    <col min="3073" max="3073" width="64.6640625" style="1348" hidden="1"/>
    <col min="3074" max="3074" width="13.1640625" style="1348" hidden="1"/>
    <col min="3075" max="3075" width="11.1640625" style="1348" hidden="1"/>
    <col min="3076" max="3076" width="49.1640625" style="1348" hidden="1"/>
    <col min="3077" max="3328" width="9" style="1348" hidden="1"/>
    <col min="3329" max="3329" width="64.6640625" style="1348" hidden="1"/>
    <col min="3330" max="3330" width="13.1640625" style="1348" hidden="1"/>
    <col min="3331" max="3331" width="11.1640625" style="1348" hidden="1"/>
    <col min="3332" max="3332" width="49.1640625" style="1348" hidden="1"/>
    <col min="3333" max="3584" width="9" style="1348" hidden="1"/>
    <col min="3585" max="3585" width="64.6640625" style="1348" hidden="1"/>
    <col min="3586" max="3586" width="13.1640625" style="1348" hidden="1"/>
    <col min="3587" max="3587" width="11.1640625" style="1348" hidden="1"/>
    <col min="3588" max="3588" width="49.1640625" style="1348" hidden="1"/>
    <col min="3589" max="3840" width="9" style="1348" hidden="1"/>
    <col min="3841" max="3841" width="64.6640625" style="1348" hidden="1"/>
    <col min="3842" max="3842" width="13.1640625" style="1348" hidden="1"/>
    <col min="3843" max="3843" width="11.1640625" style="1348" hidden="1"/>
    <col min="3844" max="3844" width="49.1640625" style="1348" hidden="1"/>
    <col min="3845" max="4096" width="9" style="1348" hidden="1"/>
    <col min="4097" max="4097" width="64.6640625" style="1348" hidden="1"/>
    <col min="4098" max="4098" width="13.1640625" style="1348" hidden="1"/>
    <col min="4099" max="4099" width="11.1640625" style="1348" hidden="1"/>
    <col min="4100" max="4100" width="49.1640625" style="1348" hidden="1"/>
    <col min="4101" max="4352" width="9" style="1348" hidden="1"/>
    <col min="4353" max="4353" width="64.6640625" style="1348" hidden="1"/>
    <col min="4354" max="4354" width="13.1640625" style="1348" hidden="1"/>
    <col min="4355" max="4355" width="11.1640625" style="1348" hidden="1"/>
    <col min="4356" max="4356" width="49.1640625" style="1348" hidden="1"/>
    <col min="4357" max="4608" width="9" style="1348" hidden="1"/>
    <col min="4609" max="4609" width="64.6640625" style="1348" hidden="1"/>
    <col min="4610" max="4610" width="13.1640625" style="1348" hidden="1"/>
    <col min="4611" max="4611" width="11.1640625" style="1348" hidden="1"/>
    <col min="4612" max="4612" width="49.1640625" style="1348" hidden="1"/>
    <col min="4613" max="4864" width="9" style="1348" hidden="1"/>
    <col min="4865" max="4865" width="64.6640625" style="1348" hidden="1"/>
    <col min="4866" max="4866" width="13.1640625" style="1348" hidden="1"/>
    <col min="4867" max="4867" width="11.1640625" style="1348" hidden="1"/>
    <col min="4868" max="4868" width="49.1640625" style="1348" hidden="1"/>
    <col min="4869" max="5120" width="9" style="1348" hidden="1"/>
    <col min="5121" max="5121" width="64.6640625" style="1348" hidden="1"/>
    <col min="5122" max="5122" width="13.1640625" style="1348" hidden="1"/>
    <col min="5123" max="5123" width="11.1640625" style="1348" hidden="1"/>
    <col min="5124" max="5124" width="49.1640625" style="1348" hidden="1"/>
    <col min="5125" max="5376" width="9" style="1348" hidden="1"/>
    <col min="5377" max="5377" width="64.6640625" style="1348" hidden="1"/>
    <col min="5378" max="5378" width="13.1640625" style="1348" hidden="1"/>
    <col min="5379" max="5379" width="11.1640625" style="1348" hidden="1"/>
    <col min="5380" max="5380" width="49.1640625" style="1348" hidden="1"/>
    <col min="5381" max="5632" width="9" style="1348" hidden="1"/>
    <col min="5633" max="5633" width="64.6640625" style="1348" hidden="1"/>
    <col min="5634" max="5634" width="13.1640625" style="1348" hidden="1"/>
    <col min="5635" max="5635" width="11.1640625" style="1348" hidden="1"/>
    <col min="5636" max="5636" width="49.1640625" style="1348" hidden="1"/>
    <col min="5637" max="5888" width="9" style="1348" hidden="1"/>
    <col min="5889" max="5889" width="64.6640625" style="1348" hidden="1"/>
    <col min="5890" max="5890" width="13.1640625" style="1348" hidden="1"/>
    <col min="5891" max="5891" width="11.1640625" style="1348" hidden="1"/>
    <col min="5892" max="5892" width="49.1640625" style="1348" hidden="1"/>
    <col min="5893" max="6144" width="9" style="1348" hidden="1"/>
    <col min="6145" max="6145" width="64.6640625" style="1348" hidden="1"/>
    <col min="6146" max="6146" width="13.1640625" style="1348" hidden="1"/>
    <col min="6147" max="6147" width="11.1640625" style="1348" hidden="1"/>
    <col min="6148" max="6148" width="49.1640625" style="1348" hidden="1"/>
    <col min="6149" max="6400" width="9" style="1348" hidden="1"/>
    <col min="6401" max="6401" width="64.6640625" style="1348" hidden="1"/>
    <col min="6402" max="6402" width="13.1640625" style="1348" hidden="1"/>
    <col min="6403" max="6403" width="11.1640625" style="1348" hidden="1"/>
    <col min="6404" max="6404" width="49.1640625" style="1348" hidden="1"/>
    <col min="6405" max="6656" width="9" style="1348" hidden="1"/>
    <col min="6657" max="6657" width="64.6640625" style="1348" hidden="1"/>
    <col min="6658" max="6658" width="13.1640625" style="1348" hidden="1"/>
    <col min="6659" max="6659" width="11.1640625" style="1348" hidden="1"/>
    <col min="6660" max="6660" width="49.1640625" style="1348" hidden="1"/>
    <col min="6661" max="6912" width="9" style="1348" hidden="1"/>
    <col min="6913" max="6913" width="64.6640625" style="1348" hidden="1"/>
    <col min="6914" max="6914" width="13.1640625" style="1348" hidden="1"/>
    <col min="6915" max="6915" width="11.1640625" style="1348" hidden="1"/>
    <col min="6916" max="6916" width="49.1640625" style="1348" hidden="1"/>
    <col min="6917" max="7168" width="9" style="1348" hidden="1"/>
    <col min="7169" max="7169" width="64.6640625" style="1348" hidden="1"/>
    <col min="7170" max="7170" width="13.1640625" style="1348" hidden="1"/>
    <col min="7171" max="7171" width="11.1640625" style="1348" hidden="1"/>
    <col min="7172" max="7172" width="49.1640625" style="1348" hidden="1"/>
    <col min="7173" max="7424" width="9" style="1348" hidden="1"/>
    <col min="7425" max="7425" width="64.6640625" style="1348" hidden="1"/>
    <col min="7426" max="7426" width="13.1640625" style="1348" hidden="1"/>
    <col min="7427" max="7427" width="11.1640625" style="1348" hidden="1"/>
    <col min="7428" max="7428" width="49.1640625" style="1348" hidden="1"/>
    <col min="7429" max="7680" width="9" style="1348" hidden="1"/>
    <col min="7681" max="7681" width="64.6640625" style="1348" hidden="1"/>
    <col min="7682" max="7682" width="13.1640625" style="1348" hidden="1"/>
    <col min="7683" max="7683" width="11.1640625" style="1348" hidden="1"/>
    <col min="7684" max="7684" width="49.1640625" style="1348" hidden="1"/>
    <col min="7685" max="7936" width="9" style="1348" hidden="1"/>
    <col min="7937" max="7937" width="64.6640625" style="1348" hidden="1"/>
    <col min="7938" max="7938" width="13.1640625" style="1348" hidden="1"/>
    <col min="7939" max="7939" width="11.1640625" style="1348" hidden="1"/>
    <col min="7940" max="7940" width="49.1640625" style="1348" hidden="1"/>
    <col min="7941" max="8192" width="9" style="1348" hidden="1"/>
    <col min="8193" max="8193" width="64.6640625" style="1348" hidden="1"/>
    <col min="8194" max="8194" width="13.1640625" style="1348" hidden="1"/>
    <col min="8195" max="8195" width="11.1640625" style="1348" hidden="1"/>
    <col min="8196" max="8196" width="49.1640625" style="1348" hidden="1"/>
    <col min="8197" max="8448" width="9" style="1348" hidden="1"/>
    <col min="8449" max="8449" width="64.6640625" style="1348" hidden="1"/>
    <col min="8450" max="8450" width="13.1640625" style="1348" hidden="1"/>
    <col min="8451" max="8451" width="11.1640625" style="1348" hidden="1"/>
    <col min="8452" max="8452" width="49.1640625" style="1348" hidden="1"/>
    <col min="8453" max="8704" width="9" style="1348" hidden="1"/>
    <col min="8705" max="8705" width="64.6640625" style="1348" hidden="1"/>
    <col min="8706" max="8706" width="13.1640625" style="1348" hidden="1"/>
    <col min="8707" max="8707" width="11.1640625" style="1348" hidden="1"/>
    <col min="8708" max="8708" width="49.1640625" style="1348" hidden="1"/>
    <col min="8709" max="8960" width="9" style="1348" hidden="1"/>
    <col min="8961" max="8961" width="64.6640625" style="1348" hidden="1"/>
    <col min="8962" max="8962" width="13.1640625" style="1348" hidden="1"/>
    <col min="8963" max="8963" width="11.1640625" style="1348" hidden="1"/>
    <col min="8964" max="8964" width="49.1640625" style="1348" hidden="1"/>
    <col min="8965" max="9216" width="9" style="1348" hidden="1"/>
    <col min="9217" max="9217" width="64.6640625" style="1348" hidden="1"/>
    <col min="9218" max="9218" width="13.1640625" style="1348" hidden="1"/>
    <col min="9219" max="9219" width="11.1640625" style="1348" hidden="1"/>
    <col min="9220" max="9220" width="49.1640625" style="1348" hidden="1"/>
    <col min="9221" max="9472" width="9" style="1348" hidden="1"/>
    <col min="9473" max="9473" width="64.6640625" style="1348" hidden="1"/>
    <col min="9474" max="9474" width="13.1640625" style="1348" hidden="1"/>
    <col min="9475" max="9475" width="11.1640625" style="1348" hidden="1"/>
    <col min="9476" max="9476" width="49.1640625" style="1348" hidden="1"/>
    <col min="9477" max="9728" width="9" style="1348" hidden="1"/>
    <col min="9729" max="9729" width="64.6640625" style="1348" hidden="1"/>
    <col min="9730" max="9730" width="13.1640625" style="1348" hidden="1"/>
    <col min="9731" max="9731" width="11.1640625" style="1348" hidden="1"/>
    <col min="9732" max="9732" width="49.1640625" style="1348" hidden="1"/>
    <col min="9733" max="9984" width="9" style="1348" hidden="1"/>
    <col min="9985" max="9985" width="64.6640625" style="1348" hidden="1"/>
    <col min="9986" max="9986" width="13.1640625" style="1348" hidden="1"/>
    <col min="9987" max="9987" width="11.1640625" style="1348" hidden="1"/>
    <col min="9988" max="9988" width="49.1640625" style="1348" hidden="1"/>
    <col min="9989" max="10240" width="9" style="1348" hidden="1"/>
    <col min="10241" max="10241" width="64.6640625" style="1348" hidden="1"/>
    <col min="10242" max="10242" width="13.1640625" style="1348" hidden="1"/>
    <col min="10243" max="10243" width="11.1640625" style="1348" hidden="1"/>
    <col min="10244" max="10244" width="49.1640625" style="1348" hidden="1"/>
    <col min="10245" max="10496" width="9" style="1348" hidden="1"/>
    <col min="10497" max="10497" width="64.6640625" style="1348" hidden="1"/>
    <col min="10498" max="10498" width="13.1640625" style="1348" hidden="1"/>
    <col min="10499" max="10499" width="11.1640625" style="1348" hidden="1"/>
    <col min="10500" max="10500" width="49.1640625" style="1348" hidden="1"/>
    <col min="10501" max="10752" width="9" style="1348" hidden="1"/>
    <col min="10753" max="10753" width="64.6640625" style="1348" hidden="1"/>
    <col min="10754" max="10754" width="13.1640625" style="1348" hidden="1"/>
    <col min="10755" max="10755" width="11.1640625" style="1348" hidden="1"/>
    <col min="10756" max="10756" width="49.1640625" style="1348" hidden="1"/>
    <col min="10757" max="11008" width="9" style="1348" hidden="1"/>
    <col min="11009" max="11009" width="64.6640625" style="1348" hidden="1"/>
    <col min="11010" max="11010" width="13.1640625" style="1348" hidden="1"/>
    <col min="11011" max="11011" width="11.1640625" style="1348" hidden="1"/>
    <col min="11012" max="11012" width="49.1640625" style="1348" hidden="1"/>
    <col min="11013" max="11264" width="9" style="1348" hidden="1"/>
    <col min="11265" max="11265" width="64.6640625" style="1348" hidden="1"/>
    <col min="11266" max="11266" width="13.1640625" style="1348" hidden="1"/>
    <col min="11267" max="11267" width="11.1640625" style="1348" hidden="1"/>
    <col min="11268" max="11268" width="49.1640625" style="1348" hidden="1"/>
    <col min="11269" max="11520" width="9" style="1348" hidden="1"/>
    <col min="11521" max="11521" width="64.6640625" style="1348" hidden="1"/>
    <col min="11522" max="11522" width="13.1640625" style="1348" hidden="1"/>
    <col min="11523" max="11523" width="11.1640625" style="1348" hidden="1"/>
    <col min="11524" max="11524" width="49.1640625" style="1348" hidden="1"/>
    <col min="11525" max="11776" width="9" style="1348" hidden="1"/>
    <col min="11777" max="11777" width="64.6640625" style="1348" hidden="1"/>
    <col min="11778" max="11778" width="13.1640625" style="1348" hidden="1"/>
    <col min="11779" max="11779" width="11.1640625" style="1348" hidden="1"/>
    <col min="11780" max="11780" width="49.1640625" style="1348" hidden="1"/>
    <col min="11781" max="12032" width="9" style="1348" hidden="1"/>
    <col min="12033" max="12033" width="64.6640625" style="1348" hidden="1"/>
    <col min="12034" max="12034" width="13.1640625" style="1348" hidden="1"/>
    <col min="12035" max="12035" width="11.1640625" style="1348" hidden="1"/>
    <col min="12036" max="12036" width="49.1640625" style="1348" hidden="1"/>
    <col min="12037" max="12288" width="9" style="1348" hidden="1"/>
    <col min="12289" max="12289" width="64.6640625" style="1348" hidden="1"/>
    <col min="12290" max="12290" width="13.1640625" style="1348" hidden="1"/>
    <col min="12291" max="12291" width="11.1640625" style="1348" hidden="1"/>
    <col min="12292" max="12292" width="49.1640625" style="1348" hidden="1"/>
    <col min="12293" max="12544" width="9" style="1348" hidden="1"/>
    <col min="12545" max="12545" width="64.6640625" style="1348" hidden="1"/>
    <col min="12546" max="12546" width="13.1640625" style="1348" hidden="1"/>
    <col min="12547" max="12547" width="11.1640625" style="1348" hidden="1"/>
    <col min="12548" max="12548" width="49.1640625" style="1348" hidden="1"/>
    <col min="12549" max="12800" width="9" style="1348" hidden="1"/>
    <col min="12801" max="12801" width="64.6640625" style="1348" hidden="1"/>
    <col min="12802" max="12802" width="13.1640625" style="1348" hidden="1"/>
    <col min="12803" max="12803" width="11.1640625" style="1348" hidden="1"/>
    <col min="12804" max="12804" width="49.1640625" style="1348" hidden="1"/>
    <col min="12805" max="13056" width="9" style="1348" hidden="1"/>
    <col min="13057" max="13057" width="64.6640625" style="1348" hidden="1"/>
    <col min="13058" max="13058" width="13.1640625" style="1348" hidden="1"/>
    <col min="13059" max="13059" width="11.1640625" style="1348" hidden="1"/>
    <col min="13060" max="13060" width="49.1640625" style="1348" hidden="1"/>
    <col min="13061" max="13312" width="9" style="1348" hidden="1"/>
    <col min="13313" max="13313" width="64.6640625" style="1348" hidden="1"/>
    <col min="13314" max="13314" width="13.1640625" style="1348" hidden="1"/>
    <col min="13315" max="13315" width="11.1640625" style="1348" hidden="1"/>
    <col min="13316" max="13316" width="49.1640625" style="1348" hidden="1"/>
    <col min="13317" max="13568" width="9" style="1348" hidden="1"/>
    <col min="13569" max="13569" width="64.6640625" style="1348" hidden="1"/>
    <col min="13570" max="13570" width="13.1640625" style="1348" hidden="1"/>
    <col min="13571" max="13571" width="11.1640625" style="1348" hidden="1"/>
    <col min="13572" max="13572" width="49.1640625" style="1348" hidden="1"/>
    <col min="13573" max="13824" width="9" style="1348" hidden="1"/>
    <col min="13825" max="13825" width="64.6640625" style="1348" hidden="1"/>
    <col min="13826" max="13826" width="13.1640625" style="1348" hidden="1"/>
    <col min="13827" max="13827" width="11.1640625" style="1348" hidden="1"/>
    <col min="13828" max="13828" width="49.1640625" style="1348" hidden="1"/>
    <col min="13829" max="14080" width="9" style="1348" hidden="1"/>
    <col min="14081" max="14081" width="64.6640625" style="1348" hidden="1"/>
    <col min="14082" max="14082" width="13.1640625" style="1348" hidden="1"/>
    <col min="14083" max="14083" width="11.1640625" style="1348" hidden="1"/>
    <col min="14084" max="14084" width="49.1640625" style="1348" hidden="1"/>
    <col min="14085" max="14336" width="9" style="1348" hidden="1"/>
    <col min="14337" max="14337" width="64.6640625" style="1348" hidden="1"/>
    <col min="14338" max="14338" width="13.1640625" style="1348" hidden="1"/>
    <col min="14339" max="14339" width="11.1640625" style="1348" hidden="1"/>
    <col min="14340" max="14340" width="49.1640625" style="1348" hidden="1"/>
    <col min="14341" max="14592" width="9" style="1348" hidden="1"/>
    <col min="14593" max="14593" width="64.6640625" style="1348" hidden="1"/>
    <col min="14594" max="14594" width="13.1640625" style="1348" hidden="1"/>
    <col min="14595" max="14595" width="11.1640625" style="1348" hidden="1"/>
    <col min="14596" max="14596" width="49.1640625" style="1348" hidden="1"/>
    <col min="14597" max="14848" width="9" style="1348" hidden="1"/>
    <col min="14849" max="14849" width="64.6640625" style="1348" hidden="1"/>
    <col min="14850" max="14850" width="13.1640625" style="1348" hidden="1"/>
    <col min="14851" max="14851" width="11.1640625" style="1348" hidden="1"/>
    <col min="14852" max="14852" width="49.1640625" style="1348" hidden="1"/>
    <col min="14853" max="15104" width="9" style="1348" hidden="1"/>
    <col min="15105" max="15105" width="64.6640625" style="1348" hidden="1"/>
    <col min="15106" max="15106" width="13.1640625" style="1348" hidden="1"/>
    <col min="15107" max="15107" width="11.1640625" style="1348" hidden="1"/>
    <col min="15108" max="15108" width="49.1640625" style="1348" hidden="1"/>
    <col min="15109" max="15360" width="9" style="1348" hidden="1"/>
    <col min="15361" max="15361" width="64.6640625" style="1348" hidden="1"/>
    <col min="15362" max="15362" width="13.1640625" style="1348" hidden="1"/>
    <col min="15363" max="15363" width="11.1640625" style="1348" hidden="1"/>
    <col min="15364" max="15364" width="49.1640625" style="1348" hidden="1"/>
    <col min="15365" max="15616" width="9" style="1348" hidden="1"/>
    <col min="15617" max="15617" width="64.6640625" style="1348" hidden="1"/>
    <col min="15618" max="15618" width="13.1640625" style="1348" hidden="1"/>
    <col min="15619" max="15619" width="11.1640625" style="1348" hidden="1"/>
    <col min="15620" max="15620" width="49.1640625" style="1348" hidden="1"/>
    <col min="15621" max="15872" width="9" style="1348" hidden="1"/>
    <col min="15873" max="15873" width="64.6640625" style="1348" hidden="1"/>
    <col min="15874" max="15874" width="13.1640625" style="1348" hidden="1"/>
    <col min="15875" max="15875" width="11.1640625" style="1348" hidden="1"/>
    <col min="15876" max="15876" width="49.1640625" style="1348" hidden="1"/>
    <col min="15877" max="16128" width="9" style="1348" hidden="1"/>
    <col min="16129" max="16129" width="64.6640625" style="1348" hidden="1"/>
    <col min="16130" max="16130" width="13.1640625" style="1348" hidden="1"/>
    <col min="16131" max="16131" width="11.1640625" style="1348" hidden="1"/>
    <col min="16132" max="16132" width="49.1640625" style="1348" hidden="1"/>
    <col min="16133" max="16384" width="9" style="1348" hidden="1"/>
  </cols>
  <sheetData>
    <row r="1" spans="1:85" ht="42.75" customHeight="1">
      <c r="A1" s="1703" t="s">
        <v>781</v>
      </c>
      <c r="B1" s="1704"/>
      <c r="C1" s="1704"/>
      <c r="D1" s="1704"/>
      <c r="E1" s="1704"/>
      <c r="F1" s="1343"/>
      <c r="G1" s="1344"/>
      <c r="H1" s="1345"/>
      <c r="I1" s="1345"/>
      <c r="J1" s="1345"/>
      <c r="K1" s="1345"/>
      <c r="L1" s="1345"/>
      <c r="M1" s="1345"/>
      <c r="N1" s="1346"/>
      <c r="O1" s="1347"/>
      <c r="P1" s="1347"/>
      <c r="Q1" s="1347"/>
      <c r="R1" s="1347"/>
      <c r="S1" s="1347"/>
      <c r="T1" s="1347"/>
      <c r="U1" s="1347"/>
      <c r="V1" s="1347"/>
      <c r="W1" s="1347"/>
      <c r="X1" s="1347"/>
      <c r="Y1" s="1347"/>
      <c r="Z1" s="1347"/>
      <c r="AA1" s="1347"/>
      <c r="AB1" s="1347"/>
      <c r="AC1" s="1347"/>
      <c r="AD1" s="1347"/>
      <c r="AE1" s="1347"/>
      <c r="AF1" s="1347"/>
      <c r="AG1" s="1347"/>
      <c r="AH1" s="1347"/>
      <c r="AI1" s="1347"/>
      <c r="AJ1" s="1347"/>
      <c r="AK1" s="1347"/>
      <c r="AL1" s="1347"/>
      <c r="AM1" s="1347"/>
      <c r="AN1" s="1347"/>
      <c r="AO1" s="1347"/>
      <c r="AP1" s="1347"/>
      <c r="AQ1" s="1347"/>
      <c r="AR1" s="1347"/>
      <c r="AS1" s="1347"/>
      <c r="AT1" s="1347"/>
      <c r="AU1" s="1347"/>
      <c r="AV1" s="1347"/>
      <c r="AW1" s="1347"/>
      <c r="AX1" s="1347"/>
      <c r="AY1" s="1347"/>
      <c r="AZ1" s="1347"/>
      <c r="BA1" s="1347"/>
      <c r="BB1" s="1347"/>
      <c r="BC1" s="1347"/>
      <c r="BD1" s="1347"/>
      <c r="BE1" s="1347"/>
      <c r="BF1" s="1347"/>
      <c r="BG1" s="1347"/>
      <c r="BH1" s="1347"/>
      <c r="BI1" s="1347"/>
      <c r="BJ1" s="1347"/>
      <c r="BK1" s="1347"/>
      <c r="BL1" s="1347"/>
      <c r="BM1" s="1347"/>
      <c r="BN1" s="1347"/>
      <c r="BO1" s="1347"/>
      <c r="BP1" s="1347"/>
      <c r="BQ1" s="1347"/>
      <c r="BR1" s="1347"/>
      <c r="BS1" s="1347"/>
      <c r="BT1" s="1347"/>
      <c r="BU1" s="1347"/>
      <c r="BV1" s="1347"/>
      <c r="BW1" s="1347"/>
      <c r="BX1" s="1347"/>
      <c r="BY1" s="1347"/>
      <c r="BZ1" s="1347"/>
      <c r="CA1" s="1347"/>
      <c r="CB1" s="1347"/>
      <c r="CC1" s="1347"/>
      <c r="CD1" s="1347"/>
      <c r="CE1" s="1347"/>
      <c r="CF1" s="1347"/>
      <c r="CG1" s="1347"/>
    </row>
    <row r="2" spans="1:85" ht="29.1" customHeight="1">
      <c r="A2" s="1708" t="s">
        <v>937</v>
      </c>
      <c r="B2" s="1708"/>
      <c r="C2" s="1708"/>
      <c r="D2" s="1708"/>
      <c r="E2" s="1708"/>
      <c r="F2" s="1349"/>
      <c r="G2" s="1350"/>
      <c r="H2" s="1346"/>
      <c r="I2" s="1346"/>
      <c r="J2" s="1346"/>
      <c r="K2" s="1346"/>
      <c r="L2" s="1346"/>
      <c r="M2" s="1346"/>
      <c r="N2" s="1346"/>
      <c r="O2" s="1347"/>
      <c r="P2" s="1347"/>
      <c r="Q2" s="1347"/>
      <c r="R2" s="1347"/>
      <c r="S2" s="1347"/>
      <c r="T2" s="1347"/>
      <c r="U2" s="1347"/>
      <c r="V2" s="1347"/>
      <c r="W2" s="1347"/>
      <c r="X2" s="1347"/>
      <c r="Y2" s="1347"/>
      <c r="Z2" s="1347"/>
      <c r="AA2" s="1347"/>
      <c r="AB2" s="1347"/>
      <c r="AC2" s="1347"/>
      <c r="AD2" s="1347"/>
      <c r="AE2" s="1347"/>
      <c r="AF2" s="1347"/>
      <c r="AG2" s="1347"/>
      <c r="AH2" s="1347"/>
      <c r="AI2" s="1347"/>
      <c r="AJ2" s="1347"/>
      <c r="AK2" s="1347"/>
      <c r="AL2" s="1347"/>
      <c r="AM2" s="1347"/>
      <c r="AN2" s="1347"/>
      <c r="AO2" s="1347"/>
      <c r="AP2" s="1347"/>
      <c r="AQ2" s="1347"/>
      <c r="AR2" s="1347"/>
      <c r="AS2" s="1347"/>
      <c r="AT2" s="1347"/>
      <c r="AU2" s="1347"/>
      <c r="AV2" s="1347"/>
      <c r="AW2" s="1347"/>
      <c r="AX2" s="1347"/>
      <c r="AY2" s="1347"/>
      <c r="AZ2" s="1347"/>
      <c r="BA2" s="1347"/>
      <c r="BB2" s="1347"/>
      <c r="BC2" s="1347"/>
      <c r="BD2" s="1347"/>
      <c r="BE2" s="1347"/>
      <c r="BF2" s="1347"/>
      <c r="BG2" s="1347"/>
      <c r="BH2" s="1347"/>
      <c r="BI2" s="1347"/>
      <c r="BJ2" s="1347"/>
      <c r="BK2" s="1347"/>
      <c r="BL2" s="1347"/>
      <c r="BM2" s="1347"/>
      <c r="BN2" s="1347"/>
      <c r="BO2" s="1347"/>
      <c r="BP2" s="1347"/>
      <c r="BQ2" s="1347"/>
      <c r="BR2" s="1347"/>
      <c r="BS2" s="1347"/>
      <c r="BT2" s="1347"/>
      <c r="BU2" s="1347"/>
      <c r="BV2" s="1347"/>
      <c r="BW2" s="1347"/>
      <c r="BX2" s="1347"/>
      <c r="BY2" s="1347"/>
      <c r="BZ2" s="1347"/>
      <c r="CA2" s="1347"/>
      <c r="CB2" s="1347"/>
      <c r="CC2" s="1347"/>
      <c r="CD2" s="1347"/>
      <c r="CE2" s="1347"/>
      <c r="CF2" s="1347"/>
      <c r="CG2" s="1347"/>
    </row>
    <row r="3" spans="1:85" ht="18.75">
      <c r="A3" s="1705" t="s">
        <v>619</v>
      </c>
      <c r="B3" s="1706"/>
      <c r="C3" s="1706"/>
      <c r="D3" s="1706"/>
      <c r="E3" s="1707"/>
      <c r="F3" s="1351"/>
      <c r="G3" s="1350"/>
      <c r="H3" s="1346"/>
      <c r="I3" s="1346"/>
      <c r="J3" s="1346"/>
      <c r="K3" s="1346"/>
      <c r="L3" s="1346"/>
      <c r="M3" s="1346"/>
      <c r="N3" s="1346"/>
      <c r="O3" s="1347"/>
      <c r="P3" s="1347"/>
      <c r="Q3" s="1347"/>
      <c r="R3" s="1347"/>
      <c r="S3" s="1347"/>
      <c r="T3" s="1347"/>
      <c r="U3" s="1347"/>
      <c r="V3" s="1347"/>
      <c r="W3" s="1347"/>
      <c r="X3" s="1347"/>
      <c r="Y3" s="1347"/>
      <c r="Z3" s="1347"/>
      <c r="AA3" s="1347"/>
      <c r="AB3" s="1347"/>
      <c r="AC3" s="1347"/>
      <c r="AD3" s="1347"/>
      <c r="AE3" s="1347"/>
      <c r="AF3" s="1347"/>
      <c r="AG3" s="1347"/>
      <c r="AH3" s="1347"/>
      <c r="AI3" s="1347"/>
      <c r="AJ3" s="1347"/>
      <c r="AK3" s="1347"/>
      <c r="AL3" s="1347"/>
      <c r="AM3" s="1347"/>
      <c r="AN3" s="1347"/>
      <c r="AO3" s="1347"/>
      <c r="AP3" s="1347"/>
      <c r="AQ3" s="1347"/>
      <c r="AR3" s="1347"/>
      <c r="AS3" s="1347"/>
      <c r="AT3" s="1347"/>
      <c r="AU3" s="1347"/>
      <c r="AV3" s="1347"/>
      <c r="AW3" s="1347"/>
      <c r="AX3" s="1347"/>
      <c r="AY3" s="1347"/>
      <c r="AZ3" s="1347"/>
      <c r="BA3" s="1347"/>
      <c r="BB3" s="1347"/>
      <c r="BC3" s="1347"/>
      <c r="BD3" s="1347"/>
      <c r="BE3" s="1347"/>
      <c r="BF3" s="1347"/>
      <c r="BG3" s="1347"/>
      <c r="BH3" s="1347"/>
      <c r="BI3" s="1347"/>
      <c r="BJ3" s="1347"/>
      <c r="BK3" s="1347"/>
      <c r="BL3" s="1347"/>
      <c r="BM3" s="1347"/>
      <c r="BN3" s="1347"/>
      <c r="BO3" s="1347"/>
      <c r="BP3" s="1347"/>
      <c r="BQ3" s="1347"/>
      <c r="BR3" s="1347"/>
      <c r="BS3" s="1347"/>
      <c r="BT3" s="1347"/>
      <c r="BU3" s="1347"/>
      <c r="BV3" s="1347"/>
      <c r="BW3" s="1347"/>
      <c r="BX3" s="1347"/>
      <c r="BY3" s="1347"/>
      <c r="BZ3" s="1347"/>
      <c r="CA3" s="1347"/>
      <c r="CB3" s="1347"/>
      <c r="CC3" s="1347"/>
      <c r="CD3" s="1347"/>
      <c r="CE3" s="1347"/>
      <c r="CF3" s="1347"/>
      <c r="CG3" s="1347"/>
    </row>
    <row r="4" spans="1:85">
      <c r="A4" s="1352" t="s">
        <v>620</v>
      </c>
      <c r="B4" s="1353" t="s">
        <v>621</v>
      </c>
      <c r="C4" s="925">
        <v>0</v>
      </c>
      <c r="D4" s="1353" t="s">
        <v>622</v>
      </c>
      <c r="E4" s="930">
        <v>0</v>
      </c>
      <c r="F4" s="1351"/>
      <c r="G4" s="1350"/>
      <c r="H4" s="1346"/>
      <c r="I4" s="1346"/>
      <c r="J4" s="1346"/>
      <c r="K4" s="1346"/>
      <c r="L4" s="1346"/>
      <c r="M4" s="1346"/>
      <c r="N4" s="1346"/>
      <c r="O4" s="1347"/>
      <c r="P4" s="1347"/>
      <c r="Q4" s="1347"/>
      <c r="R4" s="1347"/>
      <c r="S4" s="1347"/>
      <c r="T4" s="1347"/>
      <c r="U4" s="1347"/>
      <c r="V4" s="1347"/>
      <c r="W4" s="1347"/>
      <c r="X4" s="1347"/>
      <c r="Y4" s="1347"/>
      <c r="Z4" s="1347"/>
      <c r="AA4" s="1347"/>
      <c r="AB4" s="1347"/>
      <c r="AC4" s="1347"/>
      <c r="AD4" s="1347"/>
      <c r="AE4" s="1347"/>
      <c r="AF4" s="1347"/>
      <c r="AG4" s="1347"/>
      <c r="AH4" s="1347"/>
      <c r="AI4" s="1347"/>
      <c r="AJ4" s="1347"/>
      <c r="AK4" s="1347"/>
      <c r="AL4" s="1347"/>
      <c r="AM4" s="1347"/>
      <c r="AN4" s="1347"/>
      <c r="AO4" s="1347"/>
      <c r="AP4" s="1347"/>
      <c r="AQ4" s="1347"/>
      <c r="AR4" s="1347"/>
      <c r="AS4" s="1347"/>
      <c r="AT4" s="1347"/>
      <c r="AU4" s="1347"/>
      <c r="AV4" s="1347"/>
      <c r="AW4" s="1347"/>
      <c r="AX4" s="1347"/>
      <c r="AY4" s="1347"/>
      <c r="AZ4" s="1347"/>
      <c r="BA4" s="1347"/>
      <c r="BB4" s="1347"/>
      <c r="BC4" s="1347"/>
      <c r="BD4" s="1347"/>
      <c r="BE4" s="1347"/>
      <c r="BF4" s="1347"/>
      <c r="BG4" s="1347"/>
      <c r="BH4" s="1347"/>
      <c r="BI4" s="1347"/>
      <c r="BJ4" s="1347"/>
      <c r="BK4" s="1347"/>
      <c r="BL4" s="1347"/>
      <c r="BM4" s="1347"/>
      <c r="BN4" s="1347"/>
      <c r="BO4" s="1347"/>
      <c r="BP4" s="1347"/>
      <c r="BQ4" s="1347"/>
      <c r="BR4" s="1347"/>
      <c r="BS4" s="1347"/>
      <c r="BT4" s="1347"/>
      <c r="BU4" s="1347"/>
      <c r="BV4" s="1347"/>
      <c r="BW4" s="1347"/>
      <c r="BX4" s="1347"/>
      <c r="BY4" s="1347"/>
      <c r="BZ4" s="1347"/>
      <c r="CA4" s="1347"/>
      <c r="CB4" s="1347"/>
      <c r="CC4" s="1347"/>
      <c r="CD4" s="1347"/>
      <c r="CE4" s="1347"/>
      <c r="CF4" s="1347"/>
      <c r="CG4" s="1347"/>
    </row>
    <row r="5" spans="1:85">
      <c r="A5" s="1352" t="s">
        <v>623</v>
      </c>
      <c r="B5" s="1353" t="s">
        <v>621</v>
      </c>
      <c r="C5" s="925">
        <v>0</v>
      </c>
      <c r="D5" s="1353" t="s">
        <v>622</v>
      </c>
      <c r="E5" s="931">
        <v>0</v>
      </c>
      <c r="F5" s="1351"/>
      <c r="G5" s="1350"/>
      <c r="H5" s="1346"/>
      <c r="I5" s="1346"/>
      <c r="J5" s="1346"/>
      <c r="K5" s="1346"/>
      <c r="L5" s="1346"/>
      <c r="M5" s="1346"/>
      <c r="N5" s="1346"/>
      <c r="O5" s="1347"/>
      <c r="P5" s="1347"/>
      <c r="Q5" s="1347"/>
      <c r="R5" s="1347"/>
      <c r="S5" s="1347"/>
      <c r="T5" s="1347"/>
      <c r="U5" s="1347"/>
      <c r="V5" s="1347"/>
      <c r="W5" s="1347"/>
      <c r="X5" s="1347"/>
      <c r="Y5" s="1347"/>
      <c r="Z5" s="1347"/>
      <c r="AA5" s="1347"/>
      <c r="AB5" s="1347"/>
      <c r="AC5" s="1347"/>
      <c r="AD5" s="1347"/>
      <c r="AE5" s="1347"/>
      <c r="AF5" s="1347"/>
      <c r="AG5" s="1347"/>
      <c r="AH5" s="1347"/>
      <c r="AI5" s="1347"/>
      <c r="AJ5" s="1347"/>
      <c r="AK5" s="1347"/>
      <c r="AL5" s="1347"/>
      <c r="AM5" s="1347"/>
      <c r="AN5" s="1347"/>
      <c r="AO5" s="1347"/>
      <c r="AP5" s="1347"/>
      <c r="AQ5" s="1347"/>
      <c r="AR5" s="1347"/>
      <c r="AS5" s="1347"/>
      <c r="AT5" s="1347"/>
      <c r="AU5" s="1347"/>
      <c r="AV5" s="1347"/>
      <c r="AW5" s="1347"/>
      <c r="AX5" s="1347"/>
      <c r="AY5" s="1347"/>
      <c r="AZ5" s="1347"/>
      <c r="BA5" s="1347"/>
      <c r="BB5" s="1347"/>
      <c r="BC5" s="1347"/>
      <c r="BD5" s="1347"/>
      <c r="BE5" s="1347"/>
      <c r="BF5" s="1347"/>
      <c r="BG5" s="1347"/>
      <c r="BH5" s="1347"/>
      <c r="BI5" s="1347"/>
      <c r="BJ5" s="1347"/>
      <c r="BK5" s="1347"/>
      <c r="BL5" s="1347"/>
      <c r="BM5" s="1347"/>
      <c r="BN5" s="1347"/>
      <c r="BO5" s="1347"/>
      <c r="BP5" s="1347"/>
      <c r="BQ5" s="1347"/>
      <c r="BR5" s="1347"/>
      <c r="BS5" s="1347"/>
      <c r="BT5" s="1347"/>
      <c r="BU5" s="1347"/>
      <c r="BV5" s="1347"/>
      <c r="BW5" s="1347"/>
      <c r="BX5" s="1347"/>
      <c r="BY5" s="1347"/>
      <c r="BZ5" s="1347"/>
      <c r="CA5" s="1347"/>
      <c r="CB5" s="1347"/>
      <c r="CC5" s="1347"/>
      <c r="CD5" s="1347"/>
      <c r="CE5" s="1347"/>
      <c r="CF5" s="1347"/>
      <c r="CG5" s="1347"/>
    </row>
    <row r="6" spans="1:85">
      <c r="A6" s="1352" t="s">
        <v>624</v>
      </c>
      <c r="B6" s="1353" t="s">
        <v>621</v>
      </c>
      <c r="C6" s="925">
        <v>0</v>
      </c>
      <c r="D6" s="1353" t="s">
        <v>622</v>
      </c>
      <c r="E6" s="931">
        <v>0</v>
      </c>
      <c r="F6" s="1351"/>
      <c r="G6" s="1350"/>
      <c r="H6" s="1346"/>
      <c r="I6" s="1346"/>
      <c r="J6" s="1346"/>
      <c r="K6" s="1346"/>
      <c r="L6" s="1346"/>
      <c r="M6" s="1346"/>
      <c r="N6" s="1346"/>
      <c r="O6" s="1347"/>
      <c r="P6" s="1347"/>
      <c r="Q6" s="1347"/>
      <c r="R6" s="1347"/>
      <c r="S6" s="1347"/>
      <c r="T6" s="1347"/>
      <c r="U6" s="1347"/>
      <c r="V6" s="1347"/>
      <c r="W6" s="1347"/>
      <c r="X6" s="1347"/>
      <c r="Y6" s="1347"/>
      <c r="Z6" s="1347"/>
      <c r="AA6" s="1347"/>
      <c r="AB6" s="1347"/>
      <c r="AC6" s="1347"/>
      <c r="AD6" s="1347"/>
      <c r="AE6" s="1347"/>
      <c r="AF6" s="1347"/>
      <c r="AG6" s="1347"/>
      <c r="AH6" s="1347"/>
      <c r="AI6" s="1347"/>
      <c r="AJ6" s="1347"/>
      <c r="AK6" s="1347"/>
      <c r="AL6" s="1347"/>
      <c r="AM6" s="1347"/>
      <c r="AN6" s="1347"/>
      <c r="AO6" s="1347"/>
      <c r="AP6" s="1347"/>
      <c r="AQ6" s="1347"/>
      <c r="AR6" s="1347"/>
      <c r="AS6" s="1347"/>
      <c r="AT6" s="1347"/>
      <c r="AU6" s="1347"/>
      <c r="AV6" s="1347"/>
      <c r="AW6" s="1347"/>
      <c r="AX6" s="1347"/>
      <c r="AY6" s="1347"/>
      <c r="AZ6" s="1347"/>
      <c r="BA6" s="1347"/>
      <c r="BB6" s="1347"/>
      <c r="BC6" s="1347"/>
      <c r="BD6" s="1347"/>
      <c r="BE6" s="1347"/>
      <c r="BF6" s="1347"/>
      <c r="BG6" s="1347"/>
      <c r="BH6" s="1347"/>
      <c r="BI6" s="1347"/>
      <c r="BJ6" s="1347"/>
      <c r="BK6" s="1347"/>
      <c r="BL6" s="1347"/>
      <c r="BM6" s="1347"/>
      <c r="BN6" s="1347"/>
      <c r="BO6" s="1347"/>
      <c r="BP6" s="1347"/>
      <c r="BQ6" s="1347"/>
      <c r="BR6" s="1347"/>
      <c r="BS6" s="1347"/>
      <c r="BT6" s="1347"/>
      <c r="BU6" s="1347"/>
      <c r="BV6" s="1347"/>
      <c r="BW6" s="1347"/>
      <c r="BX6" s="1347"/>
      <c r="BY6" s="1347"/>
      <c r="BZ6" s="1347"/>
      <c r="CA6" s="1347"/>
      <c r="CB6" s="1347"/>
      <c r="CC6" s="1347"/>
      <c r="CD6" s="1347"/>
      <c r="CE6" s="1347"/>
      <c r="CF6" s="1347"/>
      <c r="CG6" s="1347"/>
    </row>
    <row r="7" spans="1:85">
      <c r="A7" s="1354" t="s">
        <v>906</v>
      </c>
      <c r="B7" s="1353"/>
      <c r="C7" s="1018">
        <f>SUM(C4:C6)</f>
        <v>0</v>
      </c>
      <c r="D7" s="1355" t="s">
        <v>625</v>
      </c>
      <c r="E7" s="1019">
        <f>SUM(E4:E6)</f>
        <v>0</v>
      </c>
      <c r="F7" s="1356"/>
      <c r="G7" s="1357"/>
      <c r="H7" s="1347"/>
      <c r="I7" s="1347"/>
      <c r="J7" s="1347"/>
      <c r="K7" s="1347"/>
      <c r="L7" s="1347"/>
      <c r="M7" s="1347"/>
      <c r="N7" s="1347"/>
      <c r="O7" s="1347"/>
      <c r="P7" s="1347"/>
      <c r="Q7" s="1347"/>
      <c r="R7" s="1347"/>
      <c r="S7" s="1347"/>
      <c r="T7" s="1347"/>
      <c r="U7" s="1347"/>
      <c r="V7" s="1347"/>
      <c r="W7" s="1347"/>
      <c r="X7" s="1347"/>
      <c r="Y7" s="1347"/>
      <c r="Z7" s="1347"/>
      <c r="AA7" s="1347"/>
      <c r="AB7" s="1347"/>
      <c r="AC7" s="1347"/>
      <c r="AD7" s="1347"/>
      <c r="AE7" s="1347"/>
      <c r="AF7" s="1347"/>
      <c r="AG7" s="1347"/>
      <c r="AH7" s="1347"/>
      <c r="AI7" s="1347"/>
      <c r="AJ7" s="1347"/>
      <c r="AK7" s="1347"/>
      <c r="AL7" s="1347"/>
      <c r="AM7" s="1347"/>
      <c r="AN7" s="1347"/>
      <c r="AO7" s="1347"/>
      <c r="AP7" s="1347"/>
      <c r="AQ7" s="1347"/>
      <c r="AR7" s="1347"/>
      <c r="AS7" s="1347"/>
      <c r="AT7" s="1347"/>
      <c r="AU7" s="1347"/>
      <c r="AV7" s="1347"/>
      <c r="AW7" s="1347"/>
      <c r="AX7" s="1347"/>
      <c r="AY7" s="1347"/>
      <c r="AZ7" s="1347"/>
      <c r="BA7" s="1347"/>
      <c r="BB7" s="1347"/>
      <c r="BC7" s="1347"/>
      <c r="BD7" s="1347"/>
      <c r="BE7" s="1347"/>
      <c r="BF7" s="1347"/>
      <c r="BG7" s="1347"/>
      <c r="BH7" s="1347"/>
      <c r="BI7" s="1347"/>
      <c r="BJ7" s="1347"/>
      <c r="BK7" s="1347"/>
      <c r="BL7" s="1347"/>
      <c r="BM7" s="1347"/>
      <c r="BN7" s="1347"/>
      <c r="BO7" s="1347"/>
      <c r="BP7" s="1347"/>
      <c r="BQ7" s="1347"/>
      <c r="BR7" s="1347"/>
      <c r="BS7" s="1347"/>
      <c r="BT7" s="1347"/>
      <c r="BU7" s="1347"/>
      <c r="BV7" s="1347"/>
      <c r="BW7" s="1347"/>
      <c r="BX7" s="1347"/>
      <c r="BY7" s="1347"/>
      <c r="BZ7" s="1347"/>
      <c r="CA7" s="1347"/>
      <c r="CB7" s="1347"/>
      <c r="CC7" s="1347"/>
      <c r="CD7" s="1347"/>
      <c r="CE7" s="1347"/>
      <c r="CF7" s="1347"/>
      <c r="CG7" s="1347"/>
    </row>
    <row r="8" spans="1:85">
      <c r="A8" s="1358" t="s">
        <v>626</v>
      </c>
      <c r="B8" s="926">
        <v>0</v>
      </c>
      <c r="C8" s="1359"/>
      <c r="D8" s="1360"/>
      <c r="E8" s="1361"/>
      <c r="F8" s="1356"/>
      <c r="G8" s="1357"/>
      <c r="H8" s="1347"/>
      <c r="I8" s="1347"/>
      <c r="J8" s="1347"/>
      <c r="K8" s="1347"/>
      <c r="L8" s="1347"/>
      <c r="M8" s="1347"/>
      <c r="N8" s="1347"/>
      <c r="O8" s="1347"/>
      <c r="P8" s="1347"/>
      <c r="Q8" s="1347"/>
      <c r="R8" s="1347"/>
      <c r="S8" s="1347"/>
      <c r="T8" s="1347"/>
      <c r="U8" s="1347"/>
      <c r="V8" s="1347"/>
      <c r="W8" s="1347"/>
      <c r="X8" s="1347"/>
      <c r="Y8" s="1347"/>
      <c r="Z8" s="1347"/>
      <c r="AA8" s="1347"/>
      <c r="AB8" s="1347"/>
      <c r="AC8" s="1347"/>
      <c r="AD8" s="1347"/>
      <c r="AE8" s="1347"/>
      <c r="AF8" s="1347"/>
      <c r="AG8" s="1347"/>
      <c r="AH8" s="1347"/>
      <c r="AI8" s="1347"/>
      <c r="AJ8" s="1347"/>
      <c r="AK8" s="1347"/>
      <c r="AL8" s="1347"/>
      <c r="AM8" s="1347"/>
      <c r="AN8" s="1347"/>
      <c r="AO8" s="1347"/>
      <c r="AP8" s="1347"/>
      <c r="AQ8" s="1347"/>
      <c r="AR8" s="1347"/>
      <c r="AS8" s="1347"/>
      <c r="AT8" s="1347"/>
      <c r="AU8" s="1347"/>
      <c r="AV8" s="1347"/>
      <c r="AW8" s="1347"/>
      <c r="AX8" s="1347"/>
      <c r="AY8" s="1347"/>
      <c r="AZ8" s="1347"/>
      <c r="BA8" s="1347"/>
      <c r="BB8" s="1347"/>
      <c r="BC8" s="1347"/>
      <c r="BD8" s="1347"/>
      <c r="BE8" s="1347"/>
      <c r="BF8" s="1347"/>
      <c r="BG8" s="1347"/>
      <c r="BH8" s="1347"/>
      <c r="BI8" s="1347"/>
      <c r="BJ8" s="1347"/>
      <c r="BK8" s="1347"/>
      <c r="BL8" s="1347"/>
      <c r="BM8" s="1347"/>
      <c r="BN8" s="1347"/>
      <c r="BO8" s="1347"/>
      <c r="BP8" s="1347"/>
      <c r="BQ8" s="1347"/>
      <c r="BR8" s="1347"/>
      <c r="BS8" s="1347"/>
      <c r="BT8" s="1347"/>
      <c r="BU8" s="1347"/>
      <c r="BV8" s="1347"/>
      <c r="BW8" s="1347"/>
      <c r="BX8" s="1347"/>
      <c r="BY8" s="1347"/>
      <c r="BZ8" s="1347"/>
      <c r="CA8" s="1347"/>
      <c r="CB8" s="1347"/>
      <c r="CC8" s="1347"/>
      <c r="CD8" s="1347"/>
      <c r="CE8" s="1347"/>
      <c r="CF8" s="1347"/>
      <c r="CG8" s="1347"/>
    </row>
    <row r="9" spans="1:85">
      <c r="A9" s="1354" t="s">
        <v>907</v>
      </c>
      <c r="B9" s="927">
        <f>SUM(C4:C6,E4:E6,B8)</f>
        <v>0</v>
      </c>
      <c r="C9" s="1359"/>
      <c r="D9" s="1360"/>
      <c r="E9" s="1361"/>
      <c r="F9" s="1356"/>
      <c r="G9" s="1357"/>
      <c r="H9" s="1347"/>
      <c r="I9" s="1347"/>
      <c r="J9" s="1347"/>
      <c r="K9" s="1347"/>
      <c r="L9" s="1347"/>
      <c r="M9" s="1347"/>
      <c r="N9" s="1347"/>
      <c r="O9" s="1347"/>
      <c r="P9" s="1347"/>
      <c r="Q9" s="1347"/>
      <c r="R9" s="1347"/>
      <c r="S9" s="1347"/>
      <c r="T9" s="1347"/>
      <c r="U9" s="1347"/>
      <c r="V9" s="1347"/>
      <c r="W9" s="1347"/>
      <c r="X9" s="1347"/>
      <c r="Y9" s="1347"/>
      <c r="Z9" s="1347"/>
      <c r="AA9" s="1347"/>
      <c r="AB9" s="1347"/>
      <c r="AC9" s="1347"/>
      <c r="AD9" s="1347"/>
      <c r="AE9" s="1347"/>
      <c r="AF9" s="1347"/>
      <c r="AG9" s="1347"/>
      <c r="AH9" s="1347"/>
      <c r="AI9" s="1347"/>
      <c r="AJ9" s="1347"/>
      <c r="AK9" s="1347"/>
      <c r="AL9" s="1347"/>
      <c r="AM9" s="1347"/>
      <c r="AN9" s="1347"/>
      <c r="AO9" s="1347"/>
      <c r="AP9" s="1347"/>
      <c r="AQ9" s="1347"/>
      <c r="AR9" s="1347"/>
      <c r="AS9" s="1347"/>
      <c r="AT9" s="1347"/>
      <c r="AU9" s="1347"/>
      <c r="AV9" s="1347"/>
      <c r="AW9" s="1347"/>
      <c r="AX9" s="1347"/>
      <c r="AY9" s="1347"/>
      <c r="AZ9" s="1347"/>
      <c r="BA9" s="1347"/>
      <c r="BB9" s="1347"/>
      <c r="BC9" s="1347"/>
      <c r="BD9" s="1347"/>
      <c r="BE9" s="1347"/>
      <c r="BF9" s="1347"/>
      <c r="BG9" s="1347"/>
      <c r="BH9" s="1347"/>
      <c r="BI9" s="1347"/>
      <c r="BJ9" s="1347"/>
      <c r="BK9" s="1347"/>
      <c r="BL9" s="1347"/>
      <c r="BM9" s="1347"/>
      <c r="BN9" s="1347"/>
      <c r="BO9" s="1347"/>
      <c r="BP9" s="1347"/>
      <c r="BQ9" s="1347"/>
      <c r="BR9" s="1347"/>
      <c r="BS9" s="1347"/>
      <c r="BT9" s="1347"/>
      <c r="BU9" s="1347"/>
      <c r="BV9" s="1347"/>
      <c r="BW9" s="1347"/>
      <c r="BX9" s="1347"/>
      <c r="BY9" s="1347"/>
      <c r="BZ9" s="1347"/>
      <c r="CA9" s="1347"/>
      <c r="CB9" s="1347"/>
      <c r="CC9" s="1347"/>
      <c r="CD9" s="1347"/>
      <c r="CE9" s="1347"/>
      <c r="CF9" s="1347"/>
      <c r="CG9" s="1347"/>
    </row>
    <row r="10" spans="1:85">
      <c r="A10" s="1362" t="s">
        <v>908</v>
      </c>
      <c r="B10" s="928">
        <v>0</v>
      </c>
      <c r="C10" s="1360"/>
      <c r="D10" s="1363" t="s">
        <v>910</v>
      </c>
      <c r="E10" s="932">
        <v>0</v>
      </c>
      <c r="F10" s="1356"/>
      <c r="G10" s="1357"/>
      <c r="H10" s="1347"/>
      <c r="I10" s="1347"/>
      <c r="J10" s="1347"/>
      <c r="K10" s="1347"/>
      <c r="L10" s="1347"/>
      <c r="M10" s="1347"/>
      <c r="N10" s="1347"/>
      <c r="O10" s="1347"/>
      <c r="P10" s="1347"/>
      <c r="Q10" s="1347"/>
      <c r="R10" s="1347"/>
      <c r="S10" s="1347"/>
      <c r="T10" s="1347"/>
      <c r="U10" s="1347"/>
      <c r="V10" s="1347"/>
      <c r="W10" s="1347"/>
      <c r="X10" s="1347"/>
      <c r="Y10" s="1347"/>
      <c r="Z10" s="1347"/>
      <c r="AA10" s="1347"/>
      <c r="AB10" s="1347"/>
      <c r="AC10" s="1347"/>
      <c r="AD10" s="1347"/>
      <c r="AE10" s="1347"/>
      <c r="AF10" s="1347"/>
      <c r="AG10" s="1347"/>
      <c r="AH10" s="1347"/>
      <c r="AI10" s="1347"/>
      <c r="AJ10" s="1347"/>
      <c r="AK10" s="1347"/>
      <c r="AL10" s="1347"/>
      <c r="AM10" s="1347"/>
      <c r="AN10" s="1347"/>
      <c r="AO10" s="1347"/>
      <c r="AP10" s="1347"/>
      <c r="AQ10" s="1347"/>
      <c r="AR10" s="1347"/>
      <c r="AS10" s="1347"/>
      <c r="AT10" s="1347"/>
      <c r="AU10" s="1347"/>
      <c r="AV10" s="1347"/>
      <c r="AW10" s="1347"/>
      <c r="AX10" s="1347"/>
      <c r="AY10" s="1347"/>
      <c r="AZ10" s="1347"/>
      <c r="BA10" s="1347"/>
      <c r="BB10" s="1347"/>
      <c r="BC10" s="1347"/>
      <c r="BD10" s="1347"/>
      <c r="BE10" s="1347"/>
      <c r="BF10" s="1347"/>
      <c r="BG10" s="1347"/>
      <c r="BH10" s="1347"/>
      <c r="BI10" s="1347"/>
      <c r="BJ10" s="1347"/>
      <c r="BK10" s="1347"/>
      <c r="BL10" s="1347"/>
      <c r="BM10" s="1347"/>
      <c r="BN10" s="1347"/>
      <c r="BO10" s="1347"/>
      <c r="BP10" s="1347"/>
      <c r="BQ10" s="1347"/>
      <c r="BR10" s="1347"/>
      <c r="BS10" s="1347"/>
      <c r="BT10" s="1347"/>
      <c r="BU10" s="1347"/>
      <c r="BV10" s="1347"/>
      <c r="BW10" s="1347"/>
      <c r="BX10" s="1347"/>
      <c r="BY10" s="1347"/>
      <c r="BZ10" s="1347"/>
      <c r="CA10" s="1347"/>
      <c r="CB10" s="1347"/>
      <c r="CC10" s="1347"/>
      <c r="CD10" s="1347"/>
      <c r="CE10" s="1347"/>
      <c r="CF10" s="1347"/>
      <c r="CG10" s="1347"/>
    </row>
    <row r="11" spans="1:85">
      <c r="A11" s="1362" t="s">
        <v>909</v>
      </c>
      <c r="B11" s="928">
        <v>0</v>
      </c>
      <c r="C11" s="1360"/>
      <c r="D11" s="1363" t="s">
        <v>911</v>
      </c>
      <c r="E11" s="932">
        <v>0</v>
      </c>
      <c r="F11" s="1356"/>
      <c r="G11" s="1357"/>
      <c r="H11" s="1347"/>
      <c r="I11" s="1347"/>
      <c r="J11" s="1347"/>
      <c r="K11" s="1347"/>
      <c r="L11" s="1365"/>
      <c r="M11" s="1347"/>
      <c r="N11" s="1347"/>
      <c r="O11" s="1347"/>
      <c r="P11" s="1347"/>
      <c r="Q11" s="1347"/>
      <c r="R11" s="1347"/>
      <c r="S11" s="1347"/>
      <c r="T11" s="1347"/>
      <c r="U11" s="1347"/>
      <c r="V11" s="1347"/>
      <c r="W11" s="1347"/>
      <c r="X11" s="1347"/>
      <c r="Y11" s="1347"/>
      <c r="Z11" s="1347"/>
      <c r="AA11" s="1347"/>
      <c r="AB11" s="1347"/>
      <c r="AC11" s="1347"/>
      <c r="AD11" s="1347"/>
      <c r="AE11" s="1347"/>
      <c r="AF11" s="1347"/>
      <c r="AG11" s="1347"/>
      <c r="AH11" s="1347"/>
      <c r="AI11" s="1347"/>
      <c r="AJ11" s="1347"/>
      <c r="AK11" s="1347"/>
      <c r="AL11" s="1347"/>
      <c r="AM11" s="1347"/>
      <c r="AN11" s="1347"/>
      <c r="AO11" s="1347"/>
      <c r="AP11" s="1347"/>
      <c r="AQ11" s="1347"/>
      <c r="AR11" s="1347"/>
      <c r="AS11" s="1347"/>
      <c r="AT11" s="1347"/>
      <c r="AU11" s="1347"/>
      <c r="AV11" s="1347"/>
      <c r="AW11" s="1347"/>
      <c r="AX11" s="1347"/>
      <c r="AY11" s="1347"/>
      <c r="AZ11" s="1347"/>
      <c r="BA11" s="1347"/>
      <c r="BB11" s="1347"/>
      <c r="BC11" s="1347"/>
      <c r="BD11" s="1347"/>
      <c r="BE11" s="1347"/>
      <c r="BF11" s="1347"/>
      <c r="BG11" s="1347"/>
      <c r="BH11" s="1347"/>
      <c r="BI11" s="1347"/>
      <c r="BJ11" s="1347"/>
      <c r="BK11" s="1347"/>
      <c r="BL11" s="1347"/>
      <c r="BM11" s="1347"/>
      <c r="BN11" s="1347"/>
      <c r="BO11" s="1347"/>
      <c r="BP11" s="1347"/>
      <c r="BQ11" s="1347"/>
      <c r="BR11" s="1347"/>
      <c r="BS11" s="1347"/>
      <c r="BT11" s="1347"/>
      <c r="BU11" s="1347"/>
      <c r="BV11" s="1347"/>
      <c r="BW11" s="1347"/>
      <c r="BX11" s="1347"/>
      <c r="BY11" s="1347"/>
      <c r="BZ11" s="1347"/>
      <c r="CA11" s="1347"/>
      <c r="CB11" s="1347"/>
      <c r="CC11" s="1347"/>
      <c r="CD11" s="1347"/>
      <c r="CE11" s="1347"/>
      <c r="CF11" s="1347"/>
      <c r="CG11" s="1347"/>
    </row>
    <row r="12" spans="1:85">
      <c r="A12" s="1366" t="s">
        <v>753</v>
      </c>
      <c r="B12" s="926">
        <v>0</v>
      </c>
      <c r="C12" s="1367"/>
      <c r="D12" s="1353"/>
      <c r="E12" s="1364"/>
      <c r="F12" s="1356"/>
      <c r="G12" s="1357"/>
      <c r="H12" s="1347"/>
      <c r="I12" s="1347"/>
      <c r="J12" s="1347"/>
      <c r="K12" s="1347"/>
      <c r="L12" s="1347"/>
      <c r="M12" s="1347"/>
      <c r="N12" s="1347"/>
      <c r="O12" s="1347"/>
      <c r="P12" s="1347"/>
      <c r="Q12" s="1347"/>
      <c r="R12" s="1347"/>
      <c r="S12" s="1347"/>
      <c r="T12" s="1347"/>
      <c r="U12" s="1347"/>
      <c r="V12" s="1347"/>
      <c r="W12" s="1347"/>
      <c r="X12" s="1347"/>
      <c r="Y12" s="1347"/>
      <c r="Z12" s="1347"/>
      <c r="AA12" s="1347"/>
      <c r="AB12" s="1347"/>
      <c r="AC12" s="1347"/>
      <c r="AD12" s="1347"/>
      <c r="AE12" s="1347"/>
      <c r="AF12" s="1347"/>
      <c r="AG12" s="1347"/>
      <c r="AH12" s="1347"/>
      <c r="AI12" s="1347"/>
      <c r="AJ12" s="1347"/>
      <c r="AK12" s="1347"/>
      <c r="AL12" s="1347"/>
      <c r="AM12" s="1347"/>
      <c r="AN12" s="1347"/>
      <c r="AO12" s="1347"/>
      <c r="AP12" s="1347"/>
      <c r="AQ12" s="1347"/>
      <c r="AR12" s="1347"/>
      <c r="AS12" s="1347"/>
      <c r="AT12" s="1347"/>
      <c r="AU12" s="1347"/>
      <c r="AV12" s="1347"/>
      <c r="AW12" s="1347"/>
      <c r="AX12" s="1347"/>
      <c r="AY12" s="1347"/>
      <c r="AZ12" s="1347"/>
      <c r="BA12" s="1347"/>
      <c r="BB12" s="1347"/>
      <c r="BC12" s="1347"/>
      <c r="BD12" s="1347"/>
      <c r="BE12" s="1347"/>
      <c r="BF12" s="1347"/>
      <c r="BG12" s="1347"/>
      <c r="BH12" s="1347"/>
      <c r="BI12" s="1347"/>
      <c r="BJ12" s="1347"/>
      <c r="BK12" s="1347"/>
      <c r="BL12" s="1347"/>
      <c r="BM12" s="1347"/>
      <c r="BN12" s="1347"/>
      <c r="BO12" s="1347"/>
      <c r="BP12" s="1347"/>
      <c r="BQ12" s="1347"/>
      <c r="BR12" s="1347"/>
      <c r="BS12" s="1347"/>
      <c r="BT12" s="1347"/>
      <c r="BU12" s="1347"/>
      <c r="BV12" s="1347"/>
      <c r="BW12" s="1347"/>
      <c r="BX12" s="1347"/>
      <c r="BY12" s="1347"/>
      <c r="BZ12" s="1347"/>
      <c r="CA12" s="1347"/>
      <c r="CB12" s="1347"/>
      <c r="CC12" s="1347"/>
      <c r="CD12" s="1347"/>
      <c r="CE12" s="1347"/>
      <c r="CF12" s="1347"/>
      <c r="CG12" s="1347"/>
    </row>
    <row r="13" spans="1:85">
      <c r="A13" s="1362" t="s">
        <v>1282</v>
      </c>
      <c r="B13" s="926">
        <v>0</v>
      </c>
      <c r="C13" s="1360"/>
      <c r="D13" s="1353"/>
      <c r="E13" s="1364"/>
      <c r="F13" s="1356"/>
      <c r="G13" s="1357"/>
      <c r="H13" s="1347"/>
      <c r="I13" s="1347"/>
      <c r="J13" s="1347"/>
      <c r="K13" s="1347"/>
      <c r="L13" s="1347"/>
      <c r="M13" s="1347"/>
      <c r="N13" s="1347"/>
      <c r="O13" s="1347"/>
      <c r="P13" s="1347"/>
      <c r="Q13" s="1347"/>
      <c r="R13" s="1347"/>
      <c r="S13" s="1347"/>
      <c r="T13" s="1347"/>
      <c r="U13" s="1347"/>
      <c r="V13" s="1347"/>
      <c r="W13" s="1347"/>
      <c r="X13" s="1347"/>
      <c r="Y13" s="1347"/>
      <c r="Z13" s="1347"/>
      <c r="AA13" s="1347"/>
      <c r="AB13" s="1347"/>
      <c r="AC13" s="1347"/>
      <c r="AD13" s="1347"/>
      <c r="AE13" s="1347"/>
      <c r="AF13" s="1347"/>
      <c r="AG13" s="1347"/>
      <c r="AH13" s="1347"/>
      <c r="AI13" s="1347"/>
      <c r="AJ13" s="1347"/>
      <c r="AK13" s="1347"/>
      <c r="AL13" s="1347"/>
      <c r="AM13" s="1347"/>
      <c r="AN13" s="1347"/>
      <c r="AO13" s="1347"/>
      <c r="AP13" s="1347"/>
      <c r="AQ13" s="1347"/>
      <c r="AR13" s="1347"/>
      <c r="AS13" s="1347"/>
      <c r="AT13" s="1347"/>
      <c r="AU13" s="1347"/>
      <c r="AV13" s="1347"/>
      <c r="AW13" s="1347"/>
      <c r="AX13" s="1347"/>
      <c r="AY13" s="1347"/>
      <c r="AZ13" s="1347"/>
      <c r="BA13" s="1347"/>
      <c r="BB13" s="1347"/>
      <c r="BC13" s="1347"/>
      <c r="BD13" s="1347"/>
      <c r="BE13" s="1347"/>
      <c r="BF13" s="1347"/>
      <c r="BG13" s="1347"/>
      <c r="BH13" s="1347"/>
      <c r="BI13" s="1347"/>
      <c r="BJ13" s="1347"/>
      <c r="BK13" s="1347"/>
      <c r="BL13" s="1347"/>
      <c r="BM13" s="1347"/>
      <c r="BN13" s="1347"/>
      <c r="BO13" s="1347"/>
      <c r="BP13" s="1347"/>
      <c r="BQ13" s="1347"/>
      <c r="BR13" s="1347"/>
      <c r="BS13" s="1347"/>
      <c r="BT13" s="1347"/>
      <c r="BU13" s="1347"/>
      <c r="BV13" s="1347"/>
      <c r="BW13" s="1347"/>
      <c r="BX13" s="1347"/>
      <c r="BY13" s="1347"/>
      <c r="BZ13" s="1347"/>
      <c r="CA13" s="1347"/>
      <c r="CB13" s="1347"/>
      <c r="CC13" s="1347"/>
      <c r="CD13" s="1347"/>
      <c r="CE13" s="1347"/>
      <c r="CF13" s="1347"/>
      <c r="CG13" s="1347"/>
    </row>
    <row r="14" spans="1:85" ht="30">
      <c r="A14" s="1368" t="s">
        <v>1143</v>
      </c>
      <c r="B14" s="929">
        <v>0</v>
      </c>
      <c r="C14" s="1369"/>
      <c r="D14" s="1369"/>
      <c r="E14" s="1370"/>
      <c r="F14" s="1356"/>
      <c r="G14" s="1357"/>
      <c r="H14" s="1347"/>
      <c r="I14" s="1347"/>
      <c r="J14" s="1347"/>
      <c r="K14" s="1347"/>
      <c r="L14" s="1347"/>
      <c r="M14" s="1347"/>
      <c r="N14" s="1347"/>
      <c r="O14" s="1347"/>
      <c r="P14" s="1347"/>
      <c r="Q14" s="1347"/>
      <c r="R14" s="1347"/>
      <c r="S14" s="1347"/>
      <c r="T14" s="1347"/>
      <c r="U14" s="1347"/>
      <c r="V14" s="1347"/>
      <c r="W14" s="1347"/>
      <c r="X14" s="1347"/>
      <c r="Y14" s="1347"/>
      <c r="Z14" s="1347"/>
      <c r="AA14" s="1347"/>
      <c r="AB14" s="1347"/>
      <c r="AC14" s="1347"/>
      <c r="AD14" s="1347"/>
      <c r="AE14" s="1347"/>
      <c r="AF14" s="1347"/>
      <c r="AG14" s="1347"/>
      <c r="AH14" s="1347"/>
      <c r="AI14" s="1347"/>
      <c r="AJ14" s="1347"/>
      <c r="AK14" s="1347"/>
      <c r="AL14" s="1347"/>
      <c r="AM14" s="1347"/>
      <c r="AN14" s="1347"/>
      <c r="AO14" s="1347"/>
      <c r="AP14" s="1347"/>
      <c r="AQ14" s="1347"/>
      <c r="AR14" s="1347"/>
      <c r="AS14" s="1347"/>
      <c r="AT14" s="1347"/>
      <c r="AU14" s="1347"/>
      <c r="AV14" s="1347"/>
      <c r="AW14" s="1347"/>
      <c r="AX14" s="1347"/>
      <c r="AY14" s="1347"/>
      <c r="AZ14" s="1347"/>
      <c r="BA14" s="1347"/>
      <c r="BB14" s="1347"/>
      <c r="BC14" s="1347"/>
      <c r="BD14" s="1347"/>
      <c r="BE14" s="1347"/>
      <c r="BF14" s="1347"/>
      <c r="BG14" s="1347"/>
      <c r="BH14" s="1347"/>
      <c r="BI14" s="1347"/>
      <c r="BJ14" s="1347"/>
      <c r="BK14" s="1347"/>
      <c r="BL14" s="1347"/>
      <c r="BM14" s="1347"/>
      <c r="BN14" s="1347"/>
      <c r="BO14" s="1347"/>
      <c r="BP14" s="1347"/>
      <c r="BQ14" s="1347"/>
      <c r="BR14" s="1347"/>
      <c r="BS14" s="1347"/>
      <c r="BT14" s="1347"/>
      <c r="BU14" s="1347"/>
      <c r="BV14" s="1347"/>
      <c r="BW14" s="1347"/>
      <c r="BX14" s="1347"/>
      <c r="BY14" s="1347"/>
      <c r="BZ14" s="1347"/>
      <c r="CA14" s="1347"/>
      <c r="CB14" s="1347"/>
      <c r="CC14" s="1347"/>
      <c r="CD14" s="1347"/>
      <c r="CE14" s="1347"/>
      <c r="CF14" s="1347"/>
      <c r="CG14" s="1347"/>
    </row>
    <row r="15" spans="1:85" ht="18.75">
      <c r="A15" s="1705" t="s">
        <v>825</v>
      </c>
      <c r="B15" s="1706"/>
      <c r="C15" s="1706"/>
      <c r="D15" s="1706"/>
      <c r="E15" s="1707"/>
      <c r="F15" s="1356"/>
      <c r="G15" s="1357"/>
      <c r="H15" s="1347"/>
      <c r="I15" s="1347"/>
      <c r="J15" s="1347"/>
      <c r="K15" s="1347"/>
      <c r="L15" s="1347"/>
      <c r="M15" s="1365"/>
      <c r="N15" s="1347"/>
      <c r="O15" s="1347"/>
      <c r="P15" s="1365"/>
      <c r="Q15" s="1347"/>
      <c r="R15" s="1347"/>
      <c r="S15" s="1347"/>
      <c r="T15" s="1347"/>
      <c r="U15" s="1347"/>
      <c r="V15" s="1347"/>
      <c r="W15" s="1347"/>
      <c r="X15" s="1347"/>
      <c r="Y15" s="1347"/>
      <c r="Z15" s="1347"/>
      <c r="AA15" s="1347"/>
      <c r="AB15" s="1347"/>
      <c r="AC15" s="1347"/>
      <c r="AD15" s="1347"/>
      <c r="AE15" s="1347"/>
      <c r="AF15" s="1347"/>
      <c r="AG15" s="1347"/>
      <c r="AH15" s="1347"/>
      <c r="AI15" s="1347"/>
      <c r="AJ15" s="1347"/>
      <c r="AK15" s="1347"/>
      <c r="AL15" s="1347"/>
      <c r="AM15" s="1347"/>
      <c r="AN15" s="1347"/>
      <c r="AO15" s="1347"/>
      <c r="AP15" s="1347"/>
      <c r="AQ15" s="1347"/>
      <c r="AR15" s="1347"/>
      <c r="AS15" s="1347"/>
      <c r="AT15" s="1347"/>
      <c r="AU15" s="1347"/>
      <c r="AV15" s="1347"/>
      <c r="AW15" s="1347"/>
      <c r="AX15" s="1347"/>
      <c r="AY15" s="1347"/>
      <c r="AZ15" s="1347"/>
      <c r="BA15" s="1347"/>
      <c r="BB15" s="1347"/>
      <c r="BC15" s="1347"/>
      <c r="BD15" s="1347"/>
      <c r="BE15" s="1347"/>
      <c r="BF15" s="1347"/>
      <c r="BG15" s="1347"/>
      <c r="BH15" s="1347"/>
      <c r="BI15" s="1347"/>
      <c r="BJ15" s="1347"/>
      <c r="BK15" s="1347"/>
      <c r="BL15" s="1347"/>
      <c r="BM15" s="1347"/>
      <c r="BN15" s="1347"/>
      <c r="BO15" s="1347"/>
      <c r="BP15" s="1347"/>
      <c r="BQ15" s="1347"/>
      <c r="BR15" s="1347"/>
      <c r="BS15" s="1347"/>
      <c r="BT15" s="1347"/>
      <c r="BU15" s="1347"/>
      <c r="BV15" s="1347"/>
      <c r="BW15" s="1347"/>
      <c r="BX15" s="1347"/>
      <c r="BY15" s="1347"/>
      <c r="BZ15" s="1347"/>
      <c r="CA15" s="1347"/>
      <c r="CB15" s="1347"/>
      <c r="CC15" s="1347"/>
      <c r="CD15" s="1347"/>
      <c r="CE15" s="1347"/>
      <c r="CF15" s="1347"/>
      <c r="CG15" s="1347"/>
    </row>
    <row r="16" spans="1:85" ht="30">
      <c r="A16" s="1371" t="s">
        <v>912</v>
      </c>
      <c r="B16" s="1339">
        <v>0</v>
      </c>
      <c r="C16" s="1372"/>
      <c r="D16" s="1372"/>
      <c r="E16" s="1372"/>
      <c r="F16" s="1356"/>
      <c r="G16" s="1357"/>
      <c r="H16" s="1347"/>
      <c r="I16" s="1347"/>
      <c r="J16" s="1347"/>
      <c r="K16" s="1347"/>
      <c r="L16" s="1347"/>
      <c r="M16" s="1365"/>
      <c r="N16" s="1347"/>
      <c r="O16" s="1347"/>
      <c r="P16" s="1365"/>
      <c r="Q16" s="1347"/>
      <c r="R16" s="1347"/>
      <c r="S16" s="1347"/>
      <c r="T16" s="1347"/>
      <c r="U16" s="1347"/>
      <c r="V16" s="1347"/>
      <c r="W16" s="1347"/>
      <c r="X16" s="1347"/>
      <c r="Y16" s="1347"/>
      <c r="Z16" s="1347"/>
      <c r="AA16" s="1347"/>
      <c r="AB16" s="1347"/>
      <c r="AC16" s="1347"/>
      <c r="AD16" s="1347"/>
      <c r="AE16" s="1347"/>
      <c r="AF16" s="1347"/>
      <c r="AG16" s="1347"/>
      <c r="AH16" s="1347"/>
      <c r="AI16" s="1347"/>
      <c r="AJ16" s="1347"/>
      <c r="AK16" s="1347"/>
      <c r="AL16" s="1347"/>
      <c r="AM16" s="1347"/>
      <c r="AN16" s="1347"/>
      <c r="AO16" s="1347"/>
      <c r="AP16" s="1347"/>
      <c r="AQ16" s="1347"/>
      <c r="AR16" s="1347"/>
      <c r="AS16" s="1347"/>
      <c r="AT16" s="1347"/>
      <c r="AU16" s="1347"/>
      <c r="AV16" s="1347"/>
      <c r="AW16" s="1347"/>
      <c r="AX16" s="1347"/>
      <c r="AY16" s="1347"/>
      <c r="AZ16" s="1347"/>
      <c r="BA16" s="1347"/>
      <c r="BB16" s="1347"/>
      <c r="BC16" s="1347"/>
      <c r="BD16" s="1347"/>
      <c r="BE16" s="1347"/>
      <c r="BF16" s="1347"/>
      <c r="BG16" s="1347"/>
      <c r="BH16" s="1347"/>
      <c r="BI16" s="1347"/>
      <c r="BJ16" s="1347"/>
      <c r="BK16" s="1347"/>
      <c r="BL16" s="1347"/>
      <c r="BM16" s="1347"/>
      <c r="BN16" s="1347"/>
      <c r="BO16" s="1347"/>
      <c r="BP16" s="1347"/>
      <c r="BQ16" s="1347"/>
      <c r="BR16" s="1347"/>
      <c r="BS16" s="1347"/>
      <c r="BT16" s="1347"/>
      <c r="BU16" s="1347"/>
      <c r="BV16" s="1347"/>
      <c r="BW16" s="1347"/>
      <c r="BX16" s="1347"/>
      <c r="BY16" s="1347"/>
      <c r="BZ16" s="1347"/>
      <c r="CA16" s="1347"/>
      <c r="CB16" s="1347"/>
      <c r="CC16" s="1347"/>
      <c r="CD16" s="1347"/>
      <c r="CE16" s="1347"/>
      <c r="CF16" s="1347"/>
      <c r="CG16" s="1347"/>
    </row>
    <row r="17" spans="1:85" ht="45">
      <c r="A17" s="1373" t="s">
        <v>632</v>
      </c>
      <c r="B17" s="1340">
        <v>0</v>
      </c>
      <c r="C17" s="1372"/>
      <c r="D17" s="1373" t="s">
        <v>633</v>
      </c>
      <c r="E17" s="1340">
        <v>0</v>
      </c>
      <c r="F17" s="1356"/>
      <c r="G17" s="1357"/>
      <c r="H17" s="1347"/>
      <c r="I17" s="1347"/>
      <c r="J17" s="1347"/>
      <c r="K17" s="1347"/>
      <c r="L17" s="1347"/>
      <c r="M17" s="1347"/>
      <c r="N17" s="1347"/>
      <c r="O17" s="1347"/>
      <c r="P17" s="1365"/>
      <c r="Q17" s="1347"/>
      <c r="R17" s="1347"/>
      <c r="S17" s="1347"/>
      <c r="T17" s="1347"/>
      <c r="U17" s="1347"/>
      <c r="V17" s="1347"/>
      <c r="W17" s="1347"/>
      <c r="X17" s="1347"/>
      <c r="Y17" s="1347"/>
      <c r="Z17" s="1347"/>
      <c r="AA17" s="1347"/>
      <c r="AB17" s="1347"/>
      <c r="AC17" s="1347"/>
      <c r="AD17" s="1347"/>
      <c r="AE17" s="1347"/>
      <c r="AF17" s="1347"/>
      <c r="AG17" s="1347"/>
      <c r="AH17" s="1347"/>
      <c r="AI17" s="1347"/>
      <c r="AJ17" s="1347"/>
      <c r="AK17" s="1347"/>
      <c r="AL17" s="1347"/>
      <c r="AM17" s="1347"/>
      <c r="AN17" s="1347"/>
      <c r="AO17" s="1347"/>
      <c r="AP17" s="1347"/>
      <c r="AQ17" s="1347"/>
      <c r="AR17" s="1347"/>
      <c r="AS17" s="1347"/>
      <c r="AT17" s="1347"/>
      <c r="AU17" s="1347"/>
      <c r="AV17" s="1347"/>
      <c r="AW17" s="1347"/>
      <c r="AX17" s="1347"/>
      <c r="AY17" s="1347"/>
      <c r="AZ17" s="1347"/>
      <c r="BA17" s="1347"/>
      <c r="BB17" s="1347"/>
      <c r="BC17" s="1347"/>
      <c r="BD17" s="1347"/>
      <c r="BE17" s="1347"/>
      <c r="BF17" s="1347"/>
      <c r="BG17" s="1347"/>
      <c r="BH17" s="1347"/>
      <c r="BI17" s="1347"/>
      <c r="BJ17" s="1347"/>
      <c r="BK17" s="1347"/>
      <c r="BL17" s="1347"/>
      <c r="BM17" s="1347"/>
      <c r="BN17" s="1347"/>
      <c r="BO17" s="1347"/>
      <c r="BP17" s="1347"/>
      <c r="BQ17" s="1347"/>
      <c r="BR17" s="1347"/>
      <c r="BS17" s="1347"/>
      <c r="BT17" s="1347"/>
      <c r="BU17" s="1347"/>
      <c r="BV17" s="1347"/>
      <c r="BW17" s="1347"/>
      <c r="BX17" s="1347"/>
      <c r="BY17" s="1347"/>
      <c r="BZ17" s="1347"/>
      <c r="CA17" s="1347"/>
      <c r="CB17" s="1347"/>
      <c r="CC17" s="1347"/>
      <c r="CD17" s="1347"/>
      <c r="CE17" s="1347"/>
      <c r="CF17" s="1347"/>
      <c r="CG17" s="1347"/>
    </row>
    <row r="18" spans="1:85" ht="45">
      <c r="A18" s="1373" t="s">
        <v>630</v>
      </c>
      <c r="B18" s="1340">
        <v>0</v>
      </c>
      <c r="C18" s="1372"/>
      <c r="D18" s="1374"/>
      <c r="E18" s="1374"/>
      <c r="F18" s="1356"/>
      <c r="G18" s="1357"/>
      <c r="H18" s="1347"/>
      <c r="I18" s="1347"/>
      <c r="J18" s="1347"/>
      <c r="K18" s="1347"/>
      <c r="L18" s="1347"/>
      <c r="M18" s="1347"/>
      <c r="N18" s="1347"/>
      <c r="O18" s="1347"/>
      <c r="P18" s="1365"/>
      <c r="Q18" s="1347"/>
      <c r="R18" s="1347"/>
      <c r="S18" s="1347"/>
      <c r="T18" s="1347"/>
      <c r="U18" s="1347"/>
      <c r="V18" s="1347"/>
      <c r="W18" s="1347"/>
      <c r="X18" s="1347"/>
      <c r="Y18" s="1347"/>
      <c r="Z18" s="1347"/>
      <c r="AA18" s="1347"/>
      <c r="AB18" s="1347"/>
      <c r="AC18" s="1347"/>
      <c r="AD18" s="1347"/>
      <c r="AE18" s="1347"/>
      <c r="AF18" s="1347"/>
      <c r="AG18" s="1347"/>
      <c r="AH18" s="1347"/>
      <c r="AI18" s="1347"/>
      <c r="AJ18" s="1347"/>
      <c r="AK18" s="1347"/>
      <c r="AL18" s="1347"/>
      <c r="AM18" s="1347"/>
      <c r="AN18" s="1347"/>
      <c r="AO18" s="1347"/>
      <c r="AP18" s="1347"/>
      <c r="AQ18" s="1347"/>
      <c r="AR18" s="1347"/>
      <c r="AS18" s="1347"/>
      <c r="AT18" s="1347"/>
      <c r="AU18" s="1347"/>
      <c r="AV18" s="1347"/>
      <c r="AW18" s="1347"/>
      <c r="AX18" s="1347"/>
      <c r="AY18" s="1347"/>
      <c r="AZ18" s="1347"/>
      <c r="BA18" s="1347"/>
      <c r="BB18" s="1347"/>
      <c r="BC18" s="1347"/>
      <c r="BD18" s="1347"/>
      <c r="BE18" s="1347"/>
      <c r="BF18" s="1347"/>
      <c r="BG18" s="1347"/>
      <c r="BH18" s="1347"/>
      <c r="BI18" s="1347"/>
      <c r="BJ18" s="1347"/>
      <c r="BK18" s="1347"/>
      <c r="BL18" s="1347"/>
      <c r="BM18" s="1347"/>
      <c r="BN18" s="1347"/>
      <c r="BO18" s="1347"/>
      <c r="BP18" s="1347"/>
      <c r="BQ18" s="1347"/>
      <c r="BR18" s="1347"/>
      <c r="BS18" s="1347"/>
      <c r="BT18" s="1347"/>
      <c r="BU18" s="1347"/>
      <c r="BV18" s="1347"/>
      <c r="BW18" s="1347"/>
      <c r="BX18" s="1347"/>
      <c r="BY18" s="1347"/>
      <c r="BZ18" s="1347"/>
      <c r="CA18" s="1347"/>
      <c r="CB18" s="1347"/>
      <c r="CC18" s="1347"/>
      <c r="CD18" s="1347"/>
      <c r="CE18" s="1347"/>
      <c r="CF18" s="1347"/>
      <c r="CG18" s="1347"/>
    </row>
    <row r="19" spans="1:85" ht="18.95" customHeight="1">
      <c r="A19" s="1705" t="s">
        <v>824</v>
      </c>
      <c r="B19" s="1706"/>
      <c r="C19" s="1706"/>
      <c r="D19" s="1706"/>
      <c r="E19" s="1707"/>
      <c r="F19" s="1356"/>
      <c r="G19" s="1357"/>
      <c r="H19" s="1347"/>
      <c r="I19" s="1347"/>
      <c r="J19" s="1347"/>
      <c r="K19" s="1347"/>
      <c r="L19" s="1347"/>
      <c r="M19" s="1347"/>
      <c r="N19" s="1347"/>
      <c r="O19" s="1347"/>
      <c r="P19" s="1347"/>
      <c r="Q19" s="1347"/>
      <c r="R19" s="1347"/>
      <c r="S19" s="1347"/>
      <c r="T19" s="1347"/>
      <c r="U19" s="1347"/>
      <c r="V19" s="1347"/>
      <c r="W19" s="1347"/>
      <c r="X19" s="1347"/>
      <c r="Y19" s="1347"/>
      <c r="Z19" s="1347"/>
      <c r="AA19" s="1347"/>
      <c r="AB19" s="1347"/>
      <c r="AC19" s="1347"/>
      <c r="AD19" s="1347"/>
      <c r="AE19" s="1347"/>
      <c r="AF19" s="1347"/>
      <c r="AG19" s="1347"/>
      <c r="AH19" s="1347"/>
      <c r="AI19" s="1347"/>
      <c r="AJ19" s="1347"/>
      <c r="AK19" s="1347"/>
      <c r="AL19" s="1347"/>
      <c r="AM19" s="1347"/>
      <c r="AN19" s="1347"/>
      <c r="AO19" s="1347"/>
      <c r="AP19" s="1347"/>
      <c r="AQ19" s="1347"/>
      <c r="AR19" s="1347"/>
      <c r="AS19" s="1347"/>
      <c r="AT19" s="1347"/>
      <c r="AU19" s="1347"/>
      <c r="AV19" s="1347"/>
      <c r="AW19" s="1347"/>
      <c r="AX19" s="1347"/>
      <c r="AY19" s="1347"/>
      <c r="AZ19" s="1347"/>
      <c r="BA19" s="1347"/>
      <c r="BB19" s="1347"/>
      <c r="BC19" s="1347"/>
      <c r="BD19" s="1347"/>
      <c r="BE19" s="1347"/>
      <c r="BF19" s="1347"/>
      <c r="BG19" s="1347"/>
      <c r="BH19" s="1347"/>
      <c r="BI19" s="1347"/>
      <c r="BJ19" s="1347"/>
      <c r="BK19" s="1347"/>
      <c r="BL19" s="1347"/>
      <c r="BM19" s="1347"/>
      <c r="BN19" s="1347"/>
      <c r="BO19" s="1347"/>
      <c r="BP19" s="1347"/>
      <c r="BQ19" s="1347"/>
      <c r="BR19" s="1347"/>
      <c r="BS19" s="1347"/>
      <c r="BT19" s="1347"/>
      <c r="BU19" s="1347"/>
      <c r="BV19" s="1347"/>
      <c r="BW19" s="1347"/>
      <c r="BX19" s="1347"/>
      <c r="BY19" s="1347"/>
      <c r="BZ19" s="1347"/>
      <c r="CA19" s="1347"/>
      <c r="CB19" s="1347"/>
      <c r="CC19" s="1347"/>
      <c r="CD19" s="1347"/>
      <c r="CE19" s="1347"/>
      <c r="CF19" s="1347"/>
      <c r="CG19" s="1347"/>
    </row>
    <row r="20" spans="1:85" ht="30">
      <c r="A20" s="1375" t="s">
        <v>917</v>
      </c>
      <c r="B20" s="1342">
        <v>0</v>
      </c>
      <c r="C20" s="1372"/>
      <c r="D20" s="1376" t="s">
        <v>779</v>
      </c>
      <c r="E20" s="1341">
        <v>0</v>
      </c>
      <c r="F20" s="1356"/>
      <c r="G20" s="1357"/>
      <c r="H20" s="1347"/>
      <c r="I20" s="1347"/>
      <c r="J20" s="1347"/>
      <c r="K20" s="1347"/>
      <c r="L20" s="1347"/>
      <c r="M20" s="1347"/>
      <c r="N20" s="1347"/>
      <c r="O20" s="1347"/>
      <c r="P20" s="1365"/>
      <c r="Q20" s="1365"/>
      <c r="R20" s="1347"/>
      <c r="S20" s="1347"/>
      <c r="T20" s="1347"/>
      <c r="U20" s="1347"/>
      <c r="V20" s="1347"/>
      <c r="W20" s="1347"/>
      <c r="X20" s="1347"/>
      <c r="Y20" s="1347"/>
      <c r="Z20" s="1347"/>
      <c r="AA20" s="1347"/>
      <c r="AB20" s="1347"/>
      <c r="AC20" s="1347"/>
      <c r="AD20" s="1347"/>
      <c r="AE20" s="1347"/>
      <c r="AF20" s="1347"/>
      <c r="AG20" s="1347"/>
      <c r="AH20" s="1347"/>
      <c r="AI20" s="1347"/>
      <c r="AJ20" s="1347"/>
      <c r="AK20" s="1347"/>
      <c r="AL20" s="1347"/>
      <c r="AM20" s="1347"/>
      <c r="AN20" s="1347"/>
      <c r="AO20" s="1347"/>
      <c r="AP20" s="1347"/>
      <c r="AQ20" s="1347"/>
      <c r="AR20" s="1347"/>
      <c r="AS20" s="1347"/>
      <c r="AT20" s="1347"/>
      <c r="AU20" s="1347"/>
      <c r="AV20" s="1347"/>
      <c r="AW20" s="1347"/>
      <c r="AX20" s="1347"/>
      <c r="AY20" s="1347"/>
      <c r="AZ20" s="1347"/>
      <c r="BA20" s="1347"/>
      <c r="BB20" s="1347"/>
      <c r="BC20" s="1347"/>
      <c r="BD20" s="1347"/>
      <c r="BE20" s="1347"/>
      <c r="BF20" s="1347"/>
      <c r="BG20" s="1347"/>
      <c r="BH20" s="1347"/>
      <c r="BI20" s="1347"/>
      <c r="BJ20" s="1347"/>
      <c r="BK20" s="1347"/>
      <c r="BL20" s="1347"/>
      <c r="BM20" s="1347"/>
      <c r="BN20" s="1347"/>
      <c r="BO20" s="1347"/>
      <c r="BP20" s="1347"/>
      <c r="BQ20" s="1347"/>
      <c r="BR20" s="1347"/>
      <c r="BS20" s="1347"/>
      <c r="BT20" s="1347"/>
      <c r="BU20" s="1347"/>
      <c r="BV20" s="1347"/>
      <c r="BW20" s="1347"/>
      <c r="BX20" s="1347"/>
      <c r="BY20" s="1347"/>
      <c r="BZ20" s="1347"/>
      <c r="CA20" s="1347"/>
      <c r="CB20" s="1347"/>
      <c r="CC20" s="1347"/>
      <c r="CD20" s="1347"/>
      <c r="CE20" s="1347"/>
      <c r="CF20" s="1347"/>
      <c r="CG20" s="1347"/>
    </row>
    <row r="21" spans="1:85" ht="45">
      <c r="A21" s="1372"/>
      <c r="B21" s="1372"/>
      <c r="C21" s="1372"/>
      <c r="D21" s="1378" t="s">
        <v>786</v>
      </c>
      <c r="E21" s="1341">
        <v>0</v>
      </c>
      <c r="F21" s="1356"/>
      <c r="G21" s="1357"/>
      <c r="H21" s="1347"/>
      <c r="I21" s="1347"/>
      <c r="J21" s="1347"/>
      <c r="K21" s="1347"/>
      <c r="L21" s="1347"/>
      <c r="M21" s="1347"/>
      <c r="N21" s="1347"/>
      <c r="O21" s="1347"/>
      <c r="P21" s="1347"/>
      <c r="Q21" s="1365"/>
      <c r="R21" s="1347"/>
      <c r="S21" s="1347"/>
      <c r="T21" s="1347"/>
      <c r="U21" s="1347"/>
      <c r="V21" s="1347"/>
      <c r="W21" s="1347"/>
      <c r="X21" s="1365"/>
      <c r="Y21" s="1347"/>
      <c r="Z21" s="1347"/>
      <c r="AA21" s="1347"/>
      <c r="AB21" s="1347"/>
      <c r="AC21" s="1347"/>
      <c r="AD21" s="1347"/>
      <c r="AE21" s="1347"/>
      <c r="AF21" s="1347"/>
      <c r="AG21" s="1347"/>
      <c r="AH21" s="1347"/>
      <c r="AI21" s="1347"/>
      <c r="AJ21" s="1347"/>
      <c r="AK21" s="1347"/>
      <c r="AL21" s="1347"/>
      <c r="AM21" s="1347"/>
      <c r="AN21" s="1347"/>
      <c r="AO21" s="1347"/>
      <c r="AP21" s="1347"/>
      <c r="AQ21" s="1347"/>
      <c r="AR21" s="1347"/>
      <c r="AS21" s="1347"/>
      <c r="AT21" s="1347"/>
      <c r="AU21" s="1347"/>
      <c r="AV21" s="1347"/>
      <c r="AW21" s="1347"/>
      <c r="AX21" s="1347"/>
      <c r="AY21" s="1347"/>
      <c r="AZ21" s="1347"/>
      <c r="BA21" s="1347"/>
      <c r="BB21" s="1347"/>
      <c r="BC21" s="1347"/>
      <c r="BD21" s="1347"/>
      <c r="BE21" s="1347"/>
      <c r="BF21" s="1347"/>
      <c r="BG21" s="1347"/>
      <c r="BH21" s="1347"/>
      <c r="BI21" s="1347"/>
      <c r="BJ21" s="1347"/>
      <c r="BK21" s="1347"/>
      <c r="BL21" s="1347"/>
      <c r="BM21" s="1347"/>
      <c r="BN21" s="1347"/>
      <c r="BO21" s="1347"/>
      <c r="BP21" s="1347"/>
      <c r="BQ21" s="1347"/>
      <c r="BR21" s="1347"/>
      <c r="BS21" s="1347"/>
      <c r="BT21" s="1347"/>
      <c r="BU21" s="1347"/>
      <c r="BV21" s="1347"/>
      <c r="BW21" s="1347"/>
      <c r="BX21" s="1347"/>
      <c r="BY21" s="1347"/>
      <c r="BZ21" s="1347"/>
      <c r="CA21" s="1347"/>
      <c r="CB21" s="1347"/>
      <c r="CC21" s="1347"/>
      <c r="CD21" s="1347"/>
      <c r="CE21" s="1347"/>
      <c r="CF21" s="1347"/>
      <c r="CG21" s="1347"/>
    </row>
    <row r="22" spans="1:85" ht="30" hidden="1">
      <c r="A22" s="1372"/>
      <c r="B22" s="1372"/>
      <c r="C22" s="1372"/>
      <c r="D22" s="1379" t="s">
        <v>788</v>
      </c>
      <c r="E22" s="1377">
        <v>0.15</v>
      </c>
      <c r="F22" s="1356"/>
      <c r="G22" s="1357"/>
      <c r="H22" s="1347"/>
      <c r="I22" s="1347"/>
      <c r="J22" s="1347"/>
      <c r="K22" s="1347"/>
      <c r="L22" s="1347"/>
      <c r="M22" s="1347"/>
      <c r="N22" s="1347"/>
      <c r="O22" s="1347"/>
      <c r="P22" s="1347"/>
      <c r="Q22" s="1365"/>
      <c r="R22" s="1347"/>
      <c r="S22" s="1347"/>
      <c r="T22" s="1347"/>
      <c r="U22" s="1347"/>
      <c r="V22" s="1347"/>
      <c r="W22" s="1347"/>
      <c r="X22" s="1347"/>
      <c r="Y22" s="1347"/>
      <c r="Z22" s="1347"/>
      <c r="AA22" s="1347"/>
      <c r="AB22" s="1347"/>
      <c r="AC22" s="1347"/>
      <c r="AD22" s="1347"/>
      <c r="AE22" s="1347"/>
      <c r="AF22" s="1347"/>
      <c r="AG22" s="1347"/>
      <c r="AH22" s="1347"/>
      <c r="AI22" s="1347"/>
      <c r="AJ22" s="1347"/>
      <c r="AK22" s="1347"/>
      <c r="AL22" s="1347"/>
      <c r="AM22" s="1347"/>
      <c r="AN22" s="1347"/>
      <c r="AO22" s="1347"/>
      <c r="AP22" s="1347"/>
      <c r="AQ22" s="1347"/>
      <c r="AR22" s="1347"/>
      <c r="AS22" s="1347"/>
      <c r="AT22" s="1347"/>
      <c r="AU22" s="1347"/>
      <c r="AV22" s="1347"/>
      <c r="AW22" s="1347"/>
      <c r="AX22" s="1347"/>
      <c r="AY22" s="1347"/>
      <c r="AZ22" s="1347"/>
      <c r="BA22" s="1347"/>
      <c r="BB22" s="1347"/>
      <c r="BC22" s="1347"/>
      <c r="BD22" s="1347"/>
      <c r="BE22" s="1347"/>
      <c r="BF22" s="1347"/>
      <c r="BG22" s="1347"/>
      <c r="BH22" s="1347"/>
      <c r="BI22" s="1347"/>
      <c r="BJ22" s="1347"/>
      <c r="BK22" s="1347"/>
      <c r="BL22" s="1347"/>
      <c r="BM22" s="1347"/>
      <c r="BN22" s="1347"/>
      <c r="BO22" s="1347"/>
      <c r="BP22" s="1347"/>
      <c r="BQ22" s="1347"/>
      <c r="BR22" s="1347"/>
      <c r="BS22" s="1347"/>
      <c r="BT22" s="1347"/>
      <c r="BU22" s="1347"/>
      <c r="BV22" s="1347"/>
      <c r="BW22" s="1347"/>
      <c r="BX22" s="1347"/>
      <c r="BY22" s="1347"/>
      <c r="BZ22" s="1347"/>
      <c r="CA22" s="1347"/>
      <c r="CB22" s="1347"/>
      <c r="CC22" s="1347"/>
      <c r="CD22" s="1347"/>
      <c r="CE22" s="1347"/>
      <c r="CF22" s="1347"/>
      <c r="CG22" s="1347"/>
    </row>
    <row r="23" spans="1:85" ht="45" hidden="1">
      <c r="A23" s="1372"/>
      <c r="B23" s="1372"/>
      <c r="C23" s="1372"/>
      <c r="D23" s="1379" t="s">
        <v>787</v>
      </c>
      <c r="E23" s="1377">
        <v>0.3</v>
      </c>
      <c r="F23" s="1356"/>
      <c r="G23" s="1357"/>
      <c r="H23" s="1347"/>
      <c r="I23" s="1347"/>
      <c r="J23" s="1347"/>
      <c r="K23" s="1347"/>
      <c r="L23" s="1347"/>
      <c r="M23" s="1347"/>
      <c r="N23" s="1347"/>
      <c r="O23" s="1347"/>
      <c r="P23" s="1347"/>
      <c r="Q23" s="1347"/>
      <c r="R23" s="1347"/>
      <c r="S23" s="1347"/>
      <c r="T23" s="1347"/>
      <c r="U23" s="1347"/>
      <c r="V23" s="1347"/>
      <c r="W23" s="1347"/>
      <c r="X23" s="1347"/>
      <c r="Y23" s="1347"/>
      <c r="Z23" s="1347"/>
      <c r="AA23" s="1347"/>
      <c r="AB23" s="1347"/>
      <c r="AC23" s="1347"/>
      <c r="AD23" s="1347"/>
      <c r="AE23" s="1347"/>
      <c r="AF23" s="1347"/>
      <c r="AG23" s="1347"/>
      <c r="AH23" s="1347"/>
      <c r="AI23" s="1347"/>
      <c r="AJ23" s="1347"/>
      <c r="AK23" s="1347"/>
      <c r="AL23" s="1347"/>
      <c r="AM23" s="1347"/>
      <c r="AN23" s="1347"/>
      <c r="AO23" s="1347"/>
      <c r="AP23" s="1347"/>
      <c r="AQ23" s="1347"/>
      <c r="AR23" s="1347"/>
      <c r="AS23" s="1347"/>
      <c r="AT23" s="1347"/>
      <c r="AU23" s="1347"/>
      <c r="AV23" s="1347"/>
      <c r="AW23" s="1347"/>
      <c r="AX23" s="1347"/>
      <c r="AY23" s="1347"/>
      <c r="AZ23" s="1347"/>
      <c r="BA23" s="1347"/>
      <c r="BB23" s="1347"/>
      <c r="BC23" s="1347"/>
      <c r="BD23" s="1347"/>
      <c r="BE23" s="1347"/>
      <c r="BF23" s="1347"/>
      <c r="BG23" s="1347"/>
      <c r="BH23" s="1347"/>
      <c r="BI23" s="1347"/>
      <c r="BJ23" s="1347"/>
      <c r="BK23" s="1347"/>
      <c r="BL23" s="1347"/>
      <c r="BM23" s="1347"/>
      <c r="BN23" s="1347"/>
      <c r="BO23" s="1347"/>
      <c r="BP23" s="1347"/>
      <c r="BQ23" s="1347"/>
      <c r="BR23" s="1347"/>
      <c r="BS23" s="1347"/>
      <c r="BT23" s="1347"/>
      <c r="BU23" s="1347"/>
      <c r="BV23" s="1347"/>
      <c r="BW23" s="1347"/>
      <c r="BX23" s="1347"/>
      <c r="BY23" s="1347"/>
      <c r="BZ23" s="1347"/>
      <c r="CA23" s="1347"/>
      <c r="CB23" s="1347"/>
      <c r="CC23" s="1347"/>
      <c r="CD23" s="1347"/>
      <c r="CE23" s="1347"/>
      <c r="CF23" s="1347"/>
      <c r="CG23" s="1347"/>
    </row>
    <row r="24" spans="1:85" ht="30" hidden="1">
      <c r="A24" s="1372"/>
      <c r="B24" s="1372"/>
      <c r="C24" s="1372"/>
      <c r="D24" s="1379" t="s">
        <v>789</v>
      </c>
      <c r="E24" s="1377">
        <v>0.1</v>
      </c>
      <c r="F24" s="1356"/>
      <c r="G24" s="1357"/>
      <c r="H24" s="1347"/>
      <c r="I24" s="1347"/>
      <c r="J24" s="1347"/>
      <c r="K24" s="1347"/>
      <c r="L24" s="1347"/>
      <c r="M24" s="1347"/>
      <c r="N24" s="1347"/>
      <c r="O24" s="1347"/>
      <c r="P24" s="1347"/>
      <c r="Q24" s="1347"/>
      <c r="R24" s="1347"/>
      <c r="S24" s="1347"/>
      <c r="T24" s="1347"/>
      <c r="U24" s="1347"/>
      <c r="V24" s="1347"/>
      <c r="W24" s="1347"/>
      <c r="X24" s="1347"/>
      <c r="Y24" s="1347"/>
      <c r="Z24" s="1347"/>
      <c r="AA24" s="1347"/>
      <c r="AB24" s="1347"/>
      <c r="AC24" s="1347"/>
      <c r="AD24" s="1347"/>
      <c r="AE24" s="1347"/>
      <c r="AF24" s="1347"/>
      <c r="AG24" s="1347"/>
      <c r="AH24" s="1347"/>
      <c r="AI24" s="1347"/>
      <c r="AJ24" s="1347"/>
      <c r="AK24" s="1347"/>
      <c r="AL24" s="1347"/>
      <c r="AM24" s="1347"/>
      <c r="AN24" s="1347"/>
      <c r="AO24" s="1347"/>
      <c r="AP24" s="1347"/>
      <c r="AQ24" s="1347"/>
      <c r="AR24" s="1347"/>
      <c r="AS24" s="1347"/>
      <c r="AT24" s="1347"/>
      <c r="AU24" s="1347"/>
      <c r="AV24" s="1347"/>
      <c r="AW24" s="1347"/>
      <c r="AX24" s="1347"/>
      <c r="AY24" s="1347"/>
      <c r="AZ24" s="1347"/>
      <c r="BA24" s="1347"/>
      <c r="BB24" s="1347"/>
      <c r="BC24" s="1347"/>
      <c r="BD24" s="1347"/>
      <c r="BE24" s="1347"/>
      <c r="BF24" s="1347"/>
      <c r="BG24" s="1347"/>
      <c r="BH24" s="1347"/>
      <c r="BI24" s="1347"/>
      <c r="BJ24" s="1347"/>
      <c r="BK24" s="1347"/>
      <c r="BL24" s="1347"/>
      <c r="BM24" s="1347"/>
      <c r="BN24" s="1347"/>
      <c r="BO24" s="1347"/>
      <c r="BP24" s="1347"/>
      <c r="BQ24" s="1347"/>
      <c r="BR24" s="1347"/>
      <c r="BS24" s="1347"/>
      <c r="BT24" s="1347"/>
      <c r="BU24" s="1347"/>
      <c r="BV24" s="1347"/>
      <c r="BW24" s="1347"/>
      <c r="BX24" s="1347"/>
      <c r="BY24" s="1347"/>
      <c r="BZ24" s="1347"/>
      <c r="CA24" s="1347"/>
      <c r="CB24" s="1347"/>
      <c r="CC24" s="1347"/>
      <c r="CD24" s="1347"/>
      <c r="CE24" s="1347"/>
      <c r="CF24" s="1347"/>
      <c r="CG24" s="1347"/>
    </row>
    <row r="25" spans="1:85" ht="18.95" customHeight="1">
      <c r="A25" s="1715" t="s">
        <v>1283</v>
      </c>
      <c r="B25" s="1715"/>
      <c r="C25" s="1715"/>
      <c r="D25" s="1715"/>
      <c r="E25" s="1715"/>
      <c r="F25" s="1716"/>
      <c r="G25" s="1357"/>
      <c r="H25" s="1347"/>
      <c r="I25" s="1347"/>
      <c r="J25" s="1347"/>
      <c r="K25" s="1347"/>
      <c r="L25" s="1347"/>
      <c r="M25" s="1347"/>
      <c r="N25" s="1347"/>
      <c r="O25" s="1347"/>
      <c r="P25" s="1347"/>
      <c r="Q25" s="1347"/>
      <c r="R25" s="1347"/>
      <c r="S25" s="1347"/>
      <c r="T25" s="1347"/>
      <c r="U25" s="1347"/>
      <c r="V25" s="1347"/>
      <c r="W25" s="1347"/>
      <c r="X25" s="1347"/>
      <c r="Y25" s="1347"/>
      <c r="Z25" s="1347"/>
      <c r="AA25" s="1347"/>
      <c r="AB25" s="1347"/>
      <c r="AC25" s="1347"/>
      <c r="AD25" s="1347"/>
      <c r="AE25" s="1347"/>
      <c r="AF25" s="1347"/>
      <c r="AG25" s="1347"/>
      <c r="AH25" s="1347"/>
      <c r="AI25" s="1347"/>
      <c r="AJ25" s="1347"/>
      <c r="AK25" s="1347"/>
      <c r="AL25" s="1347"/>
      <c r="AM25" s="1347"/>
      <c r="AN25" s="1347"/>
      <c r="AO25" s="1347"/>
      <c r="AP25" s="1347"/>
      <c r="AQ25" s="1347"/>
      <c r="AR25" s="1347"/>
      <c r="AS25" s="1347"/>
      <c r="AT25" s="1347"/>
      <c r="AU25" s="1347"/>
      <c r="AV25" s="1347"/>
      <c r="AW25" s="1347"/>
      <c r="AX25" s="1347"/>
      <c r="AY25" s="1347"/>
      <c r="AZ25" s="1347"/>
      <c r="BA25" s="1347"/>
      <c r="BB25" s="1347"/>
      <c r="BC25" s="1347"/>
      <c r="BD25" s="1347"/>
      <c r="BE25" s="1347"/>
      <c r="BF25" s="1347"/>
      <c r="BG25" s="1347"/>
      <c r="BH25" s="1347"/>
      <c r="BI25" s="1347"/>
      <c r="BJ25" s="1347"/>
      <c r="BK25" s="1347"/>
      <c r="BL25" s="1347"/>
      <c r="BM25" s="1347"/>
      <c r="BN25" s="1347"/>
      <c r="BO25" s="1347"/>
      <c r="BP25" s="1347"/>
      <c r="BQ25" s="1347"/>
      <c r="BR25" s="1347"/>
      <c r="BS25" s="1347"/>
      <c r="BT25" s="1347"/>
      <c r="BU25" s="1347"/>
      <c r="BV25" s="1347"/>
      <c r="BW25" s="1347"/>
      <c r="BX25" s="1347"/>
      <c r="BY25" s="1347"/>
      <c r="BZ25" s="1347"/>
      <c r="CA25" s="1347"/>
      <c r="CB25" s="1347"/>
      <c r="CC25" s="1347"/>
      <c r="CD25" s="1347"/>
      <c r="CE25" s="1347"/>
      <c r="CF25" s="1347"/>
      <c r="CG25" s="1347"/>
    </row>
    <row r="26" spans="1:85" ht="30">
      <c r="A26" s="1380" t="s">
        <v>631</v>
      </c>
      <c r="B26" s="1342">
        <v>0</v>
      </c>
      <c r="C26" s="1372"/>
      <c r="D26" s="1374"/>
      <c r="E26" s="1374"/>
      <c r="F26" s="1356"/>
      <c r="G26" s="1357"/>
      <c r="H26" s="1347"/>
      <c r="I26" s="1347"/>
      <c r="J26" s="1347"/>
      <c r="K26" s="1347"/>
      <c r="L26" s="1347"/>
      <c r="M26" s="1347"/>
      <c r="N26" s="1347"/>
      <c r="O26" s="1347"/>
      <c r="P26" s="1347"/>
      <c r="Q26" s="1347"/>
      <c r="R26" s="1347"/>
      <c r="S26" s="1347"/>
      <c r="T26" s="1347"/>
      <c r="U26" s="1347"/>
      <c r="V26" s="1347"/>
      <c r="W26" s="1347"/>
      <c r="X26" s="1347"/>
      <c r="Y26" s="1347"/>
      <c r="Z26" s="1347"/>
      <c r="AA26" s="1347"/>
      <c r="AB26" s="1347"/>
      <c r="AC26" s="1347"/>
      <c r="AD26" s="1347"/>
      <c r="AE26" s="1347"/>
      <c r="AF26" s="1347"/>
      <c r="AG26" s="1347"/>
      <c r="AH26" s="1347"/>
      <c r="AI26" s="1347"/>
      <c r="AJ26" s="1347"/>
      <c r="AK26" s="1347"/>
      <c r="AL26" s="1347"/>
      <c r="AM26" s="1347"/>
      <c r="AN26" s="1347"/>
      <c r="AO26" s="1347"/>
      <c r="AP26" s="1347"/>
      <c r="AQ26" s="1347"/>
      <c r="AR26" s="1347"/>
      <c r="AS26" s="1347"/>
      <c r="AT26" s="1347"/>
      <c r="AU26" s="1347"/>
      <c r="AV26" s="1347"/>
      <c r="AW26" s="1347"/>
      <c r="AX26" s="1347"/>
      <c r="AY26" s="1347"/>
      <c r="AZ26" s="1347"/>
      <c r="BA26" s="1347"/>
      <c r="BB26" s="1347"/>
      <c r="BC26" s="1347"/>
      <c r="BD26" s="1347"/>
      <c r="BE26" s="1347"/>
      <c r="BF26" s="1347"/>
      <c r="BG26" s="1347"/>
      <c r="BH26" s="1347"/>
      <c r="BI26" s="1347"/>
      <c r="BJ26" s="1347"/>
      <c r="BK26" s="1347"/>
      <c r="BL26" s="1347"/>
      <c r="BM26" s="1347"/>
      <c r="BN26" s="1347"/>
      <c r="BO26" s="1347"/>
      <c r="BP26" s="1347"/>
      <c r="BQ26" s="1347"/>
      <c r="BR26" s="1347"/>
      <c r="BS26" s="1347"/>
      <c r="BT26" s="1347"/>
      <c r="BU26" s="1347"/>
      <c r="BV26" s="1347"/>
      <c r="BW26" s="1347"/>
      <c r="BX26" s="1347"/>
      <c r="BY26" s="1347"/>
      <c r="BZ26" s="1347"/>
      <c r="CA26" s="1347"/>
      <c r="CB26" s="1347"/>
      <c r="CC26" s="1347"/>
      <c r="CD26" s="1347"/>
      <c r="CE26" s="1347"/>
      <c r="CF26" s="1347"/>
      <c r="CG26" s="1347"/>
    </row>
    <row r="27" spans="1:85" ht="18.75">
      <c r="A27" s="1356"/>
      <c r="B27" s="1356"/>
      <c r="C27" s="1372"/>
      <c r="D27" s="1374"/>
      <c r="E27" s="1374"/>
      <c r="F27" s="1356"/>
      <c r="G27" s="1357"/>
      <c r="H27" s="1347"/>
      <c r="I27" s="1347"/>
      <c r="J27" s="1347"/>
      <c r="K27" s="1347"/>
      <c r="L27" s="1347"/>
      <c r="M27" s="1347"/>
      <c r="N27" s="1347"/>
      <c r="O27" s="1347"/>
      <c r="P27" s="1347"/>
      <c r="Q27" s="1347"/>
      <c r="R27" s="1347"/>
      <c r="S27" s="1347"/>
      <c r="T27" s="1347"/>
      <c r="U27" s="1347"/>
      <c r="V27" s="1347"/>
      <c r="W27" s="1347"/>
      <c r="X27" s="1347"/>
      <c r="Y27" s="1347"/>
      <c r="Z27" s="1347"/>
      <c r="AA27" s="1347"/>
      <c r="AB27" s="1347"/>
      <c r="AC27" s="1347"/>
      <c r="AD27" s="1347"/>
      <c r="AE27" s="1347"/>
      <c r="AF27" s="1347"/>
      <c r="AG27" s="1347"/>
      <c r="AH27" s="1347"/>
      <c r="AI27" s="1347"/>
      <c r="AJ27" s="1347"/>
      <c r="AK27" s="1347"/>
      <c r="AL27" s="1347"/>
      <c r="AM27" s="1347"/>
      <c r="AN27" s="1347"/>
      <c r="AO27" s="1347"/>
      <c r="AP27" s="1347"/>
      <c r="AQ27" s="1347"/>
      <c r="AR27" s="1347"/>
      <c r="AS27" s="1347"/>
      <c r="AT27" s="1347"/>
      <c r="AU27" s="1347"/>
      <c r="AV27" s="1347"/>
      <c r="AW27" s="1347"/>
      <c r="AX27" s="1347"/>
      <c r="AY27" s="1347"/>
      <c r="AZ27" s="1347"/>
      <c r="BA27" s="1347"/>
      <c r="BB27" s="1347"/>
      <c r="BC27" s="1347"/>
      <c r="BD27" s="1347"/>
      <c r="BE27" s="1347"/>
      <c r="BF27" s="1347"/>
      <c r="BG27" s="1347"/>
      <c r="BH27" s="1347"/>
      <c r="BI27" s="1347"/>
      <c r="BJ27" s="1347"/>
      <c r="BK27" s="1347"/>
      <c r="BL27" s="1347"/>
      <c r="BM27" s="1347"/>
      <c r="BN27" s="1347"/>
      <c r="BO27" s="1347"/>
      <c r="BP27" s="1347"/>
      <c r="BQ27" s="1347"/>
      <c r="BR27" s="1347"/>
      <c r="BS27" s="1347"/>
      <c r="BT27" s="1347"/>
      <c r="BU27" s="1347"/>
      <c r="BV27" s="1347"/>
      <c r="BW27" s="1347"/>
      <c r="BX27" s="1347"/>
      <c r="BY27" s="1347"/>
      <c r="BZ27" s="1347"/>
      <c r="CA27" s="1347"/>
      <c r="CB27" s="1347"/>
      <c r="CC27" s="1347"/>
      <c r="CD27" s="1347"/>
      <c r="CE27" s="1347"/>
      <c r="CF27" s="1347"/>
      <c r="CG27" s="1347"/>
    </row>
    <row r="28" spans="1:85" ht="18.75">
      <c r="A28" s="1381"/>
      <c r="B28" s="1382"/>
      <c r="C28" s="1383"/>
      <c r="D28" s="1384"/>
      <c r="E28" s="1384"/>
      <c r="F28" s="1357"/>
      <c r="G28" s="1357"/>
      <c r="H28" s="1347"/>
      <c r="I28" s="1347"/>
      <c r="J28" s="1347"/>
      <c r="K28" s="1347"/>
      <c r="L28" s="1347"/>
      <c r="M28" s="1347"/>
      <c r="N28" s="1347"/>
      <c r="O28" s="1347"/>
      <c r="P28" s="1347"/>
      <c r="Q28" s="1347"/>
      <c r="R28" s="1347"/>
      <c r="S28" s="1347"/>
      <c r="T28" s="1347"/>
      <c r="U28" s="1347"/>
      <c r="V28" s="1347"/>
      <c r="W28" s="1347"/>
      <c r="X28" s="1347"/>
      <c r="Y28" s="1347"/>
      <c r="Z28" s="1347"/>
      <c r="AA28" s="1347"/>
      <c r="AB28" s="1347"/>
      <c r="AC28" s="1347"/>
      <c r="AD28" s="1347"/>
      <c r="AE28" s="1347"/>
      <c r="AF28" s="1347"/>
      <c r="AG28" s="1347"/>
      <c r="AH28" s="1347"/>
      <c r="AI28" s="1347"/>
      <c r="AJ28" s="1347"/>
      <c r="AK28" s="1347"/>
      <c r="AL28" s="1347"/>
      <c r="AM28" s="1347"/>
      <c r="AN28" s="1347"/>
      <c r="AO28" s="1347"/>
      <c r="AP28" s="1347"/>
      <c r="AQ28" s="1347"/>
      <c r="AR28" s="1347"/>
      <c r="AS28" s="1347"/>
      <c r="AT28" s="1347"/>
      <c r="AU28" s="1347"/>
      <c r="AV28" s="1347"/>
      <c r="AW28" s="1347"/>
      <c r="AX28" s="1347"/>
      <c r="AY28" s="1347"/>
      <c r="AZ28" s="1347"/>
      <c r="BA28" s="1347"/>
      <c r="BB28" s="1347"/>
      <c r="BC28" s="1347"/>
      <c r="BD28" s="1347"/>
      <c r="BE28" s="1347"/>
      <c r="BF28" s="1347"/>
      <c r="BG28" s="1347"/>
      <c r="BH28" s="1347"/>
      <c r="BI28" s="1347"/>
      <c r="BJ28" s="1347"/>
      <c r="BK28" s="1347"/>
      <c r="BL28" s="1347"/>
      <c r="BM28" s="1347"/>
      <c r="BN28" s="1347"/>
      <c r="BO28" s="1347"/>
      <c r="BP28" s="1347"/>
      <c r="BQ28" s="1347"/>
      <c r="BR28" s="1347"/>
      <c r="BS28" s="1347"/>
      <c r="BT28" s="1347"/>
      <c r="BU28" s="1347"/>
      <c r="BV28" s="1347"/>
      <c r="BW28" s="1347"/>
      <c r="BX28" s="1347"/>
      <c r="BY28" s="1347"/>
      <c r="BZ28" s="1347"/>
      <c r="CA28" s="1347"/>
      <c r="CB28" s="1347"/>
      <c r="CC28" s="1347"/>
      <c r="CD28" s="1347"/>
      <c r="CE28" s="1347"/>
      <c r="CF28" s="1347"/>
      <c r="CG28" s="1347"/>
    </row>
    <row r="29" spans="1:85">
      <c r="A29" s="1385"/>
      <c r="B29" s="1386"/>
      <c r="C29" s="1387"/>
      <c r="D29" s="1388"/>
      <c r="E29" s="1387"/>
      <c r="F29" s="1347"/>
      <c r="G29" s="1347"/>
      <c r="H29" s="1347"/>
      <c r="I29" s="1347"/>
      <c r="J29" s="1347"/>
      <c r="K29" s="1347"/>
      <c r="L29" s="1347"/>
      <c r="M29" s="1347"/>
      <c r="N29" s="1347"/>
      <c r="O29" s="1347"/>
      <c r="P29" s="1347"/>
      <c r="Q29" s="1347"/>
      <c r="R29" s="1347"/>
      <c r="S29" s="1347"/>
      <c r="T29" s="1347"/>
      <c r="U29" s="1347"/>
      <c r="V29" s="1347"/>
      <c r="W29" s="1347"/>
      <c r="X29" s="1347"/>
      <c r="Y29" s="1347"/>
      <c r="Z29" s="1347"/>
      <c r="AA29" s="1347"/>
      <c r="AB29" s="1347"/>
      <c r="AC29" s="1347"/>
      <c r="AD29" s="1347"/>
      <c r="AE29" s="1347"/>
      <c r="AF29" s="1347"/>
      <c r="AG29" s="1347"/>
      <c r="AH29" s="1347"/>
      <c r="AI29" s="1347"/>
      <c r="AJ29" s="1347"/>
      <c r="AK29" s="1347"/>
      <c r="AL29" s="1347"/>
      <c r="AM29" s="1347"/>
      <c r="AN29" s="1347"/>
      <c r="AO29" s="1347"/>
      <c r="AP29" s="1347"/>
      <c r="AQ29" s="1347"/>
      <c r="AR29" s="1347"/>
      <c r="AS29" s="1347"/>
      <c r="AT29" s="1347"/>
      <c r="AU29" s="1347"/>
      <c r="AV29" s="1347"/>
      <c r="AW29" s="1347"/>
      <c r="AX29" s="1347"/>
      <c r="AY29" s="1347"/>
      <c r="AZ29" s="1347"/>
      <c r="BA29" s="1347"/>
      <c r="BB29" s="1347"/>
      <c r="BC29" s="1347"/>
      <c r="BD29" s="1347"/>
      <c r="BE29" s="1347"/>
      <c r="BF29" s="1347"/>
      <c r="BG29" s="1347"/>
      <c r="BH29" s="1347"/>
      <c r="BI29" s="1347"/>
      <c r="BJ29" s="1347"/>
      <c r="BK29" s="1347"/>
      <c r="BL29" s="1347"/>
      <c r="BM29" s="1347"/>
      <c r="BN29" s="1347"/>
      <c r="BO29" s="1347"/>
      <c r="BP29" s="1347"/>
      <c r="BQ29" s="1347"/>
      <c r="BR29" s="1347"/>
      <c r="BS29" s="1347"/>
      <c r="BT29" s="1347"/>
      <c r="BU29" s="1347"/>
      <c r="BV29" s="1347"/>
      <c r="BW29" s="1347"/>
      <c r="BX29" s="1347"/>
      <c r="BY29" s="1347"/>
      <c r="BZ29" s="1347"/>
      <c r="CA29" s="1347"/>
      <c r="CB29" s="1347"/>
      <c r="CC29" s="1347"/>
      <c r="CD29" s="1347"/>
      <c r="CE29" s="1347"/>
      <c r="CF29" s="1347"/>
      <c r="CG29" s="1347"/>
    </row>
    <row r="30" spans="1:85" ht="3" customHeight="1">
      <c r="A30" s="1386"/>
      <c r="B30" s="1389"/>
      <c r="C30" s="1387"/>
      <c r="D30" s="1387"/>
      <c r="E30" s="1387"/>
      <c r="F30" s="1347"/>
      <c r="G30" s="1347"/>
      <c r="H30" s="1347"/>
      <c r="I30" s="1347"/>
      <c r="J30" s="1347"/>
      <c r="K30" s="1347"/>
      <c r="L30" s="1347"/>
      <c r="M30" s="1347"/>
      <c r="N30" s="1347"/>
      <c r="O30" s="1347"/>
      <c r="P30" s="1347"/>
      <c r="Q30" s="1347"/>
      <c r="R30" s="1347"/>
      <c r="S30" s="1347"/>
      <c r="T30" s="1347"/>
      <c r="U30" s="1347"/>
      <c r="V30" s="1347"/>
      <c r="W30" s="1347"/>
      <c r="X30" s="1347"/>
      <c r="Y30" s="1347"/>
      <c r="Z30" s="1347"/>
      <c r="AA30" s="1347"/>
      <c r="AB30" s="1347"/>
      <c r="AC30" s="1347"/>
      <c r="AD30" s="1347"/>
      <c r="AE30" s="1347"/>
      <c r="AF30" s="1347"/>
      <c r="AG30" s="1347"/>
      <c r="AH30" s="1347"/>
      <c r="AI30" s="1347"/>
      <c r="AJ30" s="1347"/>
      <c r="AK30" s="1347"/>
      <c r="AL30" s="1347"/>
      <c r="AM30" s="1347"/>
      <c r="AN30" s="1347"/>
      <c r="AO30" s="1347"/>
      <c r="AP30" s="1347"/>
      <c r="AQ30" s="1347"/>
      <c r="AR30" s="1347"/>
      <c r="AS30" s="1347"/>
      <c r="AT30" s="1347"/>
      <c r="AU30" s="1347"/>
      <c r="AV30" s="1347"/>
      <c r="AW30" s="1347"/>
      <c r="AX30" s="1347"/>
      <c r="AY30" s="1347"/>
      <c r="AZ30" s="1347"/>
      <c r="BA30" s="1347"/>
      <c r="BB30" s="1347"/>
      <c r="BC30" s="1347"/>
      <c r="BD30" s="1347"/>
      <c r="BE30" s="1347"/>
      <c r="BF30" s="1347"/>
      <c r="BG30" s="1347"/>
      <c r="BH30" s="1347"/>
      <c r="BI30" s="1347"/>
      <c r="BJ30" s="1347"/>
      <c r="BK30" s="1347"/>
      <c r="BL30" s="1347"/>
      <c r="BM30" s="1347"/>
      <c r="BN30" s="1347"/>
      <c r="BO30" s="1347"/>
      <c r="BP30" s="1347"/>
      <c r="BQ30" s="1347"/>
      <c r="BR30" s="1347"/>
      <c r="BS30" s="1347"/>
      <c r="BT30" s="1347"/>
      <c r="BU30" s="1347"/>
      <c r="BV30" s="1347"/>
      <c r="BW30" s="1347"/>
      <c r="BX30" s="1347"/>
      <c r="BY30" s="1347"/>
      <c r="BZ30" s="1347"/>
      <c r="CA30" s="1347"/>
      <c r="CB30" s="1347"/>
      <c r="CC30" s="1347"/>
      <c r="CD30" s="1347"/>
      <c r="CE30" s="1347"/>
      <c r="CF30" s="1347"/>
      <c r="CG30" s="1347"/>
    </row>
    <row r="31" spans="1:85" ht="6.95" customHeight="1" thickBot="1">
      <c r="A31" s="1386"/>
      <c r="B31" s="1390"/>
      <c r="C31" s="1387"/>
      <c r="D31" s="1387"/>
      <c r="E31" s="1387"/>
      <c r="F31" s="1347"/>
      <c r="G31" s="1347"/>
      <c r="H31" s="1347"/>
      <c r="I31" s="1347"/>
      <c r="J31" s="1347"/>
      <c r="K31" s="1347"/>
      <c r="L31" s="1347"/>
      <c r="M31" s="1347"/>
      <c r="N31" s="1347"/>
      <c r="O31" s="1347"/>
      <c r="P31" s="1347"/>
      <c r="Q31" s="1347"/>
      <c r="R31" s="1347"/>
      <c r="S31" s="1347"/>
      <c r="T31" s="1347"/>
      <c r="U31" s="1347"/>
      <c r="V31" s="1347"/>
      <c r="W31" s="1347"/>
      <c r="X31" s="1347"/>
      <c r="Y31" s="1347"/>
      <c r="Z31" s="1347"/>
      <c r="AA31" s="1347"/>
      <c r="AB31" s="1347"/>
      <c r="AC31" s="1347"/>
      <c r="AD31" s="1347"/>
      <c r="AE31" s="1347"/>
      <c r="AF31" s="1347"/>
      <c r="AG31" s="1347"/>
      <c r="AH31" s="1347"/>
      <c r="AI31" s="1347"/>
      <c r="AJ31" s="1347"/>
      <c r="AK31" s="1347"/>
      <c r="AL31" s="1347"/>
      <c r="AM31" s="1347"/>
      <c r="AN31" s="1347"/>
      <c r="AO31" s="1347"/>
      <c r="AP31" s="1347"/>
      <c r="AQ31" s="1347"/>
      <c r="AR31" s="1347"/>
      <c r="AS31" s="1347"/>
      <c r="AT31" s="1347"/>
      <c r="AU31" s="1347"/>
      <c r="AV31" s="1347"/>
      <c r="AW31" s="1347"/>
      <c r="AX31" s="1347"/>
      <c r="AY31" s="1347"/>
      <c r="AZ31" s="1347"/>
      <c r="BA31" s="1347"/>
      <c r="BB31" s="1347"/>
      <c r="BC31" s="1347"/>
      <c r="BD31" s="1347"/>
      <c r="BE31" s="1347"/>
      <c r="BF31" s="1347"/>
      <c r="BG31" s="1347"/>
      <c r="BH31" s="1347"/>
      <c r="BI31" s="1347"/>
      <c r="BJ31" s="1347"/>
      <c r="BK31" s="1347"/>
      <c r="BL31" s="1347"/>
      <c r="BM31" s="1347"/>
      <c r="BN31" s="1347"/>
      <c r="BO31" s="1347"/>
      <c r="BP31" s="1347"/>
      <c r="BQ31" s="1347"/>
      <c r="BR31" s="1347"/>
      <c r="BS31" s="1347"/>
      <c r="BT31" s="1347"/>
      <c r="BU31" s="1347"/>
      <c r="BV31" s="1347"/>
      <c r="BW31" s="1347"/>
      <c r="BX31" s="1347"/>
      <c r="BY31" s="1347"/>
      <c r="BZ31" s="1347"/>
      <c r="CA31" s="1347"/>
      <c r="CB31" s="1347"/>
      <c r="CC31" s="1347"/>
      <c r="CD31" s="1347"/>
      <c r="CE31" s="1347"/>
      <c r="CF31" s="1347"/>
      <c r="CG31" s="1347"/>
    </row>
    <row r="32" spans="1:85" ht="15" customHeight="1">
      <c r="A32" s="1709" t="s">
        <v>1284</v>
      </c>
      <c r="B32" s="1710"/>
      <c r="C32" s="1387"/>
      <c r="D32" s="1391"/>
      <c r="E32" s="1391"/>
      <c r="F32" s="1347"/>
      <c r="G32" s="1347"/>
      <c r="H32" s="1347"/>
      <c r="I32" s="1347"/>
      <c r="J32" s="1347"/>
      <c r="K32" s="1347"/>
      <c r="L32" s="1347"/>
      <c r="M32" s="1347"/>
      <c r="N32" s="1347"/>
      <c r="O32" s="1347"/>
      <c r="P32" s="1347"/>
      <c r="Q32" s="1347"/>
      <c r="R32" s="1347"/>
      <c r="S32" s="1347"/>
      <c r="T32" s="1347"/>
      <c r="U32" s="1347"/>
      <c r="V32" s="1347"/>
      <c r="W32" s="1347"/>
      <c r="X32" s="1347"/>
      <c r="Y32" s="1347"/>
      <c r="Z32" s="1347"/>
      <c r="AA32" s="1347"/>
      <c r="AB32" s="1347"/>
      <c r="AC32" s="1347"/>
      <c r="AD32" s="1347"/>
      <c r="AE32" s="1347"/>
      <c r="AF32" s="1347"/>
      <c r="AG32" s="1347"/>
      <c r="AH32" s="1347"/>
      <c r="AI32" s="1347"/>
      <c r="AJ32" s="1347"/>
      <c r="AK32" s="1347"/>
      <c r="AL32" s="1347"/>
      <c r="AM32" s="1347"/>
      <c r="AN32" s="1347"/>
      <c r="AO32" s="1347"/>
      <c r="AP32" s="1347"/>
      <c r="AQ32" s="1347"/>
      <c r="AR32" s="1347"/>
      <c r="AS32" s="1347"/>
      <c r="AT32" s="1347"/>
      <c r="AU32" s="1347"/>
      <c r="AV32" s="1347"/>
      <c r="AW32" s="1347"/>
      <c r="AX32" s="1347"/>
      <c r="AY32" s="1347"/>
      <c r="AZ32" s="1347"/>
      <c r="BA32" s="1347"/>
      <c r="BB32" s="1347"/>
      <c r="BC32" s="1347"/>
      <c r="BD32" s="1347"/>
      <c r="BE32" s="1347"/>
      <c r="BF32" s="1347"/>
      <c r="BG32" s="1347"/>
      <c r="BH32" s="1347"/>
      <c r="BI32" s="1347"/>
      <c r="BJ32" s="1347"/>
      <c r="BK32" s="1347"/>
      <c r="BL32" s="1347"/>
      <c r="BM32" s="1347"/>
      <c r="BN32" s="1347"/>
      <c r="BO32" s="1347"/>
      <c r="BP32" s="1347"/>
      <c r="BQ32" s="1347"/>
      <c r="BR32" s="1347"/>
      <c r="BS32" s="1347"/>
      <c r="BT32" s="1347"/>
      <c r="BU32" s="1347"/>
      <c r="BV32" s="1347"/>
      <c r="BW32" s="1347"/>
      <c r="BX32" s="1347"/>
      <c r="BY32" s="1347"/>
      <c r="BZ32" s="1347"/>
      <c r="CA32" s="1347"/>
      <c r="CB32" s="1347"/>
      <c r="CC32" s="1347"/>
      <c r="CD32" s="1347"/>
      <c r="CE32" s="1347"/>
      <c r="CF32" s="1347"/>
      <c r="CG32" s="1347"/>
    </row>
    <row r="33" spans="1:85" ht="33" customHeight="1">
      <c r="A33" s="1711"/>
      <c r="B33" s="1712"/>
      <c r="C33" s="1391"/>
      <c r="D33" s="1392"/>
      <c r="E33" s="1391"/>
      <c r="F33" s="1347"/>
      <c r="G33" s="1347"/>
      <c r="H33" s="1347"/>
      <c r="I33" s="1347"/>
      <c r="J33" s="1347"/>
      <c r="K33" s="1347"/>
      <c r="L33" s="1347"/>
      <c r="M33" s="1347"/>
      <c r="N33" s="1347"/>
      <c r="O33" s="1347"/>
      <c r="P33" s="1347"/>
      <c r="Q33" s="1347"/>
      <c r="R33" s="1347"/>
      <c r="S33" s="1347"/>
      <c r="T33" s="1347"/>
      <c r="U33" s="1347"/>
      <c r="V33" s="1347"/>
      <c r="W33" s="1347"/>
      <c r="X33" s="1347"/>
      <c r="Y33" s="1347"/>
      <c r="Z33" s="1347"/>
      <c r="AA33" s="1347"/>
      <c r="AB33" s="1347"/>
      <c r="AC33" s="1347"/>
      <c r="AD33" s="1347"/>
      <c r="AE33" s="1347"/>
      <c r="AF33" s="1347"/>
      <c r="AG33" s="1347"/>
      <c r="AH33" s="1347"/>
      <c r="AI33" s="1347"/>
      <c r="AJ33" s="1347"/>
      <c r="AK33" s="1347"/>
      <c r="AL33" s="1347"/>
      <c r="AM33" s="1347"/>
      <c r="AN33" s="1347"/>
      <c r="AO33" s="1347"/>
      <c r="AP33" s="1347"/>
      <c r="AQ33" s="1347"/>
      <c r="AR33" s="1347"/>
      <c r="AS33" s="1347"/>
      <c r="AT33" s="1347"/>
      <c r="AU33" s="1347"/>
      <c r="AV33" s="1347"/>
      <c r="AW33" s="1347"/>
      <c r="AX33" s="1347"/>
      <c r="AY33" s="1347"/>
      <c r="AZ33" s="1347"/>
      <c r="BA33" s="1347"/>
      <c r="BB33" s="1347"/>
      <c r="BC33" s="1347"/>
      <c r="BD33" s="1347"/>
      <c r="BE33" s="1347"/>
      <c r="BF33" s="1347"/>
      <c r="BG33" s="1347"/>
      <c r="BH33" s="1347"/>
      <c r="BI33" s="1347"/>
      <c r="BJ33" s="1347"/>
      <c r="BK33" s="1347"/>
      <c r="BL33" s="1347"/>
      <c r="BM33" s="1347"/>
      <c r="BN33" s="1347"/>
      <c r="BO33" s="1347"/>
      <c r="BP33" s="1347"/>
      <c r="BQ33" s="1347"/>
      <c r="BR33" s="1347"/>
      <c r="BS33" s="1347"/>
      <c r="BT33" s="1347"/>
      <c r="BU33" s="1347"/>
      <c r="BV33" s="1347"/>
      <c r="BW33" s="1347"/>
      <c r="BX33" s="1347"/>
      <c r="BY33" s="1347"/>
      <c r="BZ33" s="1347"/>
      <c r="CA33" s="1347"/>
      <c r="CB33" s="1347"/>
      <c r="CC33" s="1347"/>
      <c r="CD33" s="1347"/>
      <c r="CE33" s="1347"/>
      <c r="CF33" s="1347"/>
      <c r="CG33" s="1347"/>
    </row>
    <row r="34" spans="1:85" ht="32.1" customHeight="1" thickBot="1">
      <c r="A34" s="1713"/>
      <c r="B34" s="1714"/>
      <c r="C34" s="1391"/>
      <c r="D34" s="1393"/>
      <c r="E34" s="1388"/>
      <c r="F34" s="1347"/>
      <c r="G34" s="1347"/>
      <c r="H34" s="1347"/>
      <c r="I34" s="1347"/>
      <c r="J34" s="1347"/>
      <c r="K34" s="1347"/>
      <c r="L34" s="1347"/>
      <c r="M34" s="1347"/>
      <c r="N34" s="1347"/>
      <c r="O34" s="1347"/>
      <c r="P34" s="1347"/>
      <c r="Q34" s="1347"/>
      <c r="R34" s="1347"/>
      <c r="S34" s="1347"/>
      <c r="T34" s="1347"/>
      <c r="U34" s="1347"/>
      <c r="V34" s="1347"/>
      <c r="W34" s="1347"/>
      <c r="X34" s="1347"/>
      <c r="Y34" s="1347"/>
      <c r="Z34" s="1347"/>
      <c r="AA34" s="1347"/>
      <c r="AB34" s="1347"/>
      <c r="AC34" s="1347"/>
      <c r="AD34" s="1347"/>
      <c r="AE34" s="1347"/>
      <c r="AF34" s="1347"/>
      <c r="AG34" s="1347"/>
      <c r="AH34" s="1347"/>
      <c r="AI34" s="1347"/>
      <c r="AJ34" s="1347"/>
      <c r="AK34" s="1347"/>
      <c r="AL34" s="1347"/>
      <c r="AM34" s="1347"/>
      <c r="AN34" s="1347"/>
      <c r="AO34" s="1347"/>
      <c r="AP34" s="1347"/>
      <c r="AQ34" s="1347"/>
      <c r="AR34" s="1347"/>
      <c r="AS34" s="1347"/>
      <c r="AT34" s="1347"/>
      <c r="AU34" s="1347"/>
      <c r="AV34" s="1347"/>
      <c r="AW34" s="1347"/>
      <c r="AX34" s="1347"/>
      <c r="AY34" s="1347"/>
      <c r="AZ34" s="1347"/>
      <c r="BA34" s="1347"/>
      <c r="BB34" s="1347"/>
      <c r="BC34" s="1347"/>
      <c r="BD34" s="1347"/>
      <c r="BE34" s="1347"/>
      <c r="BF34" s="1347"/>
      <c r="BG34" s="1347"/>
      <c r="BH34" s="1347"/>
      <c r="BI34" s="1347"/>
      <c r="BJ34" s="1347"/>
      <c r="BK34" s="1347"/>
      <c r="BL34" s="1347"/>
      <c r="BM34" s="1347"/>
      <c r="BN34" s="1347"/>
      <c r="BO34" s="1347"/>
      <c r="BP34" s="1347"/>
      <c r="BQ34" s="1347"/>
      <c r="BR34" s="1347"/>
      <c r="BS34" s="1347"/>
      <c r="BT34" s="1347"/>
      <c r="BU34" s="1347"/>
      <c r="BV34" s="1347"/>
      <c r="BW34" s="1347"/>
      <c r="BX34" s="1347"/>
      <c r="BY34" s="1347"/>
      <c r="BZ34" s="1347"/>
      <c r="CA34" s="1347"/>
      <c r="CB34" s="1347"/>
      <c r="CC34" s="1347"/>
      <c r="CD34" s="1347"/>
      <c r="CE34" s="1347"/>
      <c r="CF34" s="1347"/>
      <c r="CG34" s="1347"/>
    </row>
    <row r="35" spans="1:85" hidden="1">
      <c r="A35" s="1385"/>
      <c r="B35" s="1394"/>
      <c r="C35" s="1391"/>
      <c r="D35" s="1388"/>
      <c r="E35" s="1388"/>
      <c r="F35" s="1347"/>
      <c r="G35" s="1347"/>
      <c r="H35" s="1347"/>
      <c r="I35" s="1347"/>
      <c r="J35" s="1347"/>
      <c r="K35" s="1347"/>
      <c r="L35" s="1347"/>
      <c r="M35" s="1347"/>
      <c r="N35" s="1347"/>
      <c r="O35" s="1347"/>
      <c r="P35" s="1347"/>
      <c r="Q35" s="1347"/>
      <c r="R35" s="1347"/>
      <c r="S35" s="1347"/>
      <c r="T35" s="1347"/>
      <c r="U35" s="1347"/>
      <c r="V35" s="1347"/>
      <c r="W35" s="1347"/>
      <c r="X35" s="1347"/>
      <c r="Y35" s="1347"/>
      <c r="Z35" s="1347"/>
      <c r="AA35" s="1347"/>
      <c r="AB35" s="1347"/>
      <c r="AC35" s="1347"/>
      <c r="AD35" s="1347"/>
      <c r="AE35" s="1347"/>
      <c r="AF35" s="1347"/>
      <c r="AG35" s="1347"/>
      <c r="AH35" s="1347"/>
      <c r="AI35" s="1347"/>
      <c r="AJ35" s="1347"/>
      <c r="AK35" s="1347"/>
      <c r="AL35" s="1347"/>
      <c r="AM35" s="1347"/>
      <c r="AN35" s="1347"/>
      <c r="AO35" s="1347"/>
      <c r="AP35" s="1347"/>
      <c r="AQ35" s="1347"/>
      <c r="AR35" s="1347"/>
      <c r="AS35" s="1347"/>
      <c r="AT35" s="1347"/>
      <c r="AU35" s="1347"/>
      <c r="AV35" s="1347"/>
      <c r="AW35" s="1347"/>
      <c r="AX35" s="1347"/>
      <c r="AY35" s="1347"/>
      <c r="AZ35" s="1347"/>
      <c r="BA35" s="1347"/>
      <c r="BB35" s="1347"/>
      <c r="BC35" s="1347"/>
      <c r="BD35" s="1347"/>
      <c r="BE35" s="1347"/>
      <c r="BF35" s="1347"/>
      <c r="BG35" s="1347"/>
      <c r="BH35" s="1347"/>
      <c r="BI35" s="1347"/>
      <c r="BJ35" s="1347"/>
      <c r="BK35" s="1347"/>
      <c r="BL35" s="1347"/>
      <c r="BM35" s="1347"/>
      <c r="BN35" s="1347"/>
      <c r="BO35" s="1347"/>
      <c r="BP35" s="1347"/>
      <c r="BQ35" s="1347"/>
      <c r="BR35" s="1347"/>
      <c r="BS35" s="1347"/>
      <c r="BT35" s="1347"/>
      <c r="BU35" s="1347"/>
      <c r="BV35" s="1347"/>
      <c r="BW35" s="1347"/>
      <c r="BX35" s="1347"/>
      <c r="BY35" s="1347"/>
      <c r="BZ35" s="1347"/>
      <c r="CA35" s="1347"/>
      <c r="CB35" s="1347"/>
      <c r="CC35" s="1347"/>
      <c r="CD35" s="1347"/>
      <c r="CE35" s="1347"/>
      <c r="CF35" s="1347"/>
      <c r="CG35" s="1347"/>
    </row>
    <row r="36" spans="1:85" hidden="1">
      <c r="A36" s="1385"/>
      <c r="B36" s="1394"/>
      <c r="C36" s="1391"/>
      <c r="D36" s="1395"/>
      <c r="E36" s="1396"/>
      <c r="F36" s="1347"/>
      <c r="G36" s="1347"/>
      <c r="H36" s="1347"/>
      <c r="I36" s="1347"/>
      <c r="J36" s="1347"/>
      <c r="K36" s="1347"/>
      <c r="L36" s="1347"/>
      <c r="M36" s="1347"/>
      <c r="N36" s="1347"/>
      <c r="O36" s="1347"/>
      <c r="P36" s="1347"/>
      <c r="Q36" s="1347"/>
      <c r="R36" s="1347"/>
      <c r="S36" s="1347"/>
      <c r="T36" s="1347"/>
      <c r="U36" s="1347"/>
      <c r="V36" s="1347"/>
      <c r="W36" s="1347"/>
      <c r="X36" s="1347"/>
      <c r="Y36" s="1347"/>
      <c r="Z36" s="1347"/>
      <c r="AA36" s="1347"/>
      <c r="AB36" s="1347"/>
      <c r="AC36" s="1347"/>
      <c r="AD36" s="1347"/>
      <c r="AE36" s="1347"/>
      <c r="AF36" s="1347"/>
      <c r="AG36" s="1347"/>
      <c r="AH36" s="1347"/>
      <c r="AI36" s="1347"/>
      <c r="AJ36" s="1347"/>
      <c r="AK36" s="1347"/>
      <c r="AL36" s="1347"/>
      <c r="AM36" s="1347"/>
      <c r="AN36" s="1347"/>
      <c r="AO36" s="1347"/>
      <c r="AP36" s="1347"/>
      <c r="AQ36" s="1347"/>
      <c r="AR36" s="1347"/>
      <c r="AS36" s="1347"/>
      <c r="AT36" s="1347"/>
      <c r="AU36" s="1347"/>
      <c r="AV36" s="1347"/>
      <c r="AW36" s="1347"/>
      <c r="AX36" s="1347"/>
      <c r="AY36" s="1347"/>
      <c r="AZ36" s="1347"/>
      <c r="BA36" s="1347"/>
      <c r="BB36" s="1347"/>
      <c r="BC36" s="1347"/>
      <c r="BD36" s="1347"/>
      <c r="BE36" s="1347"/>
      <c r="BF36" s="1347"/>
      <c r="BG36" s="1347"/>
      <c r="BH36" s="1347"/>
      <c r="BI36" s="1347"/>
      <c r="BJ36" s="1347"/>
      <c r="BK36" s="1347"/>
      <c r="BL36" s="1347"/>
      <c r="BM36" s="1347"/>
      <c r="BN36" s="1347"/>
      <c r="BO36" s="1347"/>
      <c r="BP36" s="1347"/>
      <c r="BQ36" s="1347"/>
      <c r="BR36" s="1347"/>
      <c r="BS36" s="1347"/>
      <c r="BT36" s="1347"/>
      <c r="BU36" s="1347"/>
      <c r="BV36" s="1347"/>
      <c r="BW36" s="1347"/>
      <c r="BX36" s="1347"/>
      <c r="BY36" s="1347"/>
      <c r="BZ36" s="1347"/>
      <c r="CA36" s="1347"/>
      <c r="CB36" s="1347"/>
      <c r="CC36" s="1347"/>
      <c r="CD36" s="1347"/>
      <c r="CE36" s="1347"/>
      <c r="CF36" s="1347"/>
      <c r="CG36" s="1347"/>
    </row>
    <row r="37" spans="1:85" hidden="1">
      <c r="A37" s="1385"/>
      <c r="B37" s="1397"/>
      <c r="C37" s="1391"/>
      <c r="D37" s="1388"/>
      <c r="E37" s="1388"/>
      <c r="F37" s="1347"/>
      <c r="G37" s="1347"/>
      <c r="H37" s="1347"/>
      <c r="I37" s="1347"/>
      <c r="J37" s="1347"/>
      <c r="K37" s="1347"/>
      <c r="L37" s="1347"/>
      <c r="M37" s="1347"/>
      <c r="N37" s="1347"/>
      <c r="O37" s="1347"/>
      <c r="P37" s="1347"/>
      <c r="Q37" s="1347"/>
      <c r="R37" s="1347"/>
      <c r="S37" s="1347"/>
      <c r="T37" s="1347"/>
      <c r="U37" s="1347"/>
      <c r="V37" s="1347"/>
      <c r="W37" s="1347"/>
      <c r="X37" s="1347"/>
      <c r="Y37" s="1347"/>
      <c r="Z37" s="1347"/>
      <c r="AA37" s="1347"/>
      <c r="AB37" s="1347"/>
      <c r="AC37" s="1347"/>
      <c r="AD37" s="1347"/>
      <c r="AE37" s="1347"/>
      <c r="AF37" s="1347"/>
      <c r="AG37" s="1347"/>
      <c r="AH37" s="1347"/>
      <c r="AI37" s="1347"/>
      <c r="AJ37" s="1347"/>
      <c r="AK37" s="1347"/>
      <c r="AL37" s="1347"/>
      <c r="AM37" s="1347"/>
      <c r="AN37" s="1347"/>
      <c r="AO37" s="1347"/>
      <c r="AP37" s="1347"/>
      <c r="AQ37" s="1347"/>
      <c r="AR37" s="1347"/>
      <c r="AS37" s="1347"/>
      <c r="AT37" s="1347"/>
      <c r="AU37" s="1347"/>
      <c r="AV37" s="1347"/>
      <c r="AW37" s="1347"/>
      <c r="AX37" s="1347"/>
      <c r="AY37" s="1347"/>
      <c r="AZ37" s="1347"/>
      <c r="BA37" s="1347"/>
      <c r="BB37" s="1347"/>
      <c r="BC37" s="1347"/>
      <c r="BD37" s="1347"/>
      <c r="BE37" s="1347"/>
      <c r="BF37" s="1347"/>
      <c r="BG37" s="1347"/>
      <c r="BH37" s="1347"/>
      <c r="BI37" s="1347"/>
      <c r="BJ37" s="1347"/>
      <c r="BK37" s="1347"/>
      <c r="BL37" s="1347"/>
      <c r="BM37" s="1347"/>
      <c r="BN37" s="1347"/>
      <c r="BO37" s="1347"/>
      <c r="BP37" s="1347"/>
      <c r="BQ37" s="1347"/>
      <c r="BR37" s="1347"/>
      <c r="BS37" s="1347"/>
      <c r="BT37" s="1347"/>
      <c r="BU37" s="1347"/>
      <c r="BV37" s="1347"/>
      <c r="BW37" s="1347"/>
      <c r="BX37" s="1347"/>
      <c r="BY37" s="1347"/>
      <c r="BZ37" s="1347"/>
      <c r="CA37" s="1347"/>
      <c r="CB37" s="1347"/>
      <c r="CC37" s="1347"/>
      <c r="CD37" s="1347"/>
      <c r="CE37" s="1347"/>
      <c r="CF37" s="1347"/>
      <c r="CG37" s="1347"/>
    </row>
    <row r="38" spans="1:85" hidden="1">
      <c r="A38" s="1398"/>
      <c r="B38" s="1398"/>
      <c r="C38" s="1347"/>
      <c r="D38" s="1347"/>
      <c r="E38" s="1347"/>
      <c r="F38" s="1347"/>
      <c r="G38" s="1347"/>
      <c r="H38" s="1347"/>
      <c r="I38" s="1347"/>
      <c r="J38" s="1347"/>
      <c r="K38" s="1347"/>
      <c r="L38" s="1347"/>
      <c r="M38" s="1347"/>
      <c r="N38" s="1347"/>
      <c r="O38" s="1347"/>
      <c r="P38" s="1347"/>
      <c r="Q38" s="1347"/>
      <c r="R38" s="1347"/>
      <c r="S38" s="1347"/>
      <c r="T38" s="1347"/>
      <c r="U38" s="1347"/>
      <c r="V38" s="1347"/>
      <c r="W38" s="1347"/>
      <c r="X38" s="1347"/>
      <c r="Y38" s="1347"/>
      <c r="Z38" s="1347"/>
      <c r="AA38" s="1347"/>
      <c r="AB38" s="1347"/>
      <c r="AC38" s="1347"/>
      <c r="AD38" s="1347"/>
      <c r="AE38" s="1347"/>
      <c r="AF38" s="1347"/>
      <c r="AG38" s="1347"/>
      <c r="AH38" s="1347"/>
      <c r="AI38" s="1347"/>
      <c r="AJ38" s="1347"/>
      <c r="AK38" s="1347"/>
      <c r="AL38" s="1347"/>
      <c r="AM38" s="1347"/>
      <c r="AN38" s="1347"/>
      <c r="AO38" s="1347"/>
      <c r="AP38" s="1347"/>
      <c r="AQ38" s="1347"/>
      <c r="AR38" s="1347"/>
      <c r="AS38" s="1347"/>
      <c r="AT38" s="1347"/>
      <c r="AU38" s="1347"/>
      <c r="AV38" s="1347"/>
      <c r="AW38" s="1347"/>
      <c r="AX38" s="1347"/>
      <c r="AY38" s="1347"/>
      <c r="AZ38" s="1347"/>
      <c r="BA38" s="1347"/>
      <c r="BB38" s="1347"/>
      <c r="BC38" s="1347"/>
      <c r="BD38" s="1347"/>
      <c r="BE38" s="1347"/>
      <c r="BF38" s="1347"/>
      <c r="BG38" s="1347"/>
      <c r="BH38" s="1347"/>
      <c r="BI38" s="1347"/>
      <c r="BJ38" s="1347"/>
      <c r="BK38" s="1347"/>
      <c r="BL38" s="1347"/>
      <c r="BM38" s="1347"/>
      <c r="BN38" s="1347"/>
      <c r="BO38" s="1347"/>
      <c r="BP38" s="1347"/>
      <c r="BQ38" s="1347"/>
      <c r="BR38" s="1347"/>
      <c r="BS38" s="1347"/>
      <c r="BT38" s="1347"/>
      <c r="BU38" s="1347"/>
      <c r="BV38" s="1347"/>
      <c r="BW38" s="1347"/>
      <c r="BX38" s="1347"/>
      <c r="BY38" s="1347"/>
      <c r="BZ38" s="1347"/>
      <c r="CA38" s="1347"/>
      <c r="CB38" s="1347"/>
      <c r="CC38" s="1347"/>
      <c r="CD38" s="1347"/>
      <c r="CE38" s="1347"/>
      <c r="CF38" s="1347"/>
      <c r="CG38" s="1347"/>
    </row>
    <row r="39" spans="1:85" hidden="1">
      <c r="A39" s="1398"/>
      <c r="B39" s="1398"/>
      <c r="C39" s="1347"/>
      <c r="D39" s="1347"/>
      <c r="E39" s="1347"/>
      <c r="F39" s="1347"/>
      <c r="G39" s="1347"/>
      <c r="H39" s="1347"/>
      <c r="I39" s="1347"/>
      <c r="J39" s="1347"/>
      <c r="K39" s="1347"/>
      <c r="L39" s="1347"/>
      <c r="M39" s="1347"/>
      <c r="N39" s="1347"/>
      <c r="O39" s="1347"/>
      <c r="P39" s="1347"/>
      <c r="Q39" s="1347"/>
      <c r="R39" s="1347"/>
      <c r="S39" s="1347"/>
      <c r="T39" s="1347"/>
      <c r="U39" s="1347"/>
      <c r="V39" s="1347"/>
      <c r="W39" s="1347"/>
      <c r="X39" s="1347"/>
      <c r="Y39" s="1347"/>
      <c r="Z39" s="1347"/>
      <c r="AA39" s="1347"/>
      <c r="AB39" s="1347"/>
      <c r="AC39" s="1347"/>
      <c r="AD39" s="1347"/>
      <c r="AE39" s="1347"/>
      <c r="AF39" s="1347"/>
      <c r="AG39" s="1347"/>
      <c r="AH39" s="1347"/>
      <c r="AI39" s="1347"/>
      <c r="AJ39" s="1347"/>
      <c r="AK39" s="1347"/>
      <c r="AL39" s="1347"/>
      <c r="AM39" s="1347"/>
      <c r="AN39" s="1347"/>
      <c r="AO39" s="1347"/>
      <c r="AP39" s="1347"/>
      <c r="AQ39" s="1347"/>
      <c r="AR39" s="1347"/>
      <c r="AS39" s="1347"/>
      <c r="AT39" s="1347"/>
      <c r="AU39" s="1347"/>
      <c r="AV39" s="1347"/>
      <c r="AW39" s="1347"/>
      <c r="AX39" s="1347"/>
      <c r="AY39" s="1347"/>
      <c r="AZ39" s="1347"/>
      <c r="BA39" s="1347"/>
      <c r="BB39" s="1347"/>
      <c r="BC39" s="1347"/>
      <c r="BD39" s="1347"/>
      <c r="BE39" s="1347"/>
      <c r="BF39" s="1347"/>
      <c r="BG39" s="1347"/>
      <c r="BH39" s="1347"/>
      <c r="BI39" s="1347"/>
      <c r="BJ39" s="1347"/>
      <c r="BK39" s="1347"/>
      <c r="BL39" s="1347"/>
      <c r="BM39" s="1347"/>
      <c r="BN39" s="1347"/>
      <c r="BO39" s="1347"/>
      <c r="BP39" s="1347"/>
      <c r="BQ39" s="1347"/>
      <c r="BR39" s="1347"/>
      <c r="BS39" s="1347"/>
      <c r="BT39" s="1347"/>
      <c r="BU39" s="1347"/>
      <c r="BV39" s="1347"/>
      <c r="BW39" s="1347"/>
      <c r="BX39" s="1347"/>
      <c r="BY39" s="1347"/>
      <c r="BZ39" s="1347"/>
      <c r="CA39" s="1347"/>
      <c r="CB39" s="1347"/>
      <c r="CC39" s="1347"/>
      <c r="CD39" s="1347"/>
      <c r="CE39" s="1347"/>
      <c r="CF39" s="1347"/>
      <c r="CG39" s="1347"/>
    </row>
    <row r="40" spans="1:85" hidden="1">
      <c r="A40" s="1398"/>
      <c r="B40" s="1398"/>
      <c r="C40" s="1347"/>
      <c r="D40" s="1347"/>
      <c r="E40" s="1347"/>
      <c r="F40" s="1347"/>
      <c r="G40" s="1347"/>
      <c r="H40" s="1347"/>
      <c r="I40" s="1347"/>
      <c r="J40" s="1347"/>
      <c r="K40" s="1347"/>
      <c r="L40" s="1347"/>
      <c r="M40" s="1347"/>
      <c r="N40" s="1347"/>
      <c r="O40" s="1347"/>
      <c r="P40" s="1347"/>
      <c r="Q40" s="1347"/>
      <c r="R40" s="1347"/>
      <c r="S40" s="1347"/>
      <c r="T40" s="1347"/>
      <c r="U40" s="1347"/>
      <c r="V40" s="1347"/>
      <c r="W40" s="1347"/>
      <c r="X40" s="1347"/>
      <c r="Y40" s="1347"/>
      <c r="Z40" s="1347"/>
      <c r="AA40" s="1347"/>
      <c r="AB40" s="1347"/>
      <c r="AC40" s="1347"/>
      <c r="AD40" s="1347"/>
      <c r="AE40" s="1347"/>
      <c r="AF40" s="1347"/>
      <c r="AG40" s="1347"/>
      <c r="AH40" s="1347"/>
      <c r="AI40" s="1347"/>
      <c r="AJ40" s="1347"/>
      <c r="AK40" s="1347"/>
      <c r="AL40" s="1347"/>
      <c r="AM40" s="1347"/>
      <c r="AN40" s="1347"/>
      <c r="AO40" s="1347"/>
      <c r="AP40" s="1347"/>
      <c r="AQ40" s="1347"/>
      <c r="AR40" s="1347"/>
      <c r="AS40" s="1347"/>
      <c r="AT40" s="1347"/>
      <c r="AU40" s="1347"/>
      <c r="AV40" s="1347"/>
      <c r="AW40" s="1347"/>
      <c r="AX40" s="1347"/>
      <c r="AY40" s="1347"/>
      <c r="AZ40" s="1347"/>
      <c r="BA40" s="1347"/>
      <c r="BB40" s="1347"/>
      <c r="BC40" s="1347"/>
      <c r="BD40" s="1347"/>
      <c r="BE40" s="1347"/>
      <c r="BF40" s="1347"/>
      <c r="BG40" s="1347"/>
      <c r="BH40" s="1347"/>
      <c r="BI40" s="1347"/>
      <c r="BJ40" s="1347"/>
      <c r="BK40" s="1347"/>
      <c r="BL40" s="1347"/>
      <c r="BM40" s="1347"/>
      <c r="BN40" s="1347"/>
      <c r="BO40" s="1347"/>
      <c r="BP40" s="1347"/>
      <c r="BQ40" s="1347"/>
      <c r="BR40" s="1347"/>
      <c r="BS40" s="1347"/>
      <c r="BT40" s="1347"/>
      <c r="BU40" s="1347"/>
      <c r="BV40" s="1347"/>
      <c r="BW40" s="1347"/>
      <c r="BX40" s="1347"/>
      <c r="BY40" s="1347"/>
      <c r="BZ40" s="1347"/>
      <c r="CA40" s="1347"/>
      <c r="CB40" s="1347"/>
      <c r="CC40" s="1347"/>
      <c r="CD40" s="1347"/>
      <c r="CE40" s="1347"/>
      <c r="CF40" s="1347"/>
      <c r="CG40" s="1347"/>
    </row>
    <row r="41" spans="1:85" s="1399" customFormat="1" ht="27.75" hidden="1" customHeight="1">
      <c r="A41" s="1347"/>
      <c r="B41" s="1347"/>
      <c r="C41" s="1347"/>
      <c r="D41" s="1347"/>
      <c r="E41" s="1347"/>
      <c r="F41" s="1388"/>
      <c r="G41" s="1388"/>
      <c r="H41" s="1388"/>
      <c r="I41" s="1388"/>
      <c r="J41" s="1388"/>
      <c r="K41" s="1388"/>
      <c r="L41" s="1388"/>
      <c r="M41" s="1388"/>
      <c r="N41" s="1388"/>
      <c r="O41" s="1388"/>
      <c r="P41" s="1388"/>
      <c r="Q41" s="1388"/>
      <c r="R41" s="1388"/>
      <c r="S41" s="1388"/>
      <c r="T41" s="1388"/>
      <c r="U41" s="1388"/>
      <c r="V41" s="1388"/>
      <c r="W41" s="1388"/>
      <c r="X41" s="1388"/>
      <c r="Y41" s="1388"/>
      <c r="Z41" s="1388"/>
      <c r="AA41" s="1388"/>
      <c r="AB41" s="1388"/>
      <c r="AC41" s="1388"/>
      <c r="AD41" s="1388"/>
      <c r="AE41" s="1388"/>
      <c r="AF41" s="1388"/>
      <c r="AG41" s="1388"/>
      <c r="AH41" s="1388"/>
      <c r="AI41" s="1388"/>
      <c r="AJ41" s="1388"/>
      <c r="AK41" s="1388"/>
      <c r="AL41" s="1388"/>
      <c r="AM41" s="1388"/>
      <c r="AN41" s="1388"/>
      <c r="AO41" s="1388"/>
      <c r="AP41" s="1388"/>
      <c r="AQ41" s="1388"/>
      <c r="AR41" s="1388"/>
      <c r="AS41" s="1388"/>
      <c r="AT41" s="1388"/>
      <c r="AU41" s="1388"/>
      <c r="AV41" s="1388"/>
      <c r="AW41" s="1388"/>
      <c r="AX41" s="1388"/>
      <c r="AY41" s="1388"/>
      <c r="AZ41" s="1388"/>
      <c r="BA41" s="1388"/>
      <c r="BB41" s="1388"/>
      <c r="BC41" s="1388"/>
      <c r="BD41" s="1388"/>
      <c r="BE41" s="1388"/>
      <c r="BF41" s="1388"/>
      <c r="BG41" s="1388"/>
      <c r="BH41" s="1388"/>
      <c r="BI41" s="1388"/>
      <c r="BJ41" s="1388"/>
      <c r="BK41" s="1388"/>
      <c r="BL41" s="1388"/>
      <c r="BM41" s="1388"/>
      <c r="BN41" s="1388"/>
      <c r="BO41" s="1388"/>
      <c r="BP41" s="1388"/>
      <c r="BQ41" s="1388"/>
      <c r="BR41" s="1388"/>
      <c r="BS41" s="1388"/>
      <c r="BT41" s="1388"/>
      <c r="BU41" s="1388"/>
      <c r="BV41" s="1388"/>
      <c r="BW41" s="1388"/>
      <c r="BX41" s="1388"/>
      <c r="BY41" s="1388"/>
      <c r="BZ41" s="1388"/>
      <c r="CA41" s="1388"/>
      <c r="CB41" s="1388"/>
      <c r="CC41" s="1388"/>
      <c r="CD41" s="1388"/>
      <c r="CE41" s="1388"/>
      <c r="CF41" s="1388"/>
      <c r="CG41" s="1388"/>
    </row>
    <row r="42" spans="1:85" s="1399" customFormat="1" hidden="1">
      <c r="A42" s="1347"/>
      <c r="B42" s="1347"/>
      <c r="C42" s="1347"/>
      <c r="D42" s="1347"/>
      <c r="E42" s="1347"/>
      <c r="F42" s="1388"/>
      <c r="G42" s="1388"/>
      <c r="H42" s="1388"/>
      <c r="I42" s="1388"/>
      <c r="J42" s="1388"/>
      <c r="K42" s="1388"/>
      <c r="L42" s="1388"/>
      <c r="M42" s="1388"/>
      <c r="N42" s="1388"/>
      <c r="O42" s="1388"/>
      <c r="P42" s="1388"/>
      <c r="Q42" s="1388"/>
      <c r="R42" s="1388"/>
      <c r="S42" s="1388"/>
      <c r="T42" s="1388"/>
      <c r="U42" s="1388"/>
      <c r="V42" s="1388"/>
      <c r="W42" s="1388"/>
      <c r="X42" s="1388"/>
      <c r="Y42" s="1388"/>
      <c r="Z42" s="1388"/>
      <c r="AA42" s="1388"/>
      <c r="AB42" s="1388"/>
      <c r="AC42" s="1388"/>
      <c r="AD42" s="1388"/>
      <c r="AE42" s="1388"/>
      <c r="AF42" s="1388"/>
      <c r="AG42" s="1388"/>
      <c r="AH42" s="1388"/>
      <c r="AI42" s="1388"/>
      <c r="AJ42" s="1388"/>
      <c r="AK42" s="1388"/>
      <c r="AL42" s="1388"/>
      <c r="AM42" s="1388"/>
      <c r="AN42" s="1388"/>
      <c r="AO42" s="1388"/>
      <c r="AP42" s="1388"/>
      <c r="AQ42" s="1388"/>
      <c r="AR42" s="1388"/>
      <c r="AS42" s="1388"/>
      <c r="AT42" s="1388"/>
      <c r="AU42" s="1388"/>
      <c r="AV42" s="1388"/>
      <c r="AW42" s="1388"/>
      <c r="AX42" s="1388"/>
      <c r="AY42" s="1388"/>
      <c r="AZ42" s="1388"/>
      <c r="BA42" s="1388"/>
      <c r="BB42" s="1388"/>
      <c r="BC42" s="1388"/>
      <c r="BD42" s="1388"/>
      <c r="BE42" s="1388"/>
      <c r="BF42" s="1388"/>
      <c r="BG42" s="1388"/>
      <c r="BH42" s="1388"/>
      <c r="BI42" s="1388"/>
      <c r="BJ42" s="1388"/>
      <c r="BK42" s="1388"/>
      <c r="BL42" s="1388"/>
      <c r="BM42" s="1388"/>
      <c r="BN42" s="1388"/>
      <c r="BO42" s="1388"/>
      <c r="BP42" s="1388"/>
      <c r="BQ42" s="1388"/>
      <c r="BR42" s="1388"/>
      <c r="BS42" s="1388"/>
      <c r="BT42" s="1388"/>
      <c r="BU42" s="1388"/>
      <c r="BV42" s="1388"/>
      <c r="BW42" s="1388"/>
      <c r="BX42" s="1388"/>
      <c r="BY42" s="1388"/>
      <c r="BZ42" s="1388"/>
      <c r="CA42" s="1388"/>
      <c r="CB42" s="1388"/>
      <c r="CC42" s="1388"/>
      <c r="CD42" s="1388"/>
      <c r="CE42" s="1388"/>
      <c r="CF42" s="1388"/>
      <c r="CG42" s="1388"/>
    </row>
    <row r="43" spans="1:85" s="1399" customFormat="1" hidden="1">
      <c r="A43" s="1347"/>
      <c r="B43" s="1347"/>
      <c r="C43" s="1347"/>
      <c r="D43" s="1347"/>
      <c r="E43" s="1347"/>
      <c r="F43" s="1388"/>
      <c r="G43" s="1388"/>
      <c r="H43" s="1388"/>
      <c r="I43" s="1388"/>
      <c r="J43" s="1388"/>
      <c r="K43" s="1388"/>
      <c r="L43" s="1388"/>
      <c r="M43" s="1388"/>
      <c r="N43" s="1388"/>
      <c r="O43" s="1388"/>
      <c r="P43" s="1388"/>
      <c r="Q43" s="1388"/>
      <c r="R43" s="1388"/>
      <c r="S43" s="1388"/>
      <c r="T43" s="1388"/>
      <c r="U43" s="1388"/>
      <c r="V43" s="1388"/>
      <c r="W43" s="1388"/>
      <c r="X43" s="1388"/>
      <c r="Y43" s="1388"/>
      <c r="Z43" s="1388"/>
      <c r="AA43" s="1388"/>
      <c r="AB43" s="1388"/>
      <c r="AC43" s="1388"/>
      <c r="AD43" s="1388"/>
      <c r="AE43" s="1388"/>
      <c r="AF43" s="1388"/>
      <c r="AG43" s="1388"/>
      <c r="AH43" s="1388"/>
      <c r="AI43" s="1388"/>
      <c r="AJ43" s="1388"/>
      <c r="AK43" s="1388"/>
      <c r="AL43" s="1388"/>
      <c r="AM43" s="1388"/>
      <c r="AN43" s="1388"/>
      <c r="AO43" s="1388"/>
      <c r="AP43" s="1388"/>
      <c r="AQ43" s="1388"/>
      <c r="AR43" s="1388"/>
      <c r="AS43" s="1388"/>
      <c r="AT43" s="1388"/>
      <c r="AU43" s="1388"/>
      <c r="AV43" s="1388"/>
      <c r="AW43" s="1388"/>
      <c r="AX43" s="1388"/>
      <c r="AY43" s="1388"/>
      <c r="AZ43" s="1388"/>
      <c r="BA43" s="1388"/>
      <c r="BB43" s="1388"/>
      <c r="BC43" s="1388"/>
      <c r="BD43" s="1388"/>
      <c r="BE43" s="1388"/>
      <c r="BF43" s="1388"/>
      <c r="BG43" s="1388"/>
      <c r="BH43" s="1388"/>
      <c r="BI43" s="1388"/>
      <c r="BJ43" s="1388"/>
      <c r="BK43" s="1388"/>
      <c r="BL43" s="1388"/>
      <c r="BM43" s="1388"/>
      <c r="BN43" s="1388"/>
      <c r="BO43" s="1388"/>
      <c r="BP43" s="1388"/>
      <c r="BQ43" s="1388"/>
      <c r="BR43" s="1388"/>
      <c r="BS43" s="1388"/>
      <c r="BT43" s="1388"/>
      <c r="BU43" s="1388"/>
      <c r="BV43" s="1388"/>
      <c r="BW43" s="1388"/>
      <c r="BX43" s="1388"/>
      <c r="BY43" s="1388"/>
      <c r="BZ43" s="1388"/>
      <c r="CA43" s="1388"/>
      <c r="CB43" s="1388"/>
      <c r="CC43" s="1388"/>
      <c r="CD43" s="1388"/>
      <c r="CE43" s="1388"/>
      <c r="CF43" s="1388"/>
      <c r="CG43" s="1388"/>
    </row>
    <row r="44" spans="1:85" s="1399" customFormat="1" hidden="1">
      <c r="A44" s="1347"/>
      <c r="B44" s="1347"/>
      <c r="C44" s="1347"/>
      <c r="D44" s="1347"/>
      <c r="E44" s="1347"/>
      <c r="F44" s="1388"/>
      <c r="G44" s="1388"/>
      <c r="H44" s="1388"/>
      <c r="I44" s="1388"/>
      <c r="J44" s="1388"/>
      <c r="K44" s="1388"/>
      <c r="L44" s="1388"/>
      <c r="M44" s="1388"/>
      <c r="N44" s="1388"/>
      <c r="O44" s="1388"/>
      <c r="P44" s="1388"/>
      <c r="Q44" s="1388"/>
      <c r="R44" s="1388"/>
      <c r="S44" s="1388"/>
      <c r="T44" s="1388"/>
      <c r="U44" s="1388"/>
      <c r="V44" s="1388"/>
      <c r="W44" s="1388"/>
      <c r="X44" s="1388"/>
      <c r="Y44" s="1388"/>
      <c r="Z44" s="1388"/>
      <c r="AA44" s="1388"/>
      <c r="AB44" s="1388"/>
      <c r="AC44" s="1388"/>
      <c r="AD44" s="1388"/>
      <c r="AE44" s="1388"/>
      <c r="AF44" s="1388"/>
      <c r="AG44" s="1388"/>
      <c r="AH44" s="1388"/>
      <c r="AI44" s="1388"/>
      <c r="AJ44" s="1388"/>
      <c r="AK44" s="1388"/>
      <c r="AL44" s="1388"/>
      <c r="AM44" s="1388"/>
      <c r="AN44" s="1388"/>
      <c r="AO44" s="1388"/>
      <c r="AP44" s="1388"/>
      <c r="AQ44" s="1388"/>
      <c r="AR44" s="1388"/>
      <c r="AS44" s="1388"/>
      <c r="AT44" s="1388"/>
      <c r="AU44" s="1388"/>
      <c r="AV44" s="1388"/>
      <c r="AW44" s="1388"/>
      <c r="AX44" s="1388"/>
      <c r="AY44" s="1388"/>
      <c r="AZ44" s="1388"/>
      <c r="BA44" s="1388"/>
      <c r="BB44" s="1388"/>
      <c r="BC44" s="1388"/>
      <c r="BD44" s="1388"/>
      <c r="BE44" s="1388"/>
      <c r="BF44" s="1388"/>
      <c r="BG44" s="1388"/>
      <c r="BH44" s="1388"/>
      <c r="BI44" s="1388"/>
      <c r="BJ44" s="1388"/>
      <c r="BK44" s="1388"/>
      <c r="BL44" s="1388"/>
      <c r="BM44" s="1388"/>
      <c r="BN44" s="1388"/>
      <c r="BO44" s="1388"/>
      <c r="BP44" s="1388"/>
      <c r="BQ44" s="1388"/>
      <c r="BR44" s="1388"/>
      <c r="BS44" s="1388"/>
      <c r="BT44" s="1388"/>
      <c r="BU44" s="1388"/>
      <c r="BV44" s="1388"/>
      <c r="BW44" s="1388"/>
      <c r="BX44" s="1388"/>
      <c r="BY44" s="1388"/>
      <c r="BZ44" s="1388"/>
      <c r="CA44" s="1388"/>
      <c r="CB44" s="1388"/>
      <c r="CC44" s="1388"/>
      <c r="CD44" s="1388"/>
      <c r="CE44" s="1388"/>
      <c r="CF44" s="1388"/>
      <c r="CG44" s="1388"/>
    </row>
    <row r="45" spans="1:85" s="1399" customFormat="1" hidden="1">
      <c r="A45" s="1347"/>
      <c r="B45" s="1347"/>
      <c r="C45" s="1347"/>
      <c r="D45" s="1347"/>
      <c r="E45" s="1347"/>
      <c r="F45" s="1388"/>
      <c r="G45" s="1388"/>
      <c r="H45" s="1388"/>
      <c r="I45" s="1388"/>
      <c r="J45" s="1388"/>
      <c r="K45" s="1388"/>
      <c r="L45" s="1388"/>
      <c r="M45" s="1388"/>
      <c r="N45" s="1388"/>
      <c r="O45" s="1388"/>
      <c r="P45" s="1388"/>
      <c r="Q45" s="1388"/>
      <c r="R45" s="1388"/>
      <c r="S45" s="1388"/>
      <c r="T45" s="1388"/>
      <c r="U45" s="1388"/>
      <c r="V45" s="1388"/>
      <c r="W45" s="1388"/>
      <c r="X45" s="1388"/>
      <c r="Y45" s="1388"/>
      <c r="Z45" s="1388"/>
      <c r="AA45" s="1388"/>
      <c r="AB45" s="1388"/>
      <c r="AC45" s="1388"/>
      <c r="AD45" s="1388"/>
      <c r="AE45" s="1388"/>
      <c r="AF45" s="1388"/>
      <c r="AG45" s="1388"/>
      <c r="AH45" s="1388"/>
      <c r="AI45" s="1388"/>
      <c r="AJ45" s="1388"/>
      <c r="AK45" s="1388"/>
      <c r="AL45" s="1388"/>
      <c r="AM45" s="1388"/>
      <c r="AN45" s="1388"/>
      <c r="AO45" s="1388"/>
      <c r="AP45" s="1388"/>
      <c r="AQ45" s="1388"/>
      <c r="AR45" s="1388"/>
      <c r="AS45" s="1388"/>
      <c r="AT45" s="1388"/>
      <c r="AU45" s="1388"/>
      <c r="AV45" s="1388"/>
      <c r="AW45" s="1388"/>
      <c r="AX45" s="1388"/>
      <c r="AY45" s="1388"/>
      <c r="AZ45" s="1388"/>
      <c r="BA45" s="1388"/>
      <c r="BB45" s="1388"/>
      <c r="BC45" s="1388"/>
      <c r="BD45" s="1388"/>
      <c r="BE45" s="1388"/>
      <c r="BF45" s="1388"/>
      <c r="BG45" s="1388"/>
      <c r="BH45" s="1388"/>
      <c r="BI45" s="1388"/>
      <c r="BJ45" s="1388"/>
      <c r="BK45" s="1388"/>
      <c r="BL45" s="1388"/>
      <c r="BM45" s="1388"/>
      <c r="BN45" s="1388"/>
      <c r="BO45" s="1388"/>
      <c r="BP45" s="1388"/>
      <c r="BQ45" s="1388"/>
      <c r="BR45" s="1388"/>
      <c r="BS45" s="1388"/>
      <c r="BT45" s="1388"/>
      <c r="BU45" s="1388"/>
      <c r="BV45" s="1388"/>
      <c r="BW45" s="1388"/>
      <c r="BX45" s="1388"/>
      <c r="BY45" s="1388"/>
      <c r="BZ45" s="1388"/>
      <c r="CA45" s="1388"/>
      <c r="CB45" s="1388"/>
      <c r="CC45" s="1388"/>
      <c r="CD45" s="1388"/>
      <c r="CE45" s="1388"/>
      <c r="CF45" s="1388"/>
      <c r="CG45" s="1388"/>
    </row>
    <row r="46" spans="1:85" s="1399" customFormat="1" hidden="1">
      <c r="A46" s="1347"/>
      <c r="B46" s="1347"/>
      <c r="C46" s="1347"/>
      <c r="D46" s="1347"/>
      <c r="E46" s="1347"/>
      <c r="F46" s="1388"/>
      <c r="G46" s="1388"/>
      <c r="H46" s="1388"/>
      <c r="I46" s="1388"/>
      <c r="J46" s="1388"/>
      <c r="K46" s="1388"/>
      <c r="L46" s="1388"/>
      <c r="M46" s="1388"/>
      <c r="N46" s="1388"/>
      <c r="O46" s="1388"/>
      <c r="P46" s="1388"/>
      <c r="Q46" s="1388"/>
      <c r="R46" s="1388"/>
      <c r="S46" s="1388"/>
      <c r="T46" s="1388"/>
      <c r="U46" s="1388"/>
      <c r="V46" s="1388"/>
      <c r="W46" s="1388"/>
      <c r="X46" s="1388"/>
      <c r="Y46" s="1388"/>
      <c r="Z46" s="1388"/>
      <c r="AA46" s="1388"/>
      <c r="AB46" s="1388"/>
      <c r="AC46" s="1388"/>
      <c r="AD46" s="1388"/>
      <c r="AE46" s="1388"/>
      <c r="AF46" s="1388"/>
      <c r="AG46" s="1388"/>
      <c r="AH46" s="1388"/>
      <c r="AI46" s="1388"/>
      <c r="AJ46" s="1388"/>
      <c r="AK46" s="1388"/>
      <c r="AL46" s="1388"/>
      <c r="AM46" s="1388"/>
      <c r="AN46" s="1388"/>
      <c r="AO46" s="1388"/>
      <c r="AP46" s="1388"/>
      <c r="AQ46" s="1388"/>
      <c r="AR46" s="1388"/>
      <c r="AS46" s="1388"/>
      <c r="AT46" s="1388"/>
      <c r="AU46" s="1388"/>
      <c r="AV46" s="1388"/>
      <c r="AW46" s="1388"/>
      <c r="AX46" s="1388"/>
      <c r="AY46" s="1388"/>
      <c r="AZ46" s="1388"/>
      <c r="BA46" s="1388"/>
      <c r="BB46" s="1388"/>
      <c r="BC46" s="1388"/>
      <c r="BD46" s="1388"/>
      <c r="BE46" s="1388"/>
      <c r="BF46" s="1388"/>
      <c r="BG46" s="1388"/>
      <c r="BH46" s="1388"/>
      <c r="BI46" s="1388"/>
      <c r="BJ46" s="1388"/>
      <c r="BK46" s="1388"/>
      <c r="BL46" s="1388"/>
      <c r="BM46" s="1388"/>
      <c r="BN46" s="1388"/>
      <c r="BO46" s="1388"/>
      <c r="BP46" s="1388"/>
      <c r="BQ46" s="1388"/>
      <c r="BR46" s="1388"/>
      <c r="BS46" s="1388"/>
      <c r="BT46" s="1388"/>
      <c r="BU46" s="1388"/>
      <c r="BV46" s="1388"/>
      <c r="BW46" s="1388"/>
      <c r="BX46" s="1388"/>
      <c r="BY46" s="1388"/>
      <c r="BZ46" s="1388"/>
      <c r="CA46" s="1388"/>
      <c r="CB46" s="1388"/>
      <c r="CC46" s="1388"/>
      <c r="CD46" s="1388"/>
      <c r="CE46" s="1388"/>
      <c r="CF46" s="1388"/>
      <c r="CG46" s="1388"/>
    </row>
    <row r="47" spans="1:85" s="1399" customFormat="1" hidden="1">
      <c r="A47" s="1347"/>
      <c r="B47" s="1347"/>
      <c r="C47" s="1347"/>
      <c r="D47" s="1347"/>
      <c r="E47" s="1347"/>
      <c r="F47" s="1388"/>
      <c r="G47" s="1388"/>
      <c r="H47" s="1388"/>
      <c r="I47" s="1388"/>
      <c r="J47" s="1388"/>
      <c r="K47" s="1388"/>
      <c r="L47" s="1388"/>
      <c r="M47" s="1388"/>
      <c r="N47" s="1388"/>
      <c r="O47" s="1388"/>
      <c r="P47" s="1388"/>
      <c r="Q47" s="1388"/>
      <c r="R47" s="1388"/>
      <c r="S47" s="1388"/>
      <c r="T47" s="1388"/>
      <c r="U47" s="1388"/>
      <c r="V47" s="1388"/>
      <c r="W47" s="1388"/>
      <c r="X47" s="1388"/>
      <c r="Y47" s="1388"/>
      <c r="Z47" s="1388"/>
      <c r="AA47" s="1388"/>
      <c r="AB47" s="1388"/>
      <c r="AC47" s="1388"/>
      <c r="AD47" s="1388"/>
      <c r="AE47" s="1388"/>
      <c r="AF47" s="1388"/>
      <c r="AG47" s="1388"/>
      <c r="AH47" s="1388"/>
      <c r="AI47" s="1388"/>
      <c r="AJ47" s="1388"/>
      <c r="AK47" s="1388"/>
      <c r="AL47" s="1388"/>
      <c r="AM47" s="1388"/>
      <c r="AN47" s="1388"/>
      <c r="AO47" s="1388"/>
      <c r="AP47" s="1388"/>
      <c r="AQ47" s="1388"/>
      <c r="AR47" s="1388"/>
      <c r="AS47" s="1388"/>
      <c r="AT47" s="1388"/>
      <c r="AU47" s="1388"/>
      <c r="AV47" s="1388"/>
      <c r="AW47" s="1388"/>
      <c r="AX47" s="1388"/>
      <c r="AY47" s="1388"/>
      <c r="AZ47" s="1388"/>
      <c r="BA47" s="1388"/>
      <c r="BB47" s="1388"/>
      <c r="BC47" s="1388"/>
      <c r="BD47" s="1388"/>
      <c r="BE47" s="1388"/>
      <c r="BF47" s="1388"/>
      <c r="BG47" s="1388"/>
      <c r="BH47" s="1388"/>
      <c r="BI47" s="1388"/>
      <c r="BJ47" s="1388"/>
      <c r="BK47" s="1388"/>
      <c r="BL47" s="1388"/>
      <c r="BM47" s="1388"/>
      <c r="BN47" s="1388"/>
      <c r="BO47" s="1388"/>
      <c r="BP47" s="1388"/>
      <c r="BQ47" s="1388"/>
      <c r="BR47" s="1388"/>
      <c r="BS47" s="1388"/>
      <c r="BT47" s="1388"/>
      <c r="BU47" s="1388"/>
      <c r="BV47" s="1388"/>
      <c r="BW47" s="1388"/>
      <c r="BX47" s="1388"/>
      <c r="BY47" s="1388"/>
      <c r="BZ47" s="1388"/>
      <c r="CA47" s="1388"/>
      <c r="CB47" s="1388"/>
      <c r="CC47" s="1388"/>
      <c r="CD47" s="1388"/>
      <c r="CE47" s="1388"/>
      <c r="CF47" s="1388"/>
      <c r="CG47" s="1388"/>
    </row>
    <row r="48" spans="1:85" s="1399" customFormat="1" hidden="1">
      <c r="A48" s="1347"/>
      <c r="B48" s="1347"/>
      <c r="C48" s="1347"/>
      <c r="D48" s="1347"/>
      <c r="E48" s="1347"/>
      <c r="F48" s="1388"/>
      <c r="G48" s="1388"/>
      <c r="H48" s="1388"/>
      <c r="I48" s="1388"/>
      <c r="J48" s="1388"/>
      <c r="K48" s="1388"/>
      <c r="L48" s="1388"/>
      <c r="M48" s="1388"/>
      <c r="N48" s="1388"/>
      <c r="O48" s="1388"/>
      <c r="P48" s="1388"/>
      <c r="Q48" s="1388"/>
      <c r="R48" s="1388"/>
      <c r="S48" s="1388"/>
      <c r="T48" s="1388"/>
      <c r="U48" s="1388"/>
      <c r="V48" s="1388"/>
      <c r="W48" s="1388"/>
      <c r="X48" s="1388"/>
      <c r="Y48" s="1388"/>
      <c r="Z48" s="1388"/>
      <c r="AA48" s="1388"/>
      <c r="AB48" s="1388"/>
      <c r="AC48" s="1388"/>
      <c r="AD48" s="1388"/>
      <c r="AE48" s="1388"/>
      <c r="AF48" s="1388"/>
      <c r="AG48" s="1388"/>
      <c r="AH48" s="1388"/>
      <c r="AI48" s="1388"/>
      <c r="AJ48" s="1388"/>
      <c r="AK48" s="1388"/>
      <c r="AL48" s="1388"/>
      <c r="AM48" s="1388"/>
      <c r="AN48" s="1388"/>
      <c r="AO48" s="1388"/>
      <c r="AP48" s="1388"/>
      <c r="AQ48" s="1388"/>
      <c r="AR48" s="1388"/>
      <c r="AS48" s="1388"/>
      <c r="AT48" s="1388"/>
      <c r="AU48" s="1388"/>
      <c r="AV48" s="1388"/>
      <c r="AW48" s="1388"/>
      <c r="AX48" s="1388"/>
      <c r="AY48" s="1388"/>
      <c r="AZ48" s="1388"/>
      <c r="BA48" s="1388"/>
      <c r="BB48" s="1388"/>
      <c r="BC48" s="1388"/>
      <c r="BD48" s="1388"/>
      <c r="BE48" s="1388"/>
      <c r="BF48" s="1388"/>
      <c r="BG48" s="1388"/>
      <c r="BH48" s="1388"/>
      <c r="BI48" s="1388"/>
      <c r="BJ48" s="1388"/>
      <c r="BK48" s="1388"/>
      <c r="BL48" s="1388"/>
      <c r="BM48" s="1388"/>
      <c r="BN48" s="1388"/>
      <c r="BO48" s="1388"/>
      <c r="BP48" s="1388"/>
      <c r="BQ48" s="1388"/>
      <c r="BR48" s="1388"/>
      <c r="BS48" s="1388"/>
      <c r="BT48" s="1388"/>
      <c r="BU48" s="1388"/>
      <c r="BV48" s="1388"/>
      <c r="BW48" s="1388"/>
      <c r="BX48" s="1388"/>
      <c r="BY48" s="1388"/>
      <c r="BZ48" s="1388"/>
      <c r="CA48" s="1388"/>
      <c r="CB48" s="1388"/>
      <c r="CC48" s="1388"/>
      <c r="CD48" s="1388"/>
      <c r="CE48" s="1388"/>
      <c r="CF48" s="1388"/>
      <c r="CG48" s="1388"/>
    </row>
    <row r="49" spans="1:85" s="1399" customFormat="1" hidden="1">
      <c r="A49" s="1347"/>
      <c r="B49" s="1347"/>
      <c r="C49" s="1347"/>
      <c r="D49" s="1347"/>
      <c r="E49" s="1347"/>
      <c r="F49" s="1388"/>
      <c r="G49" s="1388"/>
      <c r="H49" s="1388"/>
      <c r="I49" s="1388"/>
      <c r="J49" s="1388"/>
      <c r="K49" s="1388"/>
      <c r="L49" s="1388"/>
      <c r="M49" s="1388"/>
      <c r="N49" s="1388"/>
      <c r="O49" s="1388"/>
      <c r="P49" s="1388"/>
      <c r="Q49" s="1388"/>
      <c r="R49" s="1388"/>
      <c r="S49" s="1388"/>
      <c r="T49" s="1388"/>
      <c r="U49" s="1388"/>
      <c r="V49" s="1388"/>
      <c r="W49" s="1388"/>
      <c r="X49" s="1388"/>
      <c r="Y49" s="1388"/>
      <c r="Z49" s="1388"/>
      <c r="AA49" s="1388"/>
      <c r="AB49" s="1388"/>
      <c r="AC49" s="1388"/>
      <c r="AD49" s="1388"/>
      <c r="AE49" s="1388"/>
      <c r="AF49" s="1388"/>
      <c r="AG49" s="1388"/>
      <c r="AH49" s="1388"/>
      <c r="AI49" s="1388"/>
      <c r="AJ49" s="1388"/>
      <c r="AK49" s="1388"/>
      <c r="AL49" s="1388"/>
      <c r="AM49" s="1388"/>
      <c r="AN49" s="1388"/>
      <c r="AO49" s="1388"/>
      <c r="AP49" s="1388"/>
      <c r="AQ49" s="1388"/>
      <c r="AR49" s="1388"/>
      <c r="AS49" s="1388"/>
      <c r="AT49" s="1388"/>
      <c r="AU49" s="1388"/>
      <c r="AV49" s="1388"/>
      <c r="AW49" s="1388"/>
      <c r="AX49" s="1388"/>
      <c r="AY49" s="1388"/>
      <c r="AZ49" s="1388"/>
      <c r="BA49" s="1388"/>
      <c r="BB49" s="1388"/>
      <c r="BC49" s="1388"/>
      <c r="BD49" s="1388"/>
      <c r="BE49" s="1388"/>
      <c r="BF49" s="1388"/>
      <c r="BG49" s="1388"/>
      <c r="BH49" s="1388"/>
      <c r="BI49" s="1388"/>
      <c r="BJ49" s="1388"/>
      <c r="BK49" s="1388"/>
      <c r="BL49" s="1388"/>
      <c r="BM49" s="1388"/>
      <c r="BN49" s="1388"/>
      <c r="BO49" s="1388"/>
      <c r="BP49" s="1388"/>
      <c r="BQ49" s="1388"/>
      <c r="BR49" s="1388"/>
      <c r="BS49" s="1388"/>
      <c r="BT49" s="1388"/>
      <c r="BU49" s="1388"/>
      <c r="BV49" s="1388"/>
      <c r="BW49" s="1388"/>
      <c r="BX49" s="1388"/>
      <c r="BY49" s="1388"/>
      <c r="BZ49" s="1388"/>
      <c r="CA49" s="1388"/>
      <c r="CB49" s="1388"/>
      <c r="CC49" s="1388"/>
      <c r="CD49" s="1388"/>
      <c r="CE49" s="1388"/>
      <c r="CF49" s="1388"/>
      <c r="CG49" s="1388"/>
    </row>
    <row r="50" spans="1:85" s="1399" customFormat="1" hidden="1">
      <c r="A50" s="1347"/>
      <c r="B50" s="1347"/>
      <c r="C50" s="1347"/>
      <c r="D50" s="1347"/>
      <c r="E50" s="1347"/>
      <c r="F50" s="1388"/>
      <c r="G50" s="1388"/>
      <c r="H50" s="1388"/>
      <c r="I50" s="1388"/>
      <c r="J50" s="1388"/>
      <c r="K50" s="1388"/>
      <c r="L50" s="1388"/>
      <c r="M50" s="1388"/>
      <c r="N50" s="1388"/>
      <c r="O50" s="1388"/>
      <c r="P50" s="1388"/>
      <c r="Q50" s="1388"/>
      <c r="R50" s="1388"/>
      <c r="S50" s="1388"/>
      <c r="T50" s="1388"/>
      <c r="U50" s="1388"/>
      <c r="V50" s="1388"/>
      <c r="W50" s="1388"/>
      <c r="X50" s="1388"/>
      <c r="Y50" s="1388"/>
      <c r="Z50" s="1388"/>
      <c r="AA50" s="1388"/>
      <c r="AB50" s="1388"/>
      <c r="AC50" s="1388"/>
      <c r="AD50" s="1388"/>
      <c r="AE50" s="1388"/>
      <c r="AF50" s="1388"/>
      <c r="AG50" s="1388"/>
      <c r="AH50" s="1388"/>
      <c r="AI50" s="1388"/>
      <c r="AJ50" s="1388"/>
      <c r="AK50" s="1388"/>
      <c r="AL50" s="1388"/>
      <c r="AM50" s="1388"/>
      <c r="AN50" s="1388"/>
      <c r="AO50" s="1388"/>
      <c r="AP50" s="1388"/>
      <c r="AQ50" s="1388"/>
      <c r="AR50" s="1388"/>
      <c r="AS50" s="1388"/>
      <c r="AT50" s="1388"/>
      <c r="AU50" s="1388"/>
      <c r="AV50" s="1388"/>
      <c r="AW50" s="1388"/>
      <c r="AX50" s="1388"/>
      <c r="AY50" s="1388"/>
      <c r="AZ50" s="1388"/>
      <c r="BA50" s="1388"/>
      <c r="BB50" s="1388"/>
      <c r="BC50" s="1388"/>
      <c r="BD50" s="1388"/>
      <c r="BE50" s="1388"/>
      <c r="BF50" s="1388"/>
      <c r="BG50" s="1388"/>
      <c r="BH50" s="1388"/>
      <c r="BI50" s="1388"/>
      <c r="BJ50" s="1388"/>
      <c r="BK50" s="1388"/>
      <c r="BL50" s="1388"/>
      <c r="BM50" s="1388"/>
      <c r="BN50" s="1388"/>
      <c r="BO50" s="1388"/>
      <c r="BP50" s="1388"/>
      <c r="BQ50" s="1388"/>
      <c r="BR50" s="1388"/>
      <c r="BS50" s="1388"/>
      <c r="BT50" s="1388"/>
      <c r="BU50" s="1388"/>
      <c r="BV50" s="1388"/>
      <c r="BW50" s="1388"/>
      <c r="BX50" s="1388"/>
      <c r="BY50" s="1388"/>
      <c r="BZ50" s="1388"/>
      <c r="CA50" s="1388"/>
      <c r="CB50" s="1388"/>
      <c r="CC50" s="1388"/>
      <c r="CD50" s="1388"/>
      <c r="CE50" s="1388"/>
      <c r="CF50" s="1388"/>
      <c r="CG50" s="1388"/>
    </row>
    <row r="51" spans="1:85" hidden="1">
      <c r="A51" s="1347"/>
      <c r="B51" s="1347"/>
      <c r="C51" s="1347"/>
      <c r="D51" s="1347"/>
      <c r="E51" s="1347"/>
      <c r="F51" s="1347"/>
      <c r="G51" s="1347"/>
      <c r="H51" s="1347"/>
      <c r="I51" s="1347"/>
      <c r="J51" s="1347"/>
      <c r="K51" s="1347"/>
      <c r="L51" s="1347"/>
      <c r="M51" s="1347"/>
      <c r="N51" s="1347"/>
      <c r="O51" s="1347"/>
      <c r="P51" s="1347"/>
      <c r="Q51" s="1347"/>
      <c r="R51" s="1347"/>
      <c r="S51" s="1347"/>
      <c r="T51" s="1347"/>
      <c r="U51" s="1347"/>
      <c r="V51" s="1347"/>
      <c r="W51" s="1347"/>
      <c r="X51" s="1347"/>
      <c r="Y51" s="1347"/>
      <c r="Z51" s="1347"/>
      <c r="AA51" s="1347"/>
      <c r="AB51" s="1347"/>
      <c r="AC51" s="1347"/>
      <c r="AD51" s="1347"/>
      <c r="AE51" s="1347"/>
      <c r="AF51" s="1347"/>
      <c r="AG51" s="1347"/>
      <c r="AH51" s="1347"/>
      <c r="AI51" s="1347"/>
      <c r="AJ51" s="1347"/>
      <c r="AK51" s="1347"/>
      <c r="AL51" s="1347"/>
      <c r="AM51" s="1347"/>
      <c r="AN51" s="1347"/>
      <c r="AO51" s="1347"/>
      <c r="AP51" s="1347"/>
      <c r="AQ51" s="1347"/>
      <c r="AR51" s="1347"/>
      <c r="AS51" s="1347"/>
      <c r="AT51" s="1347"/>
      <c r="AU51" s="1347"/>
      <c r="AV51" s="1347"/>
      <c r="AW51" s="1347"/>
      <c r="AX51" s="1347"/>
      <c r="AY51" s="1347"/>
      <c r="AZ51" s="1347"/>
      <c r="BA51" s="1347"/>
      <c r="BB51" s="1347"/>
      <c r="BC51" s="1347"/>
      <c r="BD51" s="1347"/>
      <c r="BE51" s="1347"/>
      <c r="BF51" s="1347"/>
      <c r="BG51" s="1347"/>
      <c r="BH51" s="1347"/>
      <c r="BI51" s="1347"/>
      <c r="BJ51" s="1347"/>
      <c r="BK51" s="1347"/>
      <c r="BL51" s="1347"/>
      <c r="BM51" s="1347"/>
      <c r="BN51" s="1347"/>
      <c r="BO51" s="1347"/>
      <c r="BP51" s="1347"/>
      <c r="BQ51" s="1347"/>
      <c r="BR51" s="1347"/>
      <c r="BS51" s="1347"/>
      <c r="BT51" s="1347"/>
      <c r="BU51" s="1347"/>
      <c r="BV51" s="1347"/>
      <c r="BW51" s="1347"/>
      <c r="BX51" s="1347"/>
      <c r="BY51" s="1347"/>
      <c r="BZ51" s="1347"/>
      <c r="CA51" s="1347"/>
      <c r="CB51" s="1347"/>
      <c r="CC51" s="1347"/>
      <c r="CD51" s="1347"/>
      <c r="CE51" s="1347"/>
      <c r="CF51" s="1347"/>
      <c r="CG51" s="1347"/>
    </row>
    <row r="52" spans="1:85" hidden="1">
      <c r="A52" s="1347"/>
      <c r="B52" s="1347"/>
      <c r="C52" s="1347"/>
      <c r="D52" s="1347"/>
      <c r="E52" s="1347"/>
      <c r="F52" s="1347"/>
      <c r="G52" s="1347"/>
      <c r="H52" s="1347"/>
      <c r="I52" s="1347"/>
      <c r="J52" s="1347"/>
      <c r="K52" s="1347"/>
      <c r="L52" s="1347"/>
      <c r="M52" s="1347"/>
      <c r="N52" s="1347"/>
      <c r="O52" s="1347"/>
      <c r="P52" s="1347"/>
      <c r="Q52" s="1347"/>
      <c r="R52" s="1347"/>
      <c r="S52" s="1347"/>
      <c r="T52" s="1347"/>
      <c r="U52" s="1347"/>
      <c r="V52" s="1347"/>
      <c r="W52" s="1347"/>
      <c r="X52" s="1347"/>
      <c r="Y52" s="1347"/>
      <c r="Z52" s="1347"/>
      <c r="AA52" s="1347"/>
      <c r="AB52" s="1347"/>
      <c r="AC52" s="1347"/>
      <c r="AD52" s="1347"/>
      <c r="AE52" s="1347"/>
      <c r="AF52" s="1347"/>
      <c r="AG52" s="1347"/>
      <c r="AH52" s="1347"/>
      <c r="AI52" s="1347"/>
      <c r="AJ52" s="1347"/>
      <c r="AK52" s="1347"/>
      <c r="AL52" s="1347"/>
      <c r="AM52" s="1347"/>
      <c r="AN52" s="1347"/>
      <c r="AO52" s="1347"/>
      <c r="AP52" s="1347"/>
      <c r="AQ52" s="1347"/>
      <c r="AR52" s="1347"/>
      <c r="AS52" s="1347"/>
      <c r="AT52" s="1347"/>
      <c r="AU52" s="1347"/>
      <c r="AV52" s="1347"/>
      <c r="AW52" s="1347"/>
      <c r="AX52" s="1347"/>
      <c r="AY52" s="1347"/>
      <c r="AZ52" s="1347"/>
      <c r="BA52" s="1347"/>
      <c r="BB52" s="1347"/>
      <c r="BC52" s="1347"/>
      <c r="BD52" s="1347"/>
      <c r="BE52" s="1347"/>
      <c r="BF52" s="1347"/>
      <c r="BG52" s="1347"/>
      <c r="BH52" s="1347"/>
      <c r="BI52" s="1347"/>
      <c r="BJ52" s="1347"/>
      <c r="BK52" s="1347"/>
      <c r="BL52" s="1347"/>
      <c r="BM52" s="1347"/>
      <c r="BN52" s="1347"/>
      <c r="BO52" s="1347"/>
      <c r="BP52" s="1347"/>
      <c r="BQ52" s="1347"/>
      <c r="BR52" s="1347"/>
      <c r="BS52" s="1347"/>
      <c r="BT52" s="1347"/>
      <c r="BU52" s="1347"/>
      <c r="BV52" s="1347"/>
      <c r="BW52" s="1347"/>
      <c r="BX52" s="1347"/>
      <c r="BY52" s="1347"/>
      <c r="BZ52" s="1347"/>
      <c r="CA52" s="1347"/>
      <c r="CB52" s="1347"/>
      <c r="CC52" s="1347"/>
      <c r="CD52" s="1347"/>
      <c r="CE52" s="1347"/>
      <c r="CF52" s="1347"/>
      <c r="CG52" s="1347"/>
    </row>
    <row r="53" spans="1:85" hidden="1">
      <c r="A53" s="1347"/>
      <c r="B53" s="1347"/>
      <c r="C53" s="1347"/>
      <c r="D53" s="1347"/>
      <c r="E53" s="1347"/>
      <c r="F53" s="1347"/>
      <c r="G53" s="1347"/>
      <c r="H53" s="1347"/>
      <c r="I53" s="1347"/>
      <c r="J53" s="1347"/>
      <c r="K53" s="1347"/>
      <c r="L53" s="1347"/>
      <c r="M53" s="1347"/>
      <c r="N53" s="1347"/>
      <c r="O53" s="1347"/>
      <c r="P53" s="1347"/>
      <c r="Q53" s="1347"/>
      <c r="R53" s="1347"/>
      <c r="S53" s="1347"/>
      <c r="T53" s="1347"/>
      <c r="U53" s="1347"/>
      <c r="V53" s="1347"/>
      <c r="W53" s="1347"/>
      <c r="X53" s="1347"/>
      <c r="Y53" s="1347"/>
      <c r="Z53" s="1347"/>
      <c r="AA53" s="1347"/>
      <c r="AB53" s="1347"/>
      <c r="AC53" s="1347"/>
      <c r="AD53" s="1347"/>
      <c r="AE53" s="1347"/>
      <c r="AF53" s="1347"/>
      <c r="AG53" s="1347"/>
      <c r="AH53" s="1347"/>
      <c r="AI53" s="1347"/>
      <c r="AJ53" s="1347"/>
      <c r="AK53" s="1347"/>
      <c r="AL53" s="1347"/>
      <c r="AM53" s="1347"/>
      <c r="AN53" s="1347"/>
      <c r="AO53" s="1347"/>
      <c r="AP53" s="1347"/>
      <c r="AQ53" s="1347"/>
      <c r="AR53" s="1347"/>
      <c r="AS53" s="1347"/>
      <c r="AT53" s="1347"/>
      <c r="AU53" s="1347"/>
      <c r="AV53" s="1347"/>
      <c r="AW53" s="1347"/>
      <c r="AX53" s="1347"/>
      <c r="AY53" s="1347"/>
      <c r="AZ53" s="1347"/>
      <c r="BA53" s="1347"/>
      <c r="BB53" s="1347"/>
      <c r="BC53" s="1347"/>
      <c r="BD53" s="1347"/>
      <c r="BE53" s="1347"/>
      <c r="BF53" s="1347"/>
      <c r="BG53" s="1347"/>
      <c r="BH53" s="1347"/>
      <c r="BI53" s="1347"/>
      <c r="BJ53" s="1347"/>
      <c r="BK53" s="1347"/>
      <c r="BL53" s="1347"/>
      <c r="BM53" s="1347"/>
      <c r="BN53" s="1347"/>
      <c r="BO53" s="1347"/>
      <c r="BP53" s="1347"/>
      <c r="BQ53" s="1347"/>
      <c r="BR53" s="1347"/>
      <c r="BS53" s="1347"/>
      <c r="BT53" s="1347"/>
      <c r="BU53" s="1347"/>
      <c r="BV53" s="1347"/>
      <c r="BW53" s="1347"/>
      <c r="BX53" s="1347"/>
      <c r="BY53" s="1347"/>
      <c r="BZ53" s="1347"/>
      <c r="CA53" s="1347"/>
      <c r="CB53" s="1347"/>
      <c r="CC53" s="1347"/>
      <c r="CD53" s="1347"/>
      <c r="CE53" s="1347"/>
      <c r="CF53" s="1347"/>
      <c r="CG53" s="1347"/>
    </row>
    <row r="54" spans="1:85" hidden="1">
      <c r="A54" s="1347"/>
      <c r="B54" s="1347"/>
      <c r="C54" s="1347"/>
      <c r="D54" s="1347"/>
      <c r="E54" s="1347"/>
      <c r="F54" s="1347"/>
      <c r="G54" s="1347"/>
      <c r="H54" s="1347"/>
      <c r="I54" s="1347"/>
      <c r="J54" s="1347"/>
      <c r="K54" s="1347"/>
      <c r="L54" s="1347"/>
      <c r="M54" s="1347"/>
      <c r="N54" s="1347"/>
      <c r="O54" s="1347"/>
      <c r="P54" s="1347"/>
      <c r="Q54" s="1347"/>
      <c r="R54" s="1347"/>
      <c r="S54" s="1347"/>
      <c r="T54" s="1347"/>
      <c r="U54" s="1347"/>
      <c r="V54" s="1347"/>
      <c r="W54" s="1347"/>
      <c r="X54" s="1347"/>
      <c r="Y54" s="1347"/>
      <c r="Z54" s="1347"/>
      <c r="AA54" s="1347"/>
      <c r="AB54" s="1347"/>
      <c r="AC54" s="1347"/>
      <c r="AD54" s="1347"/>
      <c r="AE54" s="1347"/>
      <c r="AF54" s="1347"/>
      <c r="AG54" s="1347"/>
      <c r="AH54" s="1347"/>
      <c r="AI54" s="1347"/>
      <c r="AJ54" s="1347"/>
      <c r="AK54" s="1347"/>
      <c r="AL54" s="1347"/>
      <c r="AM54" s="1347"/>
      <c r="AN54" s="1347"/>
      <c r="AO54" s="1347"/>
      <c r="AP54" s="1347"/>
      <c r="AQ54" s="1347"/>
      <c r="AR54" s="1347"/>
      <c r="AS54" s="1347"/>
      <c r="AT54" s="1347"/>
      <c r="AU54" s="1347"/>
      <c r="AV54" s="1347"/>
      <c r="AW54" s="1347"/>
      <c r="AX54" s="1347"/>
      <c r="AY54" s="1347"/>
      <c r="AZ54" s="1347"/>
      <c r="BA54" s="1347"/>
      <c r="BB54" s="1347"/>
      <c r="BC54" s="1347"/>
      <c r="BD54" s="1347"/>
      <c r="BE54" s="1347"/>
      <c r="BF54" s="1347"/>
      <c r="BG54" s="1347"/>
      <c r="BH54" s="1347"/>
      <c r="BI54" s="1347"/>
      <c r="BJ54" s="1347"/>
      <c r="BK54" s="1347"/>
      <c r="BL54" s="1347"/>
      <c r="BM54" s="1347"/>
      <c r="BN54" s="1347"/>
      <c r="BO54" s="1347"/>
      <c r="BP54" s="1347"/>
      <c r="BQ54" s="1347"/>
      <c r="BR54" s="1347"/>
      <c r="BS54" s="1347"/>
      <c r="BT54" s="1347"/>
      <c r="BU54" s="1347"/>
      <c r="BV54" s="1347"/>
      <c r="BW54" s="1347"/>
      <c r="BX54" s="1347"/>
      <c r="BY54" s="1347"/>
      <c r="BZ54" s="1347"/>
      <c r="CA54" s="1347"/>
      <c r="CB54" s="1347"/>
      <c r="CC54" s="1347"/>
      <c r="CD54" s="1347"/>
      <c r="CE54" s="1347"/>
      <c r="CF54" s="1347"/>
      <c r="CG54" s="1347"/>
    </row>
    <row r="55" spans="1:85" hidden="1">
      <c r="A55" s="1347"/>
      <c r="B55" s="1347"/>
      <c r="C55" s="1347"/>
      <c r="D55" s="1347"/>
      <c r="E55" s="1347"/>
      <c r="F55" s="1347"/>
      <c r="G55" s="1347"/>
      <c r="H55" s="1347"/>
      <c r="I55" s="1347"/>
      <c r="J55" s="1347"/>
      <c r="K55" s="1347"/>
      <c r="L55" s="1347"/>
      <c r="M55" s="1347"/>
      <c r="N55" s="1347"/>
      <c r="O55" s="1347"/>
      <c r="P55" s="1347"/>
      <c r="Q55" s="1347"/>
      <c r="R55" s="1347"/>
      <c r="S55" s="1347"/>
      <c r="T55" s="1347"/>
      <c r="U55" s="1347"/>
      <c r="V55" s="1347"/>
      <c r="W55" s="1347"/>
      <c r="X55" s="1347"/>
      <c r="Y55" s="1347"/>
      <c r="Z55" s="1347"/>
      <c r="AA55" s="1347"/>
      <c r="AB55" s="1347"/>
      <c r="AC55" s="1347"/>
      <c r="AD55" s="1347"/>
      <c r="AE55" s="1347"/>
      <c r="AF55" s="1347"/>
      <c r="AG55" s="1347"/>
      <c r="AH55" s="1347"/>
      <c r="AI55" s="1347"/>
      <c r="AJ55" s="1347"/>
      <c r="AK55" s="1347"/>
      <c r="AL55" s="1347"/>
      <c r="AM55" s="1347"/>
      <c r="AN55" s="1347"/>
      <c r="AO55" s="1347"/>
      <c r="AP55" s="1347"/>
      <c r="AQ55" s="1347"/>
      <c r="AR55" s="1347"/>
      <c r="AS55" s="1347"/>
      <c r="AT55" s="1347"/>
      <c r="AU55" s="1347"/>
      <c r="AV55" s="1347"/>
      <c r="AW55" s="1347"/>
      <c r="AX55" s="1347"/>
      <c r="AY55" s="1347"/>
      <c r="AZ55" s="1347"/>
      <c r="BA55" s="1347"/>
      <c r="BB55" s="1347"/>
      <c r="BC55" s="1347"/>
      <c r="BD55" s="1347"/>
      <c r="BE55" s="1347"/>
      <c r="BF55" s="1347"/>
      <c r="BG55" s="1347"/>
      <c r="BH55" s="1347"/>
      <c r="BI55" s="1347"/>
      <c r="BJ55" s="1347"/>
      <c r="BK55" s="1347"/>
      <c r="BL55" s="1347"/>
      <c r="BM55" s="1347"/>
      <c r="BN55" s="1347"/>
      <c r="BO55" s="1347"/>
      <c r="BP55" s="1347"/>
      <c r="BQ55" s="1347"/>
      <c r="BR55" s="1347"/>
      <c r="BS55" s="1347"/>
      <c r="BT55" s="1347"/>
      <c r="BU55" s="1347"/>
      <c r="BV55" s="1347"/>
      <c r="BW55" s="1347"/>
      <c r="BX55" s="1347"/>
      <c r="BY55" s="1347"/>
      <c r="BZ55" s="1347"/>
      <c r="CA55" s="1347"/>
      <c r="CB55" s="1347"/>
      <c r="CC55" s="1347"/>
      <c r="CD55" s="1347"/>
      <c r="CE55" s="1347"/>
      <c r="CF55" s="1347"/>
      <c r="CG55" s="1347"/>
    </row>
    <row r="56" spans="1:85" hidden="1">
      <c r="A56" s="1347"/>
      <c r="B56" s="1347"/>
      <c r="C56" s="1347"/>
      <c r="D56" s="1347"/>
      <c r="E56" s="1347"/>
      <c r="F56" s="1347"/>
      <c r="G56" s="1347"/>
      <c r="H56" s="1347"/>
      <c r="I56" s="1347"/>
      <c r="J56" s="1347"/>
      <c r="K56" s="1347"/>
      <c r="L56" s="1347"/>
      <c r="M56" s="1347"/>
      <c r="N56" s="1347"/>
      <c r="O56" s="1347"/>
      <c r="P56" s="1347"/>
      <c r="Q56" s="1347"/>
      <c r="R56" s="1347"/>
      <c r="S56" s="1347"/>
      <c r="T56" s="1347"/>
      <c r="U56" s="1347"/>
      <c r="V56" s="1347"/>
      <c r="W56" s="1347"/>
      <c r="X56" s="1347"/>
      <c r="Y56" s="1347"/>
      <c r="Z56" s="1347"/>
      <c r="AA56" s="1347"/>
      <c r="AB56" s="1347"/>
      <c r="AC56" s="1347"/>
      <c r="AD56" s="1347"/>
      <c r="AE56" s="1347"/>
      <c r="AF56" s="1347"/>
      <c r="AG56" s="1347"/>
      <c r="AH56" s="1347"/>
      <c r="AI56" s="1347"/>
      <c r="AJ56" s="1347"/>
      <c r="AK56" s="1347"/>
      <c r="AL56" s="1347"/>
      <c r="AM56" s="1347"/>
      <c r="AN56" s="1347"/>
      <c r="AO56" s="1347"/>
      <c r="AP56" s="1347"/>
      <c r="AQ56" s="1347"/>
      <c r="AR56" s="1347"/>
      <c r="AS56" s="1347"/>
      <c r="AT56" s="1347"/>
      <c r="AU56" s="1347"/>
      <c r="AV56" s="1347"/>
      <c r="AW56" s="1347"/>
      <c r="AX56" s="1347"/>
      <c r="AY56" s="1347"/>
      <c r="AZ56" s="1347"/>
      <c r="BA56" s="1347"/>
      <c r="BB56" s="1347"/>
      <c r="BC56" s="1347"/>
      <c r="BD56" s="1347"/>
      <c r="BE56" s="1347"/>
      <c r="BF56" s="1347"/>
      <c r="BG56" s="1347"/>
      <c r="BH56" s="1347"/>
      <c r="BI56" s="1347"/>
      <c r="BJ56" s="1347"/>
      <c r="BK56" s="1347"/>
      <c r="BL56" s="1347"/>
      <c r="BM56" s="1347"/>
      <c r="BN56" s="1347"/>
      <c r="BO56" s="1347"/>
      <c r="BP56" s="1347"/>
      <c r="BQ56" s="1347"/>
      <c r="BR56" s="1347"/>
      <c r="BS56" s="1347"/>
      <c r="BT56" s="1347"/>
      <c r="BU56" s="1347"/>
      <c r="BV56" s="1347"/>
      <c r="BW56" s="1347"/>
      <c r="BX56" s="1347"/>
      <c r="BY56" s="1347"/>
      <c r="BZ56" s="1347"/>
      <c r="CA56" s="1347"/>
      <c r="CB56" s="1347"/>
      <c r="CC56" s="1347"/>
      <c r="CD56" s="1347"/>
      <c r="CE56" s="1347"/>
      <c r="CF56" s="1347"/>
      <c r="CG56" s="1347"/>
    </row>
    <row r="57" spans="1:85" hidden="1">
      <c r="A57" s="1347"/>
      <c r="B57" s="1347"/>
      <c r="C57" s="1347"/>
      <c r="D57" s="1347"/>
      <c r="E57" s="1347"/>
      <c r="F57" s="1347"/>
      <c r="G57" s="1347"/>
      <c r="H57" s="1347"/>
      <c r="I57" s="1347"/>
      <c r="J57" s="1347"/>
      <c r="K57" s="1347"/>
      <c r="L57" s="1347"/>
      <c r="M57" s="1347"/>
      <c r="N57" s="1347"/>
      <c r="O57" s="1347"/>
      <c r="P57" s="1347"/>
      <c r="Q57" s="1347"/>
      <c r="R57" s="1347"/>
      <c r="S57" s="1347"/>
      <c r="T57" s="1347"/>
      <c r="U57" s="1347"/>
      <c r="V57" s="1347"/>
      <c r="W57" s="1347"/>
      <c r="X57" s="1347"/>
      <c r="Y57" s="1347"/>
      <c r="Z57" s="1347"/>
      <c r="AA57" s="1347"/>
      <c r="AB57" s="1347"/>
      <c r="AC57" s="1347"/>
      <c r="AD57" s="1347"/>
      <c r="AE57" s="1347"/>
      <c r="AF57" s="1347"/>
      <c r="AG57" s="1347"/>
      <c r="AH57" s="1347"/>
      <c r="AI57" s="1347"/>
      <c r="AJ57" s="1347"/>
      <c r="AK57" s="1347"/>
      <c r="AL57" s="1347"/>
      <c r="AM57" s="1347"/>
      <c r="AN57" s="1347"/>
      <c r="AO57" s="1347"/>
      <c r="AP57" s="1347"/>
      <c r="AQ57" s="1347"/>
      <c r="AR57" s="1347"/>
      <c r="AS57" s="1347"/>
      <c r="AT57" s="1347"/>
      <c r="AU57" s="1347"/>
      <c r="AV57" s="1347"/>
      <c r="AW57" s="1347"/>
      <c r="AX57" s="1347"/>
      <c r="AY57" s="1347"/>
      <c r="AZ57" s="1347"/>
      <c r="BA57" s="1347"/>
      <c r="BB57" s="1347"/>
      <c r="BC57" s="1347"/>
      <c r="BD57" s="1347"/>
      <c r="BE57" s="1347"/>
      <c r="BF57" s="1347"/>
      <c r="BG57" s="1347"/>
      <c r="BH57" s="1347"/>
      <c r="BI57" s="1347"/>
      <c r="BJ57" s="1347"/>
      <c r="BK57" s="1347"/>
      <c r="BL57" s="1347"/>
      <c r="BM57" s="1347"/>
      <c r="BN57" s="1347"/>
      <c r="BO57" s="1347"/>
      <c r="BP57" s="1347"/>
      <c r="BQ57" s="1347"/>
      <c r="BR57" s="1347"/>
      <c r="BS57" s="1347"/>
      <c r="BT57" s="1347"/>
      <c r="BU57" s="1347"/>
      <c r="BV57" s="1347"/>
      <c r="BW57" s="1347"/>
      <c r="BX57" s="1347"/>
      <c r="BY57" s="1347"/>
      <c r="BZ57" s="1347"/>
      <c r="CA57" s="1347"/>
      <c r="CB57" s="1347"/>
      <c r="CC57" s="1347"/>
      <c r="CD57" s="1347"/>
      <c r="CE57" s="1347"/>
      <c r="CF57" s="1347"/>
      <c r="CG57" s="1347"/>
    </row>
    <row r="58" spans="1:85" hidden="1">
      <c r="A58" s="1347"/>
      <c r="B58" s="1347"/>
      <c r="C58" s="1347"/>
      <c r="D58" s="1347"/>
      <c r="E58" s="1347"/>
      <c r="F58" s="1347"/>
      <c r="G58" s="1347"/>
      <c r="H58" s="1347"/>
      <c r="I58" s="1347"/>
      <c r="J58" s="1347"/>
      <c r="K58" s="1347"/>
      <c r="L58" s="1347"/>
      <c r="M58" s="1347"/>
      <c r="N58" s="1347"/>
      <c r="O58" s="1347"/>
      <c r="P58" s="1347"/>
      <c r="Q58" s="1347"/>
      <c r="R58" s="1347"/>
      <c r="S58" s="1347"/>
      <c r="T58" s="1347"/>
      <c r="U58" s="1347"/>
      <c r="V58" s="1347"/>
      <c r="W58" s="1347"/>
      <c r="X58" s="1347"/>
      <c r="Y58" s="1347"/>
      <c r="Z58" s="1347"/>
      <c r="AA58" s="1347"/>
      <c r="AB58" s="1347"/>
      <c r="AC58" s="1347"/>
      <c r="AD58" s="1347"/>
      <c r="AE58" s="1347"/>
      <c r="AF58" s="1347"/>
      <c r="AG58" s="1347"/>
      <c r="AH58" s="1347"/>
      <c r="AI58" s="1347"/>
      <c r="AJ58" s="1347"/>
      <c r="AK58" s="1347"/>
      <c r="AL58" s="1347"/>
      <c r="AM58" s="1347"/>
      <c r="AN58" s="1347"/>
      <c r="AO58" s="1347"/>
      <c r="AP58" s="1347"/>
      <c r="AQ58" s="1347"/>
      <c r="AR58" s="1347"/>
      <c r="AS58" s="1347"/>
      <c r="AT58" s="1347"/>
      <c r="AU58" s="1347"/>
      <c r="AV58" s="1347"/>
      <c r="AW58" s="1347"/>
      <c r="AX58" s="1347"/>
      <c r="AY58" s="1347"/>
      <c r="AZ58" s="1347"/>
      <c r="BA58" s="1347"/>
      <c r="BB58" s="1347"/>
      <c r="BC58" s="1347"/>
      <c r="BD58" s="1347"/>
      <c r="BE58" s="1347"/>
      <c r="BF58" s="1347"/>
      <c r="BG58" s="1347"/>
      <c r="BH58" s="1347"/>
      <c r="BI58" s="1347"/>
      <c r="BJ58" s="1347"/>
      <c r="BK58" s="1347"/>
      <c r="BL58" s="1347"/>
      <c r="BM58" s="1347"/>
      <c r="BN58" s="1347"/>
      <c r="BO58" s="1347"/>
      <c r="BP58" s="1347"/>
      <c r="BQ58" s="1347"/>
      <c r="BR58" s="1347"/>
      <c r="BS58" s="1347"/>
      <c r="BT58" s="1347"/>
      <c r="BU58" s="1347"/>
      <c r="BV58" s="1347"/>
      <c r="BW58" s="1347"/>
      <c r="BX58" s="1347"/>
      <c r="BY58" s="1347"/>
      <c r="BZ58" s="1347"/>
      <c r="CA58" s="1347"/>
      <c r="CB58" s="1347"/>
      <c r="CC58" s="1347"/>
      <c r="CD58" s="1347"/>
      <c r="CE58" s="1347"/>
      <c r="CF58" s="1347"/>
      <c r="CG58" s="1347"/>
    </row>
    <row r="59" spans="1:85" hidden="1">
      <c r="A59" s="1347"/>
      <c r="B59" s="1347"/>
      <c r="C59" s="1347"/>
      <c r="D59" s="1347"/>
      <c r="E59" s="1347"/>
      <c r="F59" s="1347"/>
      <c r="G59" s="1347"/>
      <c r="H59" s="1347"/>
      <c r="I59" s="1347"/>
      <c r="J59" s="1347"/>
      <c r="K59" s="1347"/>
      <c r="L59" s="1347"/>
      <c r="M59" s="1347"/>
      <c r="N59" s="1347"/>
      <c r="O59" s="1347"/>
      <c r="P59" s="1347"/>
      <c r="Q59" s="1347"/>
      <c r="R59" s="1347"/>
      <c r="S59" s="1347"/>
      <c r="T59" s="1347"/>
      <c r="U59" s="1347"/>
      <c r="V59" s="1347"/>
      <c r="W59" s="1347"/>
      <c r="X59" s="1347"/>
      <c r="Y59" s="1347"/>
      <c r="Z59" s="1347"/>
      <c r="AA59" s="1347"/>
      <c r="AB59" s="1347"/>
      <c r="AC59" s="1347"/>
      <c r="AD59" s="1347"/>
      <c r="AE59" s="1347"/>
      <c r="AF59" s="1347"/>
      <c r="AG59" s="1347"/>
      <c r="AH59" s="1347"/>
      <c r="AI59" s="1347"/>
      <c r="AJ59" s="1347"/>
      <c r="AK59" s="1347"/>
      <c r="AL59" s="1347"/>
      <c r="AM59" s="1347"/>
      <c r="AN59" s="1347"/>
      <c r="AO59" s="1347"/>
      <c r="AP59" s="1347"/>
      <c r="AQ59" s="1347"/>
      <c r="AR59" s="1347"/>
      <c r="AS59" s="1347"/>
      <c r="AT59" s="1347"/>
      <c r="AU59" s="1347"/>
      <c r="AV59" s="1347"/>
      <c r="AW59" s="1347"/>
      <c r="AX59" s="1347"/>
      <c r="AY59" s="1347"/>
      <c r="AZ59" s="1347"/>
      <c r="BA59" s="1347"/>
      <c r="BB59" s="1347"/>
      <c r="BC59" s="1347"/>
      <c r="BD59" s="1347"/>
      <c r="BE59" s="1347"/>
      <c r="BF59" s="1347"/>
      <c r="BG59" s="1347"/>
      <c r="BH59" s="1347"/>
      <c r="BI59" s="1347"/>
      <c r="BJ59" s="1347"/>
      <c r="BK59" s="1347"/>
      <c r="BL59" s="1347"/>
      <c r="BM59" s="1347"/>
      <c r="BN59" s="1347"/>
      <c r="BO59" s="1347"/>
      <c r="BP59" s="1347"/>
      <c r="BQ59" s="1347"/>
      <c r="BR59" s="1347"/>
      <c r="BS59" s="1347"/>
      <c r="BT59" s="1347"/>
      <c r="BU59" s="1347"/>
      <c r="BV59" s="1347"/>
      <c r="BW59" s="1347"/>
      <c r="BX59" s="1347"/>
      <c r="BY59" s="1347"/>
      <c r="BZ59" s="1347"/>
      <c r="CA59" s="1347"/>
      <c r="CB59" s="1347"/>
      <c r="CC59" s="1347"/>
      <c r="CD59" s="1347"/>
      <c r="CE59" s="1347"/>
      <c r="CF59" s="1347"/>
      <c r="CG59" s="1347"/>
    </row>
    <row r="60" spans="1:85" hidden="1">
      <c r="A60" s="1347"/>
      <c r="B60" s="1347"/>
      <c r="C60" s="1347"/>
      <c r="D60" s="1347"/>
      <c r="E60" s="1347"/>
      <c r="F60" s="1347"/>
      <c r="G60" s="1347"/>
      <c r="H60" s="1347"/>
      <c r="I60" s="1347"/>
      <c r="J60" s="1347"/>
      <c r="K60" s="1347"/>
      <c r="L60" s="1347"/>
      <c r="M60" s="1347"/>
      <c r="N60" s="1347"/>
      <c r="O60" s="1347"/>
      <c r="P60" s="1347"/>
      <c r="Q60" s="1347"/>
      <c r="R60" s="1347"/>
      <c r="S60" s="1347"/>
      <c r="T60" s="1347"/>
      <c r="U60" s="1347"/>
      <c r="V60" s="1347"/>
      <c r="W60" s="1347"/>
      <c r="X60" s="1347"/>
      <c r="Y60" s="1347"/>
      <c r="Z60" s="1347"/>
      <c r="AA60" s="1347"/>
      <c r="AB60" s="1347"/>
      <c r="AC60" s="1347"/>
      <c r="AD60" s="1347"/>
      <c r="AE60" s="1347"/>
      <c r="AF60" s="1347"/>
      <c r="AG60" s="1347"/>
      <c r="AH60" s="1347"/>
      <c r="AI60" s="1347"/>
      <c r="AJ60" s="1347"/>
      <c r="AK60" s="1347"/>
      <c r="AL60" s="1347"/>
      <c r="AM60" s="1347"/>
      <c r="AN60" s="1347"/>
      <c r="AO60" s="1347"/>
      <c r="AP60" s="1347"/>
      <c r="AQ60" s="1347"/>
      <c r="AR60" s="1347"/>
      <c r="AS60" s="1347"/>
      <c r="AT60" s="1347"/>
      <c r="AU60" s="1347"/>
      <c r="AV60" s="1347"/>
      <c r="AW60" s="1347"/>
      <c r="AX60" s="1347"/>
      <c r="AY60" s="1347"/>
      <c r="AZ60" s="1347"/>
      <c r="BA60" s="1347"/>
      <c r="BB60" s="1347"/>
      <c r="BC60" s="1347"/>
      <c r="BD60" s="1347"/>
      <c r="BE60" s="1347"/>
      <c r="BF60" s="1347"/>
      <c r="BG60" s="1347"/>
      <c r="BH60" s="1347"/>
      <c r="BI60" s="1347"/>
      <c r="BJ60" s="1347"/>
      <c r="BK60" s="1347"/>
      <c r="BL60" s="1347"/>
      <c r="BM60" s="1347"/>
      <c r="BN60" s="1347"/>
      <c r="BO60" s="1347"/>
      <c r="BP60" s="1347"/>
      <c r="BQ60" s="1347"/>
      <c r="BR60" s="1347"/>
      <c r="BS60" s="1347"/>
      <c r="BT60" s="1347"/>
      <c r="BU60" s="1347"/>
      <c r="BV60" s="1347"/>
      <c r="BW60" s="1347"/>
      <c r="BX60" s="1347"/>
      <c r="BY60" s="1347"/>
      <c r="BZ60" s="1347"/>
      <c r="CA60" s="1347"/>
      <c r="CB60" s="1347"/>
      <c r="CC60" s="1347"/>
      <c r="CD60" s="1347"/>
      <c r="CE60" s="1347"/>
      <c r="CF60" s="1347"/>
      <c r="CG60" s="1347"/>
    </row>
    <row r="61" spans="1:85" hidden="1">
      <c r="A61" s="1347"/>
      <c r="B61" s="1347"/>
      <c r="C61" s="1347"/>
      <c r="D61" s="1347"/>
      <c r="E61" s="1347"/>
      <c r="F61" s="1347"/>
      <c r="G61" s="1347"/>
      <c r="H61" s="1347"/>
      <c r="I61" s="1347"/>
      <c r="J61" s="1347"/>
      <c r="K61" s="1347"/>
      <c r="L61" s="1347"/>
      <c r="M61" s="1347"/>
      <c r="N61" s="1347"/>
      <c r="O61" s="1347"/>
      <c r="P61" s="1347"/>
      <c r="Q61" s="1347"/>
      <c r="R61" s="1347"/>
      <c r="S61" s="1347"/>
      <c r="T61" s="1347"/>
      <c r="U61" s="1347"/>
      <c r="V61" s="1347"/>
      <c r="W61" s="1347"/>
      <c r="X61" s="1347"/>
      <c r="Y61" s="1347"/>
      <c r="Z61" s="1347"/>
      <c r="AA61" s="1347"/>
      <c r="AB61" s="1347"/>
      <c r="AC61" s="1347"/>
      <c r="AD61" s="1347"/>
      <c r="AE61" s="1347"/>
      <c r="AF61" s="1347"/>
      <c r="AG61" s="1347"/>
      <c r="AH61" s="1347"/>
      <c r="AI61" s="1347"/>
      <c r="AJ61" s="1347"/>
      <c r="AK61" s="1347"/>
      <c r="AL61" s="1347"/>
      <c r="AM61" s="1347"/>
      <c r="AN61" s="1347"/>
      <c r="AO61" s="1347"/>
      <c r="AP61" s="1347"/>
      <c r="AQ61" s="1347"/>
      <c r="AR61" s="1347"/>
      <c r="AS61" s="1347"/>
      <c r="AT61" s="1347"/>
      <c r="AU61" s="1347"/>
      <c r="AV61" s="1347"/>
      <c r="AW61" s="1347"/>
      <c r="AX61" s="1347"/>
      <c r="AY61" s="1347"/>
      <c r="AZ61" s="1347"/>
      <c r="BA61" s="1347"/>
      <c r="BB61" s="1347"/>
      <c r="BC61" s="1347"/>
      <c r="BD61" s="1347"/>
      <c r="BE61" s="1347"/>
      <c r="BF61" s="1347"/>
      <c r="BG61" s="1347"/>
      <c r="BH61" s="1347"/>
      <c r="BI61" s="1347"/>
      <c r="BJ61" s="1347"/>
      <c r="BK61" s="1347"/>
      <c r="BL61" s="1347"/>
      <c r="BM61" s="1347"/>
      <c r="BN61" s="1347"/>
      <c r="BO61" s="1347"/>
      <c r="BP61" s="1347"/>
      <c r="BQ61" s="1347"/>
      <c r="BR61" s="1347"/>
      <c r="BS61" s="1347"/>
      <c r="BT61" s="1347"/>
      <c r="BU61" s="1347"/>
      <c r="BV61" s="1347"/>
      <c r="BW61" s="1347"/>
      <c r="BX61" s="1347"/>
      <c r="BY61" s="1347"/>
      <c r="BZ61" s="1347"/>
      <c r="CA61" s="1347"/>
      <c r="CB61" s="1347"/>
      <c r="CC61" s="1347"/>
      <c r="CD61" s="1347"/>
      <c r="CE61" s="1347"/>
      <c r="CF61" s="1347"/>
      <c r="CG61" s="1347"/>
    </row>
    <row r="62" spans="1:85" hidden="1">
      <c r="A62" s="1347"/>
      <c r="B62" s="1347"/>
      <c r="C62" s="1347"/>
      <c r="D62" s="1347"/>
      <c r="E62" s="1347"/>
      <c r="F62" s="1347"/>
      <c r="G62" s="1347"/>
      <c r="H62" s="1347"/>
      <c r="I62" s="1347"/>
      <c r="J62" s="1347"/>
      <c r="K62" s="1347"/>
      <c r="L62" s="1347"/>
      <c r="M62" s="1347"/>
      <c r="N62" s="1347"/>
      <c r="O62" s="1347"/>
      <c r="P62" s="1347"/>
      <c r="Q62" s="1347"/>
      <c r="R62" s="1347"/>
      <c r="S62" s="1347"/>
      <c r="T62" s="1347"/>
      <c r="U62" s="1347"/>
      <c r="V62" s="1347"/>
      <c r="W62" s="1347"/>
      <c r="X62" s="1347"/>
      <c r="Y62" s="1347"/>
      <c r="Z62" s="1347"/>
      <c r="AA62" s="1347"/>
      <c r="AB62" s="1347"/>
      <c r="AC62" s="1347"/>
      <c r="AD62" s="1347"/>
      <c r="AE62" s="1347"/>
      <c r="AF62" s="1347"/>
      <c r="AG62" s="1347"/>
      <c r="AH62" s="1347"/>
      <c r="AI62" s="1347"/>
      <c r="AJ62" s="1347"/>
      <c r="AK62" s="1347"/>
      <c r="AL62" s="1347"/>
      <c r="AM62" s="1347"/>
      <c r="AN62" s="1347"/>
      <c r="AO62" s="1347"/>
      <c r="AP62" s="1347"/>
      <c r="AQ62" s="1347"/>
      <c r="AR62" s="1347"/>
      <c r="AS62" s="1347"/>
      <c r="AT62" s="1347"/>
      <c r="AU62" s="1347"/>
      <c r="AV62" s="1347"/>
      <c r="AW62" s="1347"/>
      <c r="AX62" s="1347"/>
      <c r="AY62" s="1347"/>
      <c r="AZ62" s="1347"/>
      <c r="BA62" s="1347"/>
      <c r="BB62" s="1347"/>
      <c r="BC62" s="1347"/>
      <c r="BD62" s="1347"/>
      <c r="BE62" s="1347"/>
      <c r="BF62" s="1347"/>
      <c r="BG62" s="1347"/>
      <c r="BH62" s="1347"/>
      <c r="BI62" s="1347"/>
      <c r="BJ62" s="1347"/>
      <c r="BK62" s="1347"/>
      <c r="BL62" s="1347"/>
      <c r="BM62" s="1347"/>
      <c r="BN62" s="1347"/>
      <c r="BO62" s="1347"/>
      <c r="BP62" s="1347"/>
      <c r="BQ62" s="1347"/>
      <c r="BR62" s="1347"/>
      <c r="BS62" s="1347"/>
      <c r="BT62" s="1347"/>
      <c r="BU62" s="1347"/>
      <c r="BV62" s="1347"/>
      <c r="BW62" s="1347"/>
      <c r="BX62" s="1347"/>
      <c r="BY62" s="1347"/>
      <c r="BZ62" s="1347"/>
      <c r="CA62" s="1347"/>
      <c r="CB62" s="1347"/>
      <c r="CC62" s="1347"/>
      <c r="CD62" s="1347"/>
      <c r="CE62" s="1347"/>
      <c r="CF62" s="1347"/>
      <c r="CG62" s="1347"/>
    </row>
    <row r="63" spans="1:85" hidden="1">
      <c r="A63" s="1347"/>
      <c r="B63" s="1347"/>
      <c r="C63" s="1347"/>
      <c r="D63" s="1347"/>
      <c r="E63" s="1347"/>
      <c r="F63" s="1347"/>
      <c r="G63" s="1347"/>
      <c r="H63" s="1347"/>
      <c r="I63" s="1347"/>
      <c r="J63" s="1347"/>
      <c r="K63" s="1347"/>
      <c r="L63" s="1347"/>
      <c r="M63" s="1347"/>
      <c r="N63" s="1347"/>
      <c r="O63" s="1347"/>
      <c r="P63" s="1347"/>
      <c r="Q63" s="1347"/>
      <c r="R63" s="1347"/>
      <c r="S63" s="1347"/>
      <c r="T63" s="1347"/>
      <c r="U63" s="1347"/>
      <c r="V63" s="1347"/>
      <c r="W63" s="1347"/>
      <c r="X63" s="1347"/>
      <c r="Y63" s="1347"/>
      <c r="Z63" s="1347"/>
      <c r="AA63" s="1347"/>
      <c r="AB63" s="1347"/>
      <c r="AC63" s="1347"/>
      <c r="AD63" s="1347"/>
      <c r="AE63" s="1347"/>
      <c r="AF63" s="1347"/>
      <c r="AG63" s="1347"/>
      <c r="AH63" s="1347"/>
      <c r="AI63" s="1347"/>
      <c r="AJ63" s="1347"/>
      <c r="AK63" s="1347"/>
      <c r="AL63" s="1347"/>
      <c r="AM63" s="1347"/>
      <c r="AN63" s="1347"/>
      <c r="AO63" s="1347"/>
      <c r="AP63" s="1347"/>
      <c r="AQ63" s="1347"/>
      <c r="AR63" s="1347"/>
      <c r="AS63" s="1347"/>
      <c r="AT63" s="1347"/>
      <c r="AU63" s="1347"/>
      <c r="AV63" s="1347"/>
      <c r="AW63" s="1347"/>
      <c r="AX63" s="1347"/>
      <c r="AY63" s="1347"/>
      <c r="AZ63" s="1347"/>
      <c r="BA63" s="1347"/>
      <c r="BB63" s="1347"/>
      <c r="BC63" s="1347"/>
      <c r="BD63" s="1347"/>
      <c r="BE63" s="1347"/>
      <c r="BF63" s="1347"/>
      <c r="BG63" s="1347"/>
      <c r="BH63" s="1347"/>
      <c r="BI63" s="1347"/>
      <c r="BJ63" s="1347"/>
      <c r="BK63" s="1347"/>
      <c r="BL63" s="1347"/>
      <c r="BM63" s="1347"/>
      <c r="BN63" s="1347"/>
      <c r="BO63" s="1347"/>
      <c r="BP63" s="1347"/>
      <c r="BQ63" s="1347"/>
      <c r="BR63" s="1347"/>
      <c r="BS63" s="1347"/>
      <c r="BT63" s="1347"/>
      <c r="BU63" s="1347"/>
      <c r="BV63" s="1347"/>
      <c r="BW63" s="1347"/>
      <c r="BX63" s="1347"/>
      <c r="BY63" s="1347"/>
      <c r="BZ63" s="1347"/>
      <c r="CA63" s="1347"/>
      <c r="CB63" s="1347"/>
      <c r="CC63" s="1347"/>
      <c r="CD63" s="1347"/>
      <c r="CE63" s="1347"/>
      <c r="CF63" s="1347"/>
      <c r="CG63" s="1347"/>
    </row>
    <row r="64" spans="1:85" hidden="1">
      <c r="A64" s="1347"/>
      <c r="B64" s="1347"/>
      <c r="C64" s="1347"/>
      <c r="D64" s="1347"/>
      <c r="E64" s="1347"/>
      <c r="F64" s="1347"/>
      <c r="G64" s="1347"/>
      <c r="H64" s="1347"/>
      <c r="I64" s="1347"/>
      <c r="J64" s="1347"/>
      <c r="K64" s="1347"/>
      <c r="L64" s="1347"/>
      <c r="M64" s="1347"/>
      <c r="N64" s="1347"/>
      <c r="O64" s="1347"/>
      <c r="P64" s="1347"/>
      <c r="Q64" s="1347"/>
      <c r="R64" s="1347"/>
      <c r="S64" s="1347"/>
      <c r="T64" s="1347"/>
      <c r="U64" s="1347"/>
      <c r="V64" s="1347"/>
      <c r="W64" s="1347"/>
      <c r="X64" s="1347"/>
      <c r="Y64" s="1347"/>
      <c r="Z64" s="1347"/>
      <c r="AA64" s="1347"/>
      <c r="AB64" s="1347"/>
      <c r="AC64" s="1347"/>
      <c r="AD64" s="1347"/>
      <c r="AE64" s="1347"/>
      <c r="AF64" s="1347"/>
      <c r="AG64" s="1347"/>
      <c r="AH64" s="1347"/>
      <c r="AI64" s="1347"/>
      <c r="AJ64" s="1347"/>
      <c r="AK64" s="1347"/>
      <c r="AL64" s="1347"/>
      <c r="AM64" s="1347"/>
      <c r="AN64" s="1347"/>
      <c r="AO64" s="1347"/>
      <c r="AP64" s="1347"/>
      <c r="AQ64" s="1347"/>
      <c r="AR64" s="1347"/>
      <c r="AS64" s="1347"/>
      <c r="AT64" s="1347"/>
      <c r="AU64" s="1347"/>
      <c r="AV64" s="1347"/>
      <c r="AW64" s="1347"/>
      <c r="AX64" s="1347"/>
      <c r="AY64" s="1347"/>
      <c r="AZ64" s="1347"/>
      <c r="BA64" s="1347"/>
      <c r="BB64" s="1347"/>
      <c r="BC64" s="1347"/>
      <c r="BD64" s="1347"/>
      <c r="BE64" s="1347"/>
      <c r="BF64" s="1347"/>
      <c r="BG64" s="1347"/>
      <c r="BH64" s="1347"/>
      <c r="BI64" s="1347"/>
      <c r="BJ64" s="1347"/>
      <c r="BK64" s="1347"/>
      <c r="BL64" s="1347"/>
      <c r="BM64" s="1347"/>
      <c r="BN64" s="1347"/>
      <c r="BO64" s="1347"/>
      <c r="BP64" s="1347"/>
      <c r="BQ64" s="1347"/>
      <c r="BR64" s="1347"/>
      <c r="BS64" s="1347"/>
      <c r="BT64" s="1347"/>
      <c r="BU64" s="1347"/>
      <c r="BV64" s="1347"/>
      <c r="BW64" s="1347"/>
      <c r="BX64" s="1347"/>
      <c r="BY64" s="1347"/>
      <c r="BZ64" s="1347"/>
      <c r="CA64" s="1347"/>
      <c r="CB64" s="1347"/>
      <c r="CC64" s="1347"/>
      <c r="CD64" s="1347"/>
      <c r="CE64" s="1347"/>
      <c r="CF64" s="1347"/>
      <c r="CG64" s="1347"/>
    </row>
    <row r="65" spans="1:85" hidden="1">
      <c r="A65" s="1347"/>
      <c r="B65" s="1347"/>
      <c r="C65" s="1347"/>
      <c r="D65" s="1347"/>
      <c r="E65" s="1347"/>
      <c r="F65" s="1347"/>
      <c r="G65" s="1347"/>
      <c r="H65" s="1347"/>
      <c r="I65" s="1347"/>
      <c r="J65" s="1347"/>
      <c r="K65" s="1347"/>
      <c r="L65" s="1347"/>
      <c r="M65" s="1347"/>
      <c r="N65" s="1347"/>
      <c r="O65" s="1347"/>
      <c r="P65" s="1347"/>
      <c r="Q65" s="1347"/>
      <c r="R65" s="1347"/>
      <c r="S65" s="1347"/>
      <c r="T65" s="1347"/>
      <c r="U65" s="1347"/>
      <c r="V65" s="1347"/>
      <c r="W65" s="1347"/>
      <c r="X65" s="1347"/>
      <c r="Y65" s="1347"/>
      <c r="Z65" s="1347"/>
      <c r="AA65" s="1347"/>
      <c r="AB65" s="1347"/>
      <c r="AC65" s="1347"/>
      <c r="AD65" s="1347"/>
      <c r="AE65" s="1347"/>
      <c r="AF65" s="1347"/>
      <c r="AG65" s="1347"/>
      <c r="AH65" s="1347"/>
      <c r="AI65" s="1347"/>
      <c r="AJ65" s="1347"/>
      <c r="AK65" s="1347"/>
      <c r="AL65" s="1347"/>
      <c r="AM65" s="1347"/>
      <c r="AN65" s="1347"/>
      <c r="AO65" s="1347"/>
      <c r="AP65" s="1347"/>
      <c r="AQ65" s="1347"/>
      <c r="AR65" s="1347"/>
      <c r="AS65" s="1347"/>
      <c r="AT65" s="1347"/>
      <c r="AU65" s="1347"/>
      <c r="AV65" s="1347"/>
      <c r="AW65" s="1347"/>
      <c r="AX65" s="1347"/>
      <c r="AY65" s="1347"/>
      <c r="AZ65" s="1347"/>
      <c r="BA65" s="1347"/>
      <c r="BB65" s="1347"/>
      <c r="BC65" s="1347"/>
      <c r="BD65" s="1347"/>
      <c r="BE65" s="1347"/>
      <c r="BF65" s="1347"/>
      <c r="BG65" s="1347"/>
      <c r="BH65" s="1347"/>
      <c r="BI65" s="1347"/>
      <c r="BJ65" s="1347"/>
      <c r="BK65" s="1347"/>
      <c r="BL65" s="1347"/>
      <c r="BM65" s="1347"/>
      <c r="BN65" s="1347"/>
      <c r="BO65" s="1347"/>
      <c r="BP65" s="1347"/>
      <c r="BQ65" s="1347"/>
      <c r="BR65" s="1347"/>
      <c r="BS65" s="1347"/>
      <c r="BT65" s="1347"/>
      <c r="BU65" s="1347"/>
      <c r="BV65" s="1347"/>
      <c r="BW65" s="1347"/>
      <c r="BX65" s="1347"/>
      <c r="BY65" s="1347"/>
      <c r="BZ65" s="1347"/>
      <c r="CA65" s="1347"/>
      <c r="CB65" s="1347"/>
      <c r="CC65" s="1347"/>
      <c r="CD65" s="1347"/>
      <c r="CE65" s="1347"/>
      <c r="CF65" s="1347"/>
      <c r="CG65" s="1347"/>
    </row>
    <row r="66" spans="1:85" hidden="1">
      <c r="A66" s="1347"/>
      <c r="B66" s="1347"/>
      <c r="C66" s="1347"/>
      <c r="D66" s="1347"/>
      <c r="E66" s="1347"/>
      <c r="F66" s="1347"/>
      <c r="G66" s="1347"/>
      <c r="H66" s="1347"/>
      <c r="I66" s="1347"/>
      <c r="J66" s="1347"/>
      <c r="K66" s="1347"/>
      <c r="L66" s="1347"/>
      <c r="M66" s="1347"/>
      <c r="N66" s="1347"/>
      <c r="O66" s="1347"/>
      <c r="P66" s="1347"/>
      <c r="Q66" s="1347"/>
      <c r="R66" s="1347"/>
      <c r="S66" s="1347"/>
      <c r="T66" s="1347"/>
      <c r="U66" s="1347"/>
      <c r="V66" s="1347"/>
      <c r="W66" s="1347"/>
      <c r="X66" s="1347"/>
      <c r="Y66" s="1347"/>
      <c r="Z66" s="1347"/>
      <c r="AA66" s="1347"/>
      <c r="AB66" s="1347"/>
      <c r="AC66" s="1347"/>
      <c r="AD66" s="1347"/>
      <c r="AE66" s="1347"/>
      <c r="AF66" s="1347"/>
      <c r="AG66" s="1347"/>
      <c r="AH66" s="1347"/>
      <c r="AI66" s="1347"/>
      <c r="AJ66" s="1347"/>
      <c r="AK66" s="1347"/>
      <c r="AL66" s="1347"/>
      <c r="AM66" s="1347"/>
      <c r="AN66" s="1347"/>
      <c r="AO66" s="1347"/>
      <c r="AP66" s="1347"/>
      <c r="AQ66" s="1347"/>
      <c r="AR66" s="1347"/>
      <c r="AS66" s="1347"/>
      <c r="AT66" s="1347"/>
      <c r="AU66" s="1347"/>
      <c r="AV66" s="1347"/>
      <c r="AW66" s="1347"/>
      <c r="AX66" s="1347"/>
      <c r="AY66" s="1347"/>
      <c r="AZ66" s="1347"/>
      <c r="BA66" s="1347"/>
      <c r="BB66" s="1347"/>
      <c r="BC66" s="1347"/>
      <c r="BD66" s="1347"/>
      <c r="BE66" s="1347"/>
      <c r="BF66" s="1347"/>
      <c r="BG66" s="1347"/>
      <c r="BH66" s="1347"/>
      <c r="BI66" s="1347"/>
      <c r="BJ66" s="1347"/>
      <c r="BK66" s="1347"/>
      <c r="BL66" s="1347"/>
      <c r="BM66" s="1347"/>
      <c r="BN66" s="1347"/>
      <c r="BO66" s="1347"/>
      <c r="BP66" s="1347"/>
      <c r="BQ66" s="1347"/>
      <c r="BR66" s="1347"/>
      <c r="BS66" s="1347"/>
      <c r="BT66" s="1347"/>
      <c r="BU66" s="1347"/>
      <c r="BV66" s="1347"/>
      <c r="BW66" s="1347"/>
      <c r="BX66" s="1347"/>
      <c r="BY66" s="1347"/>
      <c r="BZ66" s="1347"/>
      <c r="CA66" s="1347"/>
      <c r="CB66" s="1347"/>
      <c r="CC66" s="1347"/>
      <c r="CD66" s="1347"/>
      <c r="CE66" s="1347"/>
      <c r="CF66" s="1347"/>
      <c r="CG66" s="1347"/>
    </row>
    <row r="67" spans="1:85" hidden="1">
      <c r="A67" s="1347"/>
      <c r="B67" s="1347"/>
      <c r="C67" s="1347"/>
      <c r="D67" s="1347"/>
      <c r="E67" s="1347"/>
      <c r="F67" s="1347"/>
      <c r="G67" s="1347"/>
      <c r="H67" s="1347"/>
      <c r="I67" s="1347"/>
      <c r="J67" s="1347"/>
      <c r="K67" s="1347"/>
      <c r="L67" s="1347"/>
      <c r="M67" s="1347"/>
      <c r="N67" s="1347"/>
      <c r="O67" s="1347"/>
      <c r="P67" s="1347"/>
      <c r="Q67" s="1347"/>
      <c r="R67" s="1347"/>
      <c r="S67" s="1347"/>
      <c r="T67" s="1347"/>
      <c r="U67" s="1347"/>
      <c r="V67" s="1347"/>
      <c r="W67" s="1347"/>
      <c r="X67" s="1347"/>
      <c r="Y67" s="1347"/>
      <c r="Z67" s="1347"/>
      <c r="AA67" s="1347"/>
      <c r="AB67" s="1347"/>
      <c r="AC67" s="1347"/>
      <c r="AD67" s="1347"/>
      <c r="AE67" s="1347"/>
      <c r="AF67" s="1347"/>
      <c r="AG67" s="1347"/>
      <c r="AH67" s="1347"/>
      <c r="AI67" s="1347"/>
      <c r="AJ67" s="1347"/>
      <c r="AK67" s="1347"/>
      <c r="AL67" s="1347"/>
      <c r="AM67" s="1347"/>
      <c r="AN67" s="1347"/>
      <c r="AO67" s="1347"/>
      <c r="AP67" s="1347"/>
      <c r="AQ67" s="1347"/>
      <c r="AR67" s="1347"/>
      <c r="AS67" s="1347"/>
      <c r="AT67" s="1347"/>
      <c r="AU67" s="1347"/>
      <c r="AV67" s="1347"/>
      <c r="AW67" s="1347"/>
      <c r="AX67" s="1347"/>
      <c r="AY67" s="1347"/>
      <c r="AZ67" s="1347"/>
      <c r="BA67" s="1347"/>
      <c r="BB67" s="1347"/>
      <c r="BC67" s="1347"/>
      <c r="BD67" s="1347"/>
      <c r="BE67" s="1347"/>
      <c r="BF67" s="1347"/>
      <c r="BG67" s="1347"/>
      <c r="BH67" s="1347"/>
      <c r="BI67" s="1347"/>
      <c r="BJ67" s="1347"/>
      <c r="BK67" s="1347"/>
      <c r="BL67" s="1347"/>
      <c r="BM67" s="1347"/>
      <c r="BN67" s="1347"/>
      <c r="BO67" s="1347"/>
      <c r="BP67" s="1347"/>
      <c r="BQ67" s="1347"/>
      <c r="BR67" s="1347"/>
      <c r="BS67" s="1347"/>
      <c r="BT67" s="1347"/>
      <c r="BU67" s="1347"/>
      <c r="BV67" s="1347"/>
      <c r="BW67" s="1347"/>
      <c r="BX67" s="1347"/>
      <c r="BY67" s="1347"/>
      <c r="BZ67" s="1347"/>
      <c r="CA67" s="1347"/>
      <c r="CB67" s="1347"/>
      <c r="CC67" s="1347"/>
      <c r="CD67" s="1347"/>
      <c r="CE67" s="1347"/>
      <c r="CF67" s="1347"/>
      <c r="CG67" s="1347"/>
    </row>
    <row r="68" spans="1:85" hidden="1">
      <c r="A68" s="1347"/>
      <c r="B68" s="1347"/>
      <c r="C68" s="1347"/>
      <c r="D68" s="1347"/>
      <c r="E68" s="1347"/>
      <c r="F68" s="1347"/>
      <c r="G68" s="1347"/>
      <c r="H68" s="1347"/>
      <c r="I68" s="1347"/>
      <c r="J68" s="1347"/>
      <c r="K68" s="1347"/>
      <c r="L68" s="1347"/>
      <c r="M68" s="1347"/>
      <c r="N68" s="1347"/>
      <c r="O68" s="1347"/>
      <c r="P68" s="1347"/>
      <c r="Q68" s="1347"/>
      <c r="R68" s="1347"/>
      <c r="S68" s="1347"/>
      <c r="T68" s="1347"/>
      <c r="U68" s="1347"/>
      <c r="V68" s="1347"/>
      <c r="W68" s="1347"/>
      <c r="X68" s="1347"/>
      <c r="Y68" s="1347"/>
      <c r="Z68" s="1347"/>
      <c r="AA68" s="1347"/>
      <c r="AB68" s="1347"/>
      <c r="AC68" s="1347"/>
      <c r="AD68" s="1347"/>
      <c r="AE68" s="1347"/>
      <c r="AF68" s="1347"/>
      <c r="AG68" s="1347"/>
      <c r="AH68" s="1347"/>
      <c r="AI68" s="1347"/>
      <c r="AJ68" s="1347"/>
      <c r="AK68" s="1347"/>
      <c r="AL68" s="1347"/>
      <c r="AM68" s="1347"/>
      <c r="AN68" s="1347"/>
      <c r="AO68" s="1347"/>
      <c r="AP68" s="1347"/>
      <c r="AQ68" s="1347"/>
      <c r="AR68" s="1347"/>
      <c r="AS68" s="1347"/>
      <c r="AT68" s="1347"/>
      <c r="AU68" s="1347"/>
      <c r="AV68" s="1347"/>
      <c r="AW68" s="1347"/>
      <c r="AX68" s="1347"/>
      <c r="AY68" s="1347"/>
      <c r="AZ68" s="1347"/>
      <c r="BA68" s="1347"/>
      <c r="BB68" s="1347"/>
      <c r="BC68" s="1347"/>
      <c r="BD68" s="1347"/>
      <c r="BE68" s="1347"/>
      <c r="BF68" s="1347"/>
      <c r="BG68" s="1347"/>
      <c r="BH68" s="1347"/>
      <c r="BI68" s="1347"/>
      <c r="BJ68" s="1347"/>
      <c r="BK68" s="1347"/>
      <c r="BL68" s="1347"/>
      <c r="BM68" s="1347"/>
      <c r="BN68" s="1347"/>
      <c r="BO68" s="1347"/>
      <c r="BP68" s="1347"/>
      <c r="BQ68" s="1347"/>
      <c r="BR68" s="1347"/>
      <c r="BS68" s="1347"/>
      <c r="BT68" s="1347"/>
      <c r="BU68" s="1347"/>
      <c r="BV68" s="1347"/>
      <c r="BW68" s="1347"/>
      <c r="BX68" s="1347"/>
      <c r="BY68" s="1347"/>
      <c r="BZ68" s="1347"/>
      <c r="CA68" s="1347"/>
      <c r="CB68" s="1347"/>
      <c r="CC68" s="1347"/>
      <c r="CD68" s="1347"/>
      <c r="CE68" s="1347"/>
      <c r="CF68" s="1347"/>
      <c r="CG68" s="1347"/>
    </row>
    <row r="69" spans="1:85" hidden="1">
      <c r="A69" s="1347"/>
      <c r="B69" s="1347"/>
      <c r="C69" s="1347"/>
      <c r="D69" s="1347"/>
      <c r="E69" s="1347"/>
      <c r="F69" s="1347"/>
      <c r="G69" s="1347"/>
      <c r="H69" s="1347"/>
      <c r="I69" s="1347"/>
      <c r="J69" s="1347"/>
      <c r="K69" s="1347"/>
      <c r="L69" s="1347"/>
      <c r="M69" s="1347"/>
      <c r="N69" s="1347"/>
      <c r="O69" s="1347"/>
      <c r="P69" s="1347"/>
      <c r="Q69" s="1347"/>
      <c r="R69" s="1347"/>
      <c r="S69" s="1347"/>
      <c r="T69" s="1347"/>
      <c r="U69" s="1347"/>
      <c r="V69" s="1347"/>
      <c r="W69" s="1347"/>
      <c r="X69" s="1347"/>
      <c r="Y69" s="1347"/>
      <c r="Z69" s="1347"/>
      <c r="AA69" s="1347"/>
      <c r="AB69" s="1347"/>
      <c r="AC69" s="1347"/>
      <c r="AD69" s="1347"/>
      <c r="AE69" s="1347"/>
      <c r="AF69" s="1347"/>
      <c r="AG69" s="1347"/>
      <c r="AH69" s="1347"/>
      <c r="AI69" s="1347"/>
      <c r="AJ69" s="1347"/>
      <c r="AK69" s="1347"/>
      <c r="AL69" s="1347"/>
      <c r="AM69" s="1347"/>
      <c r="AN69" s="1347"/>
      <c r="AO69" s="1347"/>
      <c r="AP69" s="1347"/>
      <c r="AQ69" s="1347"/>
      <c r="AR69" s="1347"/>
      <c r="AS69" s="1347"/>
      <c r="AT69" s="1347"/>
      <c r="AU69" s="1347"/>
      <c r="AV69" s="1347"/>
      <c r="AW69" s="1347"/>
      <c r="AX69" s="1347"/>
      <c r="AY69" s="1347"/>
      <c r="AZ69" s="1347"/>
      <c r="BA69" s="1347"/>
      <c r="BB69" s="1347"/>
      <c r="BC69" s="1347"/>
      <c r="BD69" s="1347"/>
      <c r="BE69" s="1347"/>
      <c r="BF69" s="1347"/>
      <c r="BG69" s="1347"/>
      <c r="BH69" s="1347"/>
      <c r="BI69" s="1347"/>
      <c r="BJ69" s="1347"/>
      <c r="BK69" s="1347"/>
      <c r="BL69" s="1347"/>
      <c r="BM69" s="1347"/>
      <c r="BN69" s="1347"/>
      <c r="BO69" s="1347"/>
      <c r="BP69" s="1347"/>
      <c r="BQ69" s="1347"/>
      <c r="BR69" s="1347"/>
      <c r="BS69" s="1347"/>
      <c r="BT69" s="1347"/>
      <c r="BU69" s="1347"/>
      <c r="BV69" s="1347"/>
      <c r="BW69" s="1347"/>
      <c r="BX69" s="1347"/>
      <c r="BY69" s="1347"/>
      <c r="BZ69" s="1347"/>
      <c r="CA69" s="1347"/>
      <c r="CB69" s="1347"/>
      <c r="CC69" s="1347"/>
      <c r="CD69" s="1347"/>
      <c r="CE69" s="1347"/>
      <c r="CF69" s="1347"/>
      <c r="CG69" s="1347"/>
    </row>
    <row r="70" spans="1:85" hidden="1">
      <c r="A70" s="1347"/>
      <c r="B70" s="1347"/>
      <c r="C70" s="1347"/>
      <c r="D70" s="1347"/>
      <c r="E70" s="1347"/>
      <c r="F70" s="1347"/>
      <c r="G70" s="1347"/>
      <c r="H70" s="1347"/>
      <c r="I70" s="1347"/>
      <c r="J70" s="1347"/>
      <c r="K70" s="1347"/>
      <c r="L70" s="1347"/>
      <c r="M70" s="1347"/>
      <c r="N70" s="1347"/>
      <c r="O70" s="1347"/>
      <c r="P70" s="1347"/>
      <c r="Q70" s="1347"/>
      <c r="R70" s="1347"/>
      <c r="S70" s="1347"/>
      <c r="T70" s="1347"/>
      <c r="U70" s="1347"/>
      <c r="V70" s="1347"/>
      <c r="W70" s="1347"/>
      <c r="X70" s="1347"/>
      <c r="Y70" s="1347"/>
    </row>
    <row r="71" spans="1:85" hidden="1">
      <c r="A71" s="1347"/>
      <c r="B71" s="1347"/>
      <c r="C71" s="1347"/>
      <c r="D71" s="1347"/>
      <c r="E71" s="1347"/>
      <c r="F71" s="1347"/>
      <c r="G71" s="1347"/>
      <c r="H71" s="1347"/>
      <c r="I71" s="1347"/>
      <c r="J71" s="1347"/>
      <c r="K71" s="1347"/>
      <c r="L71" s="1347"/>
      <c r="M71" s="1347"/>
      <c r="N71" s="1347"/>
      <c r="O71" s="1347"/>
      <c r="P71" s="1347"/>
      <c r="Q71" s="1347"/>
      <c r="R71" s="1347"/>
      <c r="S71" s="1347"/>
      <c r="T71" s="1347"/>
      <c r="U71" s="1347"/>
      <c r="V71" s="1347"/>
      <c r="W71" s="1347"/>
      <c r="X71" s="1347"/>
      <c r="Y71" s="1347"/>
    </row>
    <row r="72" spans="1:85" hidden="1">
      <c r="A72" s="1347"/>
      <c r="B72" s="1347"/>
      <c r="C72" s="1347"/>
      <c r="D72" s="1347"/>
      <c r="E72" s="1347"/>
      <c r="F72" s="1347"/>
      <c r="G72" s="1347"/>
      <c r="H72" s="1347"/>
      <c r="I72" s="1347"/>
      <c r="J72" s="1347"/>
      <c r="K72" s="1347"/>
      <c r="L72" s="1347"/>
      <c r="M72" s="1347"/>
      <c r="N72" s="1347"/>
      <c r="O72" s="1347"/>
      <c r="P72" s="1347"/>
      <c r="Q72" s="1347"/>
      <c r="R72" s="1347"/>
      <c r="S72" s="1347"/>
      <c r="T72" s="1347"/>
      <c r="U72" s="1347"/>
      <c r="V72" s="1347"/>
      <c r="W72" s="1347"/>
      <c r="X72" s="1347"/>
      <c r="Y72" s="1347"/>
    </row>
    <row r="73" spans="1:85" hidden="1">
      <c r="A73" s="1347"/>
      <c r="B73" s="1347"/>
      <c r="C73" s="1347"/>
      <c r="D73" s="1347"/>
      <c r="E73" s="1347"/>
      <c r="F73" s="1347"/>
      <c r="G73" s="1347"/>
      <c r="H73" s="1347"/>
      <c r="I73" s="1347"/>
      <c r="J73" s="1347"/>
      <c r="K73" s="1347"/>
      <c r="L73" s="1347"/>
      <c r="M73" s="1347"/>
      <c r="N73" s="1347"/>
      <c r="O73" s="1347"/>
      <c r="P73" s="1347"/>
      <c r="Q73" s="1347"/>
      <c r="R73" s="1347"/>
      <c r="S73" s="1347"/>
    </row>
    <row r="74" spans="1:85" hidden="1">
      <c r="A74" s="1347"/>
      <c r="B74" s="1347"/>
      <c r="C74" s="1347"/>
      <c r="D74" s="1347"/>
      <c r="E74" s="1347"/>
      <c r="F74" s="1347"/>
      <c r="G74" s="1347"/>
      <c r="H74" s="1347"/>
      <c r="I74" s="1347"/>
      <c r="J74" s="1347"/>
      <c r="K74" s="1347"/>
      <c r="L74" s="1347"/>
      <c r="M74" s="1347"/>
      <c r="N74" s="1347"/>
      <c r="O74" s="1347"/>
      <c r="P74" s="1347"/>
      <c r="Q74" s="1347"/>
      <c r="R74" s="1347"/>
      <c r="S74" s="1347"/>
    </row>
    <row r="75" spans="1:85" hidden="1">
      <c r="A75" s="1347"/>
      <c r="B75" s="1347"/>
      <c r="C75" s="1347"/>
      <c r="D75" s="1347"/>
      <c r="E75" s="1347"/>
      <c r="F75" s="1347"/>
      <c r="G75" s="1347"/>
      <c r="H75" s="1347"/>
      <c r="I75" s="1347"/>
      <c r="J75" s="1347"/>
      <c r="K75" s="1347"/>
      <c r="L75" s="1347"/>
      <c r="M75" s="1347"/>
      <c r="N75" s="1347"/>
      <c r="O75" s="1347"/>
      <c r="P75" s="1347"/>
      <c r="Q75" s="1347"/>
      <c r="R75" s="1347"/>
      <c r="S75" s="1347"/>
    </row>
    <row r="76" spans="1:85" hidden="1">
      <c r="A76" s="1347"/>
      <c r="B76" s="1347"/>
      <c r="C76" s="1347"/>
      <c r="D76" s="1347"/>
      <c r="E76" s="1347"/>
      <c r="F76" s="1347"/>
      <c r="G76" s="1347"/>
      <c r="H76" s="1347"/>
      <c r="I76" s="1347"/>
      <c r="J76" s="1347"/>
      <c r="K76" s="1347"/>
      <c r="L76" s="1347"/>
      <c r="M76" s="1347"/>
      <c r="N76" s="1347"/>
      <c r="O76" s="1347"/>
      <c r="P76" s="1347"/>
      <c r="Q76" s="1347"/>
      <c r="R76" s="1347"/>
      <c r="S76" s="1347"/>
    </row>
    <row r="77" spans="1:85" hidden="1">
      <c r="A77" s="1347"/>
      <c r="B77" s="1347"/>
      <c r="C77" s="1347"/>
      <c r="D77" s="1347"/>
      <c r="E77" s="1347"/>
      <c r="F77" s="1347"/>
      <c r="G77" s="1347"/>
      <c r="H77" s="1347"/>
      <c r="I77" s="1347"/>
      <c r="J77" s="1347"/>
      <c r="K77" s="1347"/>
      <c r="L77" s="1347"/>
      <c r="M77" s="1347"/>
      <c r="N77" s="1347"/>
      <c r="O77" s="1347"/>
      <c r="P77" s="1347"/>
      <c r="Q77" s="1347"/>
      <c r="R77" s="1347"/>
      <c r="S77" s="1347"/>
    </row>
    <row r="78" spans="1:85" hidden="1">
      <c r="A78" s="1347"/>
      <c r="B78" s="1347"/>
      <c r="C78" s="1347"/>
      <c r="D78" s="1347"/>
      <c r="E78" s="1347"/>
      <c r="F78" s="1347"/>
      <c r="G78" s="1347"/>
      <c r="H78" s="1347"/>
      <c r="I78" s="1347"/>
      <c r="J78" s="1347"/>
      <c r="K78" s="1347"/>
      <c r="L78" s="1347"/>
      <c r="M78" s="1347"/>
      <c r="N78" s="1347"/>
      <c r="O78" s="1347"/>
      <c r="P78" s="1347"/>
      <c r="Q78" s="1347"/>
      <c r="R78" s="1347"/>
      <c r="S78" s="1347"/>
    </row>
    <row r="79" spans="1:85" hidden="1">
      <c r="A79" s="1347"/>
      <c r="B79" s="1347"/>
      <c r="C79" s="1347"/>
      <c r="D79" s="1347"/>
      <c r="E79" s="1347"/>
      <c r="F79" s="1347"/>
      <c r="G79" s="1347"/>
      <c r="H79" s="1347"/>
      <c r="I79" s="1347"/>
      <c r="J79" s="1347"/>
      <c r="K79" s="1347"/>
      <c r="L79" s="1347"/>
      <c r="M79" s="1347"/>
      <c r="N79" s="1347"/>
      <c r="O79" s="1347"/>
      <c r="P79" s="1347"/>
      <c r="Q79" s="1347"/>
      <c r="R79" s="1347"/>
      <c r="S79" s="1347"/>
    </row>
    <row r="80" spans="1:85" hidden="1">
      <c r="A80" s="1347"/>
      <c r="B80" s="1347"/>
      <c r="C80" s="1347"/>
      <c r="D80" s="1347"/>
      <c r="E80" s="1347"/>
      <c r="F80" s="1347"/>
      <c r="G80" s="1347"/>
      <c r="H80" s="1347"/>
      <c r="I80" s="1347"/>
      <c r="J80" s="1347"/>
      <c r="K80" s="1347"/>
      <c r="L80" s="1347"/>
      <c r="M80" s="1347"/>
      <c r="N80" s="1347"/>
      <c r="O80" s="1347"/>
      <c r="P80" s="1347"/>
      <c r="Q80" s="1347"/>
      <c r="R80" s="1347"/>
      <c r="S80" s="1347"/>
    </row>
    <row r="81" spans="1:19" hidden="1">
      <c r="A81" s="1347"/>
      <c r="B81" s="1347"/>
      <c r="C81" s="1347"/>
      <c r="D81" s="1347"/>
      <c r="E81" s="1347"/>
      <c r="F81" s="1347"/>
      <c r="G81" s="1347"/>
      <c r="H81" s="1347"/>
      <c r="I81" s="1347"/>
      <c r="J81" s="1347"/>
      <c r="K81" s="1347"/>
      <c r="L81" s="1347"/>
      <c r="M81" s="1347"/>
      <c r="N81" s="1347"/>
      <c r="O81" s="1347"/>
      <c r="P81" s="1347"/>
      <c r="Q81" s="1347"/>
      <c r="R81" s="1347"/>
      <c r="S81" s="1347"/>
    </row>
    <row r="82" spans="1:19" hidden="1">
      <c r="A82" s="1347"/>
      <c r="B82" s="1347"/>
      <c r="C82" s="1347"/>
      <c r="D82" s="1347"/>
      <c r="E82" s="1347"/>
      <c r="F82" s="1347"/>
      <c r="G82" s="1347"/>
      <c r="H82" s="1347"/>
      <c r="I82" s="1347"/>
      <c r="J82" s="1347"/>
      <c r="K82" s="1347"/>
      <c r="L82" s="1347"/>
      <c r="M82" s="1347"/>
      <c r="N82" s="1347"/>
      <c r="O82" s="1347"/>
      <c r="P82" s="1347"/>
      <c r="Q82" s="1347"/>
      <c r="R82" s="1347"/>
      <c r="S82" s="1347"/>
    </row>
    <row r="83" spans="1:19" hidden="1">
      <c r="A83" s="1347"/>
      <c r="B83" s="1347"/>
      <c r="C83" s="1347"/>
      <c r="D83" s="1347"/>
      <c r="E83" s="1347"/>
      <c r="F83" s="1347"/>
      <c r="G83" s="1347"/>
      <c r="H83" s="1347"/>
      <c r="I83" s="1347"/>
      <c r="J83" s="1347"/>
      <c r="K83" s="1347"/>
      <c r="L83" s="1347"/>
      <c r="M83" s="1347"/>
      <c r="N83" s="1347"/>
      <c r="O83" s="1347"/>
      <c r="P83" s="1347"/>
      <c r="Q83" s="1347"/>
      <c r="R83" s="1347"/>
      <c r="S83" s="1347"/>
    </row>
    <row r="84" spans="1:19" hidden="1">
      <c r="A84" s="1347"/>
      <c r="B84" s="1347"/>
      <c r="C84" s="1347"/>
      <c r="D84" s="1347"/>
      <c r="E84" s="1347"/>
      <c r="F84" s="1347"/>
      <c r="G84" s="1347"/>
      <c r="H84" s="1347"/>
      <c r="I84" s="1347"/>
      <c r="J84" s="1347"/>
      <c r="K84" s="1347"/>
      <c r="L84" s="1347"/>
      <c r="M84" s="1347"/>
      <c r="N84" s="1347"/>
      <c r="O84" s="1347"/>
      <c r="P84" s="1347"/>
      <c r="Q84" s="1347"/>
      <c r="R84" s="1347"/>
      <c r="S84" s="1347"/>
    </row>
    <row r="85" spans="1:19" hidden="1">
      <c r="A85" s="1347"/>
      <c r="B85" s="1347"/>
      <c r="C85" s="1347"/>
      <c r="D85" s="1347"/>
      <c r="E85" s="1347"/>
      <c r="F85" s="1347"/>
      <c r="G85" s="1347"/>
      <c r="H85" s="1347"/>
      <c r="I85" s="1347"/>
      <c r="J85" s="1347"/>
      <c r="K85" s="1347"/>
      <c r="L85" s="1347"/>
      <c r="M85" s="1347"/>
      <c r="N85" s="1347"/>
      <c r="O85" s="1347"/>
      <c r="P85" s="1347"/>
      <c r="Q85" s="1347"/>
      <c r="R85" s="1347"/>
      <c r="S85" s="1347"/>
    </row>
    <row r="86" spans="1:19" hidden="1">
      <c r="A86" s="1347"/>
      <c r="B86" s="1347"/>
      <c r="C86" s="1347"/>
      <c r="D86" s="1347"/>
      <c r="E86" s="1347"/>
      <c r="F86" s="1347"/>
      <c r="G86" s="1347"/>
      <c r="H86" s="1347"/>
      <c r="I86" s="1347"/>
      <c r="J86" s="1347"/>
      <c r="K86" s="1347"/>
      <c r="L86" s="1347"/>
      <c r="M86" s="1347"/>
      <c r="N86" s="1347"/>
      <c r="O86" s="1347"/>
      <c r="P86" s="1347"/>
      <c r="Q86" s="1347"/>
      <c r="R86" s="1347"/>
      <c r="S86" s="1347"/>
    </row>
    <row r="87" spans="1:19" hidden="1">
      <c r="A87" s="1347"/>
      <c r="B87" s="1347"/>
      <c r="C87" s="1347"/>
      <c r="D87" s="1347"/>
      <c r="E87" s="1347"/>
      <c r="F87" s="1347"/>
      <c r="G87" s="1347"/>
      <c r="H87" s="1347"/>
      <c r="I87" s="1347"/>
      <c r="J87" s="1347"/>
      <c r="K87" s="1347"/>
      <c r="L87" s="1347"/>
      <c r="M87" s="1347"/>
      <c r="N87" s="1347"/>
      <c r="O87" s="1347"/>
      <c r="P87" s="1347"/>
      <c r="Q87" s="1347"/>
      <c r="R87" s="1347"/>
      <c r="S87" s="1347"/>
    </row>
    <row r="88" spans="1:19" hidden="1">
      <c r="A88" s="1347"/>
      <c r="B88" s="1347"/>
      <c r="C88" s="1347"/>
      <c r="D88" s="1347"/>
      <c r="E88" s="1347"/>
      <c r="F88" s="1347"/>
      <c r="G88" s="1347"/>
      <c r="H88" s="1347"/>
      <c r="I88" s="1347"/>
      <c r="J88" s="1347"/>
      <c r="K88" s="1347"/>
      <c r="L88" s="1347"/>
      <c r="M88" s="1347"/>
      <c r="N88" s="1347"/>
      <c r="O88" s="1347"/>
      <c r="P88" s="1347"/>
      <c r="Q88" s="1347"/>
      <c r="R88" s="1347"/>
      <c r="S88" s="1347"/>
    </row>
    <row r="89" spans="1:19" hidden="1">
      <c r="A89" s="1347"/>
      <c r="B89" s="1347"/>
      <c r="C89" s="1347"/>
      <c r="D89" s="1347"/>
      <c r="E89" s="1347"/>
      <c r="F89" s="1347"/>
      <c r="G89" s="1347"/>
      <c r="H89" s="1347"/>
      <c r="I89" s="1347"/>
      <c r="J89" s="1347"/>
      <c r="K89" s="1347"/>
      <c r="L89" s="1347"/>
      <c r="M89" s="1347"/>
      <c r="N89" s="1347"/>
      <c r="O89" s="1347"/>
      <c r="P89" s="1347"/>
      <c r="Q89" s="1347"/>
      <c r="R89" s="1347"/>
      <c r="S89" s="1347"/>
    </row>
    <row r="90" spans="1:19" hidden="1">
      <c r="A90" s="1347"/>
      <c r="B90" s="1347"/>
      <c r="C90" s="1347"/>
      <c r="D90" s="1347"/>
      <c r="E90" s="1347"/>
      <c r="F90" s="1347"/>
      <c r="G90" s="1347"/>
      <c r="H90" s="1347"/>
      <c r="I90" s="1347"/>
      <c r="J90" s="1347"/>
      <c r="K90" s="1347"/>
      <c r="L90" s="1347"/>
      <c r="M90" s="1347"/>
      <c r="N90" s="1347"/>
      <c r="O90" s="1347"/>
      <c r="P90" s="1347"/>
      <c r="Q90" s="1347"/>
      <c r="R90" s="1347"/>
      <c r="S90" s="1347"/>
    </row>
  </sheetData>
  <sheetProtection algorithmName="SHA-512" hashValue="j2oyCVHKV5mDVaVd1h3umuwPM+3zQbe8dZQvRxyjxm3jDM3MwiNFLaQufEaNN2dEU4S+dKUX+L08yjK557Tc1w==" saltValue="pZmYpxykYIADt/0qaduZ0Q==" spinCount="100000" sheet="1" selectLockedCells="1"/>
  <mergeCells count="7">
    <mergeCell ref="A1:E1"/>
    <mergeCell ref="A3:E3"/>
    <mergeCell ref="A2:E2"/>
    <mergeCell ref="A32:B34"/>
    <mergeCell ref="A19:E19"/>
    <mergeCell ref="A25:F25"/>
    <mergeCell ref="A15:E15"/>
  </mergeCells>
  <pageMargins left="0.7" right="0.7" top="0.75" bottom="0.75" header="0.3" footer="0.3"/>
  <pageSetup paperSize="9" fitToHeight="0" orientation="landscape"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8"/>
  <dimension ref="A1:Q31"/>
  <sheetViews>
    <sheetView showGridLines="0" zoomScaleNormal="70" zoomScalePageLayoutView="75" workbookViewId="0">
      <selection activeCell="C5" sqref="C5"/>
    </sheetView>
  </sheetViews>
  <sheetFormatPr defaultColWidth="0" defaultRowHeight="15.75" zeroHeight="1"/>
  <cols>
    <col min="1" max="1" width="21.6640625" style="491" bestFit="1" customWidth="1"/>
    <col min="2" max="2" width="65.1640625" style="491" customWidth="1"/>
    <col min="3" max="3" width="26.1640625" style="491" customWidth="1"/>
    <col min="4" max="4" width="16.1640625" style="491" customWidth="1"/>
    <col min="5" max="5" width="35.1640625" style="491" customWidth="1"/>
    <col min="6" max="6" width="46.6640625" style="491" customWidth="1"/>
    <col min="7" max="7" width="43.1640625" style="491" customWidth="1"/>
    <col min="8" max="10" width="11.1640625" style="491" customWidth="1"/>
    <col min="11" max="14" width="11.1640625" style="491" hidden="1" customWidth="1"/>
    <col min="15" max="17" width="0" style="491" hidden="1" customWidth="1"/>
    <col min="18" max="16384" width="11.1640625" style="491" hidden="1"/>
  </cols>
  <sheetData>
    <row r="1" spans="1:17" s="582" customFormat="1" ht="44.25" customHeight="1">
      <c r="A1" s="1717" t="s">
        <v>979</v>
      </c>
      <c r="B1" s="1717"/>
      <c r="C1" s="1717"/>
      <c r="D1" s="1717"/>
      <c r="E1" s="1717"/>
      <c r="F1" s="1717"/>
      <c r="G1" s="1717"/>
      <c r="H1" s="1717"/>
      <c r="I1" s="1033"/>
      <c r="J1" s="1033"/>
    </row>
    <row r="2" spans="1:17" s="582" customFormat="1" ht="44.25" customHeight="1">
      <c r="B2" s="1718" t="s">
        <v>913</v>
      </c>
      <c r="C2" s="1718"/>
      <c r="D2" s="1718"/>
      <c r="E2" s="1718"/>
      <c r="F2" s="1718"/>
      <c r="G2" s="1718"/>
      <c r="H2" s="1718"/>
      <c r="I2" s="1033"/>
      <c r="J2" s="1033"/>
    </row>
    <row r="3" spans="1:17" s="1318" customFormat="1" ht="24" customHeight="1">
      <c r="B3" s="718"/>
      <c r="C3" s="719"/>
      <c r="D3" s="720"/>
      <c r="E3" s="720"/>
      <c r="F3" s="720"/>
      <c r="G3" s="720"/>
      <c r="I3" s="1034"/>
      <c r="J3" s="1034"/>
    </row>
    <row r="4" spans="1:17" s="582" customFormat="1" ht="90.75" customHeight="1">
      <c r="B4" s="1721" t="s">
        <v>915</v>
      </c>
      <c r="C4" s="1722"/>
      <c r="D4" s="584"/>
      <c r="E4" s="1723" t="s">
        <v>914</v>
      </c>
      <c r="F4" s="1724"/>
      <c r="G4" s="1725"/>
      <c r="I4" s="1033"/>
      <c r="J4" s="1033"/>
    </row>
    <row r="5" spans="1:17" s="582" customFormat="1" ht="34.5" customHeight="1">
      <c r="A5" s="486"/>
      <c r="B5" s="721" t="s">
        <v>782</v>
      </c>
      <c r="C5" s="1400">
        <v>0</v>
      </c>
      <c r="D5" s="585"/>
      <c r="E5" s="686" t="s">
        <v>778</v>
      </c>
      <c r="F5" s="733" t="s">
        <v>916</v>
      </c>
      <c r="G5" s="501" t="s">
        <v>783</v>
      </c>
      <c r="I5" s="1033"/>
      <c r="J5" s="1033"/>
    </row>
    <row r="6" spans="1:17" s="582" customFormat="1" ht="84" customHeight="1">
      <c r="B6" s="691" t="s">
        <v>1285</v>
      </c>
      <c r="C6" s="692">
        <f>C5*Months</f>
        <v>0</v>
      </c>
      <c r="D6" s="586"/>
      <c r="E6" s="748" t="s">
        <v>628</v>
      </c>
      <c r="F6" s="1401">
        <v>0</v>
      </c>
      <c r="G6" s="687">
        <f>ROUND((Epidemiology!B12*F6*Epidemiology!B20*Epidemiology!E20),-2)</f>
        <v>0</v>
      </c>
      <c r="I6" s="1033"/>
      <c r="J6" s="1033"/>
    </row>
    <row r="7" spans="1:17" s="582" customFormat="1" ht="84" customHeight="1">
      <c r="A7" s="495"/>
      <c r="B7" s="722"/>
      <c r="C7" s="723"/>
      <c r="D7" s="585"/>
      <c r="E7" s="1303" t="s">
        <v>785</v>
      </c>
      <c r="F7" s="1401">
        <v>0</v>
      </c>
      <c r="G7" s="687">
        <f>ROUND((Epidemiology!B12+Epidemiology!B13)*F7*Epidemiology!B20*Epidemiology!E21,-2)</f>
        <v>0</v>
      </c>
      <c r="I7" s="1033"/>
      <c r="J7" s="1033"/>
    </row>
    <row r="8" spans="1:17" s="582" customFormat="1" ht="84" hidden="1" customHeight="1">
      <c r="A8" s="495"/>
      <c r="B8" s="724"/>
      <c r="C8" s="725"/>
      <c r="D8" s="584"/>
      <c r="E8" s="749" t="s">
        <v>784</v>
      </c>
      <c r="F8" s="734">
        <v>1</v>
      </c>
      <c r="G8" s="687">
        <f>ROUND((Epidemiology!B12+Epidemiology!B13)*F8*Epidemiology!B20*Epidemiology!E23*Epidemiology!E24,-2)</f>
        <v>0</v>
      </c>
      <c r="I8" s="1033"/>
      <c r="J8" s="1033"/>
    </row>
    <row r="9" spans="1:17" s="582" customFormat="1" ht="54" customHeight="1">
      <c r="B9" s="491"/>
      <c r="C9" s="491"/>
      <c r="D9" s="491"/>
      <c r="E9" s="1726" t="s">
        <v>796</v>
      </c>
      <c r="F9" s="1727"/>
      <c r="G9" s="687">
        <f>SUM(G6:G8)</f>
        <v>0</v>
      </c>
      <c r="I9" s="1033"/>
      <c r="J9" s="1033"/>
      <c r="P9" s="582">
        <f>Epidemiology!E11*Epidemiology!E10*Epidemiology!C4</f>
        <v>0</v>
      </c>
      <c r="Q9" s="582" t="s">
        <v>792</v>
      </c>
    </row>
    <row r="10" spans="1:17" s="582" customFormat="1">
      <c r="B10" s="491"/>
      <c r="C10" s="491"/>
      <c r="D10" s="491"/>
      <c r="E10" s="587"/>
      <c r="F10" s="688"/>
      <c r="G10" s="694"/>
      <c r="I10" s="1033"/>
      <c r="J10" s="1033"/>
    </row>
    <row r="11" spans="1:17" s="731" customFormat="1">
      <c r="A11" s="695"/>
      <c r="B11" s="696"/>
      <c r="C11" s="696"/>
      <c r="D11" s="696"/>
      <c r="E11" s="697"/>
      <c r="F11" s="698"/>
      <c r="G11" s="699"/>
      <c r="H11" s="695"/>
      <c r="I11" s="1033"/>
      <c r="J11" s="1033"/>
    </row>
    <row r="12" spans="1:17" s="731" customFormat="1">
      <c r="A12" s="695"/>
      <c r="B12" s="696"/>
      <c r="C12" s="696"/>
      <c r="D12" s="696"/>
      <c r="E12" s="697"/>
      <c r="F12" s="698"/>
      <c r="G12" s="699"/>
      <c r="H12" s="695"/>
      <c r="I12" s="1033"/>
      <c r="J12" s="1033"/>
    </row>
    <row r="13" spans="1:17" s="582" customFormat="1">
      <c r="B13" s="491"/>
      <c r="C13" s="491"/>
      <c r="D13" s="491"/>
      <c r="E13" s="589"/>
      <c r="F13" s="588"/>
      <c r="I13" s="1033"/>
      <c r="J13" s="1033"/>
      <c r="P13" s="582">
        <f>Epidemiology!C7*Epidemiology!B10</f>
        <v>0</v>
      </c>
      <c r="Q13" s="582" t="s">
        <v>790</v>
      </c>
    </row>
    <row r="14" spans="1:17" ht="51.75" customHeight="1">
      <c r="B14" s="1719" t="s">
        <v>795</v>
      </c>
      <c r="C14" s="1720"/>
      <c r="E14" s="736"/>
      <c r="F14" s="739"/>
      <c r="G14" s="740"/>
      <c r="I14" s="1035"/>
      <c r="J14" s="1035"/>
    </row>
    <row r="15" spans="1:17" ht="31.5">
      <c r="B15" s="1328" t="s">
        <v>1286</v>
      </c>
      <c r="C15" s="1402">
        <v>0</v>
      </c>
      <c r="D15" s="582"/>
      <c r="E15" s="495"/>
      <c r="F15" s="509"/>
      <c r="G15" s="741"/>
      <c r="I15" s="1035"/>
      <c r="J15" s="1035"/>
    </row>
    <row r="16" spans="1:17">
      <c r="B16" s="1291" t="s">
        <v>890</v>
      </c>
      <c r="C16" s="1402">
        <v>0</v>
      </c>
      <c r="D16" s="582"/>
      <c r="E16" s="495"/>
      <c r="F16" s="509"/>
      <c r="G16" s="741"/>
      <c r="I16" s="1035"/>
      <c r="J16" s="1035"/>
    </row>
    <row r="17" spans="1:10">
      <c r="B17" s="1328" t="s">
        <v>1287</v>
      </c>
      <c r="C17" s="1292">
        <f>C15</f>
        <v>0</v>
      </c>
      <c r="D17" s="582"/>
      <c r="E17" s="495"/>
      <c r="F17" s="509"/>
      <c r="G17" s="741"/>
      <c r="I17" s="1035"/>
      <c r="J17" s="1035"/>
    </row>
    <row r="18" spans="1:10">
      <c r="B18" s="1671" t="s">
        <v>1419</v>
      </c>
      <c r="C18" s="1292">
        <f>C15-C16</f>
        <v>0</v>
      </c>
      <c r="D18" s="582"/>
      <c r="E18" s="495"/>
      <c r="F18" s="509"/>
      <c r="G18" s="741"/>
      <c r="I18" s="1035"/>
      <c r="J18" s="1035"/>
    </row>
    <row r="19" spans="1:10" ht="16.5" thickBot="1">
      <c r="B19" s="700"/>
      <c r="C19" s="701"/>
      <c r="D19" s="582"/>
      <c r="E19" s="582"/>
      <c r="F19" s="590"/>
      <c r="I19" s="1035"/>
      <c r="J19" s="1035"/>
    </row>
    <row r="20" spans="1:10" ht="30">
      <c r="A20" s="703" t="s">
        <v>614</v>
      </c>
      <c r="B20" s="592" t="s">
        <v>438</v>
      </c>
      <c r="C20" s="591" t="s">
        <v>93</v>
      </c>
      <c r="D20" s="475" t="s">
        <v>722</v>
      </c>
      <c r="E20" s="591" t="s">
        <v>943</v>
      </c>
      <c r="F20" s="591" t="s">
        <v>433</v>
      </c>
      <c r="G20" s="593" t="s">
        <v>79</v>
      </c>
      <c r="I20" s="1035"/>
      <c r="J20" s="1035"/>
    </row>
    <row r="21" spans="1:10" ht="30" customHeight="1">
      <c r="A21" s="565">
        <v>106749</v>
      </c>
      <c r="B21" s="566" t="s">
        <v>776</v>
      </c>
      <c r="C21" s="514">
        <v>25</v>
      </c>
      <c r="D21" s="567">
        <v>1</v>
      </c>
      <c r="E21" s="728">
        <f>ROUNDUP((D21/C21*C18),0)</f>
        <v>0</v>
      </c>
      <c r="F21" s="747">
        <v>92.5</v>
      </c>
      <c r="G21" s="474"/>
      <c r="I21" s="1035"/>
      <c r="J21" s="1035"/>
    </row>
    <row r="22" spans="1:10" ht="30" customHeight="1">
      <c r="A22" s="568">
        <v>106525</v>
      </c>
      <c r="B22" s="439" t="s">
        <v>661</v>
      </c>
      <c r="C22" s="514">
        <v>1000</v>
      </c>
      <c r="D22" s="569">
        <v>1</v>
      </c>
      <c r="E22" s="728">
        <f>ROUNDUP((D22/C22*C18),0)</f>
        <v>0</v>
      </c>
      <c r="F22" s="747">
        <v>83.3</v>
      </c>
      <c r="G22" s="521" t="s">
        <v>723</v>
      </c>
      <c r="I22" s="1035"/>
      <c r="J22" s="1035"/>
    </row>
    <row r="23" spans="1:10" ht="30" customHeight="1">
      <c r="A23" s="570">
        <v>106388</v>
      </c>
      <c r="B23" s="508" t="s">
        <v>1174</v>
      </c>
      <c r="C23" s="514">
        <v>960</v>
      </c>
      <c r="D23" s="569">
        <v>1</v>
      </c>
      <c r="E23" s="728">
        <f>ROUNDUP((D23/C23*C18),0)</f>
        <v>0</v>
      </c>
      <c r="F23" s="747">
        <v>61</v>
      </c>
      <c r="G23" s="571" t="s">
        <v>918</v>
      </c>
      <c r="I23" s="1035"/>
      <c r="J23" s="1035"/>
    </row>
    <row r="24" spans="1:10" ht="44.1" customHeight="1" thickBot="1">
      <c r="A24" s="742"/>
      <c r="B24" s="495"/>
      <c r="C24" s="744"/>
      <c r="D24" s="744"/>
      <c r="E24" s="745"/>
      <c r="F24" s="743"/>
      <c r="G24" s="746"/>
      <c r="I24" s="1035"/>
      <c r="J24" s="1035"/>
    </row>
    <row r="25" spans="1:10">
      <c r="B25" s="918" t="s">
        <v>506</v>
      </c>
      <c r="C25" s="916" t="s">
        <v>931</v>
      </c>
      <c r="D25" s="598"/>
      <c r="E25" s="583"/>
      <c r="I25" s="1035"/>
      <c r="J25" s="1035"/>
    </row>
    <row r="26" spans="1:10" ht="16.5" thickBot="1">
      <c r="B26" s="580" t="s">
        <v>797</v>
      </c>
      <c r="C26" s="751">
        <f>SUMPRODUCT(E21:E23,F21:F23)</f>
        <v>0</v>
      </c>
      <c r="D26" s="598"/>
      <c r="E26" s="583"/>
      <c r="I26" s="1035"/>
      <c r="J26" s="1035"/>
    </row>
    <row r="27" spans="1:10" ht="16.5" thickBot="1">
      <c r="B27" s="750" t="s">
        <v>724</v>
      </c>
      <c r="C27" s="752" t="str">
        <f>IF(C18=0,"",(C26/C18))</f>
        <v/>
      </c>
      <c r="I27" s="1035"/>
      <c r="J27" s="1035"/>
    </row>
    <row r="28" spans="1:10">
      <c r="I28" s="1035"/>
      <c r="J28" s="1035"/>
    </row>
    <row r="29" spans="1:10">
      <c r="A29" s="1035"/>
      <c r="B29" s="1035"/>
      <c r="C29" s="1035"/>
      <c r="D29" s="1035"/>
      <c r="E29" s="1035"/>
      <c r="F29" s="1035"/>
      <c r="G29" s="1035"/>
      <c r="H29" s="1035"/>
      <c r="I29" s="1035"/>
      <c r="J29" s="1035"/>
    </row>
    <row r="30" spans="1:10">
      <c r="A30" s="1035"/>
      <c r="B30" s="1035"/>
      <c r="C30" s="1035"/>
      <c r="D30" s="1035"/>
      <c r="E30" s="1035"/>
      <c r="F30" s="1035"/>
      <c r="G30" s="1035"/>
      <c r="H30" s="1035"/>
      <c r="I30" s="1035"/>
      <c r="J30" s="1035"/>
    </row>
    <row r="31" spans="1:10">
      <c r="A31" s="1035"/>
      <c r="B31" s="1035"/>
      <c r="C31" s="1035"/>
      <c r="D31" s="1035"/>
      <c r="E31" s="1035"/>
      <c r="F31" s="1035"/>
      <c r="G31" s="1035"/>
      <c r="H31" s="1035"/>
      <c r="I31" s="1035"/>
      <c r="J31" s="1035"/>
    </row>
  </sheetData>
  <sheetProtection algorithmName="SHA-512" hashValue="+HMtQlJX3tkQ8Ad6LWi2g+C3x4fRoX2geA/oUsPq9/36n/qCt+r33M4/DmqIE/hWjblYDqXDo14ojuP/0Las2Q==" saltValue="fNUZGu2SU51J7XwhvSmRUw==" spinCount="100000" sheet="1" selectLockedCells="1"/>
  <mergeCells count="6">
    <mergeCell ref="A1:H1"/>
    <mergeCell ref="B2:H2"/>
    <mergeCell ref="B14:C14"/>
    <mergeCell ref="B4:C4"/>
    <mergeCell ref="E4:G4"/>
    <mergeCell ref="E9:F9"/>
  </mergeCells>
  <pageMargins left="0.75" right="0.75" top="1" bottom="1" header="0.5" footer="0.5"/>
  <pageSetup paperSize="9"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6"/>
  <dimension ref="A1:AK34"/>
  <sheetViews>
    <sheetView showGridLines="0" zoomScaleNormal="100" zoomScalePageLayoutView="75" workbookViewId="0">
      <selection activeCell="C3" sqref="C3"/>
    </sheetView>
  </sheetViews>
  <sheetFormatPr defaultColWidth="0" defaultRowHeight="15.75" zeroHeight="1"/>
  <cols>
    <col min="1" max="1" width="21.6640625" style="491" bestFit="1" customWidth="1"/>
    <col min="2" max="2" width="65.1640625" style="491" customWidth="1"/>
    <col min="3" max="3" width="26.1640625" style="491" customWidth="1"/>
    <col min="4" max="4" width="16.1640625" style="491" customWidth="1"/>
    <col min="5" max="5" width="35.1640625" style="491" customWidth="1"/>
    <col min="6" max="6" width="46.6640625" style="491" customWidth="1"/>
    <col min="7" max="7" width="26" style="491" customWidth="1"/>
    <col min="8" max="10" width="11.1640625" style="491" customWidth="1"/>
    <col min="11" max="17" width="11.1640625" style="491" hidden="1" customWidth="1"/>
    <col min="18" max="22" width="0" style="491" hidden="1" customWidth="1"/>
    <col min="23" max="26" width="11.1640625" style="491" hidden="1" customWidth="1"/>
    <col min="27" max="27" width="45" style="491" hidden="1" customWidth="1"/>
    <col min="28" max="31" width="11.1640625" style="491" hidden="1" customWidth="1"/>
    <col min="32" max="32" width="45" style="491" hidden="1" customWidth="1"/>
    <col min="33" max="35" width="11.1640625" style="491" hidden="1" customWidth="1"/>
    <col min="36" max="36" width="49.6640625" style="491" hidden="1" customWidth="1"/>
    <col min="37" max="37" width="0" style="491" hidden="1" customWidth="1"/>
    <col min="38" max="16384" width="11.1640625" style="491" hidden="1"/>
  </cols>
  <sheetData>
    <row r="1" spans="1:37" s="582" customFormat="1" ht="44.25" customHeight="1">
      <c r="A1" s="1030"/>
      <c r="B1" s="1728" t="s">
        <v>980</v>
      </c>
      <c r="C1" s="1729"/>
      <c r="D1" s="1729"/>
      <c r="E1" s="1729"/>
      <c r="F1" s="1729"/>
      <c r="G1" s="1730"/>
      <c r="H1" s="1030"/>
      <c r="I1" s="1030"/>
      <c r="J1" s="1030"/>
    </row>
    <row r="2" spans="1:37" s="582" customFormat="1" ht="44.25" customHeight="1">
      <c r="B2" s="1718" t="s">
        <v>913</v>
      </c>
      <c r="C2" s="1731"/>
      <c r="D2" s="1731"/>
      <c r="E2" s="1731"/>
      <c r="F2" s="1731"/>
      <c r="G2" s="1731"/>
      <c r="I2" s="1030"/>
      <c r="J2" s="1030"/>
    </row>
    <row r="3" spans="1:37" s="582" customFormat="1" ht="24" customHeight="1">
      <c r="B3" s="717" t="s">
        <v>933</v>
      </c>
      <c r="C3" s="1403">
        <v>0</v>
      </c>
      <c r="D3" s="716"/>
      <c r="E3" s="716"/>
      <c r="F3" s="716"/>
      <c r="G3" s="716"/>
      <c r="I3" s="1030"/>
      <c r="J3" s="1030"/>
    </row>
    <row r="4" spans="1:37" s="1318" customFormat="1" ht="24" customHeight="1">
      <c r="B4" s="718"/>
      <c r="C4" s="719"/>
      <c r="D4" s="720"/>
      <c r="E4" s="720"/>
      <c r="F4" s="720"/>
      <c r="G4" s="720"/>
      <c r="I4" s="1031"/>
      <c r="J4" s="1031"/>
    </row>
    <row r="5" spans="1:37" s="582" customFormat="1" ht="96.95" customHeight="1">
      <c r="B5" s="1723" t="s">
        <v>1019</v>
      </c>
      <c r="C5" s="1732"/>
      <c r="D5" s="584"/>
      <c r="E5" s="1723" t="s">
        <v>919</v>
      </c>
      <c r="F5" s="1724"/>
      <c r="G5" s="1725"/>
      <c r="I5" s="1030"/>
      <c r="J5" s="1030"/>
    </row>
    <row r="6" spans="1:37" s="582" customFormat="1" ht="47.25">
      <c r="A6" s="486"/>
      <c r="B6" s="1329" t="s">
        <v>925</v>
      </c>
      <c r="C6" s="1342">
        <v>0</v>
      </c>
      <c r="D6" s="585"/>
      <c r="E6" s="686" t="s">
        <v>778</v>
      </c>
      <c r="F6" s="685" t="s">
        <v>916</v>
      </c>
      <c r="G6" s="501" t="s">
        <v>1290</v>
      </c>
      <c r="I6" s="1030"/>
      <c r="J6" s="1030"/>
    </row>
    <row r="7" spans="1:37" s="582" customFormat="1" ht="56.25" customHeight="1">
      <c r="B7" s="1317" t="s">
        <v>926</v>
      </c>
      <c r="C7" s="1342">
        <v>0</v>
      </c>
      <c r="D7" s="586"/>
      <c r="E7" s="689" t="s">
        <v>628</v>
      </c>
      <c r="F7" s="1404">
        <v>0</v>
      </c>
      <c r="G7" s="687">
        <f>ROUND((F7*Epidemiology!B12*Epidemiology!B20*Epidemiology!E20),-2)</f>
        <v>0</v>
      </c>
      <c r="I7" s="1030"/>
      <c r="J7" s="1030"/>
    </row>
    <row r="8" spans="1:37" s="582" customFormat="1" ht="30">
      <c r="B8" s="1317" t="s">
        <v>927</v>
      </c>
      <c r="C8" s="1342">
        <v>0</v>
      </c>
      <c r="D8" s="585"/>
      <c r="E8" s="689" t="s">
        <v>629</v>
      </c>
      <c r="F8" s="1404">
        <v>0</v>
      </c>
      <c r="G8" s="687">
        <f>ROUND(F8*Epidemiology!B9*Epidemiology!B10*Epidemiology!B26, -2)</f>
        <v>0</v>
      </c>
      <c r="I8" s="1030"/>
      <c r="J8" s="1030"/>
    </row>
    <row r="9" spans="1:37" s="582" customFormat="1" ht="30">
      <c r="B9" s="1317" t="s">
        <v>934</v>
      </c>
      <c r="C9" s="1194">
        <f>(C6*1)+(C7*2)+(C8*4)</f>
        <v>0</v>
      </c>
      <c r="D9" s="584"/>
      <c r="E9" s="1303" t="s">
        <v>920</v>
      </c>
      <c r="F9" s="1404">
        <v>0</v>
      </c>
      <c r="G9" s="687">
        <f>ROUND(F9*(Epidemiology!E7*Epidemiology!B17)+Epidemiology!B8+(Epidemiology!B14*Epidemiology!E17), -2)</f>
        <v>0</v>
      </c>
      <c r="I9" s="1030"/>
      <c r="J9" s="1030"/>
      <c r="AA9" s="582" t="s">
        <v>924</v>
      </c>
      <c r="AB9" s="582">
        <v>1</v>
      </c>
      <c r="AF9" s="582" t="s">
        <v>924</v>
      </c>
      <c r="AG9" s="582">
        <v>1</v>
      </c>
      <c r="AJ9" s="582" t="s">
        <v>924</v>
      </c>
      <c r="AK9" s="582">
        <v>2</v>
      </c>
    </row>
    <row r="10" spans="1:37" s="582" customFormat="1" ht="45">
      <c r="A10" s="491"/>
      <c r="B10" s="690" t="s">
        <v>634</v>
      </c>
      <c r="C10" s="1400">
        <v>0</v>
      </c>
      <c r="D10" s="584"/>
      <c r="E10" s="689" t="s">
        <v>627</v>
      </c>
      <c r="F10" s="1404">
        <v>0</v>
      </c>
      <c r="G10" s="687">
        <f>ROUND(F10*Epidemiology!E11*Epidemiology!E10*Epidemiology!C4*Epidemiology!B18,-2)</f>
        <v>0</v>
      </c>
      <c r="I10" s="1030"/>
      <c r="J10" s="1030"/>
      <c r="S10" s="582">
        <f>Epidemiology!B9*Epidemiology!B10</f>
        <v>0</v>
      </c>
      <c r="T10" s="582" t="s">
        <v>790</v>
      </c>
      <c r="AA10" s="582" t="s">
        <v>925</v>
      </c>
      <c r="AB10" s="582">
        <v>1</v>
      </c>
      <c r="AF10" s="582" t="s">
        <v>926</v>
      </c>
      <c r="AG10" s="582">
        <v>1</v>
      </c>
      <c r="AJ10" s="582" t="s">
        <v>927</v>
      </c>
      <c r="AK10" s="582">
        <v>1</v>
      </c>
    </row>
    <row r="11" spans="1:37" s="582" customFormat="1" ht="75">
      <c r="A11" s="491"/>
      <c r="B11" s="1329" t="s">
        <v>1288</v>
      </c>
      <c r="C11" s="1400">
        <v>0</v>
      </c>
      <c r="D11" s="491"/>
      <c r="E11" s="1307" t="s">
        <v>935</v>
      </c>
      <c r="F11" s="1404">
        <v>0</v>
      </c>
      <c r="G11" s="687">
        <f>ROUND(Epidemiology!C7-((Epidemiology!B9*Epidemiology!B10)+(Epidemiology!E7+Epidemiology!B8+Epidemiology!B14)+(Epidemiology!E11*Epidemiology!E10*Epidemiology!C4)+(Epidemiology!C7*Epidemiology!B10)),-2)*F11</f>
        <v>0</v>
      </c>
      <c r="I11" s="1030"/>
      <c r="J11" s="1030"/>
      <c r="S11" s="693">
        <f>Epidemiology!E7+Epidemiology!B8+Epidemiology!B14</f>
        <v>0</v>
      </c>
      <c r="T11" s="582" t="s">
        <v>791</v>
      </c>
      <c r="AB11" s="582">
        <f>IF(AB9=1,IF(AB10=1,(8),0),0)</f>
        <v>8</v>
      </c>
      <c r="AG11" s="582">
        <f>IF(AG9=1,IF(AG10=1,(17),0),0)</f>
        <v>17</v>
      </c>
      <c r="AK11" s="582">
        <f>IF(AK9=2,IF(AK10=1,(33),0),0)</f>
        <v>33</v>
      </c>
    </row>
    <row r="12" spans="1:37" s="582" customFormat="1" ht="54" customHeight="1">
      <c r="A12" s="491"/>
      <c r="B12" s="691" t="s">
        <v>1289</v>
      </c>
      <c r="C12" s="692">
        <f>C9*C10*C11</f>
        <v>0</v>
      </c>
      <c r="D12" s="491"/>
      <c r="E12" s="1726" t="s">
        <v>1291</v>
      </c>
      <c r="F12" s="1727"/>
      <c r="G12" s="687">
        <f>SUM(G7:G11)</f>
        <v>0</v>
      </c>
      <c r="I12" s="1030"/>
      <c r="J12" s="1030"/>
      <c r="S12" s="582">
        <f>Epidemiology!E11*Epidemiology!E10*Epidemiology!C4</f>
        <v>0</v>
      </c>
      <c r="T12" s="582" t="s">
        <v>792</v>
      </c>
    </row>
    <row r="13" spans="1:37" s="582" customFormat="1">
      <c r="B13" s="491"/>
      <c r="C13" s="491"/>
      <c r="D13" s="491"/>
      <c r="E13" s="587"/>
      <c r="F13" s="688"/>
      <c r="G13" s="694"/>
      <c r="I13" s="1030"/>
      <c r="J13" s="1030"/>
    </row>
    <row r="14" spans="1:37" s="1032" customFormat="1">
      <c r="A14" s="695"/>
      <c r="B14" s="696"/>
      <c r="C14" s="696"/>
      <c r="D14" s="696"/>
      <c r="E14" s="697"/>
      <c r="F14" s="698"/>
      <c r="G14" s="699"/>
      <c r="H14" s="695"/>
      <c r="I14" s="1030"/>
      <c r="J14" s="1030"/>
    </row>
    <row r="15" spans="1:37" s="1032" customFormat="1">
      <c r="A15" s="695"/>
      <c r="B15" s="696"/>
      <c r="C15" s="696"/>
      <c r="D15" s="696"/>
      <c r="E15" s="697"/>
      <c r="F15" s="698"/>
      <c r="G15" s="699"/>
      <c r="H15" s="695"/>
      <c r="I15" s="1030"/>
      <c r="J15" s="1030"/>
    </row>
    <row r="16" spans="1:37" s="582" customFormat="1">
      <c r="B16" s="491"/>
      <c r="C16" s="491"/>
      <c r="D16" s="491"/>
      <c r="E16" s="589"/>
      <c r="F16" s="588"/>
      <c r="I16" s="1030"/>
      <c r="J16" s="1030"/>
      <c r="S16" s="582">
        <f>Epidemiology!C7*Epidemiology!B10</f>
        <v>0</v>
      </c>
      <c r="T16" s="582" t="s">
        <v>790</v>
      </c>
    </row>
    <row r="17" spans="1:10" ht="51.75" customHeight="1">
      <c r="B17" s="1719" t="s">
        <v>921</v>
      </c>
      <c r="C17" s="1720"/>
      <c r="E17" s="736"/>
      <c r="F17" s="739"/>
      <c r="G17" s="740"/>
      <c r="I17" s="1021"/>
      <c r="J17" s="1021"/>
    </row>
    <row r="18" spans="1:10" ht="31.5">
      <c r="B18" s="1330" t="s">
        <v>1292</v>
      </c>
      <c r="C18" s="1405">
        <v>0</v>
      </c>
      <c r="D18" s="582"/>
      <c r="E18" s="582"/>
      <c r="F18" s="509"/>
      <c r="G18" s="741"/>
      <c r="I18" s="1021"/>
      <c r="J18" s="1021"/>
    </row>
    <row r="19" spans="1:10">
      <c r="B19" s="1308" t="s">
        <v>922</v>
      </c>
      <c r="C19" s="1406">
        <v>0</v>
      </c>
      <c r="D19" s="582"/>
      <c r="E19" s="582"/>
      <c r="F19" s="590"/>
      <c r="I19" s="1021"/>
      <c r="J19" s="1021"/>
    </row>
    <row r="20" spans="1:10">
      <c r="B20" s="1293" t="s">
        <v>890</v>
      </c>
      <c r="C20" s="1408">
        <v>0</v>
      </c>
      <c r="D20" s="582"/>
      <c r="E20" s="582"/>
      <c r="F20" s="590"/>
      <c r="I20" s="1021"/>
      <c r="J20" s="1021"/>
    </row>
    <row r="21" spans="1:10">
      <c r="B21" s="1675" t="s">
        <v>1293</v>
      </c>
      <c r="C21" s="702">
        <v>0</v>
      </c>
      <c r="D21" s="582"/>
      <c r="E21" s="582"/>
      <c r="F21" s="590"/>
      <c r="I21" s="1021"/>
      <c r="J21" s="1021"/>
    </row>
    <row r="22" spans="1:10">
      <c r="B22" s="1675" t="s">
        <v>1420</v>
      </c>
      <c r="C22" s="1674">
        <f>((C18*C19)+C18)-C20</f>
        <v>0</v>
      </c>
      <c r="D22" s="582"/>
      <c r="E22" s="582"/>
      <c r="F22" s="590"/>
      <c r="I22" s="1021"/>
      <c r="J22" s="1021"/>
    </row>
    <row r="23" spans="1:10">
      <c r="B23" s="1199" t="s">
        <v>829</v>
      </c>
      <c r="C23" s="1200">
        <f>(C22/100)*20</f>
        <v>0</v>
      </c>
      <c r="D23" s="582"/>
      <c r="E23" s="582"/>
      <c r="F23" s="590"/>
      <c r="I23" s="1021"/>
      <c r="J23" s="1021"/>
    </row>
    <row r="24" spans="1:10">
      <c r="B24" s="1672"/>
      <c r="C24" s="1673"/>
      <c r="D24" s="582"/>
      <c r="E24" s="582"/>
      <c r="F24" s="590"/>
      <c r="I24" s="1021"/>
      <c r="J24" s="1021"/>
    </row>
    <row r="25" spans="1:10" ht="16.5" thickBot="1">
      <c r="B25" s="700"/>
      <c r="C25" s="701"/>
      <c r="D25" s="582"/>
      <c r="E25" s="582"/>
      <c r="F25" s="590"/>
      <c r="I25" s="1021"/>
      <c r="J25" s="1021"/>
    </row>
    <row r="26" spans="1:10" ht="47.25">
      <c r="A26" s="703" t="s">
        <v>614</v>
      </c>
      <c r="B26" s="592" t="s">
        <v>923</v>
      </c>
      <c r="C26" s="591" t="s">
        <v>93</v>
      </c>
      <c r="D26" s="591" t="s">
        <v>943</v>
      </c>
      <c r="E26" s="591" t="s">
        <v>433</v>
      </c>
      <c r="F26" s="593" t="s">
        <v>96</v>
      </c>
      <c r="I26" s="1021"/>
      <c r="J26" s="1021"/>
    </row>
    <row r="27" spans="1:10">
      <c r="A27" s="714">
        <v>106697</v>
      </c>
      <c r="B27" s="1317" t="s">
        <v>827</v>
      </c>
      <c r="C27" s="1194">
        <v>50</v>
      </c>
      <c r="D27" s="1233">
        <f>ROUNDUP((C22/C27),0)</f>
        <v>0</v>
      </c>
      <c r="E27" s="1195">
        <v>450</v>
      </c>
      <c r="F27" s="705" t="s">
        <v>1294</v>
      </c>
      <c r="I27" s="1021"/>
      <c r="J27" s="1021"/>
    </row>
    <row r="28" spans="1:10" ht="31.5">
      <c r="A28" s="1194">
        <v>106700</v>
      </c>
      <c r="B28" s="1196" t="s">
        <v>828</v>
      </c>
      <c r="C28" s="1197">
        <v>50</v>
      </c>
      <c r="D28" s="1407">
        <v>0</v>
      </c>
      <c r="E28" s="1198">
        <v>400</v>
      </c>
      <c r="F28" s="705" t="s">
        <v>1295</v>
      </c>
      <c r="I28" s="1021"/>
      <c r="J28" s="1021"/>
    </row>
    <row r="29" spans="1:10" ht="16.5" thickBot="1">
      <c r="B29" s="486"/>
      <c r="C29" s="584"/>
      <c r="D29" s="584"/>
      <c r="E29" s="597"/>
      <c r="F29" s="583"/>
      <c r="I29" s="1021"/>
      <c r="J29" s="1021"/>
    </row>
    <row r="30" spans="1:10">
      <c r="B30" s="918" t="s">
        <v>506</v>
      </c>
      <c r="C30" s="916" t="s">
        <v>931</v>
      </c>
      <c r="D30" s="598"/>
      <c r="E30" s="1232"/>
      <c r="I30" s="1021"/>
      <c r="J30" s="1021"/>
    </row>
    <row r="31" spans="1:10" ht="16.5" thickBot="1">
      <c r="B31" s="580" t="s">
        <v>818</v>
      </c>
      <c r="C31" s="581">
        <f>SUMPRODUCT(D27:D28,E27:E28)</f>
        <v>0</v>
      </c>
      <c r="D31" s="598"/>
      <c r="E31" s="1231"/>
      <c r="F31" s="1234"/>
      <c r="G31" s="1234"/>
      <c r="I31" s="1021"/>
      <c r="J31" s="1021"/>
    </row>
    <row r="32" spans="1:10">
      <c r="I32" s="1021"/>
      <c r="J32" s="1021"/>
    </row>
    <row r="33" spans="1:10">
      <c r="A33" s="1021"/>
      <c r="B33" s="1021"/>
      <c r="C33" s="1021"/>
      <c r="D33" s="1021"/>
      <c r="E33" s="1021"/>
      <c r="F33" s="1021"/>
      <c r="G33" s="1021"/>
      <c r="H33" s="1021"/>
      <c r="I33" s="1021"/>
      <c r="J33" s="1021"/>
    </row>
    <row r="34" spans="1:10">
      <c r="A34" s="1021"/>
      <c r="B34" s="1021"/>
      <c r="C34" s="1021"/>
      <c r="D34" s="1021"/>
      <c r="E34" s="1021"/>
      <c r="F34" s="1021"/>
      <c r="G34" s="1021"/>
      <c r="H34" s="1021"/>
      <c r="I34" s="1021"/>
      <c r="J34" s="1021"/>
    </row>
  </sheetData>
  <sheetProtection algorithmName="SHA-512" hashValue="GDlzedJm+d2NjzwChAgzGXnONLULh1W5ofu2oqB/js8aFoHd86vG1IZcI/exWDBVLnjEfvyND3QO0Zn07s4jlw==" saltValue="YvNWmjpQPeNMzzFnvIBLyw==" spinCount="100000" sheet="1" selectLockedCells="1"/>
  <mergeCells count="6">
    <mergeCell ref="E12:F12"/>
    <mergeCell ref="B17:C17"/>
    <mergeCell ref="B1:G1"/>
    <mergeCell ref="B2:G2"/>
    <mergeCell ref="B5:C5"/>
    <mergeCell ref="E5:G5"/>
  </mergeCells>
  <pageMargins left="0.75" right="0.75" top="1" bottom="1" header="0.5" footer="0.5"/>
  <pageSetup paperSize="9" orientation="portrait" horizontalDpi="4294967292" verticalDpi="4294967292"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dimension ref="A1:S33"/>
  <sheetViews>
    <sheetView showGridLines="0" zoomScale="108" zoomScaleNormal="70" zoomScalePageLayoutView="75" workbookViewId="0">
      <selection activeCell="C5" sqref="C5"/>
    </sheetView>
  </sheetViews>
  <sheetFormatPr defaultColWidth="0" defaultRowHeight="15.75" zeroHeight="1"/>
  <cols>
    <col min="1" max="1" width="21.6640625" style="491" bestFit="1" customWidth="1"/>
    <col min="2" max="2" width="65.1640625" style="491" customWidth="1"/>
    <col min="3" max="3" width="26.1640625" style="491" customWidth="1"/>
    <col min="4" max="4" width="16.1640625" style="491" customWidth="1"/>
    <col min="5" max="5" width="35.1640625" style="491" customWidth="1"/>
    <col min="6" max="6" width="46.6640625" style="491" customWidth="1"/>
    <col min="7" max="7" width="40.5" style="491" customWidth="1"/>
    <col min="8" max="8" width="14.5" style="491" customWidth="1"/>
    <col min="9" max="9" width="14.1640625" style="491" bestFit="1" customWidth="1"/>
    <col min="10" max="10" width="11.1640625" style="491" customWidth="1"/>
    <col min="11" max="17" width="11.1640625" style="491" hidden="1" customWidth="1"/>
    <col min="18" max="19" width="0" style="491" hidden="1" customWidth="1"/>
    <col min="20" max="16384" width="11.1640625" style="491" hidden="1"/>
  </cols>
  <sheetData>
    <row r="1" spans="1:19" s="582" customFormat="1" ht="44.25" customHeight="1">
      <c r="A1" s="1728" t="s">
        <v>981</v>
      </c>
      <c r="B1" s="1728"/>
      <c r="C1" s="1728"/>
      <c r="D1" s="1728"/>
      <c r="E1" s="1728"/>
      <c r="F1" s="1728"/>
      <c r="G1" s="1728"/>
      <c r="H1" s="1728"/>
      <c r="I1" s="1728"/>
      <c r="J1" s="1030"/>
    </row>
    <row r="2" spans="1:19" s="582" customFormat="1" ht="44.25" customHeight="1">
      <c r="B2" s="1718" t="s">
        <v>937</v>
      </c>
      <c r="C2" s="1731"/>
      <c r="D2" s="1731"/>
      <c r="E2" s="1731"/>
      <c r="F2" s="1731"/>
      <c r="G2" s="1731"/>
      <c r="J2" s="1030"/>
    </row>
    <row r="3" spans="1:19" s="1318" customFormat="1" ht="24" customHeight="1">
      <c r="B3" s="718"/>
      <c r="C3" s="719"/>
      <c r="D3" s="720"/>
      <c r="E3" s="720"/>
      <c r="F3" s="720"/>
      <c r="G3" s="720"/>
      <c r="J3" s="1031"/>
    </row>
    <row r="4" spans="1:19" s="582" customFormat="1" ht="90.95" customHeight="1">
      <c r="B4" s="1721" t="s">
        <v>928</v>
      </c>
      <c r="C4" s="1722"/>
      <c r="D4" s="584"/>
      <c r="E4" s="1734" t="s">
        <v>929</v>
      </c>
      <c r="F4" s="1735"/>
      <c r="G4" s="1736"/>
      <c r="J4" s="1030"/>
    </row>
    <row r="5" spans="1:19" s="582" customFormat="1" ht="31.5">
      <c r="A5" s="486"/>
      <c r="B5" s="721" t="s">
        <v>794</v>
      </c>
      <c r="C5" s="1400">
        <v>0</v>
      </c>
      <c r="D5" s="585"/>
      <c r="E5" s="686" t="s">
        <v>778</v>
      </c>
      <c r="F5" s="733" t="s">
        <v>916</v>
      </c>
      <c r="G5" s="735" t="s">
        <v>1297</v>
      </c>
      <c r="J5" s="1030"/>
    </row>
    <row r="6" spans="1:19" s="582" customFormat="1" ht="56.25" customHeight="1">
      <c r="A6" s="486"/>
      <c r="B6" s="691" t="s">
        <v>1296</v>
      </c>
      <c r="C6" s="692">
        <f>C5*Months</f>
        <v>0</v>
      </c>
      <c r="D6" s="586"/>
      <c r="E6" s="749" t="s">
        <v>823</v>
      </c>
      <c r="F6" s="1401">
        <v>0</v>
      </c>
      <c r="G6" s="687">
        <f>ROUND((Epidemiology!B12*Epidemiology!B20*Epidemiology!E20)+(Epidemiology!B9*Epidemiology!B10*Epidemiology!B26)+(Epidemiology!E7*Epidemiology!B17)+Epidemiology!B8+(Epidemiology!B14*Epidemiology!E17)+(Epidemiology!E11*Epidemiology!E10*Epidemiology!C4*Epidemiology!B18)+(Epidemiology!C7-((Epidemiology!B9*Epidemiology!B10)+(Epidemiology!E7+Epidemiology!B8+Epidemiology!B14)+(Epidemiology!E11*Epidemiology!E10*Epidemiology!C4)+(Epidemiology!C7*Epidemiology!B10))),-2)*F6</f>
        <v>0</v>
      </c>
      <c r="J6" s="1030"/>
    </row>
    <row r="7" spans="1:19" s="582" customFormat="1">
      <c r="B7" s="491"/>
      <c r="C7" s="491"/>
      <c r="D7" s="491"/>
      <c r="E7" s="587"/>
      <c r="F7" s="688"/>
      <c r="G7" s="694"/>
      <c r="J7" s="1030"/>
    </row>
    <row r="8" spans="1:19" s="731" customFormat="1">
      <c r="A8" s="695"/>
      <c r="B8" s="696"/>
      <c r="C8" s="696"/>
      <c r="D8" s="696"/>
      <c r="E8" s="697"/>
      <c r="F8" s="698"/>
      <c r="G8" s="699"/>
      <c r="H8" s="695"/>
      <c r="I8" s="695"/>
      <c r="J8" s="1030"/>
    </row>
    <row r="9" spans="1:19" s="731" customFormat="1">
      <c r="A9" s="695"/>
      <c r="B9" s="696"/>
      <c r="C9" s="696"/>
      <c r="D9" s="696"/>
      <c r="E9" s="697"/>
      <c r="F9" s="698"/>
      <c r="G9" s="699"/>
      <c r="H9" s="695"/>
      <c r="I9" s="695"/>
      <c r="J9" s="1030"/>
    </row>
    <row r="10" spans="1:19" s="731" customFormat="1">
      <c r="A10" s="695"/>
      <c r="B10" s="696"/>
      <c r="C10" s="696"/>
      <c r="D10" s="696"/>
      <c r="E10" s="697"/>
      <c r="F10" s="698"/>
      <c r="G10" s="699"/>
      <c r="H10" s="695"/>
      <c r="I10" s="695"/>
      <c r="J10" s="1030"/>
    </row>
    <row r="11" spans="1:19" s="731" customFormat="1">
      <c r="B11" s="730"/>
      <c r="C11" s="730"/>
      <c r="D11" s="730"/>
      <c r="E11" s="1182"/>
      <c r="F11" s="1183"/>
      <c r="G11" s="725"/>
      <c r="J11" s="1030"/>
    </row>
    <row r="12" spans="1:19" s="731" customFormat="1" ht="45" customHeight="1">
      <c r="B12" s="691" t="s">
        <v>1298</v>
      </c>
      <c r="C12" s="1409">
        <v>0</v>
      </c>
      <c r="D12" s="1737" t="s">
        <v>930</v>
      </c>
      <c r="E12" s="1738"/>
      <c r="F12" s="1183"/>
      <c r="G12" s="725"/>
      <c r="J12" s="1030"/>
    </row>
    <row r="13" spans="1:19" s="731" customFormat="1" ht="51" customHeight="1">
      <c r="B13" s="691" t="s">
        <v>1037</v>
      </c>
      <c r="C13" s="1409">
        <v>0</v>
      </c>
      <c r="D13" s="1739"/>
      <c r="E13" s="1740"/>
      <c r="F13" s="688"/>
      <c r="G13" s="725"/>
      <c r="J13" s="1030"/>
    </row>
    <row r="14" spans="1:19" ht="54" customHeight="1">
      <c r="A14" s="730"/>
      <c r="B14" s="691" t="s">
        <v>728</v>
      </c>
      <c r="C14" s="1409">
        <v>0</v>
      </c>
      <c r="D14" s="1741"/>
      <c r="E14" s="1742"/>
      <c r="F14" s="737"/>
      <c r="G14" s="738"/>
      <c r="H14" s="730"/>
      <c r="I14" s="730"/>
      <c r="J14" s="1021"/>
      <c r="S14" s="491">
        <f>SUM(S7:S9)</f>
        <v>0</v>
      </c>
    </row>
    <row r="15" spans="1:19" ht="47.25">
      <c r="B15" s="1185" t="s">
        <v>1299</v>
      </c>
      <c r="C15" s="1405">
        <v>0</v>
      </c>
      <c r="D15" s="582"/>
      <c r="E15" s="731"/>
      <c r="F15" s="732"/>
      <c r="G15" s="730"/>
      <c r="J15" s="1021"/>
    </row>
    <row r="16" spans="1:19">
      <c r="B16" s="1184" t="s">
        <v>21</v>
      </c>
      <c r="C16" s="1410">
        <f>C13+C14</f>
        <v>0</v>
      </c>
      <c r="D16" s="582"/>
      <c r="E16" s="731"/>
      <c r="F16" s="732"/>
      <c r="G16" s="730"/>
      <c r="J16" s="1021"/>
    </row>
    <row r="17" spans="1:14">
      <c r="B17" s="1184" t="s">
        <v>1300</v>
      </c>
      <c r="C17" s="1186">
        <f>IF(C13=0,0,(C15/C13))</f>
        <v>0</v>
      </c>
      <c r="D17" s="582"/>
      <c r="E17" s="731"/>
      <c r="F17" s="732"/>
      <c r="G17" s="730"/>
      <c r="J17" s="1021"/>
    </row>
    <row r="18" spans="1:14">
      <c r="B18" s="1184" t="s">
        <v>890</v>
      </c>
      <c r="C18" s="1402">
        <v>0</v>
      </c>
      <c r="D18" s="582"/>
      <c r="E18" s="731"/>
      <c r="F18" s="732"/>
      <c r="G18" s="730"/>
      <c r="J18" s="1021"/>
    </row>
    <row r="19" spans="1:14" ht="30">
      <c r="B19" s="1184" t="s">
        <v>1412</v>
      </c>
      <c r="C19" s="1186">
        <f>(C17*C16)</f>
        <v>0</v>
      </c>
      <c r="D19" s="582"/>
      <c r="E19" s="731"/>
      <c r="F19" s="732"/>
      <c r="G19" s="730"/>
      <c r="J19" s="1021"/>
    </row>
    <row r="20" spans="1:14" ht="30">
      <c r="B20" s="1184" t="s">
        <v>1421</v>
      </c>
      <c r="C20" s="1186">
        <f>(IF(C18=0,(C17*C16),(C17*C16)-C18))</f>
        <v>0</v>
      </c>
      <c r="D20" s="582"/>
      <c r="E20" s="731"/>
      <c r="F20" s="732"/>
      <c r="G20" s="730"/>
      <c r="J20" s="1021"/>
    </row>
    <row r="21" spans="1:14" ht="16.5" thickBot="1">
      <c r="B21" s="700"/>
      <c r="C21" s="701"/>
      <c r="D21" s="582"/>
      <c r="E21" s="582"/>
      <c r="F21" s="590"/>
      <c r="J21" s="1021"/>
    </row>
    <row r="22" spans="1:14" ht="30">
      <c r="A22" s="703" t="s">
        <v>614</v>
      </c>
      <c r="B22" s="592" t="s">
        <v>923</v>
      </c>
      <c r="C22" s="591" t="s">
        <v>93</v>
      </c>
      <c r="D22" s="1171" t="s">
        <v>722</v>
      </c>
      <c r="E22" s="591" t="s">
        <v>943</v>
      </c>
      <c r="F22" s="591" t="s">
        <v>433</v>
      </c>
      <c r="G22" s="593" t="s">
        <v>79</v>
      </c>
      <c r="J22" s="1021"/>
    </row>
    <row r="23" spans="1:14" ht="99.95" customHeight="1">
      <c r="A23" s="1172">
        <v>106634</v>
      </c>
      <c r="B23" s="1173" t="s">
        <v>662</v>
      </c>
      <c r="C23" s="1174">
        <v>96</v>
      </c>
      <c r="D23" s="1175">
        <v>1.1399999999999999</v>
      </c>
      <c r="E23" s="1176">
        <f>ROUNDUP((D23/C23*C20),0)</f>
        <v>0</v>
      </c>
      <c r="F23" s="1177">
        <v>219</v>
      </c>
      <c r="G23" s="1309" t="s">
        <v>1301</v>
      </c>
      <c r="J23" s="1021"/>
      <c r="L23" s="730"/>
      <c r="M23" s="730"/>
      <c r="N23" s="730"/>
    </row>
    <row r="24" spans="1:14" ht="99" customHeight="1">
      <c r="A24" s="1172">
        <v>106635</v>
      </c>
      <c r="B24" s="1173" t="s">
        <v>663</v>
      </c>
      <c r="C24" s="1174">
        <v>90</v>
      </c>
      <c r="D24" s="1175">
        <v>1.07</v>
      </c>
      <c r="E24" s="1176">
        <f>ROUNDUP((D24/C24*C20),0)</f>
        <v>0</v>
      </c>
      <c r="F24" s="1177">
        <v>275</v>
      </c>
      <c r="G24" s="1309" t="s">
        <v>1302</v>
      </c>
      <c r="J24" s="1021"/>
      <c r="L24" s="730"/>
      <c r="M24" s="730"/>
      <c r="N24" s="730"/>
    </row>
    <row r="25" spans="1:14">
      <c r="A25" s="1172">
        <v>106643</v>
      </c>
      <c r="B25" s="1332" t="s">
        <v>1303</v>
      </c>
      <c r="C25" s="1178">
        <v>384</v>
      </c>
      <c r="D25" s="1179">
        <v>1</v>
      </c>
      <c r="E25" s="1176">
        <f>ROUNDUP((D25/C25*C20),0)</f>
        <v>0</v>
      </c>
      <c r="F25" s="1177">
        <v>42</v>
      </c>
      <c r="G25" s="1180"/>
      <c r="J25" s="1021"/>
      <c r="L25" s="730"/>
      <c r="M25" s="730"/>
      <c r="N25" s="730"/>
    </row>
    <row r="26" spans="1:14" ht="16.5" thickBot="1">
      <c r="A26" s="726"/>
      <c r="B26" s="395"/>
      <c r="C26" s="727"/>
      <c r="D26" s="584"/>
      <c r="E26" s="597"/>
      <c r="F26" s="583"/>
      <c r="J26" s="1021"/>
    </row>
    <row r="27" spans="1:14" ht="16.5" thickBot="1">
      <c r="B27" s="933" t="s">
        <v>506</v>
      </c>
      <c r="C27" s="934" t="s">
        <v>931</v>
      </c>
      <c r="D27" s="598"/>
      <c r="E27" s="583"/>
      <c r="J27" s="1021"/>
    </row>
    <row r="28" spans="1:14" ht="16.5" thickBot="1">
      <c r="B28" s="580" t="s">
        <v>717</v>
      </c>
      <c r="C28" s="751">
        <f>SUMPRODUCT(E23:E25,F23:F25)</f>
        <v>0</v>
      </c>
      <c r="E28" s="583"/>
      <c r="J28" s="1021"/>
    </row>
    <row r="29" spans="1:14" ht="81" customHeight="1" thickBot="1">
      <c r="B29" s="1201" t="s">
        <v>724</v>
      </c>
      <c r="C29" s="1237" t="str">
        <f>IF(C20=0,"",(C28/C20))</f>
        <v/>
      </c>
      <c r="D29" s="1733" t="s">
        <v>932</v>
      </c>
      <c r="E29" s="1733"/>
      <c r="F29" s="1733"/>
      <c r="G29" s="1733"/>
      <c r="H29" s="1187"/>
      <c r="J29" s="1021"/>
    </row>
    <row r="30" spans="1:14">
      <c r="E30" s="1188"/>
      <c r="F30" s="1188"/>
      <c r="G30" s="1188"/>
      <c r="H30" s="1188"/>
      <c r="I30" s="1189"/>
      <c r="J30" s="1021"/>
    </row>
    <row r="31" spans="1:14">
      <c r="A31" s="1021"/>
      <c r="B31" s="1021"/>
      <c r="C31" s="1021"/>
      <c r="D31" s="1021"/>
      <c r="E31" s="1021"/>
      <c r="F31" s="1021"/>
      <c r="G31" s="1021"/>
      <c r="H31" s="1021"/>
      <c r="I31" s="1021"/>
      <c r="J31" s="1021"/>
    </row>
    <row r="32" spans="1:14">
      <c r="A32" s="1021"/>
      <c r="B32" s="1021"/>
      <c r="C32" s="1021"/>
      <c r="D32" s="1021"/>
      <c r="E32" s="1021"/>
      <c r="F32" s="1021"/>
      <c r="G32" s="1021"/>
      <c r="H32" s="1021"/>
      <c r="I32" s="1021"/>
      <c r="J32" s="1021"/>
    </row>
    <row r="33" spans="1:10">
      <c r="A33" s="1021"/>
      <c r="B33" s="1021"/>
      <c r="C33" s="1021"/>
      <c r="D33" s="1021"/>
      <c r="E33" s="1021"/>
      <c r="F33" s="1021"/>
      <c r="G33" s="1021"/>
      <c r="H33" s="1021"/>
      <c r="I33" s="1021"/>
      <c r="J33" s="1021"/>
    </row>
  </sheetData>
  <sheetProtection algorithmName="SHA-512" hashValue="EE9ccd571xhI8wfNem1XtxFoRLNhZaPuB8tVxl8UONTx/nPUnRDEQGZ3er9mw5kPfpcu89HW8kA+y8qkwc8ZXA==" saltValue="SjgRR4YwIAlJt+7SCsT19g==" spinCount="100000" sheet="1" selectLockedCells="1"/>
  <mergeCells count="6">
    <mergeCell ref="D29:G29"/>
    <mergeCell ref="A1:I1"/>
    <mergeCell ref="B2:G2"/>
    <mergeCell ref="B4:C4"/>
    <mergeCell ref="E4:G4"/>
    <mergeCell ref="D12:E14"/>
  </mergeCells>
  <pageMargins left="0.75" right="0.75" top="1" bottom="1" header="0.5" footer="0.5"/>
  <pageSetup paperSize="9" orientation="portrait" horizontalDpi="4294967292" verticalDpi="4294967292"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7"/>
  <dimension ref="A1:X34"/>
  <sheetViews>
    <sheetView showGridLines="0" topLeftCell="A8" zoomScaleNormal="70" zoomScalePageLayoutView="75" workbookViewId="0">
      <selection activeCell="C3" sqref="C3"/>
    </sheetView>
  </sheetViews>
  <sheetFormatPr defaultColWidth="0" defaultRowHeight="15.75" zeroHeight="1"/>
  <cols>
    <col min="1" max="1" width="21.6640625" style="491" bestFit="1" customWidth="1"/>
    <col min="2" max="2" width="65.1640625" style="491" customWidth="1"/>
    <col min="3" max="3" width="26.1640625" style="491" customWidth="1"/>
    <col min="4" max="4" width="16.1640625" style="491" customWidth="1"/>
    <col min="5" max="5" width="35.1640625" style="491" customWidth="1"/>
    <col min="6" max="6" width="46.6640625" style="491" customWidth="1"/>
    <col min="7" max="7" width="26" style="491" customWidth="1"/>
    <col min="8" max="16" width="11.1640625" style="491" customWidth="1"/>
    <col min="17" max="17" width="11.1640625" style="491" hidden="1" customWidth="1"/>
    <col min="18" max="24" width="0" style="491" hidden="1" customWidth="1"/>
    <col min="25" max="16384" width="11.1640625" style="491" hidden="1"/>
  </cols>
  <sheetData>
    <row r="1" spans="1:20" s="582" customFormat="1" ht="44.25" customHeight="1">
      <c r="A1" s="1728" t="s">
        <v>982</v>
      </c>
      <c r="B1" s="1728"/>
      <c r="C1" s="1728"/>
      <c r="D1" s="1728"/>
      <c r="E1" s="1728"/>
      <c r="F1" s="1728"/>
      <c r="G1" s="1728"/>
      <c r="H1" s="1728"/>
      <c r="I1" s="1030"/>
      <c r="J1" s="1030"/>
      <c r="K1" s="1411"/>
      <c r="L1" s="1411"/>
      <c r="M1" s="1411"/>
      <c r="N1" s="1411"/>
      <c r="O1" s="1411"/>
      <c r="P1" s="1411"/>
    </row>
    <row r="2" spans="1:20" s="582" customFormat="1" ht="44.25" customHeight="1">
      <c r="B2" s="1718" t="s">
        <v>938</v>
      </c>
      <c r="C2" s="1718"/>
      <c r="D2" s="1718"/>
      <c r="E2" s="1718"/>
      <c r="F2" s="1718"/>
      <c r="G2" s="1718"/>
      <c r="H2" s="1718"/>
      <c r="I2" s="1030"/>
      <c r="J2" s="1030"/>
      <c r="K2" s="1411"/>
      <c r="L2" s="1411"/>
      <c r="M2" s="1411"/>
      <c r="N2" s="1411"/>
      <c r="O2" s="1411"/>
      <c r="P2" s="1411"/>
    </row>
    <row r="3" spans="1:20" s="582" customFormat="1" ht="24" customHeight="1">
      <c r="B3" s="717" t="s">
        <v>933</v>
      </c>
      <c r="C3" s="1403">
        <v>0</v>
      </c>
      <c r="D3" s="716"/>
      <c r="E3" s="716"/>
      <c r="F3" s="716"/>
      <c r="G3" s="716"/>
      <c r="I3" s="1030"/>
      <c r="J3" s="1030"/>
      <c r="K3" s="1411"/>
      <c r="L3" s="1411"/>
      <c r="M3" s="1411"/>
      <c r="N3" s="1411"/>
      <c r="O3" s="1411"/>
      <c r="P3" s="1411"/>
    </row>
    <row r="4" spans="1:20" s="1318" customFormat="1" ht="24" customHeight="1">
      <c r="B4" s="718"/>
      <c r="C4" s="719"/>
      <c r="D4" s="720"/>
      <c r="E4" s="720"/>
      <c r="F4" s="720"/>
      <c r="G4" s="720"/>
      <c r="I4" s="1031"/>
      <c r="J4" s="1031"/>
      <c r="K4" s="1412"/>
      <c r="L4" s="1412"/>
      <c r="M4" s="1412"/>
      <c r="N4" s="1412"/>
      <c r="O4" s="1412"/>
      <c r="P4" s="1412"/>
    </row>
    <row r="5" spans="1:20" s="582" customFormat="1" ht="105" customHeight="1">
      <c r="B5" s="1723" t="s">
        <v>1019</v>
      </c>
      <c r="C5" s="1732"/>
      <c r="D5" s="584"/>
      <c r="E5" s="1723" t="s">
        <v>1306</v>
      </c>
      <c r="F5" s="1724"/>
      <c r="G5" s="1725"/>
      <c r="I5" s="1030"/>
      <c r="J5" s="1030"/>
      <c r="K5" s="1411"/>
      <c r="L5" s="1411"/>
      <c r="M5" s="1411"/>
      <c r="N5" s="1411"/>
      <c r="O5" s="1411"/>
      <c r="P5" s="1411"/>
    </row>
    <row r="6" spans="1:20" s="582" customFormat="1" ht="63">
      <c r="A6" s="486"/>
      <c r="B6" s="690" t="s">
        <v>780</v>
      </c>
      <c r="C6" s="1400">
        <v>0</v>
      </c>
      <c r="D6" s="585"/>
      <c r="E6" s="686" t="s">
        <v>778</v>
      </c>
      <c r="F6" s="685" t="s">
        <v>916</v>
      </c>
      <c r="G6" s="501" t="s">
        <v>1307</v>
      </c>
      <c r="I6" s="1030"/>
      <c r="J6" s="1030"/>
      <c r="K6" s="1411"/>
      <c r="L6" s="1411"/>
      <c r="M6" s="1411"/>
      <c r="N6" s="1411"/>
      <c r="O6" s="1411"/>
      <c r="P6" s="1411"/>
    </row>
    <row r="7" spans="1:20" s="582" customFormat="1" ht="56.25" customHeight="1">
      <c r="B7" s="690" t="s">
        <v>634</v>
      </c>
      <c r="C7" s="1400">
        <v>0</v>
      </c>
      <c r="D7" s="586"/>
      <c r="E7" s="689" t="s">
        <v>628</v>
      </c>
      <c r="F7" s="1404">
        <v>0</v>
      </c>
      <c r="G7" s="687">
        <f>ROUND((F7*Epidemiology!B12*Epidemiology!B20*Epidemiology!E20),-2)</f>
        <v>0</v>
      </c>
      <c r="I7" s="1030"/>
      <c r="J7" s="1030"/>
      <c r="K7" s="1411"/>
      <c r="L7" s="1411"/>
      <c r="M7" s="1411"/>
      <c r="N7" s="1411"/>
      <c r="O7" s="1411"/>
      <c r="P7" s="1411"/>
    </row>
    <row r="8" spans="1:20" s="582" customFormat="1" ht="31.5">
      <c r="B8" s="1329" t="s">
        <v>1304</v>
      </c>
      <c r="C8" s="1400">
        <v>0</v>
      </c>
      <c r="D8" s="585"/>
      <c r="E8" s="689" t="s">
        <v>629</v>
      </c>
      <c r="F8" s="1404">
        <v>0</v>
      </c>
      <c r="G8" s="687">
        <f>ROUND(F8*Epidemiology!B9*Epidemiology!B10*Epidemiology!B26, -2)</f>
        <v>0</v>
      </c>
      <c r="I8" s="1030"/>
      <c r="J8" s="1030"/>
      <c r="K8" s="1411"/>
      <c r="L8" s="1411"/>
      <c r="M8" s="1411"/>
      <c r="N8" s="1411"/>
      <c r="O8" s="1411"/>
      <c r="P8" s="1411"/>
    </row>
    <row r="9" spans="1:20" s="582" customFormat="1" ht="31.5">
      <c r="B9" s="691" t="s">
        <v>1305</v>
      </c>
      <c r="C9" s="692">
        <f>C6*C7*C8</f>
        <v>0</v>
      </c>
      <c r="D9" s="584"/>
      <c r="E9" s="1303" t="s">
        <v>920</v>
      </c>
      <c r="F9" s="1404">
        <v>0</v>
      </c>
      <c r="G9" s="687">
        <f>ROUND(F9*(Epidemiology!E7*Epidemiology!B17)+Epidemiology!B8+(Epidemiology!B14*Epidemiology!E17), -2)</f>
        <v>0</v>
      </c>
      <c r="I9" s="1030"/>
      <c r="J9" s="1030"/>
      <c r="K9" s="1411"/>
      <c r="L9" s="1411"/>
      <c r="M9" s="1411"/>
      <c r="N9" s="1411"/>
      <c r="O9" s="1411"/>
      <c r="P9" s="1411"/>
    </row>
    <row r="10" spans="1:20" s="582" customFormat="1" ht="45">
      <c r="B10" s="486"/>
      <c r="C10" s="492"/>
      <c r="D10" s="584"/>
      <c r="E10" s="689" t="s">
        <v>627</v>
      </c>
      <c r="F10" s="1404">
        <v>0</v>
      </c>
      <c r="G10" s="687">
        <f>ROUND(F10*Epidemiology!E11*Epidemiology!E10*Epidemiology!C4*Epidemiology!B18,-2)</f>
        <v>0</v>
      </c>
      <c r="I10" s="1030"/>
      <c r="J10" s="1030"/>
      <c r="K10" s="1411"/>
      <c r="L10" s="1411"/>
      <c r="M10" s="1411"/>
      <c r="N10" s="1411"/>
      <c r="O10" s="1411"/>
      <c r="P10" s="1411"/>
      <c r="S10" s="582">
        <f>Epidemiology!B9*Epidemiology!B10</f>
        <v>0</v>
      </c>
      <c r="T10" s="582" t="s">
        <v>790</v>
      </c>
    </row>
    <row r="11" spans="1:20" s="582" customFormat="1" ht="75">
      <c r="B11" s="491"/>
      <c r="C11" s="491"/>
      <c r="D11" s="491"/>
      <c r="E11" s="1307" t="s">
        <v>947</v>
      </c>
      <c r="F11" s="1404">
        <v>0</v>
      </c>
      <c r="G11" s="687">
        <f>ROUND(Epidemiology!C7-((Epidemiology!B9*Epidemiology!B10)+(Epidemiology!E7+Epidemiology!B8+Epidemiology!B14)+(Epidemiology!E11*Epidemiology!E10*Epidemiology!C4)+(Epidemiology!C7*Epidemiology!B10)),-2)*F11</f>
        <v>0</v>
      </c>
      <c r="I11" s="1030"/>
      <c r="J11" s="1030"/>
      <c r="K11" s="1411"/>
      <c r="L11" s="1411"/>
      <c r="M11" s="1411"/>
      <c r="N11" s="1411"/>
      <c r="O11" s="1411"/>
      <c r="P11" s="1411"/>
      <c r="S11" s="693">
        <f>Epidemiology!E7+Epidemiology!B8+Epidemiology!B14</f>
        <v>0</v>
      </c>
      <c r="T11" s="582" t="s">
        <v>791</v>
      </c>
    </row>
    <row r="12" spans="1:20" s="582" customFormat="1" ht="54" customHeight="1">
      <c r="B12" s="491"/>
      <c r="C12" s="491"/>
      <c r="D12" s="491"/>
      <c r="E12" s="1726" t="s">
        <v>1308</v>
      </c>
      <c r="F12" s="1727"/>
      <c r="G12" s="687">
        <f>SUM(G7:G11)</f>
        <v>0</v>
      </c>
      <c r="I12" s="1030"/>
      <c r="J12" s="1030"/>
      <c r="K12" s="1411"/>
      <c r="L12" s="1411"/>
      <c r="M12" s="1411"/>
      <c r="N12" s="1411"/>
      <c r="O12" s="1411"/>
      <c r="P12" s="1411"/>
      <c r="S12" s="582">
        <f>Epidemiology!E11*Epidemiology!E10*Epidemiology!C4</f>
        <v>0</v>
      </c>
      <c r="T12" s="582" t="s">
        <v>792</v>
      </c>
    </row>
    <row r="13" spans="1:20" s="582" customFormat="1">
      <c r="B13" s="491"/>
      <c r="C13" s="491"/>
      <c r="D13" s="491"/>
      <c r="E13" s="587"/>
      <c r="F13" s="688"/>
      <c r="G13" s="694"/>
      <c r="I13" s="1030"/>
      <c r="J13" s="1030"/>
      <c r="K13" s="1411"/>
      <c r="L13" s="1411"/>
      <c r="M13" s="1411"/>
      <c r="N13" s="1411"/>
      <c r="O13" s="1411"/>
      <c r="P13" s="1411"/>
    </row>
    <row r="14" spans="1:20" s="1032" customFormat="1">
      <c r="A14" s="695"/>
      <c r="B14" s="696"/>
      <c r="C14" s="696"/>
      <c r="D14" s="696"/>
      <c r="E14" s="697"/>
      <c r="F14" s="698"/>
      <c r="G14" s="699"/>
      <c r="H14" s="695"/>
      <c r="I14" s="1030"/>
      <c r="J14" s="1030"/>
      <c r="K14" s="1413"/>
      <c r="L14" s="1413"/>
      <c r="M14" s="1413"/>
      <c r="N14" s="1413"/>
      <c r="O14" s="1413"/>
      <c r="P14" s="1413"/>
    </row>
    <row r="15" spans="1:20" s="1032" customFormat="1">
      <c r="A15" s="695"/>
      <c r="B15" s="696"/>
      <c r="C15" s="696"/>
      <c r="D15" s="696"/>
      <c r="E15" s="697"/>
      <c r="F15" s="698"/>
      <c r="G15" s="699"/>
      <c r="H15" s="695"/>
      <c r="I15" s="1030"/>
      <c r="J15" s="1030"/>
      <c r="K15" s="1413"/>
      <c r="L15" s="1413"/>
      <c r="M15" s="1413"/>
      <c r="N15" s="1413"/>
      <c r="O15" s="1413"/>
      <c r="P15" s="1413"/>
    </row>
    <row r="16" spans="1:20" s="582" customFormat="1">
      <c r="B16" s="491"/>
      <c r="C16" s="491"/>
      <c r="D16" s="491"/>
      <c r="E16" s="589"/>
      <c r="F16" s="588"/>
      <c r="I16" s="1030"/>
      <c r="J16" s="1030"/>
      <c r="K16" s="1411"/>
      <c r="L16" s="1411"/>
      <c r="M16" s="1411"/>
      <c r="N16" s="1411"/>
      <c r="O16" s="1411"/>
      <c r="P16" s="1411"/>
      <c r="S16" s="582">
        <f>Epidemiology!C7*Epidemiology!B10</f>
        <v>0</v>
      </c>
      <c r="T16" s="582" t="s">
        <v>790</v>
      </c>
    </row>
    <row r="17" spans="1:16" ht="51.75" customHeight="1">
      <c r="B17" s="1719" t="s">
        <v>940</v>
      </c>
      <c r="C17" s="1720"/>
      <c r="E17" s="736"/>
      <c r="F17" s="739"/>
      <c r="G17" s="740"/>
      <c r="I17" s="1030"/>
      <c r="J17" s="1030"/>
      <c r="K17" s="1414"/>
      <c r="L17" s="1414"/>
      <c r="M17" s="1414"/>
      <c r="N17" s="1414"/>
      <c r="O17" s="1414"/>
      <c r="P17" s="1414"/>
    </row>
    <row r="18" spans="1:16" ht="47.25">
      <c r="B18" s="1330" t="s">
        <v>1309</v>
      </c>
      <c r="C18" s="1405">
        <v>0</v>
      </c>
      <c r="D18" s="582"/>
      <c r="E18" s="495"/>
      <c r="F18" s="509"/>
      <c r="G18" s="741"/>
      <c r="I18" s="1021"/>
      <c r="J18" s="1021"/>
      <c r="K18" s="1414"/>
      <c r="L18" s="1414"/>
      <c r="M18" s="1414"/>
      <c r="N18" s="1414"/>
      <c r="O18" s="1414"/>
      <c r="P18" s="1414"/>
    </row>
    <row r="19" spans="1:16">
      <c r="B19" s="1308" t="s">
        <v>941</v>
      </c>
      <c r="C19" s="1406">
        <v>0</v>
      </c>
      <c r="D19" s="582"/>
      <c r="E19" s="582"/>
      <c r="F19" s="590"/>
      <c r="I19" s="1021"/>
      <c r="J19" s="1021"/>
      <c r="K19" s="1414"/>
      <c r="L19" s="1414"/>
      <c r="M19" s="1414"/>
      <c r="N19" s="1414"/>
      <c r="O19" s="1414"/>
      <c r="P19" s="1414"/>
    </row>
    <row r="20" spans="1:16">
      <c r="B20" s="1293" t="s">
        <v>890</v>
      </c>
      <c r="C20" s="1408">
        <v>0</v>
      </c>
      <c r="D20" s="582"/>
      <c r="E20" s="582"/>
      <c r="F20" s="590"/>
      <c r="I20" s="1021"/>
      <c r="J20" s="1021"/>
      <c r="K20" s="1414"/>
      <c r="L20" s="1414"/>
      <c r="M20" s="1414"/>
      <c r="N20" s="1414"/>
      <c r="O20" s="1414"/>
      <c r="P20" s="1414"/>
    </row>
    <row r="21" spans="1:16" ht="31.5">
      <c r="B21" s="1331" t="s">
        <v>1310</v>
      </c>
      <c r="C21" s="702">
        <f>((C18*C19)+C18)</f>
        <v>0</v>
      </c>
      <c r="D21" s="582"/>
      <c r="E21" s="582"/>
      <c r="F21" s="590"/>
      <c r="I21" s="1021"/>
      <c r="J21" s="1021"/>
      <c r="K21" s="1414"/>
      <c r="L21" s="1414"/>
      <c r="M21" s="1414"/>
      <c r="N21" s="1414"/>
      <c r="O21" s="1414"/>
      <c r="P21" s="1414"/>
    </row>
    <row r="22" spans="1:16">
      <c r="B22" s="1675" t="s">
        <v>1422</v>
      </c>
      <c r="C22" s="1674">
        <f>((C18*C19)+C18)-C20</f>
        <v>0</v>
      </c>
      <c r="D22" s="582"/>
      <c r="E22" s="582"/>
      <c r="F22" s="590"/>
      <c r="I22" s="1021"/>
      <c r="J22" s="1021"/>
      <c r="K22" s="1414"/>
      <c r="L22" s="1414"/>
      <c r="M22" s="1414"/>
      <c r="N22" s="1414"/>
      <c r="O22" s="1414"/>
      <c r="P22" s="1414"/>
    </row>
    <row r="23" spans="1:16" ht="16.5" thickBot="1">
      <c r="B23" s="700"/>
      <c r="C23" s="701"/>
      <c r="D23" s="582"/>
      <c r="E23" s="582"/>
      <c r="F23" s="590"/>
      <c r="I23" s="1021"/>
      <c r="J23" s="1021"/>
      <c r="K23" s="1414"/>
      <c r="L23" s="1414"/>
      <c r="M23" s="1414"/>
      <c r="N23" s="1414"/>
      <c r="O23" s="1414"/>
      <c r="P23" s="1414"/>
    </row>
    <row r="24" spans="1:16" ht="47.25">
      <c r="A24" s="703" t="s">
        <v>614</v>
      </c>
      <c r="B24" s="592" t="s">
        <v>923</v>
      </c>
      <c r="C24" s="591" t="s">
        <v>946</v>
      </c>
      <c r="D24" s="591" t="s">
        <v>943</v>
      </c>
      <c r="E24" s="591" t="s">
        <v>433</v>
      </c>
      <c r="F24" s="593" t="s">
        <v>79</v>
      </c>
      <c r="I24" s="1021"/>
      <c r="J24" s="1021"/>
      <c r="K24" s="1414"/>
      <c r="L24" s="1414"/>
      <c r="M24" s="1414"/>
      <c r="N24" s="1414"/>
      <c r="O24" s="1414"/>
      <c r="P24" s="1414"/>
    </row>
    <row r="25" spans="1:16">
      <c r="A25" s="714" t="s">
        <v>615</v>
      </c>
      <c r="B25" s="594" t="s">
        <v>466</v>
      </c>
      <c r="C25" s="595">
        <v>50</v>
      </c>
      <c r="D25" s="596">
        <f>ROUNDUP((C22/C25),0)</f>
        <v>0</v>
      </c>
      <c r="E25" s="704">
        <v>499</v>
      </c>
      <c r="F25" s="705"/>
      <c r="I25" s="1021"/>
      <c r="J25" s="1021"/>
      <c r="K25" s="1414"/>
      <c r="L25" s="1414"/>
      <c r="M25" s="1414"/>
      <c r="N25" s="1414"/>
      <c r="O25" s="1414"/>
      <c r="P25" s="1414"/>
    </row>
    <row r="26" spans="1:16" ht="31.5">
      <c r="A26" s="714">
        <v>106340</v>
      </c>
      <c r="B26" s="1316" t="s">
        <v>942</v>
      </c>
      <c r="C26" s="706">
        <v>500</v>
      </c>
      <c r="D26" s="1415">
        <v>0</v>
      </c>
      <c r="E26" s="707">
        <v>45</v>
      </c>
      <c r="F26" s="708" t="s">
        <v>955</v>
      </c>
      <c r="I26" s="1021"/>
      <c r="J26" s="1021"/>
      <c r="K26" s="1414"/>
      <c r="L26" s="1414"/>
      <c r="M26" s="1414"/>
      <c r="N26" s="1414"/>
      <c r="O26" s="1414"/>
      <c r="P26" s="1414"/>
    </row>
    <row r="27" spans="1:16" ht="16.5" thickBot="1">
      <c r="A27" s="715">
        <v>106525</v>
      </c>
      <c r="B27" s="709" t="s">
        <v>972</v>
      </c>
      <c r="C27" s="710">
        <v>1000</v>
      </c>
      <c r="D27" s="711">
        <f>ROUNDUP(((C22*1.1)/C27),0)</f>
        <v>0</v>
      </c>
      <c r="E27" s="712">
        <v>83.3</v>
      </c>
      <c r="F27" s="713"/>
      <c r="I27" s="1021"/>
      <c r="J27" s="1021"/>
      <c r="K27" s="1414"/>
      <c r="L27" s="1414"/>
      <c r="M27" s="1414"/>
      <c r="N27" s="1414"/>
      <c r="O27" s="1414"/>
      <c r="P27" s="1414"/>
    </row>
    <row r="28" spans="1:16" ht="16.5" thickBot="1">
      <c r="B28" s="486"/>
      <c r="C28" s="584"/>
      <c r="D28" s="584"/>
      <c r="E28" s="597"/>
      <c r="F28" s="583"/>
      <c r="I28" s="1021"/>
      <c r="J28" s="1021"/>
      <c r="K28" s="1414"/>
      <c r="L28" s="1414"/>
      <c r="M28" s="1414"/>
      <c r="N28" s="1414"/>
      <c r="O28" s="1414"/>
      <c r="P28" s="1414"/>
    </row>
    <row r="29" spans="1:16">
      <c r="B29" s="918" t="s">
        <v>506</v>
      </c>
      <c r="C29" s="916" t="s">
        <v>931</v>
      </c>
      <c r="D29" s="598"/>
      <c r="E29" s="583"/>
      <c r="I29" s="1021"/>
      <c r="J29" s="1021"/>
      <c r="K29" s="1414"/>
      <c r="L29" s="1414"/>
      <c r="M29" s="1414"/>
      <c r="N29" s="1414"/>
      <c r="O29" s="1414"/>
      <c r="P29" s="1414"/>
    </row>
    <row r="30" spans="1:16" ht="16.5" thickBot="1">
      <c r="B30" s="580" t="s">
        <v>826</v>
      </c>
      <c r="C30" s="581">
        <f>SUMPRODUCT(D25:D27,E25:E27)</f>
        <v>0</v>
      </c>
      <c r="D30" s="598"/>
      <c r="E30" s="583"/>
      <c r="I30" s="1021"/>
      <c r="J30" s="1021"/>
      <c r="K30" s="1414"/>
      <c r="L30" s="1414"/>
      <c r="M30" s="1414"/>
      <c r="N30" s="1414"/>
      <c r="O30" s="1414"/>
      <c r="P30" s="1414"/>
    </row>
    <row r="31" spans="1:16">
      <c r="I31" s="1021"/>
      <c r="J31" s="1021"/>
      <c r="K31" s="1414"/>
      <c r="L31" s="1414"/>
      <c r="M31" s="1414"/>
      <c r="N31" s="1414"/>
      <c r="O31" s="1414"/>
      <c r="P31" s="1414"/>
    </row>
    <row r="32" spans="1:16">
      <c r="A32" s="1021"/>
      <c r="B32" s="1021"/>
      <c r="C32" s="1021"/>
      <c r="D32" s="1021"/>
      <c r="E32" s="1021"/>
      <c r="F32" s="1021"/>
      <c r="G32" s="1021"/>
      <c r="H32" s="1021"/>
      <c r="I32" s="1021"/>
      <c r="J32" s="1021"/>
      <c r="K32" s="1414"/>
      <c r="L32" s="1414"/>
      <c r="M32" s="1414"/>
      <c r="N32" s="1414"/>
      <c r="O32" s="1414"/>
      <c r="P32" s="1414"/>
    </row>
    <row r="33" spans="1:16">
      <c r="A33" s="1021"/>
      <c r="B33" s="1021"/>
      <c r="C33" s="1021"/>
      <c r="D33" s="1021"/>
      <c r="E33" s="1021"/>
      <c r="F33" s="1021"/>
      <c r="G33" s="1021"/>
      <c r="H33" s="1021"/>
      <c r="I33" s="1021"/>
      <c r="J33" s="1021"/>
      <c r="K33" s="1414"/>
      <c r="L33" s="1414"/>
      <c r="M33" s="1414"/>
      <c r="N33" s="1414"/>
      <c r="O33" s="1414"/>
      <c r="P33" s="1414"/>
    </row>
    <row r="34" spans="1:16">
      <c r="A34" s="1021"/>
      <c r="B34" s="1021"/>
      <c r="C34" s="1021"/>
      <c r="D34" s="1021"/>
      <c r="E34" s="1021"/>
      <c r="F34" s="1021"/>
      <c r="G34" s="1021"/>
      <c r="H34" s="1021"/>
      <c r="I34" s="1021"/>
      <c r="J34" s="1021"/>
      <c r="K34" s="1414"/>
      <c r="L34" s="1414"/>
      <c r="M34" s="1414"/>
      <c r="N34" s="1414"/>
      <c r="O34" s="1414"/>
      <c r="P34" s="1414"/>
    </row>
  </sheetData>
  <sheetProtection algorithmName="SHA-512" hashValue="iqjZvR/d2sGyDqUDPalE8k7AXWRAJ4PPOBkU30UIn+T1cuKyxYmHIChEkXl9wfm2+FvJLVHcMiDjnvQBs/UDaQ==" saltValue="QONl97i5Nogym2J1R0o+Eg==" spinCount="100000" sheet="1" selectLockedCells="1"/>
  <mergeCells count="6">
    <mergeCell ref="A1:H1"/>
    <mergeCell ref="B2:H2"/>
    <mergeCell ref="B17:C17"/>
    <mergeCell ref="E5:G5"/>
    <mergeCell ref="B5:C5"/>
    <mergeCell ref="E12:F12"/>
  </mergeCells>
  <pageMargins left="0.75" right="0.75" top="1" bottom="1" header="0.5" footer="0.5"/>
  <pageSetup paperSize="9" orientation="portrait" horizontalDpi="4294967292" verticalDpi="4294967292"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3"/>
  <dimension ref="A1:Y61"/>
  <sheetViews>
    <sheetView showGridLines="0" zoomScaleNormal="100" zoomScalePageLayoutView="75" workbookViewId="0">
      <selection activeCell="C5" sqref="C5"/>
    </sheetView>
  </sheetViews>
  <sheetFormatPr defaultColWidth="0" defaultRowHeight="15.75" zeroHeight="1"/>
  <cols>
    <col min="1" max="1" width="19" style="491" bestFit="1" customWidth="1"/>
    <col min="2" max="2" width="65.5" style="491" customWidth="1"/>
    <col min="3" max="3" width="32.1640625" style="491" bestFit="1" customWidth="1"/>
    <col min="4" max="4" width="21.5" style="491" bestFit="1" customWidth="1"/>
    <col min="5" max="5" width="17.5" style="491" bestFit="1" customWidth="1"/>
    <col min="6" max="6" width="16.1640625" style="491" customWidth="1"/>
    <col min="7" max="7" width="60.1640625" style="490" bestFit="1" customWidth="1"/>
    <col min="8" max="8" width="48.1640625" style="491" customWidth="1"/>
    <col min="9" max="19" width="11.1640625" style="491" customWidth="1"/>
    <col min="20" max="16384" width="11.1640625" style="491" hidden="1"/>
  </cols>
  <sheetData>
    <row r="1" spans="1:25" ht="44.1" customHeight="1">
      <c r="A1" s="1728" t="s">
        <v>1311</v>
      </c>
      <c r="B1" s="1728"/>
      <c r="C1" s="1728"/>
      <c r="D1" s="1728"/>
      <c r="E1" s="1728"/>
      <c r="F1" s="1728"/>
      <c r="G1" s="1728"/>
      <c r="H1" s="1728"/>
      <c r="I1" s="1728"/>
      <c r="J1" s="1728"/>
      <c r="K1" s="1728"/>
      <c r="L1" s="1414"/>
      <c r="M1" s="1414"/>
      <c r="N1" s="1414"/>
      <c r="O1" s="1414"/>
      <c r="P1" s="1414"/>
      <c r="Q1" s="1414"/>
      <c r="R1" s="1414"/>
      <c r="S1" s="1414"/>
    </row>
    <row r="2" spans="1:25" ht="44.1" customHeight="1">
      <c r="A2" s="539"/>
      <c r="B2" s="1746" t="s">
        <v>939</v>
      </c>
      <c r="C2" s="1746"/>
      <c r="D2" s="1746"/>
      <c r="E2" s="1746"/>
      <c r="F2" s="1746"/>
      <c r="G2" s="1746"/>
      <c r="H2" s="1746"/>
      <c r="I2" s="1746"/>
      <c r="J2" s="1021"/>
      <c r="K2" s="1021"/>
      <c r="L2" s="1414"/>
      <c r="M2" s="1414"/>
      <c r="N2" s="1414"/>
      <c r="O2" s="1414"/>
      <c r="P2" s="1414"/>
      <c r="Q2" s="1414"/>
      <c r="R2" s="1414"/>
      <c r="S2" s="1414"/>
    </row>
    <row r="3" spans="1:25" ht="21.95" customHeight="1">
      <c r="A3" s="539"/>
      <c r="B3" s="718"/>
      <c r="C3" s="719"/>
      <c r="D3" s="720"/>
      <c r="E3" s="720"/>
      <c r="F3" s="720"/>
      <c r="G3" s="720"/>
      <c r="H3" s="540"/>
      <c r="J3" s="1021"/>
      <c r="K3" s="1021"/>
      <c r="L3" s="1414"/>
      <c r="M3" s="1414"/>
      <c r="N3" s="1414"/>
      <c r="O3" s="1414"/>
      <c r="P3" s="1414"/>
      <c r="Q3" s="1414"/>
      <c r="R3" s="1414"/>
      <c r="S3" s="1414"/>
    </row>
    <row r="4" spans="1:25" ht="90.95" customHeight="1">
      <c r="A4" s="539"/>
      <c r="B4" s="1721" t="s">
        <v>847</v>
      </c>
      <c r="C4" s="1722"/>
      <c r="D4" s="584"/>
      <c r="E4" s="1743"/>
      <c r="F4" s="1744"/>
      <c r="G4" s="1745"/>
      <c r="H4" s="893"/>
      <c r="J4" s="1021"/>
      <c r="K4" s="1021"/>
      <c r="L4" s="1414"/>
      <c r="M4" s="1414"/>
      <c r="N4" s="1414"/>
      <c r="O4" s="1414"/>
      <c r="P4" s="1414"/>
      <c r="Q4" s="1414"/>
      <c r="R4" s="1414"/>
      <c r="S4" s="1414"/>
    </row>
    <row r="5" spans="1:25" ht="33.950000000000003" customHeight="1">
      <c r="A5" s="539"/>
      <c r="B5" s="1329" t="s">
        <v>1312</v>
      </c>
      <c r="C5" s="1400">
        <v>0</v>
      </c>
      <c r="D5" s="1747" t="s">
        <v>958</v>
      </c>
      <c r="E5" s="1748"/>
      <c r="F5" s="1748"/>
      <c r="G5" s="1748"/>
      <c r="H5" s="893"/>
      <c r="J5" s="1021"/>
      <c r="K5" s="1021"/>
      <c r="L5" s="1414"/>
      <c r="M5" s="1414"/>
      <c r="N5" s="1414"/>
      <c r="O5" s="1414"/>
      <c r="P5" s="1414"/>
      <c r="Q5" s="1414"/>
      <c r="R5" s="1414"/>
      <c r="S5" s="1414"/>
    </row>
    <row r="6" spans="1:25" ht="35.1" customHeight="1">
      <c r="A6" s="539"/>
      <c r="B6" s="1310" t="s">
        <v>956</v>
      </c>
      <c r="C6" s="1418">
        <f>'Processing&amp;solid-liquid culture'!F21*'Processing&amp;solid-liquid culture'!F19</f>
        <v>0</v>
      </c>
      <c r="D6" s="585"/>
      <c r="E6" s="894"/>
      <c r="F6" s="895"/>
      <c r="G6" s="896"/>
      <c r="H6" s="893"/>
      <c r="J6" s="1021"/>
      <c r="K6" s="1021"/>
      <c r="L6" s="1414"/>
      <c r="M6" s="1414"/>
      <c r="N6" s="1414"/>
      <c r="O6" s="1414"/>
      <c r="P6" s="1414"/>
      <c r="Q6" s="1414"/>
      <c r="R6" s="1414"/>
      <c r="S6" s="1414"/>
    </row>
    <row r="7" spans="1:25" ht="35.1" customHeight="1">
      <c r="A7" s="539"/>
      <c r="B7" s="1291" t="s">
        <v>890</v>
      </c>
      <c r="C7" s="1402">
        <v>0</v>
      </c>
      <c r="D7" s="585"/>
      <c r="E7" s="894"/>
      <c r="F7" s="895"/>
      <c r="G7" s="896"/>
      <c r="H7" s="893"/>
      <c r="J7" s="1021"/>
      <c r="K7" s="1021"/>
      <c r="L7" s="1414"/>
      <c r="M7" s="1414"/>
      <c r="N7" s="1414"/>
      <c r="O7" s="1414"/>
      <c r="P7" s="1414"/>
      <c r="Q7" s="1414"/>
      <c r="R7" s="1414"/>
      <c r="S7" s="1414"/>
    </row>
    <row r="8" spans="1:25" ht="56.1" customHeight="1">
      <c r="A8" s="539"/>
      <c r="B8" s="691" t="s">
        <v>1313</v>
      </c>
      <c r="C8" s="692">
        <f>SUM(C5:C6)</f>
        <v>0</v>
      </c>
      <c r="D8" s="586"/>
      <c r="E8" s="897"/>
      <c r="F8" s="898"/>
      <c r="G8" s="899"/>
      <c r="H8" s="893"/>
      <c r="J8" s="1021"/>
      <c r="K8" s="1021"/>
      <c r="L8" s="1414"/>
      <c r="M8" s="1414"/>
      <c r="N8" s="1414"/>
      <c r="O8" s="1414"/>
      <c r="P8" s="1414"/>
      <c r="Q8" s="1414"/>
      <c r="R8" s="1414"/>
      <c r="S8" s="1414"/>
    </row>
    <row r="9" spans="1:25">
      <c r="A9" s="539"/>
      <c r="B9" s="691" t="s">
        <v>1423</v>
      </c>
      <c r="C9" s="1676">
        <f>SUM(C5:C6)-C7</f>
        <v>0</v>
      </c>
      <c r="D9" s="492"/>
      <c r="E9" s="900"/>
      <c r="F9" s="900"/>
      <c r="G9" s="900"/>
      <c r="H9" s="893"/>
      <c r="J9" s="1021"/>
      <c r="K9" s="1021"/>
      <c r="L9" s="1414"/>
      <c r="M9" s="1414"/>
      <c r="N9" s="1414"/>
      <c r="O9" s="1414"/>
      <c r="P9" s="1414"/>
      <c r="Q9" s="1414"/>
      <c r="R9" s="1414"/>
      <c r="S9" s="1414"/>
    </row>
    <row r="10" spans="1:25">
      <c r="A10" s="539"/>
      <c r="B10" s="487"/>
      <c r="C10" s="540"/>
      <c r="D10" s="492"/>
      <c r="E10" s="492"/>
      <c r="F10" s="492"/>
      <c r="G10" s="492"/>
      <c r="H10" s="540"/>
      <c r="J10" s="1021"/>
      <c r="K10" s="1021"/>
      <c r="L10" s="1414"/>
      <c r="M10" s="1414"/>
      <c r="N10" s="1414"/>
      <c r="O10" s="1414"/>
      <c r="P10" s="1414"/>
      <c r="Q10" s="1414"/>
      <c r="R10" s="1414"/>
      <c r="S10" s="1414"/>
    </row>
    <row r="11" spans="1:25">
      <c r="A11" s="539"/>
      <c r="B11" s="487"/>
      <c r="C11" s="540"/>
      <c r="D11" s="492"/>
      <c r="E11" s="492"/>
      <c r="F11" s="492"/>
      <c r="G11" s="492"/>
      <c r="H11" s="540"/>
      <c r="J11" s="1021"/>
      <c r="K11" s="1021"/>
      <c r="L11" s="1414"/>
      <c r="M11" s="1414"/>
      <c r="N11" s="1414"/>
      <c r="O11" s="1414"/>
      <c r="P11" s="1414"/>
      <c r="Q11" s="1414"/>
      <c r="R11" s="1414"/>
      <c r="S11" s="1414"/>
    </row>
    <row r="12" spans="1:25" ht="30.95" customHeight="1">
      <c r="A12" s="539"/>
      <c r="B12" s="903" t="s">
        <v>810</v>
      </c>
      <c r="C12" s="1417" t="s">
        <v>657</v>
      </c>
      <c r="D12" s="914" t="s">
        <v>0</v>
      </c>
      <c r="E12" s="492"/>
      <c r="F12" s="492"/>
      <c r="G12" s="492"/>
      <c r="H12" s="540"/>
      <c r="J12" s="1021"/>
      <c r="K12" s="1021"/>
      <c r="L12" s="1414"/>
      <c r="M12" s="1414"/>
      <c r="N12" s="1414"/>
      <c r="O12" s="1414"/>
      <c r="P12" s="1414"/>
      <c r="Q12" s="1414"/>
      <c r="R12" s="1414"/>
      <c r="S12" s="1414"/>
    </row>
    <row r="13" spans="1:25">
      <c r="A13" s="539"/>
      <c r="B13" s="487"/>
      <c r="C13" s="540"/>
      <c r="D13" s="492"/>
      <c r="E13" s="492"/>
      <c r="F13" s="492"/>
      <c r="G13" s="492"/>
      <c r="H13" s="540"/>
      <c r="J13" s="1021"/>
      <c r="K13" s="1021"/>
      <c r="L13" s="1414"/>
      <c r="M13" s="1414"/>
      <c r="N13" s="1414"/>
      <c r="O13" s="1414"/>
      <c r="P13" s="1414"/>
      <c r="Q13" s="1414"/>
      <c r="R13" s="1414"/>
      <c r="S13" s="1414"/>
    </row>
    <row r="14" spans="1:25">
      <c r="A14" s="539"/>
      <c r="B14" s="487"/>
      <c r="C14" s="492"/>
      <c r="D14" s="492"/>
      <c r="E14" s="492"/>
      <c r="F14" s="492"/>
      <c r="G14" s="492"/>
      <c r="H14" s="540"/>
      <c r="J14" s="1021"/>
      <c r="K14" s="1021"/>
      <c r="L14" s="1414"/>
      <c r="M14" s="1414"/>
      <c r="N14" s="1414"/>
      <c r="O14" s="1414"/>
      <c r="P14" s="1414"/>
      <c r="Q14" s="1414"/>
      <c r="R14" s="1414"/>
      <c r="S14" s="1414"/>
    </row>
    <row r="15" spans="1:25">
      <c r="A15" s="539"/>
      <c r="B15" s="487"/>
      <c r="C15" s="540"/>
      <c r="E15" s="492"/>
      <c r="F15" s="492"/>
      <c r="G15" s="492"/>
      <c r="H15" s="540"/>
      <c r="J15" s="1021"/>
      <c r="K15" s="1021"/>
      <c r="L15" s="1414"/>
      <c r="M15" s="1414"/>
      <c r="N15" s="1414"/>
      <c r="O15" s="1414"/>
      <c r="P15" s="1414"/>
      <c r="Q15" s="1414"/>
      <c r="R15" s="1414"/>
      <c r="S15" s="1414"/>
      <c r="W15" s="573" t="s">
        <v>657</v>
      </c>
      <c r="X15" s="573" t="s">
        <v>813</v>
      </c>
      <c r="Y15" s="573"/>
    </row>
    <row r="16" spans="1:25" s="1025" customFormat="1">
      <c r="A16" s="904"/>
      <c r="B16" s="905"/>
      <c r="C16" s="906"/>
      <c r="D16" s="907"/>
      <c r="E16" s="907"/>
      <c r="F16" s="907"/>
      <c r="G16" s="907"/>
      <c r="H16" s="906"/>
      <c r="I16" s="696"/>
      <c r="J16" s="1021"/>
      <c r="K16" s="1021"/>
      <c r="L16" s="1419"/>
      <c r="M16" s="1419"/>
      <c r="N16" s="1419"/>
      <c r="O16" s="1419"/>
      <c r="P16" s="1419"/>
      <c r="Q16" s="1419"/>
      <c r="R16" s="1419"/>
      <c r="S16" s="1419"/>
    </row>
    <row r="17" spans="1:19" s="1025" customFormat="1">
      <c r="A17" s="904"/>
      <c r="B17" s="905"/>
      <c r="C17" s="906"/>
      <c r="D17" s="907"/>
      <c r="E17" s="907"/>
      <c r="F17" s="907"/>
      <c r="G17" s="907"/>
      <c r="H17" s="906"/>
      <c r="I17" s="696"/>
      <c r="J17" s="1021"/>
      <c r="K17" s="1021"/>
      <c r="L17" s="1419"/>
      <c r="M17" s="1419"/>
      <c r="N17" s="1419"/>
      <c r="O17" s="1419"/>
      <c r="P17" s="1419"/>
      <c r="Q17" s="1419"/>
      <c r="R17" s="1419"/>
      <c r="S17" s="1419"/>
    </row>
    <row r="18" spans="1:19">
      <c r="A18" s="1026"/>
      <c r="B18" s="1026"/>
      <c r="C18" s="1026"/>
      <c r="D18" s="1027"/>
      <c r="E18" s="1026"/>
      <c r="F18" s="1028"/>
      <c r="G18" s="1029"/>
      <c r="H18" s="696"/>
      <c r="I18" s="696"/>
      <c r="J18" s="1021"/>
      <c r="K18" s="1021"/>
      <c r="L18" s="1414"/>
      <c r="M18" s="1414"/>
      <c r="N18" s="1414"/>
      <c r="O18" s="1414"/>
      <c r="P18" s="1414"/>
      <c r="Q18" s="1414"/>
      <c r="R18" s="1414"/>
      <c r="S18" s="1414"/>
    </row>
    <row r="19" spans="1:19">
      <c r="A19" s="507"/>
      <c r="B19" s="490"/>
      <c r="C19" s="495"/>
      <c r="D19" s="494"/>
      <c r="E19" s="495"/>
      <c r="F19" s="509"/>
      <c r="H19" s="490"/>
      <c r="I19" s="490"/>
      <c r="J19" s="1022"/>
      <c r="K19" s="1021"/>
      <c r="L19" s="1414"/>
      <c r="M19" s="1414"/>
      <c r="N19" s="1414"/>
      <c r="O19" s="1414"/>
      <c r="P19" s="1414"/>
      <c r="Q19" s="1414"/>
      <c r="R19" s="1414"/>
      <c r="S19" s="1414"/>
    </row>
    <row r="20" spans="1:19">
      <c r="A20" s="507"/>
      <c r="B20" s="495"/>
      <c r="C20" s="495"/>
      <c r="D20" s="494"/>
      <c r="E20" s="495"/>
      <c r="F20" s="509"/>
      <c r="H20" s="490"/>
      <c r="I20" s="490"/>
      <c r="J20" s="1022"/>
      <c r="K20" s="1021"/>
      <c r="L20" s="1414"/>
      <c r="M20" s="1414"/>
      <c r="N20" s="1414"/>
      <c r="O20" s="1414"/>
      <c r="P20" s="1414"/>
      <c r="Q20" s="1414"/>
      <c r="R20" s="1414"/>
      <c r="S20" s="1414"/>
    </row>
    <row r="21" spans="1:19">
      <c r="A21" s="496" t="s">
        <v>614</v>
      </c>
      <c r="B21" s="541" t="s">
        <v>636</v>
      </c>
      <c r="C21" s="498" t="s">
        <v>645</v>
      </c>
      <c r="D21" s="498" t="s">
        <v>644</v>
      </c>
      <c r="E21" s="542" t="s">
        <v>722</v>
      </c>
      <c r="F21" s="498" t="s">
        <v>944</v>
      </c>
      <c r="G21" s="499" t="s">
        <v>433</v>
      </c>
      <c r="H21" s="1020" t="s">
        <v>79</v>
      </c>
      <c r="J21" s="1021"/>
      <c r="K21" s="1021"/>
      <c r="L21" s="1414"/>
      <c r="M21" s="1414"/>
      <c r="N21" s="1414"/>
      <c r="O21" s="1414"/>
      <c r="P21" s="1414"/>
      <c r="Q21" s="1414"/>
      <c r="R21" s="1414"/>
      <c r="S21" s="1414"/>
    </row>
    <row r="22" spans="1:19" ht="204.75">
      <c r="A22" s="480">
        <v>106522</v>
      </c>
      <c r="B22" s="1333" t="s">
        <v>1314</v>
      </c>
      <c r="C22" s="502" t="s">
        <v>655</v>
      </c>
      <c r="D22" s="502">
        <v>1000</v>
      </c>
      <c r="E22" s="543">
        <f>D22*1/1000</f>
        <v>1</v>
      </c>
      <c r="F22" s="502">
        <f>IF(W15=C12,ROUNDUP((E22/D22)*C9,0),0)</f>
        <v>0</v>
      </c>
      <c r="G22" s="502">
        <v>268</v>
      </c>
      <c r="H22" s="503" t="s">
        <v>656</v>
      </c>
      <c r="J22" s="1021"/>
      <c r="K22" s="1021"/>
      <c r="L22" s="1414"/>
      <c r="M22" s="1414"/>
      <c r="N22" s="1414"/>
      <c r="O22" s="1414"/>
      <c r="P22" s="1414"/>
      <c r="Q22" s="1414"/>
      <c r="R22" s="1414"/>
      <c r="S22" s="1414"/>
    </row>
    <row r="23" spans="1:19">
      <c r="A23" s="507"/>
      <c r="B23" s="495"/>
      <c r="C23" s="495"/>
      <c r="D23" s="494"/>
      <c r="E23" s="495"/>
      <c r="F23" s="509"/>
      <c r="H23" s="493"/>
      <c r="J23" s="1021"/>
      <c r="K23" s="1021"/>
      <c r="L23" s="1414"/>
      <c r="M23" s="1414"/>
      <c r="N23" s="1414"/>
      <c r="O23" s="1414"/>
      <c r="P23" s="1414"/>
      <c r="Q23" s="1414"/>
      <c r="R23" s="1414"/>
      <c r="S23" s="1414"/>
    </row>
    <row r="24" spans="1:19">
      <c r="A24" s="507"/>
      <c r="B24" s="495"/>
      <c r="C24" s="495"/>
      <c r="D24" s="494"/>
      <c r="E24" s="495"/>
      <c r="F24" s="509"/>
      <c r="H24" s="493"/>
      <c r="J24" s="1021"/>
      <c r="K24" s="1021"/>
      <c r="L24" s="1414"/>
      <c r="M24" s="1414"/>
      <c r="N24" s="1414"/>
      <c r="O24" s="1414"/>
      <c r="P24" s="1414"/>
      <c r="Q24" s="1414"/>
      <c r="R24" s="1414"/>
      <c r="S24" s="1414"/>
    </row>
    <row r="25" spans="1:19">
      <c r="A25" s="507"/>
      <c r="B25" s="915" t="s">
        <v>506</v>
      </c>
      <c r="C25" s="915" t="s">
        <v>931</v>
      </c>
      <c r="D25" s="495"/>
      <c r="E25" s="509"/>
      <c r="F25" s="490"/>
      <c r="H25" s="493"/>
      <c r="J25" s="1021"/>
      <c r="K25" s="1021"/>
      <c r="L25" s="1414"/>
      <c r="M25" s="1414"/>
      <c r="N25" s="1414"/>
      <c r="O25" s="1414"/>
      <c r="P25" s="1414"/>
      <c r="Q25" s="1414"/>
      <c r="R25" s="1414"/>
      <c r="S25" s="1414"/>
    </row>
    <row r="26" spans="1:19">
      <c r="A26" s="507"/>
      <c r="B26" s="544" t="s">
        <v>618</v>
      </c>
      <c r="C26" s="545">
        <f>F22*G22</f>
        <v>0</v>
      </c>
      <c r="D26" s="495"/>
      <c r="E26" s="509"/>
      <c r="F26" s="490"/>
      <c r="H26" s="493"/>
      <c r="J26" s="1021"/>
      <c r="K26" s="1021"/>
      <c r="L26" s="1414"/>
      <c r="M26" s="1414"/>
      <c r="N26" s="1414"/>
      <c r="O26" s="1414"/>
      <c r="P26" s="1414"/>
      <c r="Q26" s="1414"/>
      <c r="R26" s="1414"/>
      <c r="S26" s="1414"/>
    </row>
    <row r="27" spans="1:19" ht="16.5" thickBot="1">
      <c r="A27" s="546"/>
      <c r="B27" s="506" t="s">
        <v>569</v>
      </c>
      <c r="C27" s="1421" t="str">
        <f>IF(C8=0,"-",C26/C8)</f>
        <v>-</v>
      </c>
      <c r="D27" s="547"/>
      <c r="E27" s="548"/>
      <c r="F27" s="549"/>
      <c r="G27" s="534"/>
      <c r="H27" s="535"/>
      <c r="J27" s="1021"/>
      <c r="K27" s="1021"/>
      <c r="L27" s="1414"/>
      <c r="M27" s="1414"/>
      <c r="N27" s="1414"/>
      <c r="O27" s="1414"/>
      <c r="P27" s="1414"/>
      <c r="Q27" s="1414"/>
      <c r="R27" s="1414"/>
      <c r="S27" s="1414"/>
    </row>
    <row r="28" spans="1:19">
      <c r="A28" s="495"/>
      <c r="B28" s="495"/>
      <c r="C28" s="495"/>
      <c r="D28" s="494"/>
      <c r="E28" s="495"/>
      <c r="F28" s="509"/>
      <c r="H28" s="493"/>
      <c r="J28" s="1021"/>
      <c r="K28" s="1021"/>
      <c r="L28" s="1414"/>
      <c r="M28" s="1414"/>
      <c r="N28" s="1414"/>
      <c r="O28" s="1414"/>
      <c r="P28" s="1414"/>
      <c r="Q28" s="1414"/>
      <c r="R28" s="1414"/>
      <c r="S28" s="1414"/>
    </row>
    <row r="29" spans="1:19">
      <c r="A29" s="495"/>
      <c r="B29" s="495"/>
      <c r="C29" s="495"/>
      <c r="D29" s="494"/>
      <c r="E29" s="495"/>
      <c r="F29" s="509"/>
      <c r="H29" s="493"/>
      <c r="J29" s="1021"/>
      <c r="K29" s="1021"/>
      <c r="L29" s="1414"/>
      <c r="M29" s="1414"/>
      <c r="N29" s="1414"/>
      <c r="O29" s="1414"/>
      <c r="P29" s="1414"/>
      <c r="Q29" s="1414"/>
      <c r="R29" s="1414"/>
      <c r="S29" s="1414"/>
    </row>
    <row r="30" spans="1:19">
      <c r="A30" s="507"/>
      <c r="B30" s="495"/>
      <c r="C30" s="495"/>
      <c r="D30" s="489"/>
      <c r="E30" s="495"/>
      <c r="F30" s="509"/>
      <c r="H30" s="493"/>
      <c r="J30" s="1021"/>
      <c r="K30" s="1021"/>
      <c r="L30" s="1414"/>
      <c r="M30" s="1414"/>
      <c r="N30" s="1414"/>
      <c r="O30" s="1414"/>
      <c r="P30" s="1414"/>
      <c r="Q30" s="1414"/>
      <c r="R30" s="1414"/>
      <c r="S30" s="1414"/>
    </row>
    <row r="31" spans="1:19" ht="31.5">
      <c r="A31" s="496" t="s">
        <v>614</v>
      </c>
      <c r="B31" s="550" t="s">
        <v>923</v>
      </c>
      <c r="C31" s="497" t="s">
        <v>946</v>
      </c>
      <c r="D31" s="497" t="s">
        <v>945</v>
      </c>
      <c r="E31" s="511" t="s">
        <v>433</v>
      </c>
      <c r="F31" s="541" t="s">
        <v>570</v>
      </c>
      <c r="G31" s="541" t="s">
        <v>79</v>
      </c>
      <c r="H31" s="493"/>
      <c r="J31" s="1021"/>
      <c r="K31" s="1021"/>
      <c r="L31" s="1414"/>
      <c r="M31" s="1414"/>
      <c r="N31" s="1414"/>
      <c r="O31" s="1414"/>
      <c r="P31" s="1414"/>
      <c r="Q31" s="1414"/>
      <c r="R31" s="1414"/>
      <c r="S31" s="1414"/>
    </row>
    <row r="32" spans="1:19">
      <c r="A32" s="512">
        <v>106601</v>
      </c>
      <c r="B32" s="513" t="s">
        <v>959</v>
      </c>
      <c r="C32" s="551">
        <v>100</v>
      </c>
      <c r="D32" s="901">
        <f>IF(X15=C12,ROUNDUP((C9*0.003)/C32,0),0)</f>
        <v>0</v>
      </c>
      <c r="E32" s="515">
        <v>154.25</v>
      </c>
      <c r="F32" s="516">
        <f t="shared" ref="F32:F37" si="0">D32*E32</f>
        <v>0</v>
      </c>
      <c r="G32" s="552" t="s">
        <v>965</v>
      </c>
      <c r="H32" s="493"/>
      <c r="J32" s="1021"/>
      <c r="K32" s="1021"/>
      <c r="L32" s="1414"/>
      <c r="M32" s="1414"/>
      <c r="N32" s="1414"/>
      <c r="O32" s="1414"/>
      <c r="P32" s="1414"/>
      <c r="Q32" s="1414"/>
      <c r="R32" s="1414"/>
      <c r="S32" s="1414"/>
    </row>
    <row r="33" spans="1:19">
      <c r="A33" s="512">
        <v>106602</v>
      </c>
      <c r="B33" s="513" t="s">
        <v>960</v>
      </c>
      <c r="C33" s="551">
        <v>100</v>
      </c>
      <c r="D33" s="901">
        <f>IF(X15=C12,ROUNDUP((C9*0.02)/C33,0),0)</f>
        <v>0</v>
      </c>
      <c r="E33" s="515">
        <v>161.5</v>
      </c>
      <c r="F33" s="516">
        <f t="shared" si="0"/>
        <v>0</v>
      </c>
      <c r="G33" s="552" t="s">
        <v>1316</v>
      </c>
      <c r="H33" s="493"/>
      <c r="J33" s="1021"/>
      <c r="K33" s="1021"/>
      <c r="L33" s="1414"/>
      <c r="M33" s="1414"/>
      <c r="N33" s="1414"/>
      <c r="O33" s="1414"/>
      <c r="P33" s="1414"/>
      <c r="Q33" s="1414"/>
      <c r="R33" s="1414"/>
      <c r="S33" s="1414"/>
    </row>
    <row r="34" spans="1:19">
      <c r="A34" s="518">
        <v>106599</v>
      </c>
      <c r="B34" s="513" t="s">
        <v>1315</v>
      </c>
      <c r="C34" s="551">
        <v>500</v>
      </c>
      <c r="D34" s="901">
        <f>IF(X15=C12,ROUNDUP((C9*0.03)/C34,0),0)</f>
        <v>0</v>
      </c>
      <c r="E34" s="515">
        <v>96.05</v>
      </c>
      <c r="F34" s="516">
        <f t="shared" si="0"/>
        <v>0</v>
      </c>
      <c r="G34" s="552" t="s">
        <v>571</v>
      </c>
      <c r="H34" s="493"/>
      <c r="J34" s="1021"/>
      <c r="K34" s="1021"/>
      <c r="L34" s="1414"/>
      <c r="M34" s="1414"/>
      <c r="N34" s="1414"/>
      <c r="O34" s="1414"/>
      <c r="P34" s="1414"/>
      <c r="Q34" s="1414"/>
      <c r="R34" s="1414"/>
      <c r="S34" s="1414"/>
    </row>
    <row r="35" spans="1:19">
      <c r="A35" s="518">
        <v>106597</v>
      </c>
      <c r="B35" s="513" t="s">
        <v>961</v>
      </c>
      <c r="C35" s="551">
        <v>1000</v>
      </c>
      <c r="D35" s="901">
        <f>IF(X15=C12,ROUNDUP((C9*0.55)/C35,0),0)</f>
        <v>0</v>
      </c>
      <c r="E35" s="515">
        <v>8.35</v>
      </c>
      <c r="F35" s="516">
        <f t="shared" si="0"/>
        <v>0</v>
      </c>
      <c r="G35" s="552" t="s">
        <v>571</v>
      </c>
      <c r="H35" s="493"/>
      <c r="J35" s="1021"/>
      <c r="K35" s="1021"/>
      <c r="L35" s="1414"/>
      <c r="M35" s="1414"/>
      <c r="N35" s="1414"/>
      <c r="O35" s="1414"/>
      <c r="P35" s="1414"/>
      <c r="Q35" s="1414"/>
      <c r="R35" s="1414"/>
      <c r="S35" s="1414"/>
    </row>
    <row r="36" spans="1:19">
      <c r="A36" s="518">
        <v>106597</v>
      </c>
      <c r="B36" s="513" t="s">
        <v>962</v>
      </c>
      <c r="C36" s="551">
        <v>1000</v>
      </c>
      <c r="D36" s="901">
        <f>IF(X15=C12,ROUNDUP((C9*7.2)/C36,0),0)</f>
        <v>0</v>
      </c>
      <c r="E36" s="515">
        <v>8.35</v>
      </c>
      <c r="F36" s="516">
        <f t="shared" si="0"/>
        <v>0</v>
      </c>
      <c r="G36" s="552" t="s">
        <v>974</v>
      </c>
      <c r="H36" s="493"/>
      <c r="J36" s="1021"/>
      <c r="K36" s="1021"/>
      <c r="L36" s="1414"/>
      <c r="M36" s="1414"/>
      <c r="N36" s="1414"/>
      <c r="O36" s="1414"/>
      <c r="P36" s="1414"/>
      <c r="Q36" s="1414"/>
      <c r="R36" s="1414"/>
      <c r="S36" s="1414"/>
    </row>
    <row r="37" spans="1:19">
      <c r="A37" s="518">
        <v>106603</v>
      </c>
      <c r="B37" s="513" t="s">
        <v>963</v>
      </c>
      <c r="C37" s="551">
        <v>1000</v>
      </c>
      <c r="D37" s="901">
        <f>IF(X15=C12,ROUNDUP((C9*0.8)/C37,0),0)</f>
        <v>0</v>
      </c>
      <c r="E37" s="515">
        <v>18.100000000000001</v>
      </c>
      <c r="F37" s="516">
        <f t="shared" si="0"/>
        <v>0</v>
      </c>
      <c r="G37" s="552" t="s">
        <v>966</v>
      </c>
      <c r="H37" s="493"/>
      <c r="J37" s="1021"/>
      <c r="K37" s="1021"/>
      <c r="L37" s="1414"/>
      <c r="M37" s="1414"/>
      <c r="N37" s="1414"/>
      <c r="O37" s="1414"/>
      <c r="P37" s="1414"/>
      <c r="Q37" s="1414"/>
      <c r="R37" s="1414"/>
      <c r="S37" s="1414"/>
    </row>
    <row r="38" spans="1:19">
      <c r="A38" s="519"/>
      <c r="B38" s="553" t="s">
        <v>964</v>
      </c>
      <c r="C38" s="554"/>
      <c r="D38" s="555">
        <f>SUM(F32:F37)</f>
        <v>0</v>
      </c>
      <c r="E38" s="490"/>
      <c r="F38" s="520"/>
      <c r="H38" s="493"/>
      <c r="J38" s="1021"/>
      <c r="K38" s="1021"/>
      <c r="L38" s="1414"/>
      <c r="M38" s="1414"/>
      <c r="N38" s="1414"/>
      <c r="O38" s="1414"/>
      <c r="P38" s="1414"/>
      <c r="Q38" s="1414"/>
      <c r="R38" s="1414"/>
      <c r="S38" s="1414"/>
    </row>
    <row r="39" spans="1:19">
      <c r="A39" s="519"/>
      <c r="B39" s="556" t="s">
        <v>567</v>
      </c>
      <c r="C39" s="557"/>
      <c r="D39" s="1658" t="str">
        <f>IF(C9=0,"-",D38/C9)</f>
        <v>-</v>
      </c>
      <c r="E39" s="490"/>
      <c r="F39" s="490"/>
      <c r="H39" s="493"/>
      <c r="J39" s="1021"/>
      <c r="K39" s="1021"/>
      <c r="L39" s="1414"/>
      <c r="M39" s="1414"/>
      <c r="N39" s="1414"/>
      <c r="O39" s="1414"/>
      <c r="P39" s="1414"/>
      <c r="Q39" s="1414"/>
      <c r="R39" s="1414"/>
      <c r="S39" s="1414"/>
    </row>
    <row r="40" spans="1:19">
      <c r="A40" s="519"/>
      <c r="B40" s="490"/>
      <c r="C40" s="490"/>
      <c r="D40" s="490"/>
      <c r="E40" s="490"/>
      <c r="F40" s="490"/>
      <c r="H40" s="493"/>
      <c r="J40" s="1021"/>
      <c r="K40" s="1021"/>
      <c r="L40" s="1414"/>
      <c r="M40" s="1414"/>
      <c r="N40" s="1414"/>
      <c r="O40" s="1414"/>
      <c r="P40" s="1414"/>
      <c r="Q40" s="1414"/>
      <c r="R40" s="1414"/>
      <c r="S40" s="1414"/>
    </row>
    <row r="41" spans="1:19">
      <c r="A41" s="519"/>
      <c r="B41" s="490"/>
      <c r="C41" s="490"/>
      <c r="D41" s="490"/>
      <c r="E41" s="490"/>
      <c r="F41" s="490"/>
      <c r="H41" s="493"/>
      <c r="J41" s="1021"/>
      <c r="K41" s="1021"/>
      <c r="L41" s="1414"/>
      <c r="M41" s="1414"/>
      <c r="N41" s="1414"/>
      <c r="O41" s="1414"/>
      <c r="P41" s="1414"/>
      <c r="Q41" s="1414"/>
      <c r="R41" s="1414"/>
      <c r="S41" s="1414"/>
    </row>
    <row r="42" spans="1:19" ht="31.5">
      <c r="A42" s="496" t="s">
        <v>614</v>
      </c>
      <c r="B42" s="510" t="s">
        <v>923</v>
      </c>
      <c r="C42" s="497" t="s">
        <v>946</v>
      </c>
      <c r="D42" s="497" t="s">
        <v>945</v>
      </c>
      <c r="E42" s="511" t="s">
        <v>433</v>
      </c>
      <c r="F42" s="541" t="s">
        <v>570</v>
      </c>
      <c r="G42" s="541" t="s">
        <v>79</v>
      </c>
      <c r="H42" s="493"/>
      <c r="J42" s="1021"/>
      <c r="K42" s="1021"/>
      <c r="L42" s="1414"/>
      <c r="M42" s="1414"/>
      <c r="N42" s="1414"/>
      <c r="O42" s="1414"/>
      <c r="P42" s="1414"/>
      <c r="Q42" s="1414"/>
      <c r="R42" s="1414"/>
      <c r="S42" s="1414"/>
    </row>
    <row r="43" spans="1:19">
      <c r="A43" s="902">
        <v>106655</v>
      </c>
      <c r="B43" s="521" t="s">
        <v>975</v>
      </c>
      <c r="C43" s="522">
        <v>1000</v>
      </c>
      <c r="D43" s="523">
        <f>IF(X15=C12,ROUNDUP((C9*1.1)/C43,0),0)</f>
        <v>0</v>
      </c>
      <c r="E43" s="524">
        <v>2.5099999999999998</v>
      </c>
      <c r="F43" s="525">
        <f t="shared" ref="F43:F50" si="1">D43*E43</f>
        <v>0</v>
      </c>
      <c r="G43" s="514" t="s">
        <v>571</v>
      </c>
      <c r="H43" s="493"/>
      <c r="J43" s="1021"/>
      <c r="K43" s="1021"/>
      <c r="L43" s="1414"/>
      <c r="M43" s="1414"/>
      <c r="N43" s="1414"/>
      <c r="O43" s="1414"/>
      <c r="P43" s="1414"/>
      <c r="Q43" s="1414"/>
      <c r="R43" s="1414"/>
      <c r="S43" s="1414"/>
    </row>
    <row r="44" spans="1:19">
      <c r="A44" s="902">
        <v>106609</v>
      </c>
      <c r="B44" s="521" t="s">
        <v>967</v>
      </c>
      <c r="C44" s="522">
        <v>1000</v>
      </c>
      <c r="D44" s="523">
        <f>IF(X15=C12,ROUNDUP((C9*1.1)/C44,0),0)</f>
        <v>0</v>
      </c>
      <c r="E44" s="524">
        <v>10.4</v>
      </c>
      <c r="F44" s="525">
        <f t="shared" si="1"/>
        <v>0</v>
      </c>
      <c r="G44" s="514" t="s">
        <v>571</v>
      </c>
      <c r="H44" s="493"/>
      <c r="J44" s="1021"/>
      <c r="K44" s="1021"/>
      <c r="L44" s="1414"/>
      <c r="M44" s="1414"/>
      <c r="N44" s="1414"/>
      <c r="O44" s="1414"/>
      <c r="P44" s="1414"/>
      <c r="Q44" s="1414"/>
      <c r="R44" s="1414"/>
      <c r="S44" s="1414"/>
    </row>
    <row r="45" spans="1:19">
      <c r="A45" s="902">
        <v>106627</v>
      </c>
      <c r="B45" s="521" t="s">
        <v>968</v>
      </c>
      <c r="C45" s="522">
        <v>100</v>
      </c>
      <c r="D45" s="523">
        <f>IF(X15=C12,ROUNDUP((C9*0.11)/C45,0),0)</f>
        <v>0</v>
      </c>
      <c r="E45" s="524">
        <v>9.24</v>
      </c>
      <c r="F45" s="525">
        <f t="shared" si="1"/>
        <v>0</v>
      </c>
      <c r="G45" s="514" t="s">
        <v>571</v>
      </c>
      <c r="H45" s="493"/>
      <c r="J45" s="1021"/>
      <c r="K45" s="1021"/>
      <c r="L45" s="1414"/>
      <c r="M45" s="1414"/>
      <c r="N45" s="1414"/>
      <c r="O45" s="1414"/>
      <c r="P45" s="1414"/>
      <c r="Q45" s="1414"/>
      <c r="R45" s="1414"/>
      <c r="S45" s="1414"/>
    </row>
    <row r="46" spans="1:19">
      <c r="A46" s="902">
        <v>106656</v>
      </c>
      <c r="B46" s="521" t="s">
        <v>969</v>
      </c>
      <c r="C46" s="522">
        <v>150</v>
      </c>
      <c r="D46" s="523">
        <f>IF(X15=C12,ROUNDUP((C9*0.33)/C46,0),0)</f>
        <v>0</v>
      </c>
      <c r="E46" s="524">
        <v>0.56999999999999995</v>
      </c>
      <c r="F46" s="525">
        <f t="shared" si="1"/>
        <v>0</v>
      </c>
      <c r="G46" s="514" t="s">
        <v>571</v>
      </c>
      <c r="H46" s="493"/>
      <c r="J46" s="1021"/>
      <c r="K46" s="1021"/>
      <c r="L46" s="1414"/>
      <c r="M46" s="1414"/>
      <c r="N46" s="1414"/>
      <c r="O46" s="1414"/>
      <c r="P46" s="1414"/>
      <c r="Q46" s="1414"/>
      <c r="R46" s="1414"/>
      <c r="S46" s="1414"/>
    </row>
    <row r="47" spans="1:19">
      <c r="A47" s="902">
        <v>106354</v>
      </c>
      <c r="B47" s="521" t="s">
        <v>970</v>
      </c>
      <c r="C47" s="514">
        <v>100</v>
      </c>
      <c r="D47" s="523">
        <f>IF(X15=C12,ROUNDUP((C9*0.011)/C47,0),0)</f>
        <v>0</v>
      </c>
      <c r="E47" s="526">
        <v>24</v>
      </c>
      <c r="F47" s="525">
        <f t="shared" si="1"/>
        <v>0</v>
      </c>
      <c r="G47" s="514" t="s">
        <v>571</v>
      </c>
      <c r="H47" s="493"/>
      <c r="J47" s="1021"/>
      <c r="K47" s="1021"/>
      <c r="L47" s="1414"/>
      <c r="M47" s="1414"/>
      <c r="N47" s="1414"/>
      <c r="O47" s="1414"/>
      <c r="P47" s="1414"/>
      <c r="Q47" s="1414"/>
      <c r="R47" s="1414"/>
      <c r="S47" s="1414"/>
    </row>
    <row r="48" spans="1:19">
      <c r="A48" s="518">
        <v>106597</v>
      </c>
      <c r="B48" s="527" t="s">
        <v>971</v>
      </c>
      <c r="C48" s="514">
        <v>1000</v>
      </c>
      <c r="D48" s="523">
        <f>IF(X15=C12,ROUNDUP((C9*0.001)/C48,0),0)</f>
        <v>0</v>
      </c>
      <c r="E48" s="528">
        <v>8.35</v>
      </c>
      <c r="F48" s="525">
        <f t="shared" si="1"/>
        <v>0</v>
      </c>
      <c r="G48" s="514"/>
      <c r="H48" s="493"/>
      <c r="J48" s="1021"/>
      <c r="K48" s="1021"/>
      <c r="L48" s="1414"/>
      <c r="M48" s="1414"/>
      <c r="N48" s="1414"/>
      <c r="O48" s="1414"/>
      <c r="P48" s="1414"/>
      <c r="Q48" s="1414"/>
      <c r="R48" s="1414"/>
      <c r="S48" s="1414"/>
    </row>
    <row r="49" spans="1:19" s="490" customFormat="1">
      <c r="A49" s="518">
        <v>106355</v>
      </c>
      <c r="B49" s="529" t="s">
        <v>568</v>
      </c>
      <c r="C49" s="530">
        <v>1</v>
      </c>
      <c r="D49" s="523">
        <f>IF(X15=C12,ROUNDUP((C9*0.001)/C49,0),0)</f>
        <v>0</v>
      </c>
      <c r="E49" s="528">
        <v>2.0499999999999998</v>
      </c>
      <c r="F49" s="525">
        <f t="shared" si="1"/>
        <v>0</v>
      </c>
      <c r="G49" s="514"/>
      <c r="H49" s="493"/>
      <c r="J49" s="1022"/>
      <c r="K49" s="1022"/>
      <c r="L49" s="1420"/>
      <c r="M49" s="1420"/>
      <c r="N49" s="1420"/>
      <c r="O49" s="1420"/>
      <c r="P49" s="1420"/>
      <c r="Q49" s="1420"/>
      <c r="R49" s="1420"/>
      <c r="S49" s="1420"/>
    </row>
    <row r="50" spans="1:19" s="490" customFormat="1">
      <c r="A50" s="531">
        <v>106525</v>
      </c>
      <c r="B50" s="529" t="s">
        <v>972</v>
      </c>
      <c r="C50" s="530">
        <v>1000</v>
      </c>
      <c r="D50" s="523">
        <f>IF(X15=C12,ROUNDUP((C9*1.1)/C50,0),0)</f>
        <v>0</v>
      </c>
      <c r="E50" s="528">
        <v>83.3</v>
      </c>
      <c r="F50" s="525">
        <f t="shared" si="1"/>
        <v>0</v>
      </c>
      <c r="G50" s="514" t="s">
        <v>571</v>
      </c>
      <c r="H50" s="493"/>
      <c r="J50" s="1022"/>
      <c r="K50" s="1022"/>
      <c r="L50" s="1420"/>
      <c r="M50" s="1420"/>
      <c r="N50" s="1420"/>
      <c r="O50" s="1420"/>
      <c r="P50" s="1420"/>
      <c r="Q50" s="1420"/>
      <c r="R50" s="1420"/>
      <c r="S50" s="1420"/>
    </row>
    <row r="51" spans="1:19" s="490" customFormat="1">
      <c r="A51" s="519"/>
      <c r="B51" s="553" t="s">
        <v>973</v>
      </c>
      <c r="C51" s="554"/>
      <c r="D51" s="558">
        <f>SUMPRODUCT(D43:D50,E43:E50)</f>
        <v>0</v>
      </c>
      <c r="F51" s="532"/>
      <c r="G51" s="559"/>
      <c r="H51" s="493"/>
      <c r="J51" s="1022"/>
      <c r="K51" s="1022"/>
      <c r="L51" s="1420"/>
      <c r="M51" s="1420"/>
      <c r="N51" s="1420"/>
      <c r="O51" s="1420"/>
      <c r="P51" s="1420"/>
      <c r="Q51" s="1420"/>
      <c r="R51" s="1420"/>
      <c r="S51" s="1420"/>
    </row>
    <row r="52" spans="1:19" s="490" customFormat="1">
      <c r="A52" s="519"/>
      <c r="B52" s="556" t="s">
        <v>567</v>
      </c>
      <c r="C52" s="557"/>
      <c r="D52" s="1657" t="str">
        <f>IF(C9=0,"-",D51/C9)</f>
        <v>-</v>
      </c>
      <c r="E52" s="509"/>
      <c r="F52" s="532"/>
      <c r="G52" s="559"/>
      <c r="H52" s="493"/>
      <c r="J52" s="1022"/>
      <c r="K52" s="1022"/>
      <c r="L52" s="1420"/>
      <c r="M52" s="1420"/>
      <c r="N52" s="1420"/>
      <c r="O52" s="1420"/>
      <c r="P52" s="1420"/>
      <c r="Q52" s="1420"/>
      <c r="R52" s="1420"/>
      <c r="S52" s="1420"/>
    </row>
    <row r="53" spans="1:19" s="490" customFormat="1">
      <c r="A53" s="519"/>
      <c r="E53" s="509"/>
      <c r="F53" s="532"/>
      <c r="G53" s="559"/>
      <c r="H53" s="493"/>
      <c r="J53" s="1022"/>
      <c r="K53" s="1022"/>
      <c r="L53" s="1420"/>
      <c r="M53" s="1420"/>
      <c r="N53" s="1420"/>
      <c r="O53" s="1420"/>
      <c r="P53" s="1420"/>
      <c r="Q53" s="1420"/>
      <c r="R53" s="1420"/>
      <c r="S53" s="1420"/>
    </row>
    <row r="54" spans="1:19" s="490" customFormat="1" ht="16.5" thickBot="1">
      <c r="A54" s="519"/>
      <c r="E54" s="509"/>
      <c r="F54" s="532"/>
      <c r="G54" s="559"/>
      <c r="H54" s="493"/>
      <c r="J54" s="1022"/>
      <c r="K54" s="1022"/>
      <c r="L54" s="1420"/>
      <c r="M54" s="1420"/>
      <c r="N54" s="1420"/>
      <c r="O54" s="1420"/>
      <c r="P54" s="1420"/>
      <c r="Q54" s="1420"/>
      <c r="R54" s="1420"/>
      <c r="S54" s="1420"/>
    </row>
    <row r="55" spans="1:19" s="490" customFormat="1">
      <c r="A55" s="519"/>
      <c r="B55" s="918" t="s">
        <v>506</v>
      </c>
      <c r="C55" s="916" t="s">
        <v>931</v>
      </c>
      <c r="H55" s="493"/>
      <c r="J55" s="1022"/>
      <c r="K55" s="1022"/>
      <c r="L55" s="1420"/>
      <c r="M55" s="1420"/>
      <c r="N55" s="1420"/>
      <c r="O55" s="1420"/>
      <c r="P55" s="1420"/>
      <c r="Q55" s="1420"/>
      <c r="R55" s="1420"/>
      <c r="S55" s="1420"/>
    </row>
    <row r="56" spans="1:19" s="490" customFormat="1">
      <c r="A56" s="519"/>
      <c r="B56" s="504" t="s">
        <v>618</v>
      </c>
      <c r="C56" s="505">
        <f>D51+D38</f>
        <v>0</v>
      </c>
      <c r="H56" s="493"/>
      <c r="J56" s="1022"/>
      <c r="K56" s="1022"/>
      <c r="L56" s="1420"/>
      <c r="M56" s="1420"/>
      <c r="N56" s="1420"/>
      <c r="O56" s="1420"/>
      <c r="P56" s="1420"/>
      <c r="Q56" s="1420"/>
      <c r="R56" s="1420"/>
      <c r="S56" s="1420"/>
    </row>
    <row r="57" spans="1:19" ht="16.5" thickBot="1">
      <c r="A57" s="533"/>
      <c r="B57" s="506" t="s">
        <v>569</v>
      </c>
      <c r="C57" s="1421" t="str">
        <f>IF(C9=0,"-",C56/C9)</f>
        <v>-</v>
      </c>
      <c r="D57" s="917"/>
      <c r="E57" s="534"/>
      <c r="F57" s="534"/>
      <c r="G57" s="534"/>
      <c r="H57" s="535"/>
      <c r="J57" s="1021"/>
      <c r="K57" s="1021"/>
      <c r="L57" s="1414"/>
      <c r="M57" s="1414"/>
      <c r="N57" s="1414"/>
      <c r="O57" s="1414"/>
      <c r="P57" s="1414"/>
      <c r="Q57" s="1414"/>
      <c r="R57" s="1414"/>
      <c r="S57" s="1414"/>
    </row>
    <row r="58" spans="1:19">
      <c r="A58" s="1023"/>
      <c r="B58" s="1023"/>
      <c r="C58" s="1023"/>
      <c r="D58" s="1023"/>
      <c r="E58" s="1023"/>
      <c r="F58" s="1023"/>
      <c r="G58" s="1024"/>
      <c r="H58" s="1023"/>
      <c r="I58" s="1023"/>
      <c r="J58" s="1021"/>
      <c r="K58" s="1021"/>
      <c r="L58" s="1414"/>
      <c r="M58" s="1414"/>
      <c r="N58" s="1414"/>
      <c r="O58" s="1414"/>
      <c r="P58" s="1414"/>
      <c r="Q58" s="1414"/>
      <c r="R58" s="1414"/>
      <c r="S58" s="1414"/>
    </row>
    <row r="59" spans="1:19">
      <c r="A59" s="1021"/>
      <c r="B59" s="1021"/>
      <c r="C59" s="1021"/>
      <c r="D59" s="1021"/>
      <c r="E59" s="1021"/>
      <c r="F59" s="1021"/>
      <c r="G59" s="1022"/>
      <c r="H59" s="1021"/>
      <c r="I59" s="1021"/>
      <c r="J59" s="1021"/>
      <c r="K59" s="1021"/>
      <c r="L59" s="1414"/>
      <c r="M59" s="1414"/>
      <c r="N59" s="1414"/>
      <c r="O59" s="1414"/>
      <c r="P59" s="1414"/>
      <c r="Q59" s="1414"/>
      <c r="R59" s="1414"/>
      <c r="S59" s="1414"/>
    </row>
    <row r="60" spans="1:19">
      <c r="A60" s="1021"/>
      <c r="B60" s="1021"/>
      <c r="C60" s="1021"/>
      <c r="D60" s="1021"/>
      <c r="E60" s="1021"/>
      <c r="F60" s="1021"/>
      <c r="G60" s="1022"/>
      <c r="H60" s="1021"/>
      <c r="I60" s="1021"/>
      <c r="J60" s="1021"/>
      <c r="K60" s="1021"/>
      <c r="L60" s="1414"/>
      <c r="M60" s="1414"/>
      <c r="N60" s="1414"/>
      <c r="O60" s="1414"/>
      <c r="P60" s="1414"/>
      <c r="Q60" s="1414"/>
      <c r="R60" s="1414"/>
      <c r="S60" s="1414"/>
    </row>
    <row r="61" spans="1:19">
      <c r="A61" s="1021"/>
      <c r="B61" s="1021"/>
      <c r="C61" s="1021"/>
      <c r="D61" s="1021"/>
      <c r="E61" s="1021"/>
      <c r="F61" s="1021"/>
      <c r="G61" s="1022"/>
      <c r="H61" s="1021"/>
      <c r="I61" s="1021"/>
      <c r="J61" s="1021"/>
      <c r="K61" s="1021"/>
      <c r="L61" s="1414"/>
      <c r="M61" s="1414"/>
      <c r="N61" s="1414"/>
      <c r="O61" s="1414"/>
      <c r="P61" s="1414"/>
      <c r="Q61" s="1414"/>
      <c r="R61" s="1414"/>
      <c r="S61" s="1414"/>
    </row>
  </sheetData>
  <sheetProtection algorithmName="SHA-512" hashValue="YGjFT3IjcDU/yb45xA2jo6pdIE7HHXbOOYtcghoQCs5gYIl70H8zrvLaOBHHJSUPUNXGLFpNwJoeUS/FPIbTCA==" saltValue="rG6B3rl/7jKaudImIq0VxA==" spinCount="100000" sheet="1" selectLockedCells="1"/>
  <mergeCells count="5">
    <mergeCell ref="B4:C4"/>
    <mergeCell ref="E4:G4"/>
    <mergeCell ref="B2:I2"/>
    <mergeCell ref="A1:K1"/>
    <mergeCell ref="D5:G5"/>
  </mergeCells>
  <dataValidations count="1">
    <dataValidation type="list" allowBlank="1" showInputMessage="1" showErrorMessage="1" sqref="C12" xr:uid="{00000000-0002-0000-0200-000000000000}">
      <formula1>$W$15:$X$15</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dimension ref="A1:Y60"/>
  <sheetViews>
    <sheetView showGridLines="0" zoomScaleNormal="100" zoomScalePageLayoutView="75" workbookViewId="0">
      <selection activeCell="C5" sqref="C5"/>
    </sheetView>
  </sheetViews>
  <sheetFormatPr defaultColWidth="0" defaultRowHeight="15.75" zeroHeight="1"/>
  <cols>
    <col min="1" max="1" width="19" style="491" bestFit="1" customWidth="1"/>
    <col min="2" max="2" width="65.5" style="491" customWidth="1"/>
    <col min="3" max="3" width="32.1640625" style="491" bestFit="1" customWidth="1"/>
    <col min="4" max="4" width="21.5" style="491" bestFit="1" customWidth="1"/>
    <col min="5" max="5" width="17.5" style="491" bestFit="1" customWidth="1"/>
    <col min="6" max="6" width="16.1640625" style="491" customWidth="1"/>
    <col min="7" max="7" width="60.1640625" style="490" bestFit="1" customWidth="1"/>
    <col min="8" max="8" width="48.1640625" style="491" customWidth="1"/>
    <col min="9" max="19" width="11.1640625" style="491" customWidth="1"/>
    <col min="20" max="21" width="11.1640625" style="491" hidden="1" customWidth="1"/>
    <col min="22" max="25" width="0" style="491" hidden="1" customWidth="1"/>
    <col min="26" max="16384" width="11.1640625" style="491" hidden="1"/>
  </cols>
  <sheetData>
    <row r="1" spans="1:25" ht="44.1" customHeight="1">
      <c r="A1" s="1728" t="s">
        <v>1317</v>
      </c>
      <c r="B1" s="1728"/>
      <c r="C1" s="1728"/>
      <c r="D1" s="1728"/>
      <c r="E1" s="1728"/>
      <c r="F1" s="1728"/>
      <c r="G1" s="1728"/>
      <c r="H1" s="1728"/>
      <c r="I1" s="1728"/>
      <c r="J1" s="1728"/>
      <c r="K1" s="1728"/>
    </row>
    <row r="2" spans="1:25" ht="44.1" customHeight="1">
      <c r="A2" s="539"/>
      <c r="B2" s="1718" t="s">
        <v>938</v>
      </c>
      <c r="C2" s="1718"/>
      <c r="D2" s="1718"/>
      <c r="E2" s="1718"/>
      <c r="F2" s="1718"/>
      <c r="G2" s="1718"/>
      <c r="H2" s="1718"/>
      <c r="I2" s="1718"/>
      <c r="J2" s="1021"/>
      <c r="K2" s="1021"/>
    </row>
    <row r="3" spans="1:25" ht="21.95" customHeight="1">
      <c r="A3" s="539"/>
      <c r="B3" s="718"/>
      <c r="C3" s="719"/>
      <c r="D3" s="720"/>
      <c r="E3" s="720"/>
      <c r="F3" s="720"/>
      <c r="G3" s="720"/>
      <c r="H3" s="540"/>
      <c r="J3" s="1021"/>
      <c r="K3" s="1021"/>
    </row>
    <row r="4" spans="1:25" ht="90.95" customHeight="1">
      <c r="A4" s="539"/>
      <c r="B4" s="1721" t="s">
        <v>976</v>
      </c>
      <c r="C4" s="1722"/>
      <c r="D4" s="584"/>
      <c r="E4" s="1743"/>
      <c r="F4" s="1744"/>
      <c r="G4" s="1745"/>
      <c r="H4" s="893"/>
      <c r="J4" s="1021"/>
      <c r="K4" s="1021"/>
    </row>
    <row r="5" spans="1:25" ht="42" customHeight="1">
      <c r="A5" s="539"/>
      <c r="B5" s="1306" t="s">
        <v>957</v>
      </c>
      <c r="C5" s="1400">
        <v>0</v>
      </c>
      <c r="D5" s="1747" t="s">
        <v>958</v>
      </c>
      <c r="E5" s="1748"/>
      <c r="F5" s="1748"/>
      <c r="G5" s="1748"/>
      <c r="H5" s="893"/>
      <c r="J5" s="1021"/>
      <c r="K5" s="1021"/>
    </row>
    <row r="6" spans="1:25" ht="35.1" customHeight="1">
      <c r="A6" s="539"/>
      <c r="B6" s="1310" t="s">
        <v>956</v>
      </c>
      <c r="C6" s="1416">
        <v>0</v>
      </c>
      <c r="D6" s="585"/>
      <c r="E6" s="894"/>
      <c r="F6" s="895"/>
      <c r="G6" s="896"/>
      <c r="H6" s="893"/>
      <c r="J6" s="1021"/>
      <c r="K6" s="1021"/>
    </row>
    <row r="7" spans="1:25" ht="35.1" customHeight="1">
      <c r="A7" s="539"/>
      <c r="B7" s="1291" t="s">
        <v>890</v>
      </c>
      <c r="C7" s="1402">
        <v>0</v>
      </c>
      <c r="D7" s="585"/>
      <c r="E7" s="894"/>
      <c r="F7" s="895"/>
      <c r="G7" s="896"/>
      <c r="H7" s="893"/>
      <c r="J7" s="1021"/>
      <c r="K7" s="1021"/>
    </row>
    <row r="8" spans="1:25" ht="56.1" customHeight="1">
      <c r="A8" s="539"/>
      <c r="B8" s="691" t="s">
        <v>1318</v>
      </c>
      <c r="C8" s="692">
        <f>SUM(C5:C6)</f>
        <v>0</v>
      </c>
      <c r="D8" s="586"/>
      <c r="E8" s="897"/>
      <c r="F8" s="898"/>
      <c r="G8" s="899"/>
      <c r="H8" s="893"/>
      <c r="J8" s="1021"/>
      <c r="K8" s="1021"/>
    </row>
    <row r="9" spans="1:25">
      <c r="A9" s="539"/>
      <c r="B9" s="691" t="s">
        <v>1318</v>
      </c>
      <c r="C9" s="692">
        <f>SUM(C5:C6)-C7</f>
        <v>0</v>
      </c>
      <c r="D9" s="492"/>
      <c r="E9" s="900"/>
      <c r="F9" s="900"/>
      <c r="G9" s="900"/>
      <c r="H9" s="893"/>
      <c r="J9" s="1021"/>
      <c r="K9" s="1021"/>
    </row>
    <row r="10" spans="1:25">
      <c r="A10" s="539"/>
      <c r="B10" s="487"/>
      <c r="C10" s="540"/>
      <c r="D10" s="492"/>
      <c r="E10" s="492"/>
      <c r="F10" s="492"/>
      <c r="G10" s="492"/>
      <c r="H10" s="540"/>
      <c r="J10" s="1021"/>
      <c r="K10" s="1021"/>
    </row>
    <row r="11" spans="1:25">
      <c r="A11" s="539"/>
      <c r="B11" s="487"/>
      <c r="C11" s="540"/>
      <c r="D11" s="492"/>
      <c r="E11" s="492"/>
      <c r="F11" s="492"/>
      <c r="G11" s="492"/>
      <c r="H11" s="540"/>
      <c r="J11" s="1021"/>
      <c r="K11" s="1021"/>
    </row>
    <row r="12" spans="1:25" ht="30.95" customHeight="1">
      <c r="A12" s="539"/>
      <c r="B12" s="903" t="s">
        <v>810</v>
      </c>
      <c r="C12" s="1417" t="s">
        <v>657</v>
      </c>
      <c r="D12" s="914" t="s">
        <v>0</v>
      </c>
      <c r="E12" s="492"/>
      <c r="F12" s="492"/>
      <c r="G12" s="492"/>
      <c r="H12" s="540"/>
      <c r="J12" s="1021"/>
      <c r="K12" s="1021"/>
    </row>
    <row r="13" spans="1:25">
      <c r="A13" s="539"/>
      <c r="B13" s="487"/>
      <c r="C13" s="540"/>
      <c r="D13" s="492"/>
      <c r="E13" s="492"/>
      <c r="F13" s="492"/>
      <c r="G13" s="492"/>
      <c r="H13" s="540"/>
      <c r="J13" s="1021"/>
      <c r="K13" s="1021"/>
    </row>
    <row r="14" spans="1:25">
      <c r="A14" s="539"/>
      <c r="B14" s="487"/>
      <c r="C14" s="492"/>
      <c r="D14" s="492"/>
      <c r="E14" s="492"/>
      <c r="F14" s="492"/>
      <c r="G14" s="492"/>
      <c r="H14" s="540"/>
      <c r="J14" s="1021"/>
      <c r="K14" s="1021"/>
    </row>
    <row r="15" spans="1:25">
      <c r="A15" s="539"/>
      <c r="B15" s="487"/>
      <c r="C15" s="540"/>
      <c r="E15" s="492"/>
      <c r="F15" s="492"/>
      <c r="G15" s="492"/>
      <c r="H15" s="540"/>
      <c r="J15" s="1021"/>
      <c r="K15" s="1021"/>
      <c r="W15" s="573" t="s">
        <v>657</v>
      </c>
      <c r="X15" s="573" t="s">
        <v>813</v>
      </c>
      <c r="Y15" s="573"/>
    </row>
    <row r="16" spans="1:25" s="730" customFormat="1">
      <c r="A16" s="904"/>
      <c r="B16" s="905"/>
      <c r="C16" s="906"/>
      <c r="D16" s="907"/>
      <c r="E16" s="907"/>
      <c r="F16" s="907"/>
      <c r="G16" s="907"/>
      <c r="H16" s="906"/>
      <c r="I16" s="696"/>
      <c r="J16" s="1021"/>
      <c r="K16" s="1021"/>
    </row>
    <row r="17" spans="1:11" s="730" customFormat="1">
      <c r="A17" s="904"/>
      <c r="B17" s="905"/>
      <c r="C17" s="906"/>
      <c r="D17" s="907"/>
      <c r="E17" s="907"/>
      <c r="F17" s="907"/>
      <c r="G17" s="907"/>
      <c r="H17" s="906"/>
      <c r="I17" s="696"/>
      <c r="J17" s="1021"/>
      <c r="K17" s="1021"/>
    </row>
    <row r="18" spans="1:11">
      <c r="A18" s="1026"/>
      <c r="B18" s="1026"/>
      <c r="C18" s="1026"/>
      <c r="D18" s="1027"/>
      <c r="E18" s="1026"/>
      <c r="F18" s="1028"/>
      <c r="G18" s="1029"/>
      <c r="H18" s="696"/>
      <c r="I18" s="696"/>
      <c r="J18" s="1021"/>
      <c r="K18" s="1021"/>
    </row>
    <row r="19" spans="1:11">
      <c r="A19" s="507"/>
      <c r="B19" s="490"/>
      <c r="C19" s="495"/>
      <c r="D19" s="494"/>
      <c r="E19" s="495"/>
      <c r="F19" s="509"/>
      <c r="J19" s="1021"/>
      <c r="K19" s="1021"/>
    </row>
    <row r="20" spans="1:11">
      <c r="A20" s="507"/>
      <c r="B20" s="495"/>
      <c r="C20" s="495"/>
      <c r="D20" s="494"/>
      <c r="E20" s="495"/>
      <c r="F20" s="509"/>
      <c r="H20" s="493"/>
      <c r="J20" s="1021"/>
      <c r="K20" s="1021"/>
    </row>
    <row r="21" spans="1:11">
      <c r="A21" s="496" t="s">
        <v>614</v>
      </c>
      <c r="B21" s="541" t="s">
        <v>923</v>
      </c>
      <c r="C21" s="498" t="s">
        <v>645</v>
      </c>
      <c r="D21" s="498" t="s">
        <v>644</v>
      </c>
      <c r="E21" s="542" t="s">
        <v>722</v>
      </c>
      <c r="F21" s="498" t="s">
        <v>944</v>
      </c>
      <c r="G21" s="499" t="s">
        <v>433</v>
      </c>
      <c r="H21" s="500" t="s">
        <v>79</v>
      </c>
      <c r="J21" s="1021"/>
      <c r="K21" s="1021"/>
    </row>
    <row r="22" spans="1:11" ht="252">
      <c r="A22" s="480">
        <v>106523</v>
      </c>
      <c r="B22" s="392" t="s">
        <v>1319</v>
      </c>
      <c r="C22" s="501" t="s">
        <v>655</v>
      </c>
      <c r="D22" s="501">
        <v>1000</v>
      </c>
      <c r="E22" s="543">
        <f>D22*1/1000</f>
        <v>1</v>
      </c>
      <c r="F22" s="502">
        <f>IF(W15=C12,ROUNDUP((E22/D22)*C9,0),0)</f>
        <v>0</v>
      </c>
      <c r="G22" s="502">
        <v>200.5</v>
      </c>
      <c r="H22" s="503" t="s">
        <v>656</v>
      </c>
      <c r="J22" s="1021"/>
      <c r="K22" s="1021"/>
    </row>
    <row r="23" spans="1:11">
      <c r="A23" s="507"/>
      <c r="B23" s="495"/>
      <c r="C23" s="495"/>
      <c r="D23" s="494"/>
      <c r="E23" s="495"/>
      <c r="F23" s="509"/>
      <c r="H23" s="493"/>
      <c r="J23" s="1021"/>
      <c r="K23" s="1021"/>
    </row>
    <row r="24" spans="1:11">
      <c r="A24" s="507"/>
      <c r="B24" s="495"/>
      <c r="C24" s="495"/>
      <c r="D24" s="494"/>
      <c r="E24" s="495"/>
      <c r="F24" s="509"/>
      <c r="H24" s="493"/>
      <c r="J24" s="1021"/>
      <c r="K24" s="1021"/>
    </row>
    <row r="25" spans="1:11">
      <c r="A25" s="507"/>
      <c r="B25" s="915" t="s">
        <v>506</v>
      </c>
      <c r="C25" s="915" t="s">
        <v>931</v>
      </c>
      <c r="D25" s="495"/>
      <c r="E25" s="509"/>
      <c r="F25" s="490"/>
      <c r="H25" s="493"/>
      <c r="J25" s="1021"/>
      <c r="K25" s="1021"/>
    </row>
    <row r="26" spans="1:11">
      <c r="A26" s="507"/>
      <c r="B26" s="544" t="s">
        <v>618</v>
      </c>
      <c r="C26" s="545">
        <f>F22*G22</f>
        <v>0</v>
      </c>
      <c r="D26" s="495"/>
      <c r="E26" s="509"/>
      <c r="F26" s="490"/>
      <c r="H26" s="493"/>
      <c r="J26" s="1021"/>
      <c r="K26" s="1021"/>
    </row>
    <row r="27" spans="1:11" ht="16.5" thickBot="1">
      <c r="A27" s="546"/>
      <c r="B27" s="506" t="s">
        <v>569</v>
      </c>
      <c r="C27" s="1421" t="str">
        <f>IF(C9=0,"-",(C26/C9))</f>
        <v>-</v>
      </c>
      <c r="D27" s="547"/>
      <c r="E27" s="548"/>
      <c r="F27" s="549"/>
      <c r="G27" s="534"/>
      <c r="H27" s="535"/>
      <c r="J27" s="1021"/>
      <c r="K27" s="1021"/>
    </row>
    <row r="28" spans="1:11">
      <c r="A28" s="495"/>
      <c r="B28" s="495"/>
      <c r="C28" s="495"/>
      <c r="D28" s="494"/>
      <c r="E28" s="495"/>
      <c r="F28" s="509"/>
      <c r="H28" s="493"/>
      <c r="J28" s="1021"/>
      <c r="K28" s="1021"/>
    </row>
    <row r="29" spans="1:11">
      <c r="A29" s="495"/>
      <c r="B29" s="495"/>
      <c r="C29" s="495"/>
      <c r="D29" s="494"/>
      <c r="E29" s="495"/>
      <c r="F29" s="509"/>
      <c r="H29" s="493"/>
      <c r="J29" s="1021"/>
      <c r="K29" s="1021"/>
    </row>
    <row r="30" spans="1:11">
      <c r="A30" s="507"/>
      <c r="B30" s="495"/>
      <c r="C30" s="495"/>
      <c r="D30" s="489"/>
      <c r="E30" s="495"/>
      <c r="F30" s="509"/>
      <c r="H30" s="493"/>
      <c r="J30" s="1021"/>
      <c r="K30" s="1021"/>
    </row>
    <row r="31" spans="1:11" ht="31.5">
      <c r="A31" s="496" t="s">
        <v>614</v>
      </c>
      <c r="B31" s="550" t="s">
        <v>923</v>
      </c>
      <c r="C31" s="497" t="s">
        <v>946</v>
      </c>
      <c r="D31" s="497" t="s">
        <v>945</v>
      </c>
      <c r="E31" s="511" t="s">
        <v>433</v>
      </c>
      <c r="F31" s="541" t="s">
        <v>570</v>
      </c>
      <c r="G31" s="541" t="s">
        <v>79</v>
      </c>
      <c r="H31" s="493"/>
      <c r="J31" s="1021"/>
      <c r="K31" s="1021"/>
    </row>
    <row r="32" spans="1:11">
      <c r="A32" s="512">
        <v>106602</v>
      </c>
      <c r="B32" s="513" t="s">
        <v>960</v>
      </c>
      <c r="C32" s="514">
        <v>100</v>
      </c>
      <c r="D32" s="901">
        <f>IF(X15=C12,ROUNDUP((C9*0.02)/C32,0),0)</f>
        <v>0</v>
      </c>
      <c r="E32" s="515">
        <v>161.5</v>
      </c>
      <c r="F32" s="516">
        <f>D32*E32</f>
        <v>0</v>
      </c>
      <c r="G32" s="517" t="s">
        <v>1316</v>
      </c>
      <c r="H32" s="493"/>
      <c r="J32" s="1021"/>
      <c r="K32" s="1021"/>
    </row>
    <row r="33" spans="1:11">
      <c r="A33" s="518">
        <v>106599</v>
      </c>
      <c r="B33" s="513" t="s">
        <v>637</v>
      </c>
      <c r="C33" s="514">
        <v>500</v>
      </c>
      <c r="D33" s="901">
        <f>IF(X15=C12,ROUNDUP((C9*0.03)/C33,0),0)</f>
        <v>0</v>
      </c>
      <c r="E33" s="515">
        <v>96.05</v>
      </c>
      <c r="F33" s="516">
        <f t="shared" ref="F33:F35" si="0">D33*E33</f>
        <v>0</v>
      </c>
      <c r="G33" s="517" t="s">
        <v>571</v>
      </c>
      <c r="H33" s="493"/>
      <c r="J33" s="1021"/>
      <c r="K33" s="1021"/>
    </row>
    <row r="34" spans="1:11">
      <c r="A34" s="518">
        <v>106276</v>
      </c>
      <c r="B34" s="513" t="s">
        <v>1320</v>
      </c>
      <c r="C34" s="514">
        <v>25</v>
      </c>
      <c r="D34" s="901">
        <f>IF(X15=C12,ROUNDUP((C9*0.003)/C34,0),0)</f>
        <v>0</v>
      </c>
      <c r="E34" s="515">
        <v>38.4</v>
      </c>
      <c r="F34" s="516">
        <f t="shared" si="0"/>
        <v>0</v>
      </c>
      <c r="G34" s="517" t="s">
        <v>571</v>
      </c>
      <c r="H34" s="493"/>
      <c r="J34" s="1021"/>
      <c r="K34" s="1021"/>
    </row>
    <row r="35" spans="1:11">
      <c r="A35" s="518">
        <v>106597</v>
      </c>
      <c r="B35" s="513" t="s">
        <v>962</v>
      </c>
      <c r="C35" s="514">
        <v>1000</v>
      </c>
      <c r="D35" s="901">
        <f>IF(X15=C12,ROUNDUP((C9*0.55)/C35,0),0)</f>
        <v>0</v>
      </c>
      <c r="E35" s="515">
        <v>8.35</v>
      </c>
      <c r="F35" s="516">
        <f t="shared" si="0"/>
        <v>0</v>
      </c>
      <c r="G35" s="517" t="s">
        <v>974</v>
      </c>
      <c r="H35" s="493"/>
      <c r="J35" s="1021"/>
      <c r="K35" s="1021"/>
    </row>
    <row r="36" spans="1:11">
      <c r="A36" s="518">
        <v>106603</v>
      </c>
      <c r="B36" s="513" t="s">
        <v>963</v>
      </c>
      <c r="C36" s="514">
        <v>1000</v>
      </c>
      <c r="D36" s="901">
        <f>IF(X15=C12,ROUNDUP((C9*0.8)/C36,0),0)</f>
        <v>0</v>
      </c>
      <c r="E36" s="515">
        <v>18.100000000000001</v>
      </c>
      <c r="F36" s="516">
        <f>D36*E36</f>
        <v>0</v>
      </c>
      <c r="G36" s="517" t="s">
        <v>571</v>
      </c>
      <c r="H36" s="493"/>
      <c r="J36" s="1021"/>
      <c r="K36" s="1021"/>
    </row>
    <row r="37" spans="1:11">
      <c r="A37" s="519"/>
      <c r="B37" s="553" t="s">
        <v>973</v>
      </c>
      <c r="C37" s="554"/>
      <c r="D37" s="555">
        <f>SUM(F32:F36)</f>
        <v>0</v>
      </c>
      <c r="E37" s="490"/>
      <c r="F37" s="520"/>
      <c r="H37" s="493"/>
      <c r="J37" s="1021"/>
      <c r="K37" s="1021"/>
    </row>
    <row r="38" spans="1:11">
      <c r="A38" s="519"/>
      <c r="B38" s="556" t="s">
        <v>567</v>
      </c>
      <c r="C38" s="557"/>
      <c r="D38" s="1658" t="str">
        <f>IF(C9=0,"-",D37/C9)</f>
        <v>-</v>
      </c>
      <c r="E38" s="490"/>
      <c r="F38" s="490"/>
      <c r="H38" s="493"/>
      <c r="J38" s="1021"/>
      <c r="K38" s="1021"/>
    </row>
    <row r="39" spans="1:11">
      <c r="A39" s="519"/>
      <c r="B39" s="490"/>
      <c r="C39" s="490"/>
      <c r="D39" s="490"/>
      <c r="E39" s="490"/>
      <c r="F39" s="490"/>
      <c r="H39" s="493"/>
      <c r="J39" s="1021"/>
      <c r="K39" s="1021"/>
    </row>
    <row r="40" spans="1:11">
      <c r="A40" s="519"/>
      <c r="B40" s="490"/>
      <c r="C40" s="490"/>
      <c r="D40" s="490"/>
      <c r="E40" s="490"/>
      <c r="F40" s="490"/>
      <c r="H40" s="493"/>
      <c r="J40" s="1021"/>
      <c r="K40" s="1021"/>
    </row>
    <row r="41" spans="1:11" ht="31.5">
      <c r="A41" s="496" t="s">
        <v>614</v>
      </c>
      <c r="B41" s="510" t="s">
        <v>923</v>
      </c>
      <c r="C41" s="497" t="s">
        <v>93</v>
      </c>
      <c r="D41" s="497" t="s">
        <v>945</v>
      </c>
      <c r="E41" s="511" t="s">
        <v>433</v>
      </c>
      <c r="F41" s="541" t="s">
        <v>570</v>
      </c>
      <c r="G41" s="541" t="s">
        <v>79</v>
      </c>
      <c r="H41" s="493"/>
      <c r="J41" s="1021"/>
      <c r="K41" s="1021"/>
    </row>
    <row r="42" spans="1:11">
      <c r="A42" s="902">
        <v>106655</v>
      </c>
      <c r="B42" s="521" t="s">
        <v>975</v>
      </c>
      <c r="C42" s="522">
        <v>1000</v>
      </c>
      <c r="D42" s="523">
        <f>IF(X15=C12,ROUNDUP((C9*1.1)/C42,0),0)</f>
        <v>0</v>
      </c>
      <c r="E42" s="524">
        <v>2.5099999999999998</v>
      </c>
      <c r="F42" s="525">
        <f t="shared" ref="F42:F49" si="1">D42*E42</f>
        <v>0</v>
      </c>
      <c r="G42" s="514" t="s">
        <v>571</v>
      </c>
      <c r="H42" s="493"/>
      <c r="J42" s="1021"/>
      <c r="K42" s="1021"/>
    </row>
    <row r="43" spans="1:11">
      <c r="A43" s="902">
        <v>106609</v>
      </c>
      <c r="B43" s="521" t="s">
        <v>967</v>
      </c>
      <c r="C43" s="522">
        <v>1000</v>
      </c>
      <c r="D43" s="523">
        <f>IF(X15=C12,ROUNDUP((C9*1.1)/C43,0),0)</f>
        <v>0</v>
      </c>
      <c r="E43" s="524">
        <v>10.4</v>
      </c>
      <c r="F43" s="525">
        <f t="shared" si="1"/>
        <v>0</v>
      </c>
      <c r="G43" s="514" t="s">
        <v>571</v>
      </c>
      <c r="H43" s="493"/>
      <c r="J43" s="1021"/>
      <c r="K43" s="1021"/>
    </row>
    <row r="44" spans="1:11">
      <c r="A44" s="902">
        <v>106627</v>
      </c>
      <c r="B44" s="521" t="s">
        <v>968</v>
      </c>
      <c r="C44" s="522">
        <v>100</v>
      </c>
      <c r="D44" s="523">
        <f>IF(X15=C12,ROUNDUP((C9*0.11)/C44,0),0)</f>
        <v>0</v>
      </c>
      <c r="E44" s="524">
        <v>9.24</v>
      </c>
      <c r="F44" s="525">
        <f t="shared" si="1"/>
        <v>0</v>
      </c>
      <c r="G44" s="514" t="s">
        <v>571</v>
      </c>
      <c r="H44" s="493"/>
      <c r="J44" s="1021"/>
      <c r="K44" s="1021"/>
    </row>
    <row r="45" spans="1:11">
      <c r="A45" s="902">
        <v>106656</v>
      </c>
      <c r="B45" s="521" t="s">
        <v>969</v>
      </c>
      <c r="C45" s="522">
        <v>150</v>
      </c>
      <c r="D45" s="523">
        <f>IF(X15=C12,ROUNDUP((C9*0.33)/C45,0),0)</f>
        <v>0</v>
      </c>
      <c r="E45" s="524">
        <v>0.56999999999999995</v>
      </c>
      <c r="F45" s="525">
        <f t="shared" si="1"/>
        <v>0</v>
      </c>
      <c r="G45" s="514" t="s">
        <v>571</v>
      </c>
      <c r="H45" s="493"/>
      <c r="J45" s="1021"/>
      <c r="K45" s="1021"/>
    </row>
    <row r="46" spans="1:11">
      <c r="A46" s="902">
        <v>106354</v>
      </c>
      <c r="B46" s="521" t="s">
        <v>970</v>
      </c>
      <c r="C46" s="514">
        <v>100</v>
      </c>
      <c r="D46" s="523">
        <f>IF(X15=C12,ROUNDUP((C9*0.011)/C46,0),0)</f>
        <v>0</v>
      </c>
      <c r="E46" s="526">
        <v>24</v>
      </c>
      <c r="F46" s="525">
        <f t="shared" si="1"/>
        <v>0</v>
      </c>
      <c r="G46" s="514" t="s">
        <v>571</v>
      </c>
      <c r="H46" s="493"/>
      <c r="J46" s="1021"/>
      <c r="K46" s="1021"/>
    </row>
    <row r="47" spans="1:11">
      <c r="A47" s="518">
        <v>106597</v>
      </c>
      <c r="B47" s="527" t="s">
        <v>971</v>
      </c>
      <c r="C47" s="514">
        <v>1000</v>
      </c>
      <c r="D47" s="523">
        <f>IF(X15=C12,ROUNDUP((C9*0.001)/C47,0),0)</f>
        <v>0</v>
      </c>
      <c r="E47" s="528">
        <v>8.35</v>
      </c>
      <c r="F47" s="525">
        <f t="shared" si="1"/>
        <v>0</v>
      </c>
      <c r="G47" s="514"/>
      <c r="H47" s="493"/>
      <c r="J47" s="1021"/>
      <c r="K47" s="1021"/>
    </row>
    <row r="48" spans="1:11" s="490" customFormat="1">
      <c r="A48" s="518">
        <v>106355</v>
      </c>
      <c r="B48" s="529" t="s">
        <v>568</v>
      </c>
      <c r="C48" s="530">
        <v>1</v>
      </c>
      <c r="D48" s="523">
        <f>IF(X15=C12,ROUNDUP((C9*0.001)/C48,0),0)</f>
        <v>0</v>
      </c>
      <c r="E48" s="528">
        <v>2.0499999999999998</v>
      </c>
      <c r="F48" s="525">
        <f t="shared" si="1"/>
        <v>0</v>
      </c>
      <c r="G48" s="514"/>
      <c r="H48" s="493"/>
      <c r="J48" s="1022"/>
      <c r="K48" s="1022"/>
    </row>
    <row r="49" spans="1:11" s="490" customFormat="1">
      <c r="A49" s="531">
        <v>106525</v>
      </c>
      <c r="B49" s="529" t="s">
        <v>972</v>
      </c>
      <c r="C49" s="530">
        <v>1000</v>
      </c>
      <c r="D49" s="523">
        <f>IF(X15=C12,ROUNDUP((C9*1.1)/C49,0),0)</f>
        <v>0</v>
      </c>
      <c r="E49" s="528">
        <v>83.3</v>
      </c>
      <c r="F49" s="525">
        <f t="shared" si="1"/>
        <v>0</v>
      </c>
      <c r="G49" s="514" t="s">
        <v>571</v>
      </c>
      <c r="H49" s="493"/>
      <c r="J49" s="1022"/>
      <c r="K49" s="1022"/>
    </row>
    <row r="50" spans="1:11" s="490" customFormat="1">
      <c r="A50" s="519"/>
      <c r="B50" s="553" t="s">
        <v>973</v>
      </c>
      <c r="C50" s="554"/>
      <c r="D50" s="558">
        <f>SUMPRODUCT(D42:D49,E42:E49)</f>
        <v>0</v>
      </c>
      <c r="F50" s="532"/>
      <c r="G50" s="559"/>
      <c r="H50" s="493"/>
      <c r="J50" s="1022"/>
      <c r="K50" s="1022"/>
    </row>
    <row r="51" spans="1:11" s="490" customFormat="1">
      <c r="A51" s="519"/>
      <c r="B51" s="556" t="s">
        <v>567</v>
      </c>
      <c r="C51" s="557"/>
      <c r="D51" s="1657" t="str">
        <f>IF(C9=0,"-",D50/C9)</f>
        <v>-</v>
      </c>
      <c r="E51" s="509"/>
      <c r="F51" s="532"/>
      <c r="G51" s="559"/>
      <c r="H51" s="493"/>
      <c r="J51" s="1022"/>
      <c r="K51" s="1022"/>
    </row>
    <row r="52" spans="1:11" s="490" customFormat="1">
      <c r="A52" s="519"/>
      <c r="E52" s="509"/>
      <c r="F52" s="532"/>
      <c r="G52" s="559"/>
      <c r="H52" s="493"/>
      <c r="J52" s="1022"/>
      <c r="K52" s="1022"/>
    </row>
    <row r="53" spans="1:11" s="490" customFormat="1" ht="16.5" thickBot="1">
      <c r="A53" s="519"/>
      <c r="E53" s="509"/>
      <c r="F53" s="532"/>
      <c r="G53" s="559"/>
      <c r="H53" s="493"/>
      <c r="J53" s="1022"/>
      <c r="K53" s="1022"/>
    </row>
    <row r="54" spans="1:11" s="490" customFormat="1">
      <c r="A54" s="519"/>
      <c r="B54" s="918" t="s">
        <v>506</v>
      </c>
      <c r="C54" s="916" t="s">
        <v>936</v>
      </c>
      <c r="H54" s="493"/>
      <c r="J54" s="1022"/>
      <c r="K54" s="1022"/>
    </row>
    <row r="55" spans="1:11" s="490" customFormat="1">
      <c r="A55" s="519"/>
      <c r="B55" s="504" t="s">
        <v>618</v>
      </c>
      <c r="C55" s="505">
        <f>D50+D37</f>
        <v>0</v>
      </c>
      <c r="H55" s="493"/>
      <c r="J55" s="1022"/>
      <c r="K55" s="1022"/>
    </row>
    <row r="56" spans="1:11" ht="16.5" thickBot="1">
      <c r="A56" s="533"/>
      <c r="B56" s="506" t="s">
        <v>569</v>
      </c>
      <c r="C56" s="1421" t="str">
        <f>IF(C9=0,"-",(C55/C9))</f>
        <v>-</v>
      </c>
      <c r="D56" s="534"/>
      <c r="E56" s="534"/>
      <c r="F56" s="534"/>
      <c r="G56" s="534"/>
      <c r="H56" s="535"/>
      <c r="J56" s="1021"/>
      <c r="K56" s="1021"/>
    </row>
    <row r="57" spans="1:11">
      <c r="J57" s="1021"/>
      <c r="K57" s="1021"/>
    </row>
    <row r="58" spans="1:11">
      <c r="A58" s="1021"/>
      <c r="B58" s="1021"/>
      <c r="C58" s="1021"/>
      <c r="D58" s="1021"/>
      <c r="E58" s="1021"/>
      <c r="F58" s="1021"/>
      <c r="G58" s="1022"/>
      <c r="H58" s="1021"/>
      <c r="I58" s="1021"/>
      <c r="J58" s="1021"/>
      <c r="K58" s="1021"/>
    </row>
    <row r="59" spans="1:11">
      <c r="A59" s="1021"/>
      <c r="B59" s="1021"/>
      <c r="C59" s="1021"/>
      <c r="D59" s="1021"/>
      <c r="E59" s="1021"/>
      <c r="F59" s="1021"/>
      <c r="G59" s="1022"/>
      <c r="H59" s="1021"/>
      <c r="I59" s="1021"/>
      <c r="J59" s="1021"/>
      <c r="K59" s="1021"/>
    </row>
    <row r="60" spans="1:11">
      <c r="A60" s="1021"/>
      <c r="B60" s="1021"/>
      <c r="C60" s="1021"/>
      <c r="D60" s="1021"/>
      <c r="E60" s="1021"/>
      <c r="F60" s="1021"/>
      <c r="G60" s="1022"/>
      <c r="H60" s="1021"/>
      <c r="I60" s="1021"/>
      <c r="J60" s="1021"/>
      <c r="K60" s="1021"/>
    </row>
  </sheetData>
  <sheetProtection algorithmName="SHA-512" hashValue="mAH3rUgf4OolfMuaGuUqhb5TcNP5ZNFn1zyCXyROEj71v1vOFtZ/esBGVGai+DPK+3uQYyVvJ95+4VEI5eZvWw==" saltValue="OCKCh1z+h9feHnGUlrMXyQ==" spinCount="100000" sheet="1" selectLockedCells="1"/>
  <mergeCells count="5">
    <mergeCell ref="B4:C4"/>
    <mergeCell ref="E4:G4"/>
    <mergeCell ref="A1:K1"/>
    <mergeCell ref="B2:I2"/>
    <mergeCell ref="D5:G5"/>
  </mergeCells>
  <dataValidations count="1">
    <dataValidation type="list" allowBlank="1" showInputMessage="1" showErrorMessage="1" sqref="C12" xr:uid="{00000000-0002-0000-0300-000000000000}">
      <formula1>$W$15:$X$15</formula1>
    </dataValidation>
  </dataValidations>
  <pageMargins left="0.75" right="0.75" top="1" bottom="1" header="0.5" footer="0.5"/>
  <pageSetup paperSize="9"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85539-1C5E-1F43-9E0E-166E63C689B0}">
  <sheetPr published="0" codeName="Foglio28"/>
  <dimension ref="A1:AB30"/>
  <sheetViews>
    <sheetView showGridLines="0" zoomScaleNormal="100" zoomScalePageLayoutView="75" workbookViewId="0">
      <selection activeCell="C12" sqref="C12"/>
    </sheetView>
  </sheetViews>
  <sheetFormatPr defaultColWidth="0" defaultRowHeight="15" zeroHeight="1"/>
  <cols>
    <col min="1" max="1" width="21.6640625" style="602" bestFit="1" customWidth="1"/>
    <col min="2" max="2" width="65.1640625" style="602" customWidth="1"/>
    <col min="3" max="3" width="26.1640625" style="602" customWidth="1"/>
    <col min="4" max="4" width="19.5" style="601" customWidth="1"/>
    <col min="5" max="5" width="35" style="601" customWidth="1"/>
    <col min="6" max="6" width="51.5" style="602" customWidth="1"/>
    <col min="7" max="7" width="44.6640625" style="602" customWidth="1"/>
    <col min="8" max="10" width="15.1640625" style="602" customWidth="1"/>
    <col min="11" max="11" width="10.6640625" style="602" customWidth="1"/>
    <col min="12" max="12" width="9" style="602" customWidth="1"/>
    <col min="13" max="19" width="9" style="1422" customWidth="1"/>
    <col min="20" max="16384" width="9" style="602" hidden="1"/>
  </cols>
  <sheetData>
    <row r="1" spans="1:19" ht="45.95" customHeight="1">
      <c r="A1" s="1728" t="s">
        <v>983</v>
      </c>
      <c r="B1" s="1728"/>
      <c r="C1" s="1728"/>
      <c r="D1" s="1728"/>
      <c r="E1" s="1728"/>
      <c r="F1" s="1728"/>
      <c r="G1" s="1728"/>
      <c r="H1" s="1728"/>
      <c r="I1" s="1728"/>
      <c r="J1" s="1728"/>
      <c r="K1" s="1030"/>
      <c r="L1" s="1036"/>
    </row>
    <row r="2" spans="1:19" ht="44.1" customHeight="1">
      <c r="B2" s="1718" t="s">
        <v>938</v>
      </c>
      <c r="C2" s="1718"/>
      <c r="D2" s="1718"/>
      <c r="E2" s="1718"/>
      <c r="F2" s="1718"/>
      <c r="G2" s="1718"/>
      <c r="H2" s="1718"/>
      <c r="I2" s="1718"/>
      <c r="J2" s="1718"/>
      <c r="K2" s="1030"/>
      <c r="L2" s="1036"/>
    </row>
    <row r="3" spans="1:19" ht="111" customHeight="1">
      <c r="B3" s="1721" t="s">
        <v>1036</v>
      </c>
      <c r="C3" s="1722"/>
      <c r="D3" s="584"/>
      <c r="E3" s="1721" t="s">
        <v>929</v>
      </c>
      <c r="F3" s="1722"/>
      <c r="G3" s="1751"/>
      <c r="H3" s="582"/>
      <c r="I3" s="582"/>
      <c r="J3" s="582"/>
      <c r="K3" s="1030"/>
      <c r="L3" s="1036"/>
    </row>
    <row r="4" spans="1:19" ht="44.1" customHeight="1">
      <c r="B4" s="764" t="s">
        <v>853</v>
      </c>
      <c r="C4" s="1424">
        <v>0</v>
      </c>
      <c r="D4" s="1271"/>
      <c r="E4" s="757" t="s">
        <v>778</v>
      </c>
      <c r="F4" s="935" t="s">
        <v>916</v>
      </c>
      <c r="G4" s="729" t="s">
        <v>1323</v>
      </c>
      <c r="H4" s="582"/>
      <c r="I4" s="582"/>
      <c r="J4" s="582"/>
      <c r="K4" s="1030"/>
      <c r="L4" s="1036"/>
    </row>
    <row r="5" spans="1:19" ht="45">
      <c r="B5" s="764" t="s">
        <v>1321</v>
      </c>
      <c r="C5" s="768">
        <f>C4*Months</f>
        <v>0</v>
      </c>
      <c r="D5" s="1271"/>
      <c r="E5" s="749" t="s">
        <v>777</v>
      </c>
      <c r="F5" s="1401">
        <v>0</v>
      </c>
      <c r="G5" s="758">
        <f>Epidemiology!$B$14*F5</f>
        <v>0</v>
      </c>
      <c r="H5" s="582"/>
      <c r="I5" s="582"/>
      <c r="J5" s="582"/>
      <c r="K5" s="1030"/>
      <c r="L5" s="1036"/>
    </row>
    <row r="6" spans="1:19" ht="44.1" customHeight="1">
      <c r="B6" s="1270"/>
      <c r="C6" s="1271"/>
      <c r="D6" s="1271"/>
      <c r="E6" s="1303" t="s">
        <v>977</v>
      </c>
      <c r="F6" s="1401">
        <v>0</v>
      </c>
      <c r="G6" s="758">
        <f>(Epidemiology!$E$7+Epidemiology!$B$8)*F6*Epidemiology!B16</f>
        <v>0</v>
      </c>
      <c r="H6" s="582"/>
      <c r="I6" s="582"/>
      <c r="J6" s="582"/>
      <c r="K6" s="1030"/>
      <c r="L6" s="1036"/>
    </row>
    <row r="7" spans="1:19" ht="44.1" customHeight="1">
      <c r="B7" s="1270"/>
      <c r="C7" s="1271"/>
      <c r="D7" s="1271"/>
      <c r="E7" s="1752" t="s">
        <v>1322</v>
      </c>
      <c r="F7" s="1752"/>
      <c r="G7" s="758">
        <f>SUM(G5:G6)</f>
        <v>0</v>
      </c>
      <c r="H7" s="582"/>
      <c r="I7" s="582"/>
      <c r="J7" s="582"/>
      <c r="K7" s="1030"/>
      <c r="L7" s="1036"/>
    </row>
    <row r="8" spans="1:19" ht="44.1" customHeight="1">
      <c r="B8" s="1270"/>
      <c r="C8" s="1271"/>
      <c r="D8" s="1271"/>
      <c r="E8" s="1271"/>
      <c r="F8" s="1271"/>
      <c r="G8" s="1271"/>
      <c r="H8" s="582"/>
      <c r="I8" s="582"/>
      <c r="J8" s="582"/>
      <c r="K8" s="1030"/>
      <c r="L8" s="1036"/>
    </row>
    <row r="9" spans="1:19" s="759" customFormat="1" ht="24.95" customHeight="1">
      <c r="B9" s="766"/>
      <c r="C9" s="767"/>
      <c r="D9" s="767"/>
      <c r="E9" s="767"/>
      <c r="F9" s="767"/>
      <c r="G9" s="767"/>
      <c r="H9" s="695"/>
      <c r="I9" s="695"/>
      <c r="J9" s="695"/>
      <c r="K9" s="1030"/>
      <c r="L9" s="1036"/>
      <c r="M9" s="1423"/>
      <c r="N9" s="1423"/>
      <c r="O9" s="1423"/>
      <c r="P9" s="1423"/>
      <c r="Q9" s="1423"/>
      <c r="R9" s="1423"/>
      <c r="S9" s="1423"/>
    </row>
    <row r="10" spans="1:19" s="759" customFormat="1" ht="27.95" customHeight="1">
      <c r="B10" s="766"/>
      <c r="C10" s="767"/>
      <c r="D10" s="767"/>
      <c r="E10" s="767"/>
      <c r="F10" s="767"/>
      <c r="G10" s="767"/>
      <c r="H10" s="695"/>
      <c r="I10" s="695"/>
      <c r="J10" s="695"/>
      <c r="K10" s="1030"/>
      <c r="L10" s="1036"/>
      <c r="M10" s="1423"/>
      <c r="N10" s="1423"/>
      <c r="O10" s="1423"/>
      <c r="P10" s="1423"/>
      <c r="Q10" s="1423"/>
      <c r="R10" s="1423"/>
      <c r="S10" s="1423"/>
    </row>
    <row r="11" spans="1:19" ht="51" customHeight="1">
      <c r="B11" s="724"/>
      <c r="C11" s="1243"/>
      <c r="D11" s="1243"/>
      <c r="E11" s="1244"/>
      <c r="F11" s="1244"/>
      <c r="G11" s="725"/>
      <c r="H11" s="795"/>
      <c r="I11" s="1321"/>
      <c r="J11" s="1321"/>
      <c r="K11" s="1037"/>
      <c r="L11" s="1038"/>
    </row>
    <row r="12" spans="1:19" ht="51" customHeight="1">
      <c r="B12" s="1330" t="s">
        <v>1324</v>
      </c>
      <c r="C12" s="1405">
        <v>0</v>
      </c>
      <c r="D12" s="1243"/>
      <c r="E12" s="1244"/>
      <c r="F12" s="1244"/>
      <c r="G12" s="725"/>
      <c r="H12" s="754"/>
      <c r="I12" s="755"/>
      <c r="J12" s="756"/>
      <c r="K12" s="1039"/>
      <c r="L12" s="1038"/>
    </row>
    <row r="13" spans="1:19" ht="51" customHeight="1">
      <c r="B13" s="1334" t="s">
        <v>941</v>
      </c>
      <c r="C13" s="1406">
        <v>0</v>
      </c>
      <c r="D13" s="1243"/>
      <c r="E13" s="1244"/>
      <c r="F13" s="1244"/>
      <c r="G13" s="725"/>
      <c r="H13" s="754"/>
      <c r="I13" s="755"/>
      <c r="J13" s="495"/>
      <c r="K13" s="1031"/>
      <c r="L13" s="1038"/>
    </row>
    <row r="14" spans="1:19" ht="51" customHeight="1">
      <c r="B14" s="1293" t="s">
        <v>890</v>
      </c>
      <c r="C14" s="1408">
        <v>0</v>
      </c>
      <c r="D14" s="1243"/>
      <c r="E14" s="1244"/>
      <c r="F14" s="1244"/>
      <c r="G14" s="725"/>
      <c r="H14" s="754"/>
      <c r="I14" s="755"/>
      <c r="J14" s="495"/>
      <c r="K14" s="1031"/>
      <c r="L14" s="1038"/>
    </row>
    <row r="15" spans="1:19" ht="51" customHeight="1">
      <c r="B15" s="1331" t="s">
        <v>1325</v>
      </c>
      <c r="C15" s="702">
        <f>((C12*C13)+C12)</f>
        <v>0</v>
      </c>
      <c r="D15" s="1245"/>
      <c r="E15" s="1246"/>
      <c r="F15" s="1246"/>
      <c r="G15" s="725"/>
      <c r="H15" s="754"/>
      <c r="I15" s="755"/>
      <c r="J15" s="495"/>
      <c r="K15" s="1031"/>
      <c r="L15" s="1038"/>
    </row>
    <row r="16" spans="1:19" ht="51" customHeight="1">
      <c r="B16" s="1675" t="s">
        <v>1424</v>
      </c>
      <c r="C16" s="702">
        <f>((C12*C13)+C12)-C14</f>
        <v>0</v>
      </c>
      <c r="D16" s="1245"/>
      <c r="E16" s="1246"/>
      <c r="F16" s="1246"/>
      <c r="G16" s="725"/>
      <c r="H16" s="754"/>
      <c r="I16" s="755"/>
      <c r="J16" s="495"/>
      <c r="K16" s="1031"/>
      <c r="L16" s="1038"/>
    </row>
    <row r="17" spans="1:28" ht="51" customHeight="1" thickBot="1">
      <c r="B17" s="1240"/>
      <c r="C17" s="1241"/>
      <c r="D17" s="1241"/>
      <c r="E17" s="1242"/>
      <c r="F17" s="1242"/>
      <c r="G17" s="725"/>
      <c r="H17" s="741"/>
      <c r="I17" s="741"/>
      <c r="J17" s="495"/>
      <c r="K17" s="1031"/>
      <c r="L17" s="1038"/>
    </row>
    <row r="18" spans="1:28" ht="32.1" customHeight="1">
      <c r="A18" s="703" t="s">
        <v>614</v>
      </c>
      <c r="B18" s="592" t="s">
        <v>923</v>
      </c>
      <c r="C18" s="591" t="s">
        <v>946</v>
      </c>
      <c r="D18" s="591" t="s">
        <v>943</v>
      </c>
      <c r="E18" s="591" t="s">
        <v>433</v>
      </c>
      <c r="F18" s="593" t="s">
        <v>79</v>
      </c>
      <c r="G18" s="483"/>
      <c r="H18" s="483"/>
      <c r="I18" s="483"/>
      <c r="J18" s="379"/>
      <c r="K18" s="1036"/>
      <c r="L18" s="1036"/>
      <c r="V18" s="673"/>
      <c r="W18" s="674"/>
      <c r="X18" s="674"/>
      <c r="Y18" s="674"/>
      <c r="Z18" s="674"/>
      <c r="AA18" s="674"/>
      <c r="AB18" s="675"/>
    </row>
    <row r="19" spans="1:28" ht="20.100000000000001" customHeight="1">
      <c r="A19" s="714"/>
      <c r="B19" s="594" t="s">
        <v>854</v>
      </c>
      <c r="C19" s="595">
        <v>10</v>
      </c>
      <c r="D19" s="596">
        <f>ROUNDUP((C16/C19),0)</f>
        <v>0</v>
      </c>
      <c r="E19" s="704">
        <v>198</v>
      </c>
      <c r="F19" s="705"/>
      <c r="G19" s="483"/>
      <c r="H19" s="483"/>
      <c r="I19" s="483"/>
      <c r="K19" s="1036"/>
      <c r="L19" s="1036"/>
      <c r="V19" s="673"/>
      <c r="W19" s="674"/>
      <c r="X19" s="674"/>
      <c r="Y19" s="674"/>
      <c r="Z19" s="674"/>
      <c r="AA19" s="674"/>
      <c r="AB19" s="675"/>
    </row>
    <row r="20" spans="1:28" ht="31.5">
      <c r="A20" s="714">
        <v>106340</v>
      </c>
      <c r="B20" s="1316" t="s">
        <v>978</v>
      </c>
      <c r="C20" s="706">
        <v>500</v>
      </c>
      <c r="D20" s="1415">
        <v>0</v>
      </c>
      <c r="E20" s="707">
        <v>45</v>
      </c>
      <c r="F20" s="708" t="s">
        <v>1326</v>
      </c>
      <c r="G20" s="1247"/>
      <c r="H20" s="1247"/>
      <c r="I20" s="483"/>
      <c r="K20" s="1036"/>
      <c r="L20" s="1036"/>
      <c r="V20" s="673"/>
      <c r="W20" s="674"/>
      <c r="X20" s="674"/>
      <c r="Y20" s="674"/>
      <c r="Z20" s="674"/>
      <c r="AA20" s="674"/>
      <c r="AB20" s="675"/>
    </row>
    <row r="21" spans="1:28" ht="16.5" thickBot="1">
      <c r="A21" s="715">
        <v>106525</v>
      </c>
      <c r="B21" s="709" t="s">
        <v>972</v>
      </c>
      <c r="C21" s="710">
        <v>1000</v>
      </c>
      <c r="D21" s="711">
        <f>ROUNDUP(((C16*1.1)/C21),0)</f>
        <v>0</v>
      </c>
      <c r="E21" s="712">
        <v>83.3</v>
      </c>
      <c r="F21" s="713"/>
      <c r="G21" s="1250"/>
      <c r="H21" s="1238"/>
      <c r="I21" s="483"/>
      <c r="K21" s="1036"/>
      <c r="L21" s="1036"/>
      <c r="V21" s="673"/>
      <c r="W21" s="674"/>
      <c r="X21" s="674"/>
      <c r="Y21" s="674"/>
      <c r="Z21" s="674"/>
      <c r="AA21" s="674"/>
      <c r="AB21" s="675"/>
    </row>
    <row r="22" spans="1:28">
      <c r="A22" s="483"/>
      <c r="B22" s="1319"/>
      <c r="C22" s="1238"/>
      <c r="D22" s="483"/>
      <c r="E22" s="1248"/>
      <c r="F22" s="1249"/>
      <c r="G22" s="1250"/>
      <c r="H22" s="1238"/>
      <c r="I22" s="483"/>
      <c r="K22" s="1036"/>
      <c r="L22" s="1036"/>
      <c r="V22" s="673"/>
      <c r="W22" s="674"/>
      <c r="X22" s="674"/>
      <c r="Y22" s="674"/>
      <c r="Z22" s="674"/>
      <c r="AA22" s="674"/>
      <c r="AB22" s="675"/>
    </row>
    <row r="23" spans="1:28" ht="25.35" customHeight="1" thickBot="1">
      <c r="B23" s="379"/>
      <c r="C23" s="379"/>
      <c r="D23" s="1320"/>
      <c r="E23" s="1320"/>
      <c r="F23" s="622"/>
      <c r="G23" s="1320"/>
      <c r="H23" s="379"/>
      <c r="K23" s="1036"/>
      <c r="L23" s="1036"/>
    </row>
    <row r="24" spans="1:28" ht="15.95" customHeight="1">
      <c r="B24" s="379"/>
      <c r="C24" s="1749" t="s">
        <v>506</v>
      </c>
      <c r="D24" s="1750"/>
      <c r="E24" s="919" t="s">
        <v>931</v>
      </c>
      <c r="F24" s="483"/>
      <c r="G24" s="603"/>
      <c r="K24" s="1036"/>
      <c r="L24" s="1036"/>
    </row>
    <row r="25" spans="1:28" ht="25.35" customHeight="1">
      <c r="B25" s="379"/>
      <c r="C25" s="561" t="s">
        <v>1327</v>
      </c>
      <c r="D25" s="380"/>
      <c r="E25" s="623" cm="1">
        <f t="array" ref="E25">SUMPRODUCT(D19:D21*E19:E21)</f>
        <v>0</v>
      </c>
      <c r="F25" s="603"/>
      <c r="G25" s="603"/>
      <c r="K25" s="1036"/>
      <c r="L25" s="1036"/>
    </row>
    <row r="26" spans="1:28" ht="25.35" customHeight="1" thickBot="1">
      <c r="C26" s="562" t="s">
        <v>855</v>
      </c>
      <c r="D26" s="563"/>
      <c r="E26" s="1425" t="str">
        <f>IF(C16=0,"-",(E25/C16))</f>
        <v>-</v>
      </c>
      <c r="K26" s="1036"/>
      <c r="L26" s="1036"/>
    </row>
    <row r="27" spans="1:28">
      <c r="K27" s="1036"/>
      <c r="L27" s="1036"/>
    </row>
    <row r="28" spans="1:28">
      <c r="A28" s="1036"/>
      <c r="B28" s="1036"/>
      <c r="C28" s="1036"/>
      <c r="D28" s="1041"/>
      <c r="E28" s="1041"/>
      <c r="F28" s="1036"/>
      <c r="G28" s="1036"/>
      <c r="H28" s="1036"/>
      <c r="I28" s="1036"/>
      <c r="J28" s="1036"/>
      <c r="K28" s="1036"/>
      <c r="L28" s="1036"/>
    </row>
    <row r="29" spans="1:28">
      <c r="A29" s="1036"/>
      <c r="B29" s="1036"/>
      <c r="C29" s="1036"/>
      <c r="D29" s="1041"/>
      <c r="E29" s="1041"/>
      <c r="F29" s="1036"/>
      <c r="G29" s="1036"/>
      <c r="H29" s="1036"/>
      <c r="I29" s="1036"/>
      <c r="J29" s="1036"/>
      <c r="K29" s="1036"/>
      <c r="L29" s="1036"/>
    </row>
    <row r="30" spans="1:28">
      <c r="A30" s="1036"/>
      <c r="B30" s="1036"/>
      <c r="C30" s="1036"/>
      <c r="D30" s="1041"/>
      <c r="E30" s="1041"/>
      <c r="F30" s="1036"/>
      <c r="G30" s="1036"/>
      <c r="H30" s="1036"/>
      <c r="I30" s="1036"/>
      <c r="J30" s="1036"/>
      <c r="K30" s="1036"/>
      <c r="L30" s="1036"/>
    </row>
  </sheetData>
  <sheetProtection algorithmName="SHA-512" hashValue="H5EFKRt26HDGkTtiSRY8FU/gw/38q1mG6ABbbs4Q0BW+NM0KsRJXBlDZrIjq4NYpRogWaH+7u9rRxl1le25cSw==" saltValue="Gcg/7ciiIS+Ze4D7S9h6ZQ==" spinCount="100000" sheet="1" selectLockedCells="1"/>
  <mergeCells count="6">
    <mergeCell ref="C24:D24"/>
    <mergeCell ref="A1:J1"/>
    <mergeCell ref="B2:J2"/>
    <mergeCell ref="B3:C3"/>
    <mergeCell ref="E3:G3"/>
    <mergeCell ref="E7:F7"/>
  </mergeCells>
  <printOptions gridLines="1"/>
  <pageMargins left="0.7" right="0.7" top="0.75" bottom="0.75" header="0.3" footer="0.3"/>
  <pageSetup paperSize="9" orientation="portrait" horizontalDpi="4294967292" verticalDpi="429496729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ublished="0" codeName="Foglio9"/>
  <dimension ref="A1:AB61"/>
  <sheetViews>
    <sheetView showGridLines="0" zoomScale="89" zoomScaleNormal="70" zoomScalePageLayoutView="75" workbookViewId="0">
      <selection activeCell="C4" sqref="C4"/>
    </sheetView>
  </sheetViews>
  <sheetFormatPr defaultColWidth="0" defaultRowHeight="15" zeroHeight="1"/>
  <cols>
    <col min="1" max="1" width="14.6640625" style="1428" customWidth="1"/>
    <col min="2" max="2" width="63" style="1428" customWidth="1"/>
    <col min="3" max="3" width="41.1640625" style="1428" customWidth="1"/>
    <col min="4" max="4" width="16.1640625" style="1530" customWidth="1"/>
    <col min="5" max="5" width="35" style="1530" customWidth="1"/>
    <col min="6" max="6" width="37.5" style="1428" customWidth="1"/>
    <col min="7" max="7" width="40.1640625" style="1428" customWidth="1"/>
    <col min="8" max="8" width="37" style="1428" customWidth="1"/>
    <col min="9" max="9" width="16.6640625" style="1428" customWidth="1"/>
    <col min="10" max="10" width="7.1640625" style="1428" customWidth="1"/>
    <col min="11" max="11" width="10.6640625" style="1428" customWidth="1"/>
    <col min="12" max="12" width="9" style="1428" customWidth="1"/>
    <col min="13" max="20" width="9" style="1422" customWidth="1"/>
    <col min="21" max="16384" width="9" style="1428" hidden="1"/>
  </cols>
  <sheetData>
    <row r="1" spans="1:20" ht="45.95" customHeight="1">
      <c r="A1" s="1703" t="s">
        <v>984</v>
      </c>
      <c r="B1" s="1703"/>
      <c r="C1" s="1703"/>
      <c r="D1" s="1703"/>
      <c r="E1" s="1703"/>
      <c r="F1" s="1703"/>
      <c r="G1" s="1703"/>
      <c r="H1" s="1703"/>
      <c r="I1" s="1703"/>
      <c r="J1" s="1703"/>
      <c r="K1" s="1426"/>
      <c r="L1" s="1427"/>
    </row>
    <row r="2" spans="1:20" ht="44.1" customHeight="1">
      <c r="B2" s="1753" t="s">
        <v>938</v>
      </c>
      <c r="C2" s="1753"/>
      <c r="D2" s="1753"/>
      <c r="E2" s="1753"/>
      <c r="F2" s="1753"/>
      <c r="G2" s="1753"/>
      <c r="H2" s="1753"/>
      <c r="I2" s="1753"/>
      <c r="J2" s="1753"/>
      <c r="K2" s="1426"/>
      <c r="L2" s="1427"/>
    </row>
    <row r="3" spans="1:20" ht="111" customHeight="1">
      <c r="B3" s="1783" t="s">
        <v>793</v>
      </c>
      <c r="C3" s="1784"/>
      <c r="D3" s="1429"/>
      <c r="E3" s="1783" t="s">
        <v>929</v>
      </c>
      <c r="F3" s="1784"/>
      <c r="G3" s="1785"/>
      <c r="H3" s="1430"/>
      <c r="I3" s="1430"/>
      <c r="J3" s="1430"/>
      <c r="K3" s="1426"/>
      <c r="L3" s="1427"/>
    </row>
    <row r="4" spans="1:20" ht="44.1" customHeight="1">
      <c r="B4" s="1431" t="s">
        <v>988</v>
      </c>
      <c r="C4" s="1424">
        <v>0</v>
      </c>
      <c r="D4" s="1432"/>
      <c r="E4" s="1433" t="s">
        <v>778</v>
      </c>
      <c r="F4" s="1434" t="s">
        <v>916</v>
      </c>
      <c r="G4" s="1435" t="s">
        <v>1329</v>
      </c>
      <c r="H4" s="1430"/>
      <c r="I4" s="1430"/>
      <c r="J4" s="1430"/>
      <c r="K4" s="1426"/>
      <c r="L4" s="1427"/>
    </row>
    <row r="5" spans="1:20" ht="75">
      <c r="B5" s="1431" t="s">
        <v>1328</v>
      </c>
      <c r="C5" s="1436">
        <f>C4*Months</f>
        <v>0</v>
      </c>
      <c r="D5" s="1432"/>
      <c r="E5" s="1437" t="s">
        <v>948</v>
      </c>
      <c r="F5" s="1401">
        <v>0</v>
      </c>
      <c r="G5" s="1438">
        <f>ROUND(Epidemiology!C7-((Epidemiology!B9*Epidemiology!B10)+(Epidemiology!E7+Epidemiology!B8+Epidemiology!B14)+(Epidemiology!E11*Epidemiology!E10*Epidemiology!C4)+(Epidemiology!C7*Epidemiology!B10)),-2)*F5</f>
        <v>0</v>
      </c>
      <c r="H5" s="1430"/>
      <c r="I5" s="1430"/>
      <c r="J5" s="1430"/>
      <c r="K5" s="1426"/>
      <c r="L5" s="1427"/>
    </row>
    <row r="6" spans="1:20" ht="44.1" customHeight="1">
      <c r="B6" s="1439"/>
      <c r="C6" s="1432"/>
      <c r="D6" s="1432"/>
      <c r="E6" s="1786" t="s">
        <v>1330</v>
      </c>
      <c r="F6" s="1786"/>
      <c r="G6" s="1438">
        <f>SUM(G5:G5)</f>
        <v>0</v>
      </c>
      <c r="H6" s="1430"/>
      <c r="I6" s="1430"/>
      <c r="J6" s="1430"/>
      <c r="K6" s="1426"/>
      <c r="L6" s="1427"/>
    </row>
    <row r="7" spans="1:20" ht="44.1" customHeight="1">
      <c r="B7" s="1439"/>
      <c r="C7" s="1432"/>
      <c r="D7" s="1432"/>
      <c r="E7" s="1432"/>
      <c r="F7" s="1432"/>
      <c r="G7" s="1432"/>
      <c r="H7" s="1430"/>
      <c r="I7" s="1430"/>
      <c r="J7" s="1430"/>
      <c r="K7" s="1426"/>
      <c r="L7" s="1427"/>
    </row>
    <row r="8" spans="1:20" s="1534" customFormat="1" ht="24.95" customHeight="1">
      <c r="A8" s="1440"/>
      <c r="B8" s="1441"/>
      <c r="C8" s="1442"/>
      <c r="D8" s="1442"/>
      <c r="E8" s="1442"/>
      <c r="F8" s="1442"/>
      <c r="G8" s="1442"/>
      <c r="H8" s="1443"/>
      <c r="I8" s="1443"/>
      <c r="J8" s="1443"/>
      <c r="K8" s="1426"/>
      <c r="L8" s="1427"/>
      <c r="M8" s="1423"/>
      <c r="N8" s="1423"/>
      <c r="O8" s="1423"/>
      <c r="P8" s="1423"/>
      <c r="Q8" s="1423"/>
      <c r="R8" s="1423"/>
      <c r="S8" s="1423"/>
      <c r="T8" s="1548"/>
    </row>
    <row r="9" spans="1:20" s="1534" customFormat="1" ht="27.95" customHeight="1">
      <c r="A9" s="1440"/>
      <c r="B9" s="1441"/>
      <c r="C9" s="1442"/>
      <c r="D9" s="1442"/>
      <c r="E9" s="1442"/>
      <c r="F9" s="1442"/>
      <c r="G9" s="1442"/>
      <c r="H9" s="1443"/>
      <c r="I9" s="1443"/>
      <c r="J9" s="1443"/>
      <c r="K9" s="1426"/>
      <c r="L9" s="1427"/>
      <c r="M9" s="1423"/>
      <c r="N9" s="1423"/>
      <c r="O9" s="1423"/>
      <c r="P9" s="1423"/>
      <c r="Q9" s="1423"/>
      <c r="R9" s="1423"/>
      <c r="S9" s="1423"/>
      <c r="T9" s="1548"/>
    </row>
    <row r="10" spans="1:20" ht="44.1" customHeight="1">
      <c r="B10" s="1439"/>
      <c r="C10" s="1432"/>
      <c r="D10" s="1432"/>
      <c r="E10" s="1445"/>
      <c r="F10" s="1445"/>
      <c r="G10" s="1445"/>
      <c r="H10" s="1430"/>
      <c r="I10" s="1430"/>
      <c r="J10" s="1430"/>
      <c r="K10" s="1426"/>
      <c r="L10" s="1427"/>
    </row>
    <row r="11" spans="1:20" ht="44.1" customHeight="1">
      <c r="B11" s="1446" t="s">
        <v>989</v>
      </c>
      <c r="C11" s="1532" t="s">
        <v>856</v>
      </c>
      <c r="D11" s="1447" t="s">
        <v>0</v>
      </c>
      <c r="E11" s="1445"/>
      <c r="F11" s="1445"/>
      <c r="G11" s="1445"/>
      <c r="H11" s="1430"/>
      <c r="I11" s="1430"/>
      <c r="J11" s="1430"/>
      <c r="K11" s="1426"/>
      <c r="L11" s="1427"/>
    </row>
    <row r="12" spans="1:20" ht="44.1" customHeight="1">
      <c r="B12" s="1439"/>
      <c r="C12" s="1432"/>
      <c r="D12" s="1432"/>
      <c r="E12" s="1445"/>
      <c r="F12" s="1445"/>
      <c r="G12" s="1445"/>
      <c r="H12" s="1430"/>
      <c r="I12" s="1430"/>
      <c r="J12" s="1430"/>
      <c r="K12" s="1426"/>
      <c r="L12" s="1427"/>
    </row>
    <row r="13" spans="1:20" ht="51" customHeight="1">
      <c r="B13" s="1448" t="s">
        <v>1331</v>
      </c>
      <c r="C13" s="1766">
        <v>0</v>
      </c>
      <c r="D13" s="1766"/>
      <c r="E13" s="1757" t="s">
        <v>991</v>
      </c>
      <c r="F13" s="1758"/>
      <c r="G13" s="1449"/>
      <c r="H13" s="1450"/>
      <c r="I13" s="1451"/>
      <c r="J13" s="1451"/>
      <c r="K13" s="1452"/>
      <c r="L13" s="1453"/>
    </row>
    <row r="14" spans="1:20" ht="51" customHeight="1">
      <c r="B14" s="1448" t="s">
        <v>1037</v>
      </c>
      <c r="C14" s="1766">
        <v>0</v>
      </c>
      <c r="D14" s="1766"/>
      <c r="E14" s="1757" t="s">
        <v>991</v>
      </c>
      <c r="F14" s="1758"/>
      <c r="G14" s="1449"/>
      <c r="H14" s="1454"/>
      <c r="I14" s="1455"/>
      <c r="J14" s="1456"/>
      <c r="K14" s="1457"/>
      <c r="L14" s="1453"/>
    </row>
    <row r="15" spans="1:20" ht="51" customHeight="1">
      <c r="B15" s="1448" t="s">
        <v>728</v>
      </c>
      <c r="C15" s="1766">
        <v>0</v>
      </c>
      <c r="D15" s="1766"/>
      <c r="E15" s="1757" t="s">
        <v>991</v>
      </c>
      <c r="F15" s="1758"/>
      <c r="G15" s="1449"/>
      <c r="H15" s="1454"/>
      <c r="I15" s="1455"/>
      <c r="J15" s="1458"/>
      <c r="K15" s="1459"/>
      <c r="L15" s="1453"/>
    </row>
    <row r="16" spans="1:20" ht="51" customHeight="1">
      <c r="B16" s="1460" t="s">
        <v>992</v>
      </c>
      <c r="C16" s="1762">
        <v>0</v>
      </c>
      <c r="D16" s="1763"/>
      <c r="E16" s="1764"/>
      <c r="F16" s="1765"/>
      <c r="G16" s="1449"/>
      <c r="H16" s="1454"/>
      <c r="I16" s="1455"/>
      <c r="J16" s="1458"/>
      <c r="K16" s="1459"/>
      <c r="L16" s="1453"/>
    </row>
    <row r="17" spans="2:28" ht="51" customHeight="1">
      <c r="B17" s="1460" t="s">
        <v>21</v>
      </c>
      <c r="C17" s="1780">
        <f>C14+C15</f>
        <v>0</v>
      </c>
      <c r="D17" s="1780"/>
      <c r="E17" s="1776"/>
      <c r="F17" s="1776"/>
      <c r="G17" s="1449"/>
      <c r="H17" s="1461"/>
      <c r="I17" s="1461"/>
      <c r="J17" s="1458"/>
      <c r="K17" s="1459"/>
      <c r="L17" s="1453"/>
    </row>
    <row r="18" spans="2:28" ht="51" customHeight="1">
      <c r="B18" s="1460" t="s">
        <v>1300</v>
      </c>
      <c r="C18" s="1755">
        <f>IF(C14=0,0,C16/C14)</f>
        <v>0</v>
      </c>
      <c r="D18" s="1755"/>
      <c r="E18" s="1759"/>
      <c r="F18" s="1760"/>
      <c r="G18" s="1462"/>
      <c r="K18" s="1427"/>
      <c r="L18" s="1427"/>
    </row>
    <row r="19" spans="2:28" ht="51" customHeight="1">
      <c r="B19" s="1460" t="s">
        <v>1332</v>
      </c>
      <c r="C19" s="1756">
        <f>IF(C17=0,0,C18*C17)</f>
        <v>0</v>
      </c>
      <c r="D19" s="1756"/>
      <c r="E19" s="1761"/>
      <c r="F19" s="1761"/>
      <c r="K19" s="1427"/>
      <c r="L19" s="1427"/>
    </row>
    <row r="20" spans="2:28" ht="15.95" customHeight="1">
      <c r="B20" s="1463" t="s">
        <v>993</v>
      </c>
      <c r="C20" s="1767">
        <v>0</v>
      </c>
      <c r="D20" s="1768"/>
      <c r="E20" s="1464"/>
      <c r="F20" s="1769"/>
      <c r="K20" s="1427"/>
      <c r="L20" s="1427"/>
    </row>
    <row r="21" spans="2:28" ht="15.75" thickBot="1">
      <c r="B21" s="1465" t="s">
        <v>729</v>
      </c>
      <c r="C21" s="1770">
        <v>1</v>
      </c>
      <c r="D21" s="1771"/>
      <c r="E21" s="1464"/>
      <c r="F21" s="1769"/>
      <c r="K21" s="1427"/>
      <c r="L21" s="1427"/>
      <c r="V21" s="1774" t="s">
        <v>749</v>
      </c>
      <c r="W21" s="1774"/>
      <c r="X21" s="1774"/>
      <c r="Y21" s="1774"/>
      <c r="Z21" s="1774"/>
      <c r="AA21" s="1774"/>
      <c r="AB21" s="1774"/>
    </row>
    <row r="22" spans="2:28">
      <c r="B22" s="1465" t="s">
        <v>730</v>
      </c>
      <c r="C22" s="1775" t="s">
        <v>63</v>
      </c>
      <c r="D22" s="1775"/>
      <c r="E22" s="1466" t="s">
        <v>0</v>
      </c>
      <c r="F22" s="1769"/>
      <c r="K22" s="1427"/>
      <c r="L22" s="1427"/>
      <c r="V22" s="1467"/>
      <c r="W22" s="1468" t="s">
        <v>63</v>
      </c>
      <c r="X22" s="1468" t="s">
        <v>64</v>
      </c>
      <c r="Y22" s="1468"/>
      <c r="Z22" s="1468"/>
      <c r="AA22" s="1468"/>
      <c r="AB22" s="1469"/>
    </row>
    <row r="23" spans="2:28">
      <c r="B23" s="1465" t="s">
        <v>751</v>
      </c>
      <c r="C23" s="1777" t="s">
        <v>745</v>
      </c>
      <c r="D23" s="1778"/>
      <c r="E23" s="1466" t="s">
        <v>0</v>
      </c>
      <c r="F23" s="1769"/>
      <c r="K23" s="1427"/>
      <c r="L23" s="1427"/>
      <c r="V23" s="1470"/>
      <c r="W23" s="1471"/>
      <c r="X23" s="1471"/>
      <c r="Y23" s="1471"/>
      <c r="Z23" s="1471"/>
      <c r="AA23" s="1471"/>
      <c r="AB23" s="1472"/>
    </row>
    <row r="24" spans="2:28" ht="33" customHeight="1">
      <c r="B24" s="1463" t="s">
        <v>994</v>
      </c>
      <c r="C24" s="1775" t="s">
        <v>747</v>
      </c>
      <c r="D24" s="1775"/>
      <c r="E24" s="1466" t="s">
        <v>0</v>
      </c>
      <c r="F24" s="1769"/>
      <c r="K24" s="1427"/>
      <c r="L24" s="1427"/>
      <c r="V24" s="1470"/>
      <c r="W24" s="1473" t="s">
        <v>747</v>
      </c>
      <c r="X24" s="1473" t="s">
        <v>748</v>
      </c>
      <c r="Y24" s="1471"/>
      <c r="Z24" s="1471"/>
      <c r="AA24" s="1471"/>
      <c r="AB24" s="1472"/>
    </row>
    <row r="25" spans="2:28" ht="33" customHeight="1">
      <c r="B25" s="1474" t="s">
        <v>890</v>
      </c>
      <c r="C25" s="1779">
        <v>0</v>
      </c>
      <c r="D25" s="1779"/>
      <c r="E25" s="1475"/>
      <c r="F25" s="1476"/>
      <c r="K25" s="1427"/>
      <c r="L25" s="1427"/>
      <c r="V25" s="1470"/>
      <c r="W25" s="1473"/>
      <c r="X25" s="1473"/>
      <c r="Y25" s="1471"/>
      <c r="Z25" s="1471"/>
      <c r="AA25" s="1471"/>
      <c r="AB25" s="1472"/>
    </row>
    <row r="26" spans="2:28" ht="15.95" customHeight="1">
      <c r="B26" s="1477" t="s">
        <v>1057</v>
      </c>
      <c r="C26" s="1754">
        <f>ROUNDUP(C19+(C19*repet)+C21*C18,0)</f>
        <v>0</v>
      </c>
      <c r="D26" s="1754"/>
      <c r="E26" s="1428"/>
      <c r="G26" s="1462"/>
      <c r="H26" s="1462"/>
      <c r="I26" s="1462"/>
      <c r="J26" s="1462"/>
      <c r="K26" s="1427"/>
      <c r="L26" s="1427"/>
      <c r="V26" s="1470"/>
      <c r="W26" s="1471" t="s">
        <v>858</v>
      </c>
      <c r="X26" s="1471"/>
      <c r="Y26" s="1471"/>
      <c r="Z26" s="1471"/>
      <c r="AA26" s="1471"/>
      <c r="AB26" s="1472"/>
    </row>
    <row r="27" spans="2:28" ht="32.1" customHeight="1">
      <c r="B27" s="1477" t="s">
        <v>1413</v>
      </c>
      <c r="C27" s="1754">
        <f>IF(C25=0,(ROUNDUP(C19+(C19*repet)+C21*C18,0)),(ROUNDUP(C19+(C19*repet)+C21*C18,0))-C25)</f>
        <v>0</v>
      </c>
      <c r="D27" s="1754"/>
      <c r="E27" s="1428"/>
      <c r="G27" s="1478"/>
      <c r="H27" s="1478"/>
      <c r="I27" s="1478"/>
      <c r="J27" s="1478"/>
      <c r="K27" s="1427"/>
      <c r="L27" s="1427"/>
      <c r="V27" s="1470"/>
      <c r="W27" s="1471" t="s">
        <v>856</v>
      </c>
      <c r="X27" s="1471"/>
      <c r="Y27" s="1471"/>
      <c r="Z27" s="1471"/>
      <c r="AA27" s="1471"/>
      <c r="AB27" s="1472"/>
    </row>
    <row r="28" spans="2:28" ht="20.100000000000001" customHeight="1" thickBot="1">
      <c r="D28" s="1428"/>
      <c r="E28" s="1428"/>
      <c r="K28" s="1427"/>
      <c r="L28" s="1427"/>
      <c r="V28" s="1470"/>
      <c r="W28" s="1471" t="s">
        <v>857</v>
      </c>
      <c r="X28" s="1471"/>
      <c r="Y28" s="1471"/>
      <c r="Z28" s="1471"/>
      <c r="AA28" s="1471"/>
      <c r="AB28" s="1472"/>
    </row>
    <row r="29" spans="2:28">
      <c r="B29" s="1479" t="s">
        <v>614</v>
      </c>
      <c r="C29" s="1479" t="s">
        <v>923</v>
      </c>
      <c r="D29" s="1480" t="s">
        <v>946</v>
      </c>
      <c r="E29" s="1480" t="s">
        <v>945</v>
      </c>
      <c r="F29" s="1481" t="s">
        <v>433</v>
      </c>
      <c r="G29" s="1482" t="s">
        <v>79</v>
      </c>
      <c r="H29" s="1483" t="s">
        <v>995</v>
      </c>
      <c r="K29" s="1427"/>
      <c r="L29" s="1427"/>
      <c r="V29" s="1470"/>
      <c r="W29" s="1471"/>
      <c r="X29" s="1471"/>
      <c r="Y29" s="1471"/>
      <c r="Z29" s="1471"/>
      <c r="AA29" s="1471"/>
      <c r="AB29" s="1472"/>
    </row>
    <row r="30" spans="2:28">
      <c r="B30" s="1484">
        <v>106682</v>
      </c>
      <c r="C30" s="1485" t="s">
        <v>857</v>
      </c>
      <c r="D30" s="1484">
        <v>20</v>
      </c>
      <c r="E30" s="1484">
        <f>IF(C11=W28,ROUNDUP(C27/unit_pack,0),0)</f>
        <v>0</v>
      </c>
      <c r="F30" s="1486">
        <v>320</v>
      </c>
      <c r="G30" s="1484"/>
      <c r="H30" s="1484"/>
      <c r="K30" s="1427"/>
      <c r="L30" s="1427"/>
      <c r="V30" s="1470"/>
      <c r="W30" s="1471" t="s">
        <v>745</v>
      </c>
      <c r="X30" s="1471" t="s">
        <v>746</v>
      </c>
      <c r="Y30" s="1471"/>
      <c r="Z30" s="1471"/>
      <c r="AA30" s="1471"/>
      <c r="AB30" s="1472"/>
    </row>
    <row r="31" spans="2:28" ht="30">
      <c r="B31" s="1484">
        <v>106512</v>
      </c>
      <c r="C31" s="1487" t="s">
        <v>1</v>
      </c>
      <c r="D31" s="1484">
        <v>96</v>
      </c>
      <c r="E31" s="1488">
        <f>IF(C11=W27,ROUNDUP(C27/unit_pack,0),0)</f>
        <v>0</v>
      </c>
      <c r="F31" s="1486">
        <v>720</v>
      </c>
      <c r="G31" s="1489"/>
      <c r="H31" s="1781" t="s">
        <v>1011</v>
      </c>
      <c r="K31" s="1427"/>
      <c r="L31" s="1427"/>
      <c r="V31" s="1470"/>
      <c r="W31" s="1471"/>
      <c r="X31" s="1471"/>
      <c r="Y31" s="1471"/>
      <c r="Z31" s="1471"/>
      <c r="AA31" s="1471"/>
      <c r="AB31" s="1472"/>
    </row>
    <row r="32" spans="2:28" ht="30">
      <c r="B32" s="1490">
        <v>106477</v>
      </c>
      <c r="C32" s="1491" t="s">
        <v>2</v>
      </c>
      <c r="D32" s="1490">
        <v>96</v>
      </c>
      <c r="E32" s="1492">
        <f>IF($C$23=$W$30,ROUNDUP(C27/D32,0),0)</f>
        <v>0</v>
      </c>
      <c r="F32" s="1493">
        <v>50</v>
      </c>
      <c r="G32" s="1494"/>
      <c r="H32" s="1782"/>
      <c r="K32" s="1427"/>
      <c r="L32" s="1427"/>
      <c r="V32" s="1470"/>
      <c r="W32" s="1471"/>
      <c r="X32" s="1471"/>
      <c r="Y32" s="1471"/>
      <c r="Z32" s="1471"/>
      <c r="AA32" s="1471"/>
      <c r="AB32" s="1472"/>
    </row>
    <row r="33" spans="2:28" ht="45">
      <c r="B33" s="1495">
        <v>106254</v>
      </c>
      <c r="C33" s="1496" t="s">
        <v>996</v>
      </c>
      <c r="D33" s="1497">
        <v>17</v>
      </c>
      <c r="E33" s="1498">
        <f>IF(H33=X33,ROUNDUP(C18*0.505/unit_pack,0),IF(C14*0.505&lt;=1.8,ROUNDUP(C18/10,0),ROUNDUP(C14*0.505,0)))</f>
        <v>0</v>
      </c>
      <c r="F33" s="1499">
        <v>201.85</v>
      </c>
      <c r="G33" s="1500" t="s">
        <v>1012</v>
      </c>
      <c r="H33" s="1533" t="s">
        <v>51</v>
      </c>
      <c r="I33" s="1466" t="s">
        <v>0</v>
      </c>
      <c r="K33" s="1427"/>
      <c r="L33" s="1427"/>
      <c r="V33" s="1470"/>
      <c r="W33" s="1471" t="s">
        <v>51</v>
      </c>
      <c r="X33" s="1471" t="s">
        <v>52</v>
      </c>
      <c r="Y33" s="1471"/>
      <c r="Z33" s="1471"/>
      <c r="AA33" s="1471"/>
      <c r="AB33" s="1472"/>
    </row>
    <row r="34" spans="2:28" ht="45">
      <c r="B34" s="1495">
        <v>106385</v>
      </c>
      <c r="C34" s="1501" t="s">
        <v>997</v>
      </c>
      <c r="D34" s="1495">
        <v>1000</v>
      </c>
      <c r="E34" s="1495">
        <f>ROUNDUP((kit_ordered*D31*1.05)/unit_pack,0)</f>
        <v>0</v>
      </c>
      <c r="F34" s="1499">
        <v>45.8</v>
      </c>
      <c r="G34" s="1500" t="s">
        <v>1013</v>
      </c>
      <c r="H34" s="1502"/>
      <c r="K34" s="1427"/>
      <c r="L34" s="1427"/>
      <c r="V34" s="1470"/>
      <c r="W34" s="1471"/>
      <c r="X34" s="1471"/>
      <c r="Y34" s="1471"/>
      <c r="Z34" s="1471"/>
      <c r="AA34" s="1471"/>
      <c r="AB34" s="1472"/>
    </row>
    <row r="35" spans="2:28" s="1504" customFormat="1">
      <c r="B35" s="1503">
        <v>106422</v>
      </c>
      <c r="C35" s="1496" t="s">
        <v>998</v>
      </c>
      <c r="D35" s="1495">
        <v>500</v>
      </c>
      <c r="E35" s="1495">
        <f>IF(C24=W24,ROUNDUP(kit_ordered*D31*2/unit_pack,0),0)</f>
        <v>0</v>
      </c>
      <c r="F35" s="1499">
        <v>49.55</v>
      </c>
      <c r="G35" s="1500" t="s">
        <v>750</v>
      </c>
      <c r="H35" s="1502"/>
      <c r="K35" s="1505"/>
      <c r="L35" s="1505"/>
      <c r="M35" s="1554"/>
      <c r="N35" s="1554"/>
      <c r="O35" s="1554"/>
      <c r="P35" s="1554"/>
      <c r="Q35" s="1554"/>
      <c r="R35" s="1554"/>
      <c r="S35" s="1554"/>
      <c r="T35" s="1554"/>
      <c r="V35" s="1506"/>
      <c r="W35" s="1473"/>
      <c r="X35" s="1473"/>
      <c r="Y35" s="1473"/>
      <c r="Z35" s="1473"/>
      <c r="AA35" s="1473"/>
      <c r="AB35" s="1507"/>
    </row>
    <row r="36" spans="2:28">
      <c r="B36" s="1503">
        <v>106421</v>
      </c>
      <c r="C36" s="1496" t="s">
        <v>999</v>
      </c>
      <c r="D36" s="1503">
        <f>IF(B36=106350,1000,500)</f>
        <v>500</v>
      </c>
      <c r="E36" s="1495">
        <f>IF(C24=X24,ROUNDUP(kit_ordered*D31*2/unit_pack,0),0)</f>
        <v>0</v>
      </c>
      <c r="F36" s="1508">
        <v>91.95</v>
      </c>
      <c r="G36" s="1500" t="s">
        <v>750</v>
      </c>
      <c r="H36" s="1502"/>
      <c r="K36" s="1427"/>
      <c r="L36" s="1427"/>
      <c r="V36" s="1470"/>
      <c r="W36" s="1471" t="s">
        <v>639</v>
      </c>
      <c r="X36" s="1471" t="s">
        <v>640</v>
      </c>
      <c r="Y36" s="1471"/>
      <c r="Z36" s="1471"/>
      <c r="AA36" s="1471"/>
      <c r="AB36" s="1472"/>
    </row>
    <row r="37" spans="2:28" ht="30">
      <c r="B37" s="1503">
        <v>106383</v>
      </c>
      <c r="C37" s="1496" t="s">
        <v>1000</v>
      </c>
      <c r="D37" s="1503">
        <v>1000</v>
      </c>
      <c r="E37" s="1495">
        <f>ROUNDUP(kit_ordered*D31/unit_pack,0)</f>
        <v>0</v>
      </c>
      <c r="F37" s="1508">
        <v>261.39999999999998</v>
      </c>
      <c r="G37" s="1500" t="s">
        <v>1014</v>
      </c>
      <c r="H37" s="1502"/>
      <c r="K37" s="1427"/>
      <c r="L37" s="1427"/>
      <c r="V37" s="1470"/>
      <c r="W37" s="1471"/>
      <c r="X37" s="1471"/>
      <c r="Y37" s="1471">
        <f>C27+(C27*5)/100</f>
        <v>0</v>
      </c>
      <c r="Z37" s="1471"/>
      <c r="AA37" s="1471"/>
      <c r="AB37" s="1472"/>
    </row>
    <row r="38" spans="2:28" ht="45">
      <c r="B38" s="1503">
        <v>106554</v>
      </c>
      <c r="C38" s="1496" t="s">
        <v>1001</v>
      </c>
      <c r="D38" s="1503">
        <v>960</v>
      </c>
      <c r="E38" s="1495">
        <f>ROUNDUP((kit_ordered*D31*2.05)/unit_pack,0)</f>
        <v>0</v>
      </c>
      <c r="F38" s="1508">
        <v>115.7</v>
      </c>
      <c r="G38" s="1500" t="s">
        <v>1333</v>
      </c>
      <c r="H38" s="1509"/>
      <c r="K38" s="1427"/>
      <c r="L38" s="1427"/>
      <c r="V38" s="1470"/>
      <c r="W38" s="1471"/>
      <c r="X38" s="1471"/>
      <c r="Y38" s="1471"/>
      <c r="Z38" s="1471"/>
      <c r="AA38" s="1471"/>
      <c r="AB38" s="1472"/>
    </row>
    <row r="39" spans="2:28" ht="90">
      <c r="B39" s="1503">
        <v>106389</v>
      </c>
      <c r="C39" s="1496" t="s">
        <v>1002</v>
      </c>
      <c r="D39" s="1503">
        <v>960</v>
      </c>
      <c r="E39" s="1503">
        <f>ROUNDUP((kit_ordered*D31*(2+1)+C18*(3+IF($C$22=$W$22,0,2)))*1.05/unit_pack,0)</f>
        <v>0</v>
      </c>
      <c r="F39" s="1508">
        <v>61</v>
      </c>
      <c r="G39" s="1500" t="s">
        <v>1334</v>
      </c>
      <c r="H39" s="1509"/>
      <c r="K39" s="1427"/>
      <c r="L39" s="1427"/>
      <c r="V39" s="1470"/>
      <c r="W39" s="1471"/>
      <c r="X39" s="1471"/>
      <c r="Y39" s="1471"/>
      <c r="Z39" s="1471"/>
      <c r="AA39" s="1471"/>
      <c r="AB39" s="1472"/>
    </row>
    <row r="40" spans="2:28" ht="30">
      <c r="B40" s="1503">
        <v>106390</v>
      </c>
      <c r="C40" s="1496" t="s">
        <v>1003</v>
      </c>
      <c r="D40" s="1503">
        <v>960</v>
      </c>
      <c r="E40" s="1503">
        <f>ROUNDUP(kit_ordered*D31*1.05/unit_pack,0)</f>
        <v>0</v>
      </c>
      <c r="F40" s="1508">
        <v>88.5</v>
      </c>
      <c r="G40" s="1510" t="s">
        <v>12</v>
      </c>
      <c r="H40" s="1509"/>
      <c r="K40" s="1427"/>
      <c r="L40" s="1427"/>
      <c r="V40" s="1470"/>
      <c r="W40" s="1471"/>
      <c r="X40" s="1471"/>
      <c r="Y40" s="1471"/>
      <c r="Z40" s="1471"/>
      <c r="AA40" s="1471"/>
      <c r="AB40" s="1472"/>
    </row>
    <row r="41" spans="2:28" ht="90">
      <c r="B41" s="1503">
        <v>106412</v>
      </c>
      <c r="C41" s="1496" t="s">
        <v>1004</v>
      </c>
      <c r="D41" s="1503">
        <v>800</v>
      </c>
      <c r="E41" s="1503">
        <f>ROUNDUP((kit_ordered*D31*2+IF($C$22=$W$22,0,kit_ordered*D31*2+IF(H42=X42,0,C18*8)))*1.05/unit_pack,0)</f>
        <v>0</v>
      </c>
      <c r="F41" s="1508">
        <v>90</v>
      </c>
      <c r="G41" s="1500" t="s">
        <v>1335</v>
      </c>
      <c r="H41" s="1511" t="s">
        <v>1015</v>
      </c>
      <c r="K41" s="1427"/>
      <c r="L41" s="1427"/>
      <c r="V41" s="1470"/>
      <c r="W41" s="1471"/>
      <c r="X41" s="1471"/>
      <c r="Y41" s="1471"/>
      <c r="Z41" s="1471"/>
      <c r="AA41" s="1471"/>
      <c r="AB41" s="1472"/>
    </row>
    <row r="42" spans="2:28" ht="45">
      <c r="B42" s="1503">
        <v>106398</v>
      </c>
      <c r="C42" s="1496" t="s">
        <v>1005</v>
      </c>
      <c r="D42" s="1503">
        <v>100</v>
      </c>
      <c r="E42" s="1503">
        <f>IF(AND(H42=X42,$C$22=$X$22),ROUNDUP(C18*8*1.05/unit_pack,0),0)</f>
        <v>0</v>
      </c>
      <c r="F42" s="1508">
        <v>50</v>
      </c>
      <c r="G42" s="1500" t="s">
        <v>1336</v>
      </c>
      <c r="H42" s="1533" t="s">
        <v>14</v>
      </c>
      <c r="I42" s="1466" t="s">
        <v>0</v>
      </c>
      <c r="K42" s="1427"/>
      <c r="L42" s="1427"/>
      <c r="V42" s="1470"/>
      <c r="W42" s="1471"/>
      <c r="X42" s="1471" t="s">
        <v>14</v>
      </c>
      <c r="Y42" s="1471" t="s">
        <v>15</v>
      </c>
      <c r="Z42" s="1471"/>
      <c r="AA42" s="1471"/>
      <c r="AB42" s="1472"/>
    </row>
    <row r="43" spans="2:28" ht="60.75" thickBot="1">
      <c r="B43" s="1503">
        <v>106434</v>
      </c>
      <c r="C43" s="1496" t="s">
        <v>1006</v>
      </c>
      <c r="D43" s="1503">
        <v>500</v>
      </c>
      <c r="E43" s="1503">
        <f>ROUNDUP((kit_ordered*$D$31*(2)+C18*5)*1.05/unit_pack,0)</f>
        <v>0</v>
      </c>
      <c r="F43" s="1508">
        <v>9.9</v>
      </c>
      <c r="G43" s="1500" t="s">
        <v>1337</v>
      </c>
      <c r="H43" s="1502"/>
      <c r="K43" s="1427"/>
      <c r="L43" s="1427"/>
      <c r="V43" s="1512"/>
      <c r="W43" s="1513"/>
      <c r="X43" s="1513"/>
      <c r="Y43" s="1513"/>
      <c r="Z43" s="1513"/>
      <c r="AA43" s="1513"/>
      <c r="AB43" s="1514"/>
    </row>
    <row r="44" spans="2:28">
      <c r="B44" s="1515">
        <v>106556</v>
      </c>
      <c r="C44" s="1516" t="s">
        <v>859</v>
      </c>
      <c r="D44" s="1515">
        <v>50</v>
      </c>
      <c r="E44" s="1515">
        <f>ROUNDUP(C18*2/unit_pack,0)</f>
        <v>0</v>
      </c>
      <c r="F44" s="1517">
        <v>7.45</v>
      </c>
      <c r="G44" s="1518" t="s">
        <v>62</v>
      </c>
      <c r="H44" s="1502"/>
      <c r="K44" s="1427"/>
      <c r="L44" s="1427"/>
    </row>
    <row r="45" spans="2:28">
      <c r="B45" s="1484">
        <v>106355</v>
      </c>
      <c r="C45" s="1487" t="s">
        <v>860</v>
      </c>
      <c r="D45" s="1484">
        <v>1</v>
      </c>
      <c r="E45" s="1484">
        <f>ROUNDUP(kit_ordered/3/unit_pack,0)</f>
        <v>0</v>
      </c>
      <c r="F45" s="1486">
        <v>2.0499999999999998</v>
      </c>
      <c r="G45" s="1489" t="s">
        <v>89</v>
      </c>
      <c r="H45" s="1502"/>
      <c r="K45" s="1427"/>
      <c r="L45" s="1427"/>
    </row>
    <row r="46" spans="2:28" ht="30">
      <c r="B46" s="1484">
        <v>106384</v>
      </c>
      <c r="C46" s="1487" t="s">
        <v>1007</v>
      </c>
      <c r="D46" s="1484">
        <v>500</v>
      </c>
      <c r="E46" s="1484">
        <f>ROUNDUP(C18*4/unit_pack,0)</f>
        <v>0</v>
      </c>
      <c r="F46" s="1519">
        <v>48.95</v>
      </c>
      <c r="G46" s="1489" t="s">
        <v>16</v>
      </c>
      <c r="H46" s="1502"/>
      <c r="K46" s="1427"/>
      <c r="L46" s="1427"/>
    </row>
    <row r="47" spans="2:28" ht="30">
      <c r="B47" s="1484">
        <v>106340</v>
      </c>
      <c r="C47" s="1487" t="s">
        <v>978</v>
      </c>
      <c r="D47" s="1484">
        <v>500</v>
      </c>
      <c r="E47" s="1484">
        <f>ROUNDUP(C18*IF($C$22=$W$22,5,3)/unit_pack,0)</f>
        <v>0</v>
      </c>
      <c r="F47" s="1519">
        <v>45</v>
      </c>
      <c r="G47" s="1489" t="s">
        <v>11</v>
      </c>
      <c r="H47" s="1502"/>
      <c r="K47" s="1427"/>
      <c r="L47" s="1427"/>
    </row>
    <row r="48" spans="2:28">
      <c r="B48" s="1484">
        <v>106444</v>
      </c>
      <c r="C48" s="1487" t="s">
        <v>1008</v>
      </c>
      <c r="D48" s="1484">
        <v>200</v>
      </c>
      <c r="E48" s="1484">
        <f>ROUNDUP(Months*22*4/unit_pack,0)</f>
        <v>0</v>
      </c>
      <c r="F48" s="1519">
        <v>98.6</v>
      </c>
      <c r="G48" s="1489" t="s">
        <v>1016</v>
      </c>
      <c r="H48" s="1502"/>
      <c r="K48" s="1427"/>
      <c r="L48" s="1427"/>
    </row>
    <row r="49" spans="1:12">
      <c r="B49" s="1484">
        <v>106415</v>
      </c>
      <c r="C49" s="1487" t="s">
        <v>1009</v>
      </c>
      <c r="D49" s="1484">
        <v>100</v>
      </c>
      <c r="E49" s="1484">
        <f>ROUNDUP(Months*22*8/unit_pack,0)</f>
        <v>0</v>
      </c>
      <c r="F49" s="1519">
        <v>111.4</v>
      </c>
      <c r="G49" s="1489" t="s">
        <v>22</v>
      </c>
      <c r="H49" s="1502"/>
      <c r="K49" s="1427"/>
      <c r="L49" s="1427"/>
    </row>
    <row r="50" spans="1:12">
      <c r="B50" s="1484">
        <v>106439</v>
      </c>
      <c r="C50" s="1487" t="s">
        <v>861</v>
      </c>
      <c r="D50" s="1484">
        <v>1</v>
      </c>
      <c r="E50" s="1484">
        <f>IF($C$22=$W$22,ROUNDUP(kit_ordered/3/unit_pack,0),0)</f>
        <v>0</v>
      </c>
      <c r="F50" s="1519">
        <v>0</v>
      </c>
      <c r="G50" s="1489" t="s">
        <v>3</v>
      </c>
      <c r="H50" s="1502"/>
      <c r="K50" s="1427"/>
      <c r="L50" s="1427"/>
    </row>
    <row r="51" spans="1:12">
      <c r="B51" s="1484">
        <v>106438</v>
      </c>
      <c r="C51" s="1487" t="s">
        <v>1010</v>
      </c>
      <c r="D51" s="1484">
        <v>1</v>
      </c>
      <c r="E51" s="1484">
        <f>IF($C$22=$W$22,ROUNDUP(C18/10*1.2/unit_pack,0),0)</f>
        <v>0</v>
      </c>
      <c r="F51" s="1519">
        <v>2.9</v>
      </c>
      <c r="G51" s="1489" t="s">
        <v>5</v>
      </c>
      <c r="H51" s="1502"/>
      <c r="K51" s="1427"/>
      <c r="L51" s="1427"/>
    </row>
    <row r="52" spans="1:12">
      <c r="B52" s="1484">
        <v>106755</v>
      </c>
      <c r="C52" s="1487" t="s">
        <v>862</v>
      </c>
      <c r="D52" s="1484">
        <v>200</v>
      </c>
      <c r="E52" s="1484">
        <f>ROUNDUP(Months*22*40/unit_pack,0)</f>
        <v>0</v>
      </c>
      <c r="F52" s="1519">
        <v>1.45</v>
      </c>
      <c r="G52" s="1520" t="s">
        <v>23</v>
      </c>
      <c r="H52" s="1502"/>
      <c r="K52" s="1427"/>
      <c r="L52" s="1427"/>
    </row>
    <row r="53" spans="1:12">
      <c r="B53" s="1484">
        <v>106333</v>
      </c>
      <c r="C53" s="1487" t="s">
        <v>954</v>
      </c>
      <c r="D53" s="1484">
        <v>5</v>
      </c>
      <c r="E53" s="1484">
        <f>ROUNDUP(Months*4.33*1/unit_pack,0)</f>
        <v>0</v>
      </c>
      <c r="F53" s="1519">
        <v>32.15</v>
      </c>
      <c r="G53" s="1520" t="s">
        <v>1017</v>
      </c>
      <c r="H53" s="1502"/>
      <c r="K53" s="1427"/>
      <c r="L53" s="1427"/>
    </row>
    <row r="54" spans="1:12" ht="25.35" customHeight="1" thickBot="1">
      <c r="B54" s="1478"/>
      <c r="C54" s="1478"/>
      <c r="D54" s="1521"/>
      <c r="E54" s="1521"/>
      <c r="F54" s="1522"/>
      <c r="G54" s="1521"/>
      <c r="H54" s="1478"/>
      <c r="K54" s="1427"/>
      <c r="L54" s="1427"/>
    </row>
    <row r="55" spans="1:12" ht="15.95" customHeight="1">
      <c r="B55" s="1478"/>
      <c r="C55" s="1772" t="s">
        <v>506</v>
      </c>
      <c r="D55" s="1773"/>
      <c r="E55" s="1523" t="s">
        <v>931</v>
      </c>
      <c r="F55" s="1462"/>
      <c r="G55" s="1464"/>
      <c r="K55" s="1427"/>
      <c r="L55" s="1427"/>
    </row>
    <row r="56" spans="1:12" ht="25.35" customHeight="1">
      <c r="B56" s="1478"/>
      <c r="C56" s="1524" t="s">
        <v>1338</v>
      </c>
      <c r="D56" s="1525"/>
      <c r="E56" s="1526" cm="1">
        <f t="array" ref="E56">SUMPRODUCT(E31:E53*F31:F53)</f>
        <v>0</v>
      </c>
      <c r="F56" s="1464"/>
      <c r="G56" s="1464"/>
      <c r="K56" s="1427"/>
      <c r="L56" s="1427"/>
    </row>
    <row r="57" spans="1:12" ht="25.35" customHeight="1" thickBot="1">
      <c r="C57" s="1527" t="s">
        <v>1018</v>
      </c>
      <c r="D57" s="1528"/>
      <c r="E57" s="1681" t="str">
        <f>IF(C27=0,"-",E56/C27)</f>
        <v>-</v>
      </c>
      <c r="K57" s="1427"/>
      <c r="L57" s="1427"/>
    </row>
    <row r="58" spans="1:12">
      <c r="K58" s="1427"/>
      <c r="L58" s="1427"/>
    </row>
    <row r="59" spans="1:12">
      <c r="A59" s="1427"/>
      <c r="B59" s="1427"/>
      <c r="C59" s="1427"/>
      <c r="D59" s="1531"/>
      <c r="E59" s="1531"/>
      <c r="F59" s="1427"/>
      <c r="G59" s="1427"/>
      <c r="H59" s="1427"/>
      <c r="I59" s="1427"/>
      <c r="J59" s="1427"/>
      <c r="K59" s="1427"/>
      <c r="L59" s="1427"/>
    </row>
    <row r="60" spans="1:12">
      <c r="A60" s="1427"/>
      <c r="B60" s="1427"/>
      <c r="C60" s="1427"/>
      <c r="D60" s="1531"/>
      <c r="E60" s="1531"/>
      <c r="F60" s="1427"/>
      <c r="G60" s="1427"/>
      <c r="H60" s="1427"/>
      <c r="I60" s="1427"/>
      <c r="J60" s="1427"/>
      <c r="K60" s="1427"/>
      <c r="L60" s="1427"/>
    </row>
    <row r="61" spans="1:12">
      <c r="A61" s="1427"/>
      <c r="B61" s="1427"/>
      <c r="C61" s="1427"/>
      <c r="D61" s="1531"/>
      <c r="E61" s="1531"/>
      <c r="F61" s="1427"/>
      <c r="G61" s="1427"/>
      <c r="H61" s="1427"/>
      <c r="I61" s="1427"/>
      <c r="J61" s="1427"/>
      <c r="K61" s="1427"/>
      <c r="L61" s="1427"/>
    </row>
  </sheetData>
  <sheetProtection algorithmName="SHA-512" hashValue="vtXdEl7k0El/5StJwymkAIeSzy8pY5PKCRRTeETtLJxJQNQgoneSMa3o/9KECDVyGEUAu597iGkc3bOU3AmBoQ==" saltValue="pYC+3JoEwR9hSgYWH3L4aA==" spinCount="100000" sheet="1" selectLockedCells="1"/>
  <mergeCells count="31">
    <mergeCell ref="C15:D15"/>
    <mergeCell ref="C17:D17"/>
    <mergeCell ref="H31:H32"/>
    <mergeCell ref="B3:C3"/>
    <mergeCell ref="E3:G3"/>
    <mergeCell ref="E6:F6"/>
    <mergeCell ref="E14:F14"/>
    <mergeCell ref="C13:D13"/>
    <mergeCell ref="C55:D55"/>
    <mergeCell ref="V21:AB21"/>
    <mergeCell ref="C22:D22"/>
    <mergeCell ref="C24:D24"/>
    <mergeCell ref="E17:F17"/>
    <mergeCell ref="C23:D23"/>
    <mergeCell ref="C25:D25"/>
    <mergeCell ref="A1:J1"/>
    <mergeCell ref="B2:J2"/>
    <mergeCell ref="C27:D27"/>
    <mergeCell ref="C18:D18"/>
    <mergeCell ref="C19:D19"/>
    <mergeCell ref="E13:F13"/>
    <mergeCell ref="E15:F15"/>
    <mergeCell ref="E18:F18"/>
    <mergeCell ref="E19:F19"/>
    <mergeCell ref="C16:D16"/>
    <mergeCell ref="E16:F16"/>
    <mergeCell ref="C14:D14"/>
    <mergeCell ref="C20:D20"/>
    <mergeCell ref="F20:F24"/>
    <mergeCell ref="C21:D21"/>
    <mergeCell ref="C26:D26"/>
  </mergeCells>
  <dataValidations disablePrompts="1" count="8">
    <dataValidation type="list" allowBlank="1" showInputMessage="1" showErrorMessage="1" sqref="C24" xr:uid="{00000000-0002-0000-0800-000000000000}">
      <formula1>$W$24:$X$24</formula1>
    </dataValidation>
    <dataValidation type="decimal" allowBlank="1" showInputMessage="1" showErrorMessage="1" error="Please enter % between 0 and 100" sqref="C20" xr:uid="{00000000-0002-0000-0800-000001000000}">
      <formula1>0</formula1>
      <formula2>1</formula2>
    </dataValidation>
    <dataValidation type="whole" operator="greaterThan" allowBlank="1" showInputMessage="1" showErrorMessage="1" error="Please enter whole number" sqref="C21" xr:uid="{00000000-0002-0000-0800-000002000000}">
      <formula1>0</formula1>
    </dataValidation>
    <dataValidation type="list" allowBlank="1" showInputMessage="1" showErrorMessage="1" sqref="H42" xr:uid="{00000000-0002-0000-0800-000003000000}">
      <formula1>$X$42:$Y$42</formula1>
    </dataValidation>
    <dataValidation type="list" allowBlank="1" showInputMessage="1" showErrorMessage="1" sqref="H33" xr:uid="{00000000-0002-0000-0800-000004000000}">
      <formula1>$W$33:$X$33</formula1>
    </dataValidation>
    <dataValidation type="list" allowBlank="1" showInputMessage="1" showErrorMessage="1" sqref="C11" xr:uid="{234C2A05-3BEA-9F42-8630-AA6BB5F1C96B}">
      <formula1>$W$27:$W$28</formula1>
    </dataValidation>
    <dataValidation type="list" allowBlank="1" showInputMessage="1" showErrorMessage="1" sqref="C22:D22" xr:uid="{E4636409-6F90-A34E-8238-6530FBD3AF8F}">
      <formula1>$W$22:$W$26</formula1>
    </dataValidation>
    <dataValidation type="list" allowBlank="1" showInputMessage="1" showErrorMessage="1" sqref="C23:D23" xr:uid="{D9D5650D-A1FA-0744-9ED3-0E2DCEDDFF89}">
      <formula1>$W$30:$X$30</formula1>
    </dataValidation>
  </dataValidations>
  <printOptions gridLines="1"/>
  <pageMargins left="0.7" right="0.7" top="0.75" bottom="0.75" header="0.3" footer="0.3"/>
  <pageSetup paperSize="9" orientation="portrait" horizontalDpi="4294967292" verticalDpi="429496729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ublished="0" codeName="Foglio10"/>
  <dimension ref="A1:AC60"/>
  <sheetViews>
    <sheetView showGridLines="0" zoomScaleNormal="100" zoomScalePageLayoutView="75" workbookViewId="0">
      <selection activeCell="C4" sqref="C4"/>
    </sheetView>
  </sheetViews>
  <sheetFormatPr defaultColWidth="0" defaultRowHeight="15" zeroHeight="1"/>
  <cols>
    <col min="1" max="1" width="14.6640625" style="1428" customWidth="1"/>
    <col min="2" max="2" width="65.1640625" style="1428" customWidth="1"/>
    <col min="3" max="3" width="26.1640625" style="1428" customWidth="1"/>
    <col min="4" max="4" width="16.1640625" style="1530" customWidth="1"/>
    <col min="5" max="5" width="30.6640625" style="1530" customWidth="1"/>
    <col min="6" max="6" width="51.5" style="1428" customWidth="1"/>
    <col min="7" max="7" width="44.6640625" style="1428" customWidth="1"/>
    <col min="8" max="8" width="42.5" style="1428" customWidth="1"/>
    <col min="9" max="9" width="8.6640625" style="1428" customWidth="1"/>
    <col min="10" max="10" width="7.1640625" style="1428" customWidth="1"/>
    <col min="11" max="11" width="36" style="1428" customWidth="1"/>
    <col min="12" max="12" width="10.6640625" style="1534" customWidth="1"/>
    <col min="13" max="13" width="9" style="1534" customWidth="1"/>
    <col min="14" max="20" width="9" style="1428" customWidth="1"/>
    <col min="21" max="29" width="0" style="1428" hidden="1" customWidth="1"/>
    <col min="30" max="16384" width="9" style="1428" hidden="1"/>
  </cols>
  <sheetData>
    <row r="1" spans="1:19" ht="45.95" customHeight="1">
      <c r="A1" s="1427"/>
      <c r="B1" s="1703" t="s">
        <v>985</v>
      </c>
      <c r="C1" s="1704"/>
      <c r="D1" s="1704"/>
      <c r="E1" s="1704"/>
      <c r="F1" s="1704"/>
      <c r="G1" s="1787"/>
      <c r="H1" s="1426"/>
      <c r="I1" s="1426"/>
      <c r="J1" s="1426"/>
      <c r="K1" s="1426"/>
      <c r="L1" s="1547"/>
      <c r="M1" s="1548"/>
      <c r="N1" s="1422"/>
      <c r="O1" s="1422"/>
      <c r="P1" s="1422"/>
      <c r="Q1" s="1422"/>
      <c r="R1" s="1422"/>
      <c r="S1" s="1422"/>
    </row>
    <row r="2" spans="1:19" ht="44.1" customHeight="1">
      <c r="B2" s="1753" t="s">
        <v>938</v>
      </c>
      <c r="C2" s="1788"/>
      <c r="D2" s="1788"/>
      <c r="E2" s="1788"/>
      <c r="F2" s="1788"/>
      <c r="G2" s="1788"/>
      <c r="H2" s="1430"/>
      <c r="I2" s="1430"/>
      <c r="J2" s="1430"/>
      <c r="K2" s="1426"/>
      <c r="L2" s="1547"/>
      <c r="M2" s="1548"/>
      <c r="N2" s="1422"/>
      <c r="O2" s="1422"/>
      <c r="P2" s="1422"/>
      <c r="Q2" s="1422"/>
      <c r="R2" s="1422"/>
      <c r="S2" s="1422"/>
    </row>
    <row r="3" spans="1:19" ht="111" customHeight="1">
      <c r="B3" s="1783" t="s">
        <v>1019</v>
      </c>
      <c r="C3" s="1784"/>
      <c r="D3" s="1429"/>
      <c r="E3" s="1783" t="s">
        <v>929</v>
      </c>
      <c r="F3" s="1784"/>
      <c r="G3" s="1785"/>
      <c r="H3" s="1430"/>
      <c r="I3" s="1430"/>
      <c r="J3" s="1430"/>
      <c r="K3" s="1426"/>
      <c r="L3" s="1547"/>
      <c r="M3" s="1548"/>
      <c r="N3" s="1422"/>
      <c r="O3" s="1422"/>
      <c r="P3" s="1422"/>
      <c r="Q3" s="1422"/>
      <c r="R3" s="1422"/>
      <c r="S3" s="1422"/>
    </row>
    <row r="4" spans="1:19" ht="44.1" customHeight="1">
      <c r="B4" s="1431" t="s">
        <v>1020</v>
      </c>
      <c r="C4" s="1424">
        <v>0</v>
      </c>
      <c r="D4" s="1432"/>
      <c r="E4" s="1433" t="s">
        <v>778</v>
      </c>
      <c r="F4" s="1535" t="s">
        <v>916</v>
      </c>
      <c r="G4" s="1435" t="s">
        <v>990</v>
      </c>
      <c r="H4" s="1430"/>
      <c r="I4" s="1430"/>
      <c r="J4" s="1430"/>
      <c r="K4" s="1426"/>
      <c r="L4" s="1547"/>
      <c r="M4" s="1548"/>
      <c r="N4" s="1422"/>
      <c r="O4" s="1422"/>
      <c r="P4" s="1422"/>
      <c r="Q4" s="1422"/>
      <c r="R4" s="1422"/>
      <c r="S4" s="1422"/>
    </row>
    <row r="5" spans="1:19" ht="45">
      <c r="B5" s="1431" t="s">
        <v>1339</v>
      </c>
      <c r="C5" s="1436">
        <f>C4*Months</f>
        <v>0</v>
      </c>
      <c r="D5" s="1432"/>
      <c r="E5" s="1536" t="s">
        <v>777</v>
      </c>
      <c r="F5" s="1404">
        <v>0</v>
      </c>
      <c r="G5" s="1438">
        <f>Epidemiology!$B$14*F5</f>
        <v>0</v>
      </c>
      <c r="H5" s="1430"/>
      <c r="I5" s="1430"/>
      <c r="J5" s="1430"/>
      <c r="K5" s="1426"/>
      <c r="L5" s="1547"/>
      <c r="M5" s="1548"/>
      <c r="N5" s="1422"/>
      <c r="O5" s="1422"/>
      <c r="P5" s="1422"/>
      <c r="Q5" s="1422"/>
      <c r="R5" s="1422"/>
      <c r="S5" s="1422"/>
    </row>
    <row r="6" spans="1:19" ht="60">
      <c r="B6" s="1439"/>
      <c r="C6" s="1432"/>
      <c r="D6" s="1432"/>
      <c r="E6" s="1437" t="s">
        <v>977</v>
      </c>
      <c r="F6" s="1404">
        <v>0</v>
      </c>
      <c r="G6" s="1438">
        <f>(Epidemiology!$E$7+Epidemiology!$B$8)*F6*Epidemiology!B16</f>
        <v>0</v>
      </c>
      <c r="H6" s="1430"/>
      <c r="I6" s="1430"/>
      <c r="J6" s="1430"/>
      <c r="K6" s="1426"/>
      <c r="L6" s="1547"/>
      <c r="M6" s="1548"/>
      <c r="N6" s="1422"/>
      <c r="O6" s="1422"/>
      <c r="P6" s="1422"/>
      <c r="Q6" s="1422"/>
      <c r="R6" s="1422"/>
      <c r="S6" s="1422"/>
    </row>
    <row r="7" spans="1:19" ht="44.1" customHeight="1">
      <c r="B7" s="1439"/>
      <c r="C7" s="1432"/>
      <c r="D7" s="1432"/>
      <c r="E7" s="1786" t="s">
        <v>1340</v>
      </c>
      <c r="F7" s="1786"/>
      <c r="G7" s="1438">
        <f>SUM(G5:G6)</f>
        <v>0</v>
      </c>
      <c r="H7" s="1430"/>
      <c r="I7" s="1430"/>
      <c r="J7" s="1430"/>
      <c r="K7" s="1426"/>
      <c r="L7" s="1547"/>
      <c r="M7" s="1548"/>
      <c r="N7" s="1422"/>
      <c r="O7" s="1422"/>
      <c r="P7" s="1422"/>
      <c r="Q7" s="1422"/>
      <c r="R7" s="1422"/>
      <c r="S7" s="1422"/>
    </row>
    <row r="8" spans="1:19" ht="44.1" customHeight="1">
      <c r="B8" s="1439"/>
      <c r="C8" s="1432"/>
      <c r="D8" s="1432"/>
      <c r="E8" s="1432"/>
      <c r="F8" s="1432"/>
      <c r="G8" s="1432"/>
      <c r="H8" s="1430"/>
      <c r="I8" s="1430"/>
      <c r="J8" s="1430"/>
      <c r="K8" s="1426"/>
      <c r="L8" s="1547"/>
      <c r="M8" s="1548"/>
      <c r="N8" s="1422"/>
      <c r="O8" s="1422"/>
      <c r="P8" s="1422"/>
      <c r="Q8" s="1422"/>
      <c r="R8" s="1422"/>
      <c r="S8" s="1422"/>
    </row>
    <row r="9" spans="1:19" s="1444" customFormat="1" ht="44.1" customHeight="1">
      <c r="A9" s="1440"/>
      <c r="B9" s="1441"/>
      <c r="C9" s="1442"/>
      <c r="D9" s="1442"/>
      <c r="E9" s="1442"/>
      <c r="F9" s="1442"/>
      <c r="G9" s="1442"/>
      <c r="H9" s="1443"/>
      <c r="I9" s="1443"/>
      <c r="J9" s="1443"/>
      <c r="K9" s="1426"/>
      <c r="L9" s="1413"/>
      <c r="M9" s="1423"/>
      <c r="N9" s="1423"/>
      <c r="O9" s="1423"/>
      <c r="P9" s="1423"/>
      <c r="Q9" s="1423"/>
      <c r="R9" s="1423"/>
      <c r="S9" s="1423"/>
    </row>
    <row r="10" spans="1:19" s="1444" customFormat="1" ht="44.1" customHeight="1">
      <c r="A10" s="1440"/>
      <c r="B10" s="1441"/>
      <c r="C10" s="1442"/>
      <c r="D10" s="1442"/>
      <c r="E10" s="1442"/>
      <c r="F10" s="1442"/>
      <c r="G10" s="1442"/>
      <c r="H10" s="1443"/>
      <c r="I10" s="1443"/>
      <c r="J10" s="1443"/>
      <c r="K10" s="1426"/>
      <c r="L10" s="1413"/>
      <c r="M10" s="1423"/>
      <c r="N10" s="1423"/>
      <c r="O10" s="1423"/>
      <c r="P10" s="1423"/>
      <c r="Q10" s="1423"/>
      <c r="R10" s="1423"/>
      <c r="S10" s="1423"/>
    </row>
    <row r="11" spans="1:19" ht="44.1" customHeight="1">
      <c r="B11" s="1439"/>
      <c r="C11" s="1432"/>
      <c r="D11" s="1432"/>
      <c r="E11" s="1445"/>
      <c r="F11" s="1445"/>
      <c r="G11" s="1445"/>
      <c r="H11" s="1430"/>
      <c r="I11" s="1430"/>
      <c r="J11" s="1430"/>
      <c r="K11" s="1426"/>
      <c r="L11" s="1547"/>
      <c r="M11" s="1548"/>
      <c r="N11" s="1422"/>
      <c r="O11" s="1422"/>
      <c r="P11" s="1422"/>
      <c r="Q11" s="1422"/>
      <c r="R11" s="1422"/>
      <c r="S11" s="1422"/>
    </row>
    <row r="12" spans="1:19" ht="24" customHeight="1">
      <c r="B12" s="1537"/>
      <c r="C12" s="1538"/>
      <c r="D12" s="1539"/>
      <c r="E12" s="1540"/>
      <c r="F12" s="1541"/>
      <c r="G12" s="1542"/>
      <c r="H12" s="1543"/>
      <c r="I12" s="1543"/>
      <c r="J12" s="1543"/>
      <c r="K12" s="1459"/>
      <c r="L12" s="1549"/>
      <c r="M12" s="1548"/>
      <c r="N12" s="1422"/>
      <c r="O12" s="1422"/>
      <c r="P12" s="1422"/>
      <c r="Q12" s="1422"/>
      <c r="R12" s="1422"/>
      <c r="S12" s="1422"/>
    </row>
    <row r="13" spans="1:19" ht="51" customHeight="1">
      <c r="B13" s="1448" t="s">
        <v>726</v>
      </c>
      <c r="C13" s="1766">
        <v>0</v>
      </c>
      <c r="D13" s="1766"/>
      <c r="E13" s="1757" t="s">
        <v>1021</v>
      </c>
      <c r="F13" s="1758"/>
      <c r="G13" s="1449"/>
      <c r="H13" s="1450"/>
      <c r="I13" s="1451"/>
      <c r="J13" s="1451"/>
      <c r="K13" s="1452"/>
      <c r="L13" s="1550"/>
      <c r="M13" s="1551"/>
      <c r="N13" s="1422"/>
      <c r="O13" s="1422"/>
      <c r="P13" s="1422"/>
      <c r="Q13" s="1422"/>
      <c r="R13" s="1422"/>
      <c r="S13" s="1422"/>
    </row>
    <row r="14" spans="1:19" ht="51" customHeight="1">
      <c r="B14" s="1448" t="s">
        <v>727</v>
      </c>
      <c r="C14" s="1766">
        <v>0</v>
      </c>
      <c r="D14" s="1766"/>
      <c r="E14" s="1757" t="s">
        <v>1021</v>
      </c>
      <c r="F14" s="1758"/>
      <c r="G14" s="1449"/>
      <c r="H14" s="1454"/>
      <c r="I14" s="1455"/>
      <c r="J14" s="1455"/>
      <c r="K14" s="1544"/>
      <c r="L14" s="1552"/>
      <c r="M14" s="1551"/>
      <c r="N14" s="1422"/>
      <c r="O14" s="1422"/>
      <c r="P14" s="1422"/>
      <c r="Q14" s="1422"/>
      <c r="R14" s="1422"/>
      <c r="S14" s="1422"/>
    </row>
    <row r="15" spans="1:19" ht="51" customHeight="1">
      <c r="B15" s="1448" t="s">
        <v>728</v>
      </c>
      <c r="C15" s="1766">
        <v>0</v>
      </c>
      <c r="D15" s="1766"/>
      <c r="E15" s="1757" t="s">
        <v>1021</v>
      </c>
      <c r="F15" s="1758"/>
      <c r="G15" s="1449"/>
      <c r="H15" s="1454"/>
      <c r="I15" s="1455"/>
      <c r="J15" s="1455"/>
      <c r="K15" s="1459"/>
      <c r="L15" s="1549"/>
      <c r="M15" s="1551"/>
      <c r="N15" s="1422"/>
      <c r="O15" s="1422"/>
      <c r="P15" s="1422"/>
      <c r="Q15" s="1422"/>
      <c r="R15" s="1422"/>
      <c r="S15" s="1422"/>
    </row>
    <row r="16" spans="1:19" ht="51" customHeight="1">
      <c r="B16" s="1460" t="s">
        <v>1341</v>
      </c>
      <c r="C16" s="1762">
        <v>0</v>
      </c>
      <c r="D16" s="1763"/>
      <c r="E16" s="1764"/>
      <c r="F16" s="1765"/>
      <c r="G16" s="1449"/>
      <c r="H16" s="1454"/>
      <c r="I16" s="1455"/>
      <c r="J16" s="1455"/>
      <c r="K16" s="1459"/>
      <c r="L16" s="1549"/>
      <c r="M16" s="1551"/>
      <c r="N16" s="1422"/>
      <c r="O16" s="1422"/>
      <c r="P16" s="1422"/>
      <c r="Q16" s="1422"/>
      <c r="R16" s="1422"/>
      <c r="S16" s="1422"/>
    </row>
    <row r="17" spans="2:29" ht="51" customHeight="1">
      <c r="B17" s="1460" t="s">
        <v>1022</v>
      </c>
      <c r="C17" s="1780">
        <f>C14+C15</f>
        <v>0</v>
      </c>
      <c r="D17" s="1780"/>
      <c r="E17" s="1776"/>
      <c r="F17" s="1776"/>
      <c r="G17" s="1449"/>
      <c r="H17" s="1461"/>
      <c r="I17" s="1461"/>
      <c r="J17" s="1461"/>
      <c r="K17" s="1459"/>
      <c r="L17" s="1549"/>
      <c r="M17" s="1551"/>
      <c r="N17" s="1422"/>
      <c r="O17" s="1422"/>
      <c r="P17" s="1422"/>
      <c r="Q17" s="1422"/>
      <c r="R17" s="1422"/>
      <c r="S17" s="1422"/>
    </row>
    <row r="18" spans="2:29" ht="51" customHeight="1">
      <c r="B18" s="1460" t="s">
        <v>725</v>
      </c>
      <c r="C18" s="1755">
        <f>IF(C14=0,0,C16/C14)</f>
        <v>0</v>
      </c>
      <c r="D18" s="1755"/>
      <c r="E18" s="1759"/>
      <c r="F18" s="1760"/>
      <c r="G18" s="1462"/>
      <c r="K18" s="1427"/>
      <c r="L18" s="1548"/>
      <c r="M18" s="1548"/>
      <c r="N18" s="1422"/>
      <c r="O18" s="1422"/>
      <c r="P18" s="1422"/>
      <c r="Q18" s="1422"/>
      <c r="R18" s="1422"/>
      <c r="S18" s="1422"/>
    </row>
    <row r="19" spans="2:29" ht="51" customHeight="1">
      <c r="B19" s="1460" t="s">
        <v>731</v>
      </c>
      <c r="C19" s="1756">
        <f>C18*C17</f>
        <v>0</v>
      </c>
      <c r="D19" s="1756"/>
      <c r="E19" s="1761"/>
      <c r="F19" s="1761"/>
      <c r="K19" s="1427"/>
      <c r="L19" s="1548"/>
      <c r="M19" s="1548"/>
      <c r="N19" s="1422"/>
      <c r="O19" s="1422"/>
      <c r="P19" s="1422"/>
      <c r="Q19" s="1422"/>
      <c r="R19" s="1422"/>
      <c r="S19" s="1422"/>
    </row>
    <row r="20" spans="2:29" ht="15.95" customHeight="1">
      <c r="B20" s="1463" t="s">
        <v>993</v>
      </c>
      <c r="C20" s="1767">
        <v>0</v>
      </c>
      <c r="D20" s="1768"/>
      <c r="E20" s="1464"/>
      <c r="F20" s="1769"/>
      <c r="K20" s="1427"/>
      <c r="L20" s="1548"/>
      <c r="M20" s="1548"/>
      <c r="N20" s="1422"/>
      <c r="O20" s="1422"/>
      <c r="P20" s="1422"/>
      <c r="Q20" s="1422"/>
      <c r="R20" s="1422"/>
      <c r="S20" s="1422"/>
    </row>
    <row r="21" spans="2:29" ht="15.75" thickBot="1">
      <c r="B21" s="1465" t="s">
        <v>729</v>
      </c>
      <c r="C21" s="1770">
        <v>1</v>
      </c>
      <c r="D21" s="1771"/>
      <c r="E21" s="1464"/>
      <c r="F21" s="1769"/>
      <c r="K21" s="1427"/>
      <c r="L21" s="1548"/>
      <c r="M21" s="1548"/>
      <c r="N21" s="1422"/>
      <c r="O21" s="1422"/>
      <c r="P21" s="1422"/>
      <c r="Q21" s="1422"/>
      <c r="R21" s="1422"/>
      <c r="S21" s="1422"/>
      <c r="W21" s="1774" t="s">
        <v>749</v>
      </c>
      <c r="X21" s="1774"/>
      <c r="Y21" s="1774"/>
      <c r="Z21" s="1774"/>
      <c r="AA21" s="1774"/>
      <c r="AB21" s="1774"/>
      <c r="AC21" s="1774"/>
    </row>
    <row r="22" spans="2:29">
      <c r="B22" s="1465" t="s">
        <v>730</v>
      </c>
      <c r="C22" s="1775" t="s">
        <v>63</v>
      </c>
      <c r="D22" s="1775"/>
      <c r="E22" s="1466" t="s">
        <v>0</v>
      </c>
      <c r="F22" s="1769"/>
      <c r="K22" s="1427"/>
      <c r="L22" s="1548"/>
      <c r="M22" s="1548"/>
      <c r="N22" s="1422"/>
      <c r="O22" s="1422"/>
      <c r="P22" s="1422"/>
      <c r="Q22" s="1422"/>
      <c r="R22" s="1422"/>
      <c r="S22" s="1422"/>
      <c r="W22" s="1467"/>
      <c r="X22" s="1468" t="s">
        <v>63</v>
      </c>
      <c r="Y22" s="1468" t="s">
        <v>64</v>
      </c>
      <c r="Z22" s="1468"/>
      <c r="AA22" s="1468"/>
      <c r="AB22" s="1468"/>
      <c r="AC22" s="1469"/>
    </row>
    <row r="23" spans="2:29">
      <c r="B23" s="1465" t="s">
        <v>751</v>
      </c>
      <c r="C23" s="1777" t="s">
        <v>745</v>
      </c>
      <c r="D23" s="1778"/>
      <c r="E23" s="1466" t="s">
        <v>0</v>
      </c>
      <c r="F23" s="1769"/>
      <c r="K23" s="1427"/>
      <c r="L23" s="1548"/>
      <c r="M23" s="1548"/>
      <c r="N23" s="1422"/>
      <c r="O23" s="1422"/>
      <c r="P23" s="1422"/>
      <c r="Q23" s="1422"/>
      <c r="R23" s="1422"/>
      <c r="S23" s="1422"/>
      <c r="W23" s="1470"/>
      <c r="X23" s="1471"/>
      <c r="Y23" s="1471"/>
      <c r="Z23" s="1471"/>
      <c r="AA23" s="1471"/>
      <c r="AB23" s="1471"/>
      <c r="AC23" s="1472"/>
    </row>
    <row r="24" spans="2:29" ht="33" customHeight="1">
      <c r="B24" s="1463" t="s">
        <v>994</v>
      </c>
      <c r="C24" s="1775" t="s">
        <v>747</v>
      </c>
      <c r="D24" s="1775"/>
      <c r="E24" s="1466" t="s">
        <v>0</v>
      </c>
      <c r="F24" s="1769"/>
      <c r="K24" s="1427"/>
      <c r="L24" s="1548"/>
      <c r="M24" s="1548"/>
      <c r="N24" s="1422"/>
      <c r="O24" s="1422"/>
      <c r="P24" s="1422"/>
      <c r="Q24" s="1422"/>
      <c r="R24" s="1422"/>
      <c r="S24" s="1422"/>
      <c r="W24" s="1470"/>
      <c r="X24" s="1473" t="s">
        <v>747</v>
      </c>
      <c r="Y24" s="1473" t="s">
        <v>748</v>
      </c>
      <c r="Z24" s="1471"/>
      <c r="AA24" s="1471"/>
      <c r="AB24" s="1471"/>
      <c r="AC24" s="1472"/>
    </row>
    <row r="25" spans="2:29" ht="33" customHeight="1">
      <c r="B25" s="1474" t="s">
        <v>890</v>
      </c>
      <c r="C25" s="1779"/>
      <c r="D25" s="1779"/>
      <c r="E25" s="1475"/>
      <c r="F25" s="1476"/>
      <c r="K25" s="1427"/>
      <c r="L25" s="1548"/>
      <c r="M25" s="1548"/>
      <c r="N25" s="1422"/>
      <c r="O25" s="1422"/>
      <c r="P25" s="1422"/>
      <c r="Q25" s="1422"/>
      <c r="R25" s="1422"/>
      <c r="S25" s="1422"/>
      <c r="W25" s="1470"/>
      <c r="X25" s="1473"/>
      <c r="Y25" s="1473"/>
      <c r="Z25" s="1471"/>
      <c r="AA25" s="1471"/>
      <c r="AB25" s="1471"/>
      <c r="AC25" s="1472"/>
    </row>
    <row r="26" spans="2:29" ht="15.95" customHeight="1">
      <c r="B26" s="1477" t="s">
        <v>1057</v>
      </c>
      <c r="C26" s="1754">
        <f>ROUNDUP(C19+(C19*repet)+C21*C18,0)</f>
        <v>0</v>
      </c>
      <c r="D26" s="1754"/>
      <c r="E26" s="1428"/>
      <c r="G26" s="1462"/>
      <c r="H26" s="1462"/>
      <c r="I26" s="1462"/>
      <c r="J26" s="1462"/>
      <c r="K26" s="1453"/>
      <c r="L26" s="1548"/>
      <c r="M26" s="1548"/>
      <c r="N26" s="1422"/>
      <c r="O26" s="1422"/>
      <c r="P26" s="1422"/>
      <c r="Q26" s="1422"/>
      <c r="R26" s="1422"/>
      <c r="S26" s="1422"/>
      <c r="W26" s="1470"/>
      <c r="X26" s="1470" t="s">
        <v>745</v>
      </c>
      <c r="Y26" s="1471" t="s">
        <v>746</v>
      </c>
      <c r="Z26" s="1471"/>
      <c r="AA26" s="1471"/>
      <c r="AB26" s="1471"/>
      <c r="AC26" s="1472"/>
    </row>
    <row r="27" spans="2:29" ht="32.1" customHeight="1">
      <c r="B27" s="1477" t="s">
        <v>1413</v>
      </c>
      <c r="C27" s="1754">
        <f>IF(C25=0,(ROUNDUP(C19+(C19*repet)+C21*C18,0)),((ROUNDUP(C19+(C19*repet)+C21*C18,0))-C25))</f>
        <v>0</v>
      </c>
      <c r="D27" s="1754"/>
      <c r="E27" s="1428"/>
      <c r="G27" s="1478"/>
      <c r="H27" s="1478"/>
      <c r="I27" s="1478"/>
      <c r="J27" s="1478"/>
      <c r="K27" s="1453"/>
      <c r="L27" s="1548"/>
      <c r="M27" s="1548"/>
      <c r="N27" s="1422"/>
      <c r="O27" s="1422"/>
      <c r="P27" s="1422"/>
      <c r="Q27" s="1422"/>
      <c r="R27" s="1422"/>
      <c r="S27" s="1422"/>
      <c r="W27" s="1470"/>
      <c r="X27" s="1471"/>
      <c r="Y27" s="1471"/>
      <c r="Z27" s="1471"/>
      <c r="AA27" s="1471"/>
      <c r="AB27" s="1471"/>
      <c r="AC27" s="1472"/>
    </row>
    <row r="28" spans="2:29" ht="20.100000000000001" customHeight="1" thickBot="1">
      <c r="D28" s="1428"/>
      <c r="E28" s="1428"/>
      <c r="K28" s="1427"/>
      <c r="L28" s="1548"/>
      <c r="M28" s="1548"/>
      <c r="N28" s="1422"/>
      <c r="O28" s="1422"/>
      <c r="P28" s="1422"/>
      <c r="Q28" s="1422"/>
      <c r="R28" s="1422"/>
      <c r="S28" s="1422"/>
      <c r="W28" s="1470"/>
      <c r="X28" s="1471"/>
      <c r="Y28" s="1471"/>
      <c r="Z28" s="1471"/>
      <c r="AA28" s="1471"/>
      <c r="AB28" s="1471"/>
      <c r="AC28" s="1472"/>
    </row>
    <row r="29" spans="2:29">
      <c r="B29" s="1479" t="s">
        <v>614</v>
      </c>
      <c r="C29" s="1479" t="s">
        <v>923</v>
      </c>
      <c r="D29" s="1480" t="s">
        <v>946</v>
      </c>
      <c r="E29" s="1480" t="s">
        <v>945</v>
      </c>
      <c r="F29" s="1481" t="s">
        <v>433</v>
      </c>
      <c r="G29" s="1482" t="s">
        <v>79</v>
      </c>
      <c r="H29" s="1483" t="s">
        <v>1023</v>
      </c>
      <c r="K29" s="1427"/>
      <c r="L29" s="1548"/>
      <c r="M29" s="1548"/>
      <c r="N29" s="1422"/>
      <c r="O29" s="1422"/>
      <c r="P29" s="1422"/>
      <c r="Q29" s="1422"/>
      <c r="R29" s="1422"/>
      <c r="S29" s="1422"/>
      <c r="W29" s="1470"/>
      <c r="X29" s="1471"/>
      <c r="Y29" s="1471"/>
      <c r="Z29" s="1471"/>
      <c r="AA29" s="1471"/>
      <c r="AB29" s="1471"/>
      <c r="AC29" s="1472"/>
    </row>
    <row r="30" spans="2:29" ht="45">
      <c r="B30" s="1484">
        <v>106513</v>
      </c>
      <c r="C30" s="1487" t="s">
        <v>798</v>
      </c>
      <c r="D30" s="1484">
        <v>96</v>
      </c>
      <c r="E30" s="1488">
        <f>ROUNDUP(C27/unit_pack,0)</f>
        <v>0</v>
      </c>
      <c r="F30" s="1486">
        <v>720</v>
      </c>
      <c r="G30" s="1489"/>
      <c r="H30" s="1781" t="s">
        <v>1024</v>
      </c>
      <c r="K30" s="1427"/>
      <c r="L30" s="1548"/>
      <c r="M30" s="1548"/>
      <c r="N30" s="1422"/>
      <c r="O30" s="1422"/>
      <c r="P30" s="1422"/>
      <c r="Q30" s="1422"/>
      <c r="R30" s="1422"/>
      <c r="S30" s="1422"/>
      <c r="W30" s="1470"/>
      <c r="X30" s="1471"/>
      <c r="Y30" s="1471"/>
      <c r="Z30" s="1471"/>
      <c r="AA30" s="1471"/>
      <c r="AB30" s="1471"/>
      <c r="AC30" s="1472"/>
    </row>
    <row r="31" spans="2:29" ht="30">
      <c r="B31" s="1490">
        <v>106477</v>
      </c>
      <c r="C31" s="1491" t="s">
        <v>2</v>
      </c>
      <c r="D31" s="1490">
        <v>96</v>
      </c>
      <c r="E31" s="1492">
        <f>IF($C$23=$X$26,ROUNDUP(C27/D31,0),0)</f>
        <v>0</v>
      </c>
      <c r="F31" s="1493">
        <v>50</v>
      </c>
      <c r="G31" s="1494"/>
      <c r="H31" s="1782"/>
      <c r="K31" s="1427"/>
      <c r="L31" s="1548"/>
      <c r="M31" s="1548"/>
      <c r="N31" s="1422"/>
      <c r="O31" s="1422"/>
      <c r="P31" s="1422"/>
      <c r="Q31" s="1422"/>
      <c r="R31" s="1422"/>
      <c r="S31" s="1422"/>
      <c r="W31" s="1470"/>
      <c r="X31" s="1471"/>
      <c r="Y31" s="1471"/>
      <c r="Z31" s="1471"/>
      <c r="AA31" s="1471"/>
      <c r="AB31" s="1471"/>
      <c r="AC31" s="1472"/>
    </row>
    <row r="32" spans="2:29" ht="45">
      <c r="B32" s="1495">
        <v>106254</v>
      </c>
      <c r="C32" s="1496" t="s">
        <v>1025</v>
      </c>
      <c r="D32" s="1497">
        <v>17</v>
      </c>
      <c r="E32" s="1498">
        <f>IF(H32=Y32,ROUNDUP(C18*0.505/unit_pack,0),IF(C14*0.505&lt;=1.8,ROUNDUP(C18/10,0),ROUNDUP(C14*0.505,0)))</f>
        <v>0</v>
      </c>
      <c r="F32" s="1499">
        <v>201.85</v>
      </c>
      <c r="G32" s="1500" t="s">
        <v>1012</v>
      </c>
      <c r="H32" s="1533" t="s">
        <v>52</v>
      </c>
      <c r="I32" s="1466" t="s">
        <v>0</v>
      </c>
      <c r="J32" s="1475"/>
      <c r="K32" s="1427"/>
      <c r="L32" s="1548"/>
      <c r="M32" s="1548"/>
      <c r="N32" s="1422"/>
      <c r="O32" s="1422"/>
      <c r="P32" s="1422"/>
      <c r="Q32" s="1422"/>
      <c r="R32" s="1422"/>
      <c r="S32" s="1422"/>
      <c r="W32" s="1470"/>
      <c r="X32" s="1471" t="s">
        <v>51</v>
      </c>
      <c r="Y32" s="1471" t="s">
        <v>52</v>
      </c>
      <c r="Z32" s="1471"/>
      <c r="AA32" s="1471"/>
      <c r="AB32" s="1471"/>
      <c r="AC32" s="1472"/>
    </row>
    <row r="33" spans="2:29" ht="60">
      <c r="B33" s="1495">
        <v>106385</v>
      </c>
      <c r="C33" s="1501" t="s">
        <v>1026</v>
      </c>
      <c r="D33" s="1495">
        <v>1000</v>
      </c>
      <c r="E33" s="1495">
        <f>ROUNDUP((kit_ordered*D30*1.05)/unit_pack,0)</f>
        <v>0</v>
      </c>
      <c r="F33" s="1499">
        <v>45.8</v>
      </c>
      <c r="G33" s="1500" t="s">
        <v>88</v>
      </c>
      <c r="H33" s="1502"/>
      <c r="K33" s="1427"/>
      <c r="L33" s="1548"/>
      <c r="M33" s="1548"/>
      <c r="N33" s="1422"/>
      <c r="O33" s="1422"/>
      <c r="P33" s="1422"/>
      <c r="Q33" s="1422"/>
      <c r="R33" s="1422"/>
      <c r="S33" s="1422"/>
      <c r="W33" s="1470"/>
      <c r="X33" s="1471"/>
      <c r="Y33" s="1471"/>
      <c r="Z33" s="1471"/>
      <c r="AA33" s="1471"/>
      <c r="AB33" s="1471"/>
      <c r="AC33" s="1472"/>
    </row>
    <row r="34" spans="2:29" s="1504" customFormat="1" ht="30">
      <c r="B34" s="1503">
        <v>106422</v>
      </c>
      <c r="C34" s="1496" t="s">
        <v>998</v>
      </c>
      <c r="D34" s="1495">
        <v>500</v>
      </c>
      <c r="E34" s="1495">
        <f>IF(C24=X24,ROUNDUP(kit_ordered*D30*2/unit_pack,0),0)</f>
        <v>0</v>
      </c>
      <c r="F34" s="1499">
        <v>49.55</v>
      </c>
      <c r="G34" s="1500" t="s">
        <v>750</v>
      </c>
      <c r="H34" s="1502"/>
      <c r="K34" s="1505"/>
      <c r="L34" s="1553"/>
      <c r="M34" s="1553"/>
      <c r="N34" s="1554"/>
      <c r="O34" s="1554"/>
      <c r="P34" s="1554"/>
      <c r="Q34" s="1554"/>
      <c r="R34" s="1554"/>
      <c r="S34" s="1554"/>
      <c r="W34" s="1506"/>
      <c r="X34" s="1473"/>
      <c r="Y34" s="1473"/>
      <c r="Z34" s="1473"/>
      <c r="AA34" s="1473"/>
      <c r="AB34" s="1473"/>
      <c r="AC34" s="1507"/>
    </row>
    <row r="35" spans="2:29" ht="30">
      <c r="B35" s="1503">
        <v>106421</v>
      </c>
      <c r="C35" s="1496" t="s">
        <v>999</v>
      </c>
      <c r="D35" s="1503">
        <f>IF(B35=106350,1000,500)</f>
        <v>500</v>
      </c>
      <c r="E35" s="1495">
        <f>IF(C24=Y24,ROUNDUP(kit_ordered*D30*2/unit_pack,0),0)</f>
        <v>0</v>
      </c>
      <c r="F35" s="1508">
        <v>91.95</v>
      </c>
      <c r="G35" s="1500" t="s">
        <v>750</v>
      </c>
      <c r="H35" s="1502"/>
      <c r="K35" s="1427"/>
      <c r="L35" s="1548"/>
      <c r="M35" s="1548"/>
      <c r="N35" s="1422"/>
      <c r="O35" s="1422"/>
      <c r="P35" s="1422"/>
      <c r="Q35" s="1422"/>
      <c r="R35" s="1422"/>
      <c r="S35" s="1422"/>
      <c r="W35" s="1470"/>
      <c r="X35" s="1471" t="s">
        <v>639</v>
      </c>
      <c r="Y35" s="1471" t="s">
        <v>640</v>
      </c>
      <c r="Z35" s="1471"/>
      <c r="AA35" s="1471"/>
      <c r="AB35" s="1471"/>
      <c r="AC35" s="1472"/>
    </row>
    <row r="36" spans="2:29" ht="30">
      <c r="B36" s="1503">
        <v>106383</v>
      </c>
      <c r="C36" s="1496" t="s">
        <v>1000</v>
      </c>
      <c r="D36" s="1503">
        <v>1000</v>
      </c>
      <c r="E36" s="1495">
        <f>IF(H36=Z36,0,ROUNDUP(kit_ordered*D30/unit_pack,0))</f>
        <v>0</v>
      </c>
      <c r="F36" s="1508">
        <v>261.39999999999998</v>
      </c>
      <c r="G36" s="1500" t="s">
        <v>1342</v>
      </c>
      <c r="H36" s="1502"/>
      <c r="K36" s="1427"/>
      <c r="L36" s="1548"/>
      <c r="M36" s="1548"/>
      <c r="N36" s="1422"/>
      <c r="O36" s="1422"/>
      <c r="P36" s="1422"/>
      <c r="Q36" s="1422"/>
      <c r="R36" s="1422"/>
      <c r="S36" s="1422"/>
      <c r="W36" s="1470"/>
      <c r="X36" s="1471"/>
      <c r="Y36" s="1471"/>
      <c r="Z36" s="1471">
        <f>total_test+(total_test*5)/100</f>
        <v>0</v>
      </c>
      <c r="AA36" s="1471"/>
      <c r="AB36" s="1471"/>
      <c r="AC36" s="1472"/>
    </row>
    <row r="37" spans="2:29" ht="30">
      <c r="B37" s="1503">
        <v>106554</v>
      </c>
      <c r="C37" s="1496" t="s">
        <v>1027</v>
      </c>
      <c r="D37" s="1503">
        <v>960</v>
      </c>
      <c r="E37" s="1495">
        <f>ROUNDUP(E35*D35/D37,0)</f>
        <v>0</v>
      </c>
      <c r="F37" s="1508">
        <v>115.7</v>
      </c>
      <c r="G37" s="1500" t="s">
        <v>1343</v>
      </c>
      <c r="H37" s="1509"/>
      <c r="K37" s="1427"/>
      <c r="L37" s="1548"/>
      <c r="M37" s="1548"/>
      <c r="N37" s="1422"/>
      <c r="O37" s="1422"/>
      <c r="P37" s="1422"/>
      <c r="Q37" s="1422"/>
      <c r="R37" s="1422"/>
      <c r="S37" s="1422"/>
      <c r="W37" s="1470"/>
      <c r="X37" s="1471"/>
      <c r="Y37" s="1471"/>
      <c r="Z37" s="1471"/>
      <c r="AA37" s="1471"/>
      <c r="AB37" s="1471"/>
      <c r="AC37" s="1472"/>
    </row>
    <row r="38" spans="2:29" ht="45">
      <c r="B38" s="1503">
        <v>106389</v>
      </c>
      <c r="C38" s="1496" t="s">
        <v>1002</v>
      </c>
      <c r="D38" s="1503">
        <v>960</v>
      </c>
      <c r="E38" s="1495">
        <f>ROUNDUP((kit_ordered*D30*2.05)/unit_pack,0)</f>
        <v>0</v>
      </c>
      <c r="F38" s="1508">
        <v>61</v>
      </c>
      <c r="G38" s="1500" t="s">
        <v>1028</v>
      </c>
      <c r="H38" s="1509"/>
      <c r="K38" s="1427"/>
      <c r="L38" s="1548"/>
      <c r="M38" s="1548"/>
      <c r="N38" s="1422"/>
      <c r="O38" s="1422"/>
      <c r="P38" s="1422"/>
      <c r="Q38" s="1422"/>
      <c r="R38" s="1422"/>
      <c r="S38" s="1422"/>
      <c r="W38" s="1470"/>
      <c r="X38" s="1471"/>
      <c r="Y38" s="1471"/>
      <c r="Z38" s="1471"/>
      <c r="AA38" s="1471"/>
      <c r="AB38" s="1471"/>
      <c r="AC38" s="1472"/>
    </row>
    <row r="39" spans="2:29" ht="75">
      <c r="B39" s="1503">
        <v>106390</v>
      </c>
      <c r="C39" s="1496" t="s">
        <v>1003</v>
      </c>
      <c r="D39" s="1503">
        <v>960</v>
      </c>
      <c r="E39" s="1503">
        <f>ROUNDUP((kit_ordered*D30*(2+1)+C18*(3+IF($C$22=$X$22,0,2)))*1.05/unit_pack,0)</f>
        <v>0</v>
      </c>
      <c r="F39" s="1508">
        <v>88.5</v>
      </c>
      <c r="G39" s="1500" t="s">
        <v>1344</v>
      </c>
      <c r="H39" s="1509"/>
      <c r="K39" s="1427"/>
      <c r="L39" s="1548"/>
      <c r="M39" s="1548"/>
      <c r="N39" s="1422"/>
      <c r="O39" s="1422"/>
      <c r="P39" s="1422"/>
      <c r="Q39" s="1422"/>
      <c r="R39" s="1422"/>
      <c r="S39" s="1422"/>
      <c r="W39" s="1470"/>
      <c r="X39" s="1471"/>
      <c r="Y39" s="1471"/>
      <c r="Z39" s="1471"/>
      <c r="AA39" s="1471"/>
      <c r="AB39" s="1471"/>
      <c r="AC39" s="1472"/>
    </row>
    <row r="40" spans="2:29" ht="30">
      <c r="B40" s="1503">
        <v>106412</v>
      </c>
      <c r="C40" s="1496" t="s">
        <v>1004</v>
      </c>
      <c r="D40" s="1503">
        <v>800</v>
      </c>
      <c r="E40" s="1503">
        <f>ROUNDUP(kit_ordered*D30*1.05/unit_pack,0)</f>
        <v>0</v>
      </c>
      <c r="F40" s="1508">
        <v>90</v>
      </c>
      <c r="G40" s="1510" t="s">
        <v>12</v>
      </c>
      <c r="H40" s="1509"/>
      <c r="K40" s="1427"/>
      <c r="L40" s="1548"/>
      <c r="M40" s="1548"/>
      <c r="N40" s="1422"/>
      <c r="O40" s="1422"/>
      <c r="P40" s="1422"/>
      <c r="Q40" s="1422"/>
      <c r="R40" s="1422"/>
      <c r="S40" s="1422"/>
      <c r="W40" s="1470"/>
      <c r="X40" s="1471"/>
      <c r="Y40" s="1471"/>
      <c r="Z40" s="1471"/>
      <c r="AA40" s="1471"/>
      <c r="AB40" s="1471"/>
      <c r="AC40" s="1472"/>
    </row>
    <row r="41" spans="2:29" ht="75">
      <c r="B41" s="1503">
        <v>106398</v>
      </c>
      <c r="C41" s="1496" t="s">
        <v>1005</v>
      </c>
      <c r="D41" s="1503">
        <v>100</v>
      </c>
      <c r="E41" s="1503">
        <f>ROUNDUP((kit_ordered*D30*2+IF($C$22=$X$22,0,kit_ordered*D30*2+IF(H42=Y42,0,C18*8)))*1.05/unit_pack,0)</f>
        <v>0</v>
      </c>
      <c r="F41" s="1508">
        <v>50</v>
      </c>
      <c r="G41" s="1500" t="s">
        <v>1345</v>
      </c>
      <c r="H41" s="1511" t="s">
        <v>1029</v>
      </c>
      <c r="K41" s="1427"/>
      <c r="L41" s="1548"/>
      <c r="M41" s="1548"/>
      <c r="N41" s="1422"/>
      <c r="O41" s="1422"/>
      <c r="P41" s="1422"/>
      <c r="Q41" s="1422"/>
      <c r="R41" s="1422"/>
      <c r="S41" s="1422"/>
      <c r="W41" s="1470"/>
      <c r="X41" s="1471"/>
      <c r="Y41" s="1471"/>
      <c r="Z41" s="1471"/>
      <c r="AA41" s="1471"/>
      <c r="AB41" s="1471"/>
      <c r="AC41" s="1472"/>
    </row>
    <row r="42" spans="2:29" ht="45">
      <c r="B42" s="1503">
        <v>106434</v>
      </c>
      <c r="C42" s="1496" t="s">
        <v>1030</v>
      </c>
      <c r="D42" s="1503">
        <v>500</v>
      </c>
      <c r="E42" s="1503">
        <f>IF(AND(H42=Y42,$C$22=$Y$22),ROUNDUP(C18*8*1.05/unit_pack,0),0)</f>
        <v>0</v>
      </c>
      <c r="F42" s="1508">
        <v>9.9</v>
      </c>
      <c r="G42" s="1500" t="s">
        <v>1031</v>
      </c>
      <c r="H42" s="1533" t="s">
        <v>15</v>
      </c>
      <c r="K42" s="1427"/>
      <c r="L42" s="1548"/>
      <c r="M42" s="1548"/>
      <c r="N42" s="1422"/>
      <c r="O42" s="1422"/>
      <c r="P42" s="1422"/>
      <c r="Q42" s="1422"/>
      <c r="R42" s="1422"/>
      <c r="S42" s="1422"/>
      <c r="W42" s="1470"/>
      <c r="X42" s="1471"/>
      <c r="Y42" s="1471" t="s">
        <v>14</v>
      </c>
      <c r="Z42" s="1471" t="s">
        <v>15</v>
      </c>
      <c r="AA42" s="1471"/>
      <c r="AB42" s="1471"/>
      <c r="AC42" s="1472"/>
    </row>
    <row r="43" spans="2:29" ht="60.75" thickBot="1">
      <c r="B43" s="1515">
        <v>106556</v>
      </c>
      <c r="C43" s="1516" t="s">
        <v>859</v>
      </c>
      <c r="D43" s="1515">
        <v>50</v>
      </c>
      <c r="E43" s="1503">
        <f>ROUNDUP((kit_ordered*$D$30*(2)+C18*5)*1.05/unit_pack,0)</f>
        <v>0</v>
      </c>
      <c r="F43" s="1517">
        <v>7.45</v>
      </c>
      <c r="G43" s="1500" t="s">
        <v>1346</v>
      </c>
      <c r="H43" s="1502"/>
      <c r="K43" s="1427"/>
      <c r="L43" s="1548"/>
      <c r="M43" s="1548"/>
      <c r="N43" s="1422"/>
      <c r="O43" s="1422"/>
      <c r="P43" s="1422"/>
      <c r="Q43" s="1422"/>
      <c r="R43" s="1422"/>
      <c r="S43" s="1422"/>
      <c r="W43" s="1512"/>
      <c r="X43" s="1513"/>
      <c r="Y43" s="1513"/>
      <c r="Z43" s="1513"/>
      <c r="AA43" s="1513"/>
      <c r="AB43" s="1513"/>
      <c r="AC43" s="1514"/>
    </row>
    <row r="44" spans="2:29">
      <c r="B44" s="1484">
        <v>106355</v>
      </c>
      <c r="C44" s="1487" t="s">
        <v>860</v>
      </c>
      <c r="D44" s="1484">
        <v>1</v>
      </c>
      <c r="E44" s="1515">
        <f>ROUNDUP(C18*2/unit_pack,0)</f>
        <v>0</v>
      </c>
      <c r="F44" s="1486">
        <v>2.0499999999999998</v>
      </c>
      <c r="G44" s="1518" t="s">
        <v>62</v>
      </c>
      <c r="H44" s="1502"/>
      <c r="K44" s="1427"/>
      <c r="L44" s="1548"/>
      <c r="M44" s="1548"/>
      <c r="N44" s="1422"/>
      <c r="O44" s="1422"/>
      <c r="P44" s="1422"/>
      <c r="Q44" s="1422"/>
      <c r="R44" s="1422"/>
      <c r="S44" s="1422"/>
    </row>
    <row r="45" spans="2:29" ht="30">
      <c r="B45" s="1484">
        <v>106384</v>
      </c>
      <c r="C45" s="1487" t="s">
        <v>1007</v>
      </c>
      <c r="D45" s="1484">
        <v>500</v>
      </c>
      <c r="E45" s="1484">
        <f>ROUNDUP(kit_ordered/3/unit_pack,0)</f>
        <v>0</v>
      </c>
      <c r="F45" s="1519">
        <v>48.95</v>
      </c>
      <c r="G45" s="1489" t="s">
        <v>89</v>
      </c>
      <c r="H45" s="1502"/>
      <c r="K45" s="1427"/>
      <c r="L45" s="1548"/>
      <c r="M45" s="1548"/>
      <c r="N45" s="1422"/>
      <c r="O45" s="1422"/>
      <c r="P45" s="1422"/>
      <c r="Q45" s="1422"/>
      <c r="R45" s="1422"/>
      <c r="S45" s="1422"/>
    </row>
    <row r="46" spans="2:29" ht="30">
      <c r="B46" s="1484">
        <v>106340</v>
      </c>
      <c r="C46" s="1487" t="s">
        <v>978</v>
      </c>
      <c r="D46" s="1484">
        <v>500</v>
      </c>
      <c r="E46" s="1484">
        <f>ROUNDUP(C18*4/unit_pack,0)</f>
        <v>0</v>
      </c>
      <c r="F46" s="1519">
        <v>45</v>
      </c>
      <c r="G46" s="1489" t="s">
        <v>1032</v>
      </c>
      <c r="H46" s="1502"/>
      <c r="K46" s="1427"/>
      <c r="L46" s="1548"/>
      <c r="M46" s="1548"/>
      <c r="N46" s="1422"/>
      <c r="O46" s="1422"/>
      <c r="P46" s="1422"/>
      <c r="Q46" s="1422"/>
      <c r="R46" s="1422"/>
      <c r="S46" s="1422"/>
    </row>
    <row r="47" spans="2:29" ht="30">
      <c r="B47" s="1484">
        <v>106444</v>
      </c>
      <c r="C47" s="1487" t="s">
        <v>1008</v>
      </c>
      <c r="D47" s="1484">
        <v>200</v>
      </c>
      <c r="E47" s="1484">
        <f>ROUNDUP(C18*IF($C$22=$X$22,5,3)/unit_pack,0)</f>
        <v>0</v>
      </c>
      <c r="F47" s="1519">
        <v>98.6</v>
      </c>
      <c r="G47" s="1489" t="s">
        <v>11</v>
      </c>
      <c r="H47" s="1502"/>
      <c r="K47" s="1427"/>
      <c r="L47" s="1548"/>
      <c r="M47" s="1548"/>
      <c r="N47" s="1422"/>
      <c r="O47" s="1422"/>
      <c r="P47" s="1422"/>
      <c r="Q47" s="1422"/>
      <c r="R47" s="1422"/>
      <c r="S47" s="1422"/>
    </row>
    <row r="48" spans="2:29" ht="30">
      <c r="B48" s="1484">
        <v>106415</v>
      </c>
      <c r="C48" s="1487" t="s">
        <v>1009</v>
      </c>
      <c r="D48" s="1484">
        <v>100</v>
      </c>
      <c r="E48" s="1484">
        <f>ROUNDUP(Months*22*4/unit_pack,0)</f>
        <v>0</v>
      </c>
      <c r="F48" s="1519">
        <v>111.4</v>
      </c>
      <c r="G48" s="1489" t="s">
        <v>1016</v>
      </c>
      <c r="H48" s="1502"/>
      <c r="K48" s="1427"/>
      <c r="L48" s="1548"/>
      <c r="M48" s="1548"/>
      <c r="N48" s="1422"/>
      <c r="O48" s="1422"/>
      <c r="P48" s="1422"/>
      <c r="Q48" s="1422"/>
      <c r="R48" s="1422"/>
      <c r="S48" s="1422"/>
    </row>
    <row r="49" spans="1:19">
      <c r="B49" s="1484">
        <v>106439</v>
      </c>
      <c r="C49" s="1487" t="s">
        <v>861</v>
      </c>
      <c r="D49" s="1484">
        <v>1</v>
      </c>
      <c r="E49" s="1484">
        <f>ROUNDUP(Months*22*8/unit_pack,0)</f>
        <v>0</v>
      </c>
      <c r="F49" s="1519">
        <v>0</v>
      </c>
      <c r="G49" s="1489" t="s">
        <v>22</v>
      </c>
      <c r="H49" s="1502"/>
      <c r="K49" s="1427"/>
      <c r="L49" s="1548"/>
      <c r="M49" s="1548"/>
      <c r="N49" s="1422"/>
      <c r="O49" s="1422"/>
      <c r="P49" s="1422"/>
      <c r="Q49" s="1422"/>
      <c r="R49" s="1422"/>
      <c r="S49" s="1422"/>
    </row>
    <row r="50" spans="1:19" ht="30">
      <c r="B50" s="1484">
        <v>106438</v>
      </c>
      <c r="C50" s="1487" t="s">
        <v>1010</v>
      </c>
      <c r="D50" s="1484">
        <v>1</v>
      </c>
      <c r="E50" s="1484">
        <f>IF($C$22=$X$22,ROUNDUP(kit_ordered/3/unit_pack,0),0)</f>
        <v>0</v>
      </c>
      <c r="F50" s="1519">
        <v>2.9</v>
      </c>
      <c r="G50" s="1489" t="s">
        <v>1033</v>
      </c>
      <c r="H50" s="1502"/>
      <c r="K50" s="1427"/>
      <c r="L50" s="1548"/>
      <c r="M50" s="1548"/>
      <c r="N50" s="1422"/>
      <c r="O50" s="1422"/>
      <c r="P50" s="1422"/>
      <c r="Q50" s="1422"/>
      <c r="R50" s="1422"/>
      <c r="S50" s="1422"/>
    </row>
    <row r="51" spans="1:19">
      <c r="B51" s="1484">
        <v>106755</v>
      </c>
      <c r="C51" s="1487" t="s">
        <v>862</v>
      </c>
      <c r="D51" s="1484">
        <v>200</v>
      </c>
      <c r="E51" s="1484">
        <f>IF($C$22=$X$22,ROUNDUP(C18/10*1.2/unit_pack,0),0)</f>
        <v>0</v>
      </c>
      <c r="F51" s="1519">
        <v>1.45</v>
      </c>
      <c r="G51" s="1489" t="s">
        <v>5</v>
      </c>
      <c r="H51" s="1502"/>
      <c r="K51" s="1427"/>
      <c r="L51" s="1548"/>
      <c r="M51" s="1548"/>
      <c r="N51" s="1422"/>
      <c r="O51" s="1422"/>
      <c r="P51" s="1422"/>
      <c r="Q51" s="1422"/>
      <c r="R51" s="1422"/>
      <c r="S51" s="1422"/>
    </row>
    <row r="52" spans="1:19" ht="30">
      <c r="B52" s="1484">
        <v>106333</v>
      </c>
      <c r="C52" s="1487" t="s">
        <v>1034</v>
      </c>
      <c r="D52" s="1484">
        <v>5</v>
      </c>
      <c r="E52" s="1484">
        <f>ROUNDUP(Months*4.33*1/unit_pack,0)</f>
        <v>0</v>
      </c>
      <c r="F52" s="1519">
        <v>32.15</v>
      </c>
      <c r="G52" s="1520" t="s">
        <v>23</v>
      </c>
      <c r="H52" s="1502"/>
      <c r="K52" s="1427"/>
      <c r="L52" s="1548"/>
      <c r="M52" s="1548"/>
      <c r="N52" s="1422"/>
      <c r="O52" s="1422"/>
      <c r="P52" s="1422"/>
      <c r="Q52" s="1422"/>
      <c r="R52" s="1422"/>
      <c r="S52" s="1422"/>
    </row>
    <row r="53" spans="1:19" ht="25.35" customHeight="1" thickBot="1">
      <c r="B53" s="1478"/>
      <c r="C53" s="1478"/>
      <c r="D53" s="1521"/>
      <c r="E53" s="1521"/>
      <c r="F53" s="1522"/>
      <c r="G53" s="1521"/>
      <c r="H53" s="1478"/>
      <c r="K53" s="1427"/>
      <c r="L53" s="1548"/>
      <c r="M53" s="1548"/>
      <c r="N53" s="1422"/>
      <c r="O53" s="1422"/>
      <c r="P53" s="1422"/>
      <c r="Q53" s="1422"/>
      <c r="R53" s="1422"/>
      <c r="S53" s="1422"/>
    </row>
    <row r="54" spans="1:19" ht="25.35" customHeight="1">
      <c r="B54" s="1478"/>
      <c r="C54" s="1545" t="s">
        <v>506</v>
      </c>
      <c r="D54" s="1546"/>
      <c r="E54" s="1523" t="s">
        <v>931</v>
      </c>
      <c r="F54" s="1462"/>
      <c r="G54" s="1464"/>
      <c r="K54" s="1427"/>
      <c r="L54" s="1548"/>
      <c r="M54" s="1548"/>
      <c r="N54" s="1422"/>
      <c r="O54" s="1422"/>
      <c r="P54" s="1422"/>
      <c r="Q54" s="1422"/>
      <c r="R54" s="1422"/>
      <c r="S54" s="1422"/>
    </row>
    <row r="55" spans="1:19" ht="25.35" customHeight="1">
      <c r="B55" s="1478"/>
      <c r="C55" s="1524" t="s">
        <v>1035</v>
      </c>
      <c r="D55" s="1525"/>
      <c r="E55" s="1526" cm="1">
        <f t="array" ref="E55">SUMPRODUCT(E30:E52*F30:F52)</f>
        <v>0</v>
      </c>
      <c r="F55" s="1464"/>
      <c r="G55" s="1464"/>
      <c r="K55" s="1427"/>
      <c r="L55" s="1548"/>
      <c r="M55" s="1548"/>
      <c r="N55" s="1422"/>
      <c r="O55" s="1422"/>
      <c r="P55" s="1422"/>
      <c r="Q55" s="1422"/>
      <c r="R55" s="1422"/>
      <c r="S55" s="1422"/>
    </row>
    <row r="56" spans="1:19" ht="25.35" customHeight="1" thickBot="1">
      <c r="C56" s="1527" t="s">
        <v>1347</v>
      </c>
      <c r="D56" s="1528"/>
      <c r="E56" s="1529" t="str">
        <f>IF(C27=0,"-",E55/C27)</f>
        <v>-</v>
      </c>
      <c r="K56" s="1427"/>
      <c r="L56" s="1548"/>
      <c r="M56" s="1548"/>
      <c r="N56" s="1422"/>
      <c r="O56" s="1422"/>
      <c r="P56" s="1422"/>
      <c r="Q56" s="1422"/>
      <c r="R56" s="1422"/>
      <c r="S56" s="1422"/>
    </row>
    <row r="57" spans="1:19">
      <c r="K57" s="1427"/>
      <c r="L57" s="1548"/>
      <c r="M57" s="1548"/>
      <c r="N57" s="1422"/>
      <c r="O57" s="1422"/>
      <c r="P57" s="1422"/>
      <c r="Q57" s="1422"/>
      <c r="R57" s="1422"/>
      <c r="S57" s="1422"/>
    </row>
    <row r="58" spans="1:19">
      <c r="A58" s="1427"/>
      <c r="B58" s="1427"/>
      <c r="C58" s="1427"/>
      <c r="D58" s="1427"/>
      <c r="E58" s="1427"/>
      <c r="F58" s="1427"/>
      <c r="G58" s="1427"/>
      <c r="H58" s="1427"/>
      <c r="I58" s="1427"/>
      <c r="J58" s="1427"/>
      <c r="K58" s="1427"/>
      <c r="L58" s="1548"/>
      <c r="M58" s="1548"/>
      <c r="N58" s="1422"/>
      <c r="O58" s="1422"/>
      <c r="P58" s="1422"/>
      <c r="Q58" s="1422"/>
      <c r="R58" s="1422"/>
      <c r="S58" s="1422"/>
    </row>
    <row r="59" spans="1:19">
      <c r="A59" s="1427"/>
      <c r="B59" s="1427"/>
      <c r="C59" s="1427"/>
      <c r="D59" s="1427"/>
      <c r="E59" s="1427"/>
      <c r="F59" s="1427"/>
      <c r="G59" s="1427"/>
      <c r="H59" s="1427"/>
      <c r="I59" s="1427"/>
      <c r="J59" s="1427"/>
      <c r="K59" s="1427"/>
      <c r="L59" s="1548"/>
      <c r="M59" s="1548"/>
      <c r="N59" s="1422"/>
      <c r="O59" s="1422"/>
      <c r="P59" s="1422"/>
      <c r="Q59" s="1422"/>
      <c r="R59" s="1422"/>
      <c r="S59" s="1422"/>
    </row>
    <row r="60" spans="1:19">
      <c r="A60" s="1427"/>
      <c r="B60" s="1427"/>
      <c r="C60" s="1427"/>
      <c r="D60" s="1427"/>
      <c r="E60" s="1427"/>
      <c r="F60" s="1427"/>
      <c r="G60" s="1427"/>
      <c r="H60" s="1427"/>
      <c r="I60" s="1427"/>
      <c r="J60" s="1427"/>
      <c r="K60" s="1427"/>
      <c r="L60" s="1548"/>
      <c r="M60" s="1548"/>
      <c r="N60" s="1422"/>
      <c r="O60" s="1422"/>
      <c r="P60" s="1422"/>
      <c r="Q60" s="1422"/>
      <c r="R60" s="1422"/>
      <c r="S60" s="1422"/>
    </row>
  </sheetData>
  <sheetProtection algorithmName="SHA-512" hashValue="DwfrMPq+jQvNC2i6rmGgCuA3LLB7hZY6C/Z1aZmgF3zqpwc6kjKc2NduT/OOaY5M72bnDkUrDg/LLcSWvsyYgg==" saltValue="IB1UwXzfCy/G0KHViTyiSg==" spinCount="100000" sheet="1" selectLockedCells="1"/>
  <mergeCells count="30">
    <mergeCell ref="C13:D13"/>
    <mergeCell ref="E13:F13"/>
    <mergeCell ref="B1:G1"/>
    <mergeCell ref="B2:G2"/>
    <mergeCell ref="B3:C3"/>
    <mergeCell ref="E3:G3"/>
    <mergeCell ref="E7:F7"/>
    <mergeCell ref="C14:D14"/>
    <mergeCell ref="E14:F14"/>
    <mergeCell ref="C15:D15"/>
    <mergeCell ref="E15:F15"/>
    <mergeCell ref="C16:D16"/>
    <mergeCell ref="E16:F16"/>
    <mergeCell ref="W21:AC21"/>
    <mergeCell ref="C22:D22"/>
    <mergeCell ref="C24:D24"/>
    <mergeCell ref="C17:D17"/>
    <mergeCell ref="E17:F17"/>
    <mergeCell ref="C18:D18"/>
    <mergeCell ref="E18:F18"/>
    <mergeCell ref="C19:D19"/>
    <mergeCell ref="E19:F19"/>
    <mergeCell ref="C26:D26"/>
    <mergeCell ref="C27:D27"/>
    <mergeCell ref="H30:H31"/>
    <mergeCell ref="C23:D23"/>
    <mergeCell ref="C20:D20"/>
    <mergeCell ref="F20:F24"/>
    <mergeCell ref="C21:D21"/>
    <mergeCell ref="C25:D25"/>
  </mergeCells>
  <dataValidations count="7">
    <dataValidation type="list" allowBlank="1" showInputMessage="1" showErrorMessage="1" sqref="C22" xr:uid="{00000000-0002-0000-0900-000000000000}">
      <formula1>$X$22:$Y$22</formula1>
    </dataValidation>
    <dataValidation type="list" allowBlank="1" showInputMessage="1" showErrorMessage="1" sqref="H32" xr:uid="{00000000-0002-0000-0900-000001000000}">
      <formula1>$X$32:$Y$32</formula1>
    </dataValidation>
    <dataValidation type="list" allowBlank="1" showInputMessage="1" showErrorMessage="1" sqref="H42" xr:uid="{00000000-0002-0000-0900-000002000000}">
      <formula1>$Y$42:$Z$42</formula1>
    </dataValidation>
    <dataValidation type="whole" operator="greaterThan" allowBlank="1" showInputMessage="1" showErrorMessage="1" error="Please enter whole number" sqref="C21" xr:uid="{00000000-0002-0000-0900-000003000000}">
      <formula1>0</formula1>
    </dataValidation>
    <dataValidation type="decimal" allowBlank="1" showInputMessage="1" showErrorMessage="1" error="Please enter % between 0 and 100" sqref="C20" xr:uid="{00000000-0002-0000-0900-000004000000}">
      <formula1>0</formula1>
      <formula2>1</formula2>
    </dataValidation>
    <dataValidation type="list" allowBlank="1" showInputMessage="1" showErrorMessage="1" sqref="C24" xr:uid="{00000000-0002-0000-0900-000005000000}">
      <formula1>$X$24:$Y$24</formula1>
    </dataValidation>
    <dataValidation type="list" allowBlank="1" showInputMessage="1" showErrorMessage="1" sqref="C23:D23" xr:uid="{00000000-0002-0000-0900-000006000000}">
      <formula1>$X$26:$Y$26</formula1>
    </dataValidation>
  </dataValidations>
  <printOptions gridLines="1"/>
  <pageMargins left="0.7" right="0.7" top="0.75" bottom="0.75" header="0.3" footer="0.3"/>
  <pageSetup paperSize="9" orientation="portrait" horizontalDpi="4294967292" verticalDpi="4294967292"/>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B28BF-03C6-D94F-ADF3-53610A1A4AE9}">
  <sheetPr published="0" codeName="Foglio27"/>
  <dimension ref="A1:AB47"/>
  <sheetViews>
    <sheetView showGridLines="0" zoomScaleNormal="100" zoomScalePageLayoutView="75" workbookViewId="0">
      <selection activeCell="L37" sqref="L37"/>
    </sheetView>
  </sheetViews>
  <sheetFormatPr defaultColWidth="0" defaultRowHeight="15" zeroHeight="1"/>
  <cols>
    <col min="1" max="1" width="14.6640625" style="1428" customWidth="1"/>
    <col min="2" max="2" width="65.1640625" style="1428" customWidth="1"/>
    <col min="3" max="3" width="26.1640625" style="1428" customWidth="1"/>
    <col min="4" max="5" width="35" style="1530" customWidth="1"/>
    <col min="6" max="6" width="55.1640625" style="1428" customWidth="1"/>
    <col min="7" max="7" width="44.6640625" style="1428" customWidth="1"/>
    <col min="8" max="9" width="9.6640625" style="1428" customWidth="1"/>
    <col min="10" max="10" width="10.6640625" style="1428" customWidth="1"/>
    <col min="11" max="11" width="9" style="1428" customWidth="1"/>
    <col min="12" max="18" width="9" style="1422" customWidth="1"/>
    <col min="19" max="19" width="9" style="1428" hidden="1" customWidth="1"/>
    <col min="20" max="20" width="0" style="1428" hidden="1" customWidth="1"/>
    <col min="21" max="27" width="9" style="1428" hidden="1" customWidth="1"/>
    <col min="28" max="28" width="0" style="1428" hidden="1" customWidth="1"/>
    <col min="29" max="16384" width="9" style="1428" hidden="1"/>
  </cols>
  <sheetData>
    <row r="1" spans="1:18" ht="45.95" customHeight="1">
      <c r="A1" s="1703" t="s">
        <v>986</v>
      </c>
      <c r="B1" s="1703"/>
      <c r="C1" s="1703"/>
      <c r="D1" s="1703"/>
      <c r="E1" s="1703"/>
      <c r="F1" s="1703"/>
      <c r="G1" s="1703"/>
      <c r="H1" s="1703"/>
      <c r="I1" s="1703"/>
      <c r="J1" s="1426"/>
      <c r="K1" s="1427"/>
    </row>
    <row r="2" spans="1:18" ht="44.1" customHeight="1">
      <c r="B2" s="1753" t="s">
        <v>938</v>
      </c>
      <c r="C2" s="1753"/>
      <c r="D2" s="1753"/>
      <c r="E2" s="1753"/>
      <c r="F2" s="1753"/>
      <c r="G2" s="1753"/>
      <c r="H2" s="1753"/>
      <c r="I2" s="1753"/>
      <c r="J2" s="1426"/>
      <c r="K2" s="1427"/>
    </row>
    <row r="3" spans="1:18" ht="111" customHeight="1">
      <c r="B3" s="1783" t="s">
        <v>1036</v>
      </c>
      <c r="C3" s="1784"/>
      <c r="D3" s="1429"/>
      <c r="E3" s="1783" t="s">
        <v>929</v>
      </c>
      <c r="F3" s="1784"/>
      <c r="G3" s="1785"/>
      <c r="H3" s="1430"/>
      <c r="I3" s="1430"/>
      <c r="J3" s="1426"/>
      <c r="K3" s="1427"/>
    </row>
    <row r="4" spans="1:18" ht="44.1" customHeight="1">
      <c r="B4" s="1431" t="s">
        <v>839</v>
      </c>
      <c r="C4" s="1424">
        <v>0</v>
      </c>
      <c r="D4" s="1432"/>
      <c r="E4" s="1433" t="s">
        <v>778</v>
      </c>
      <c r="F4" s="1434" t="s">
        <v>916</v>
      </c>
      <c r="G4" s="1435" t="s">
        <v>1352</v>
      </c>
      <c r="H4" s="1430"/>
      <c r="I4" s="1430"/>
      <c r="J4" s="1426"/>
      <c r="K4" s="1427"/>
    </row>
    <row r="5" spans="1:18" ht="30">
      <c r="B5" s="1431" t="s">
        <v>1350</v>
      </c>
      <c r="C5" s="1436">
        <f>C4*Months</f>
        <v>0</v>
      </c>
      <c r="D5" s="1432"/>
      <c r="E5" s="1555" t="s">
        <v>628</v>
      </c>
      <c r="F5" s="1404">
        <v>0</v>
      </c>
      <c r="G5" s="1556">
        <f>ROUND((F5*Epidemiology!B12*Epidemiology!B20*Epidemiology!E20),-2)</f>
        <v>0</v>
      </c>
      <c r="H5" s="1430"/>
      <c r="I5" s="1430"/>
      <c r="J5" s="1426"/>
      <c r="K5" s="1427"/>
    </row>
    <row r="6" spans="1:18" ht="44.1" customHeight="1">
      <c r="D6" s="1432"/>
      <c r="E6" s="1555" t="s">
        <v>629</v>
      </c>
      <c r="F6" s="1404">
        <v>0</v>
      </c>
      <c r="G6" s="1556">
        <f>ROUND(F6*Epidemiology!B9*Epidemiology!B10*Epidemiology!B26, -2)</f>
        <v>0</v>
      </c>
      <c r="H6" s="1430"/>
      <c r="I6" s="1430"/>
      <c r="J6" s="1426"/>
      <c r="K6" s="1427"/>
    </row>
    <row r="7" spans="1:18" ht="44.1" customHeight="1">
      <c r="B7" s="1439"/>
      <c r="C7" s="1432"/>
      <c r="D7" s="1432"/>
      <c r="E7" s="1437" t="s">
        <v>920</v>
      </c>
      <c r="F7" s="1404">
        <v>0</v>
      </c>
      <c r="G7" s="1556">
        <f>ROUND(F7*(Epidemiology!E7*Epidemiology!B17)+Epidemiology!B8+(Epidemiology!B14*Epidemiology!E17), -2)</f>
        <v>0</v>
      </c>
      <c r="H7" s="1430"/>
      <c r="I7" s="1430"/>
      <c r="J7" s="1426"/>
      <c r="K7" s="1427"/>
    </row>
    <row r="8" spans="1:18" ht="44.1" customHeight="1">
      <c r="B8" s="1439"/>
      <c r="C8" s="1432"/>
      <c r="D8" s="1432"/>
      <c r="E8" s="1555" t="s">
        <v>627</v>
      </c>
      <c r="F8" s="1404">
        <v>0</v>
      </c>
      <c r="G8" s="1556">
        <f>ROUND(F8*Epidemiology!E11*Epidemiology!E10*Epidemiology!C4*Epidemiology!B18,-2)</f>
        <v>0</v>
      </c>
      <c r="H8" s="1430"/>
      <c r="I8" s="1430"/>
      <c r="J8" s="1426"/>
      <c r="K8" s="1427"/>
    </row>
    <row r="9" spans="1:18" ht="44.1" customHeight="1">
      <c r="B9" s="1439"/>
      <c r="C9" s="1432"/>
      <c r="D9" s="1432"/>
      <c r="E9" s="1557" t="s">
        <v>947</v>
      </c>
      <c r="F9" s="1404">
        <v>0</v>
      </c>
      <c r="G9" s="1556">
        <f>ROUND(Epidemiology!C7-((Epidemiology!B9*Epidemiology!B10)+(Epidemiology!E7+Epidemiology!B8+Epidemiology!B14)+(Epidemiology!E11*Epidemiology!E10*Epidemiology!C4)+(Epidemiology!C7*Epidemiology!B10)),-2)*F9</f>
        <v>0</v>
      </c>
      <c r="H9" s="1430"/>
      <c r="I9" s="1430"/>
      <c r="J9" s="1426"/>
      <c r="K9" s="1427"/>
    </row>
    <row r="10" spans="1:18" ht="44.1" customHeight="1">
      <c r="B10" s="1439"/>
      <c r="C10" s="1432"/>
      <c r="D10" s="1432"/>
      <c r="E10" s="1792" t="s">
        <v>1351</v>
      </c>
      <c r="F10" s="1793"/>
      <c r="G10" s="1556">
        <f>SUM(G5:G9)</f>
        <v>0</v>
      </c>
      <c r="H10" s="1430"/>
      <c r="I10" s="1430"/>
      <c r="J10" s="1426"/>
      <c r="K10" s="1427"/>
    </row>
    <row r="11" spans="1:18" ht="44.1" customHeight="1">
      <c r="B11" s="1439"/>
      <c r="C11" s="1432"/>
      <c r="D11" s="1432"/>
      <c r="E11" s="1558"/>
      <c r="F11" s="1558"/>
      <c r="G11" s="1559"/>
      <c r="H11" s="1430"/>
      <c r="I11" s="1430"/>
      <c r="J11" s="1426"/>
      <c r="K11" s="1427"/>
    </row>
    <row r="12" spans="1:18" s="1440" customFormat="1" ht="24.95" customHeight="1">
      <c r="B12" s="1441"/>
      <c r="C12" s="1442"/>
      <c r="D12" s="1442"/>
      <c r="E12" s="1442"/>
      <c r="F12" s="1442"/>
      <c r="G12" s="1442"/>
      <c r="H12" s="1443"/>
      <c r="I12" s="1443"/>
      <c r="J12" s="1426"/>
      <c r="K12" s="1427"/>
      <c r="L12" s="1423"/>
      <c r="M12" s="1423"/>
      <c r="N12" s="1423"/>
      <c r="O12" s="1423"/>
      <c r="P12" s="1423"/>
      <c r="Q12" s="1423"/>
      <c r="R12" s="1423"/>
    </row>
    <row r="13" spans="1:18" s="1440" customFormat="1" ht="27.95" customHeight="1">
      <c r="B13" s="1441"/>
      <c r="C13" s="1442"/>
      <c r="D13" s="1442"/>
      <c r="E13" s="1442"/>
      <c r="F13" s="1442"/>
      <c r="G13" s="1442"/>
      <c r="H13" s="1443"/>
      <c r="I13" s="1443"/>
      <c r="J13" s="1426"/>
      <c r="K13" s="1427"/>
      <c r="L13" s="1423"/>
      <c r="M13" s="1423"/>
      <c r="N13" s="1423"/>
      <c r="O13" s="1423"/>
      <c r="P13" s="1423"/>
      <c r="Q13" s="1423"/>
      <c r="R13" s="1423"/>
    </row>
    <row r="14" spans="1:18" ht="44.1" customHeight="1">
      <c r="B14" s="1439"/>
      <c r="C14" s="1432"/>
      <c r="D14" s="1432"/>
      <c r="E14" s="1445"/>
      <c r="F14" s="1445"/>
      <c r="G14" s="1445"/>
      <c r="H14" s="1430"/>
      <c r="I14" s="1430"/>
      <c r="J14" s="1426"/>
      <c r="K14" s="1427"/>
    </row>
    <row r="15" spans="1:18" ht="51" customHeight="1">
      <c r="B15" s="1448" t="s">
        <v>1037</v>
      </c>
      <c r="C15" s="1789">
        <v>0</v>
      </c>
      <c r="D15" s="1789"/>
      <c r="E15" s="1790"/>
      <c r="F15" s="1791"/>
      <c r="G15" s="1449"/>
      <c r="H15" s="1455"/>
      <c r="I15" s="1456"/>
      <c r="J15" s="1457"/>
      <c r="K15" s="1453"/>
    </row>
    <row r="16" spans="1:18" ht="51" customHeight="1">
      <c r="B16" s="1448" t="s">
        <v>728</v>
      </c>
      <c r="C16" s="1789">
        <v>0</v>
      </c>
      <c r="D16" s="1789"/>
      <c r="E16" s="1790"/>
      <c r="F16" s="1791"/>
      <c r="G16" s="1449"/>
      <c r="H16" s="1455"/>
      <c r="I16" s="1458"/>
      <c r="J16" s="1459"/>
      <c r="K16" s="1453"/>
    </row>
    <row r="17" spans="2:28" ht="30">
      <c r="B17" s="1460" t="s">
        <v>1353</v>
      </c>
      <c r="C17" s="1794">
        <v>0</v>
      </c>
      <c r="D17" s="1794"/>
      <c r="E17" s="1795"/>
      <c r="F17" s="1795"/>
      <c r="G17" s="1449"/>
      <c r="H17" s="1455"/>
      <c r="I17" s="1458"/>
      <c r="J17" s="1459"/>
      <c r="K17" s="1453"/>
    </row>
    <row r="18" spans="2:28" ht="51" customHeight="1">
      <c r="B18" s="1460" t="s">
        <v>21</v>
      </c>
      <c r="C18" s="1796">
        <f>C15+C16</f>
        <v>0</v>
      </c>
      <c r="D18" s="1796"/>
      <c r="E18" s="1797"/>
      <c r="F18" s="1797"/>
      <c r="G18" s="1449"/>
      <c r="H18" s="1461"/>
      <c r="I18" s="1458"/>
      <c r="J18" s="1459"/>
      <c r="K18" s="1453"/>
    </row>
    <row r="19" spans="2:28" ht="51" customHeight="1">
      <c r="B19" s="1460" t="s">
        <v>1300</v>
      </c>
      <c r="C19" s="1799" t="str">
        <f>IF(C15=0,"0",C17/C15)</f>
        <v>0</v>
      </c>
      <c r="D19" s="1799"/>
      <c r="E19" s="1800"/>
      <c r="F19" s="1800"/>
      <c r="G19" s="1462"/>
      <c r="J19" s="1427"/>
      <c r="K19" s="1427"/>
    </row>
    <row r="20" spans="2:28" ht="51" customHeight="1">
      <c r="B20" s="1460" t="s">
        <v>731</v>
      </c>
      <c r="C20" s="1801" t="str">
        <f>IF(C18=0,"0",C19*C18)</f>
        <v>0</v>
      </c>
      <c r="D20" s="1801"/>
      <c r="E20" s="1802"/>
      <c r="F20" s="1802"/>
      <c r="G20" s="1478"/>
      <c r="J20" s="1427"/>
      <c r="K20" s="1427"/>
    </row>
    <row r="21" spans="2:28" ht="15.95" customHeight="1">
      <c r="B21" s="1463" t="s">
        <v>993</v>
      </c>
      <c r="C21" s="1803">
        <v>0</v>
      </c>
      <c r="D21" s="1803"/>
      <c r="E21" s="1464"/>
      <c r="F21" s="1769"/>
      <c r="G21" s="1478"/>
      <c r="J21" s="1427"/>
      <c r="K21" s="1427"/>
    </row>
    <row r="22" spans="2:28" ht="15.75" thickBot="1">
      <c r="B22" s="1465" t="s">
        <v>729</v>
      </c>
      <c r="C22" s="1804">
        <v>1</v>
      </c>
      <c r="D22" s="1804"/>
      <c r="E22" s="1464"/>
      <c r="F22" s="1769"/>
      <c r="G22" s="1478"/>
      <c r="J22" s="1427"/>
      <c r="K22" s="1427"/>
      <c r="U22" s="1774" t="s">
        <v>749</v>
      </c>
      <c r="V22" s="1774"/>
      <c r="W22" s="1774"/>
      <c r="X22" s="1774"/>
      <c r="Y22" s="1774"/>
      <c r="Z22" s="1774"/>
      <c r="AA22" s="1774"/>
    </row>
    <row r="23" spans="2:28">
      <c r="B23" s="1474" t="s">
        <v>890</v>
      </c>
      <c r="C23" s="1804">
        <v>0</v>
      </c>
      <c r="D23" s="1804"/>
      <c r="E23" s="1464"/>
      <c r="F23" s="1476"/>
      <c r="G23" s="1478"/>
      <c r="J23" s="1427"/>
      <c r="K23" s="1427"/>
      <c r="U23" s="1561"/>
      <c r="V23" s="1561"/>
      <c r="W23" s="1561"/>
      <c r="X23" s="1561"/>
      <c r="Y23" s="1561"/>
      <c r="Z23" s="1561"/>
      <c r="AA23" s="1561"/>
    </row>
    <row r="24" spans="2:28" ht="15.95" customHeight="1">
      <c r="B24" s="1477" t="s">
        <v>1057</v>
      </c>
      <c r="C24" s="1798">
        <f>ROUNDUP(C20+(C20*repet)+C22*C19,0)</f>
        <v>0</v>
      </c>
      <c r="D24" s="1798"/>
      <c r="E24" s="1428"/>
      <c r="G24" s="1462"/>
      <c r="H24" s="1462"/>
      <c r="I24" s="1462"/>
      <c r="J24" s="1427"/>
      <c r="K24" s="1427"/>
      <c r="U24" s="1470"/>
      <c r="V24" s="1471"/>
      <c r="W24" s="1471"/>
      <c r="X24" s="1471"/>
      <c r="Y24" s="1471"/>
      <c r="Z24" s="1471"/>
      <c r="AA24" s="1472"/>
    </row>
    <row r="25" spans="2:28" ht="15.95" customHeight="1">
      <c r="B25" s="1677" t="s">
        <v>1414</v>
      </c>
      <c r="C25" s="1798">
        <f>IF(C23=0,(ROUNDUP(C20+(C20*repet)+C22*C19,0)),(ROUNDUP(C20+(C20*repet)+C22*C19,0)-C23))</f>
        <v>0</v>
      </c>
      <c r="D25" s="1798"/>
      <c r="E25" s="1428"/>
      <c r="G25" s="1462"/>
      <c r="H25" s="1462"/>
      <c r="I25" s="1462"/>
      <c r="J25" s="1427"/>
      <c r="K25" s="1427"/>
      <c r="U25" s="1470"/>
      <c r="V25" s="1471"/>
      <c r="W25" s="1471"/>
      <c r="X25" s="1471"/>
      <c r="Y25" s="1471"/>
      <c r="Z25" s="1471"/>
      <c r="AA25" s="1472"/>
    </row>
    <row r="26" spans="2:28" ht="20.100000000000001" customHeight="1" thickBot="1">
      <c r="D26" s="1428"/>
      <c r="E26" s="1428"/>
      <c r="J26" s="1427"/>
      <c r="K26" s="1427"/>
      <c r="U26" s="1470"/>
      <c r="V26" s="1471"/>
      <c r="W26" s="1471"/>
      <c r="X26" s="1471"/>
      <c r="Y26" s="1471"/>
      <c r="Z26" s="1471"/>
      <c r="AA26" s="1472"/>
    </row>
    <row r="27" spans="2:28">
      <c r="B27" s="1479" t="s">
        <v>614</v>
      </c>
      <c r="C27" s="1479" t="s">
        <v>923</v>
      </c>
      <c r="D27" s="1480" t="s">
        <v>946</v>
      </c>
      <c r="E27" s="1480" t="s">
        <v>945</v>
      </c>
      <c r="F27" s="1481" t="s">
        <v>433</v>
      </c>
      <c r="G27" s="1562" t="s">
        <v>79</v>
      </c>
      <c r="J27" s="1427"/>
      <c r="K27" s="1427"/>
      <c r="U27" s="1470"/>
      <c r="V27" s="1471"/>
      <c r="W27" s="1471"/>
      <c r="X27" s="1471"/>
      <c r="Y27" s="1471"/>
      <c r="Z27" s="1471"/>
      <c r="AA27" s="1472"/>
    </row>
    <row r="28" spans="2:28" ht="32.1" customHeight="1">
      <c r="B28" s="1563"/>
      <c r="C28" s="1564" t="s">
        <v>840</v>
      </c>
      <c r="D28" s="1563">
        <v>24</v>
      </c>
      <c r="E28" s="1565">
        <f>ROUNDUP(C25/unit_pack,0)</f>
        <v>0</v>
      </c>
      <c r="F28" s="1583">
        <v>0</v>
      </c>
      <c r="G28" s="1805" t="s">
        <v>1038</v>
      </c>
      <c r="J28" s="1427"/>
      <c r="K28" s="1427"/>
      <c r="U28" s="1470"/>
      <c r="V28" s="1471"/>
      <c r="W28" s="1471"/>
      <c r="X28" s="1471"/>
      <c r="Y28" s="1471"/>
      <c r="Z28" s="1471"/>
      <c r="AA28" s="1472"/>
    </row>
    <row r="29" spans="2:28">
      <c r="B29" s="1563"/>
      <c r="C29" s="1564" t="s">
        <v>841</v>
      </c>
      <c r="D29" s="1566">
        <v>24</v>
      </c>
      <c r="E29" s="1565">
        <f>ROUNDUP(C25/unit_pack,0)</f>
        <v>0</v>
      </c>
      <c r="F29" s="1583">
        <v>0</v>
      </c>
      <c r="G29" s="1805"/>
      <c r="J29" s="1427"/>
      <c r="K29" s="1427"/>
      <c r="U29" s="1470"/>
      <c r="V29" s="1471"/>
      <c r="W29" s="1471"/>
      <c r="X29" s="1471"/>
      <c r="Y29" s="1471"/>
      <c r="Z29" s="1471"/>
      <c r="AA29" s="1472"/>
    </row>
    <row r="30" spans="2:28" ht="30">
      <c r="B30" s="1484">
        <v>106384</v>
      </c>
      <c r="C30" s="1487" t="s">
        <v>1007</v>
      </c>
      <c r="D30" s="1484">
        <v>500</v>
      </c>
      <c r="E30" s="1484">
        <f>ROUNDUP(kit_ordered*D28*1.05/unit_pack,0)</f>
        <v>0</v>
      </c>
      <c r="F30" s="1519">
        <v>48.95</v>
      </c>
      <c r="G30" s="1567" t="s">
        <v>88</v>
      </c>
      <c r="J30" s="1427"/>
      <c r="K30" s="1427"/>
      <c r="V30" s="1470"/>
      <c r="W30" s="1471"/>
      <c r="X30" s="1471"/>
      <c r="Y30" s="1471"/>
      <c r="Z30" s="1471"/>
      <c r="AA30" s="1471"/>
      <c r="AB30" s="1472"/>
    </row>
    <row r="31" spans="2:28" s="1504" customFormat="1" ht="30">
      <c r="B31" s="1503">
        <v>106422</v>
      </c>
      <c r="C31" s="1496" t="s">
        <v>998</v>
      </c>
      <c r="D31" s="1495">
        <v>500</v>
      </c>
      <c r="E31" s="1495">
        <f>ROUNDUP(C19*2*1.05/unit_pack,0)</f>
        <v>0</v>
      </c>
      <c r="F31" s="1499">
        <v>49.55</v>
      </c>
      <c r="G31" s="1567" t="s">
        <v>836</v>
      </c>
      <c r="H31" s="1428"/>
      <c r="J31" s="1505"/>
      <c r="K31" s="1505"/>
      <c r="L31" s="1554"/>
      <c r="M31" s="1554"/>
      <c r="N31" s="1554"/>
      <c r="O31" s="1554"/>
      <c r="P31" s="1554"/>
      <c r="Q31" s="1554"/>
      <c r="R31" s="1554"/>
      <c r="V31" s="1506"/>
      <c r="W31" s="1473"/>
      <c r="X31" s="1473"/>
      <c r="Y31" s="1473"/>
      <c r="Z31" s="1473"/>
      <c r="AA31" s="1473"/>
      <c r="AB31" s="1507"/>
    </row>
    <row r="32" spans="2:28" ht="30">
      <c r="B32" s="1503">
        <v>106554</v>
      </c>
      <c r="C32" s="1496" t="s">
        <v>1001</v>
      </c>
      <c r="D32" s="1503">
        <v>960</v>
      </c>
      <c r="E32" s="1495">
        <f>ROUNDUP((kit_ordered*D28*4*1.05)/unit_pack,0)</f>
        <v>0</v>
      </c>
      <c r="F32" s="1508">
        <v>115.7</v>
      </c>
      <c r="G32" s="1567" t="s">
        <v>834</v>
      </c>
      <c r="J32" s="1427"/>
      <c r="K32" s="1427"/>
      <c r="V32" s="1470"/>
      <c r="W32" s="1471"/>
      <c r="X32" s="1471"/>
      <c r="Y32" s="1471"/>
      <c r="Z32" s="1471"/>
      <c r="AA32" s="1471"/>
      <c r="AB32" s="1472"/>
    </row>
    <row r="33" spans="1:28" ht="30">
      <c r="B33" s="1503">
        <v>106389</v>
      </c>
      <c r="C33" s="1496" t="s">
        <v>1002</v>
      </c>
      <c r="D33" s="1503">
        <v>960</v>
      </c>
      <c r="E33" s="1503">
        <f>ROUNDUP((kit_ordered*D28*4*1.05)/unit_pack,0)</f>
        <v>0</v>
      </c>
      <c r="F33" s="1508">
        <v>61</v>
      </c>
      <c r="G33" s="1567" t="s">
        <v>835</v>
      </c>
      <c r="J33" s="1427"/>
      <c r="K33" s="1427"/>
      <c r="V33" s="1470"/>
      <c r="W33" s="1471"/>
      <c r="X33" s="1471"/>
      <c r="Y33" s="1471"/>
      <c r="Z33" s="1471"/>
      <c r="AA33" s="1471"/>
      <c r="AB33" s="1472"/>
    </row>
    <row r="34" spans="1:28" ht="30">
      <c r="B34" s="1503">
        <v>106390</v>
      </c>
      <c r="C34" s="1496" t="s">
        <v>1003</v>
      </c>
      <c r="D34" s="1503">
        <v>960</v>
      </c>
      <c r="E34" s="1503">
        <f>ROUNDUP((kit_ordered*D28*4*1.05)/unit_pack,0)</f>
        <v>0</v>
      </c>
      <c r="F34" s="1508">
        <v>88.5</v>
      </c>
      <c r="G34" s="1568" t="s">
        <v>835</v>
      </c>
      <c r="J34" s="1427"/>
      <c r="K34" s="1427"/>
      <c r="V34" s="1470"/>
      <c r="W34" s="1471"/>
      <c r="X34" s="1471"/>
      <c r="Y34" s="1471"/>
      <c r="Z34" s="1471"/>
      <c r="AA34" s="1471"/>
      <c r="AB34" s="1472"/>
    </row>
    <row r="35" spans="1:28">
      <c r="B35" s="1484">
        <v>106444</v>
      </c>
      <c r="C35" s="1487" t="s">
        <v>1008</v>
      </c>
      <c r="D35" s="1484">
        <v>200</v>
      </c>
      <c r="E35" s="1484">
        <f>ROUNDUP(Months*22*4/unit_pack,0)</f>
        <v>0</v>
      </c>
      <c r="F35" s="1519">
        <v>98.6</v>
      </c>
      <c r="G35" s="1567" t="s">
        <v>1016</v>
      </c>
      <c r="J35" s="1427"/>
      <c r="K35" s="1427"/>
    </row>
    <row r="36" spans="1:28" ht="30">
      <c r="B36" s="1484">
        <v>106415</v>
      </c>
      <c r="C36" s="1487" t="s">
        <v>1009</v>
      </c>
      <c r="D36" s="1484">
        <v>100</v>
      </c>
      <c r="E36" s="1484">
        <f>ROUNDUP(Months*22*8/unit_pack,0)</f>
        <v>0</v>
      </c>
      <c r="F36" s="1519">
        <v>111.4</v>
      </c>
      <c r="G36" s="1567" t="s">
        <v>22</v>
      </c>
      <c r="J36" s="1427"/>
      <c r="K36" s="1427"/>
    </row>
    <row r="37" spans="1:28">
      <c r="B37" s="1484">
        <v>106755</v>
      </c>
      <c r="C37" s="1487" t="s">
        <v>862</v>
      </c>
      <c r="D37" s="1484">
        <v>200</v>
      </c>
      <c r="E37" s="1484">
        <f>ROUNDUP(Months*22*40/unit_pack,0)</f>
        <v>0</v>
      </c>
      <c r="F37" s="1519">
        <v>1.45</v>
      </c>
      <c r="G37" s="1563" t="s">
        <v>23</v>
      </c>
      <c r="J37" s="1427"/>
      <c r="K37" s="1427"/>
    </row>
    <row r="38" spans="1:28" ht="30">
      <c r="B38" s="1484">
        <v>106333</v>
      </c>
      <c r="C38" s="1487" t="s">
        <v>1034</v>
      </c>
      <c r="D38" s="1484">
        <v>5</v>
      </c>
      <c r="E38" s="1484">
        <f>ROUNDUP(Months*4.33*1/unit_pack,0)</f>
        <v>0</v>
      </c>
      <c r="F38" s="1519">
        <v>32.15</v>
      </c>
      <c r="G38" s="1563" t="s">
        <v>1017</v>
      </c>
      <c r="J38" s="1427"/>
      <c r="K38" s="1427"/>
    </row>
    <row r="39" spans="1:28">
      <c r="B39" s="1521"/>
      <c r="C39" s="1569"/>
      <c r="D39" s="1570"/>
      <c r="E39" s="1571"/>
      <c r="F39" s="1572"/>
      <c r="G39" s="1573"/>
      <c r="J39" s="1427"/>
      <c r="K39" s="1427"/>
      <c r="U39" s="1471"/>
      <c r="V39" s="1471"/>
      <c r="W39" s="1471"/>
      <c r="X39" s="1471"/>
      <c r="Y39" s="1471"/>
      <c r="Z39" s="1471"/>
      <c r="AA39" s="1471"/>
    </row>
    <row r="40" spans="1:28" ht="25.35" customHeight="1" thickBot="1">
      <c r="B40" s="1478"/>
      <c r="C40" s="1478"/>
      <c r="D40" s="1521"/>
      <c r="E40" s="1521"/>
      <c r="F40" s="1522"/>
      <c r="G40" s="1521"/>
      <c r="J40" s="1427"/>
      <c r="K40" s="1427"/>
    </row>
    <row r="41" spans="1:28" ht="15.95" customHeight="1">
      <c r="B41" s="1478"/>
      <c r="C41" s="1772" t="s">
        <v>506</v>
      </c>
      <c r="D41" s="1773"/>
      <c r="E41" s="1523" t="s">
        <v>931</v>
      </c>
      <c r="F41" s="1462"/>
      <c r="G41" s="1464"/>
      <c r="J41" s="1427"/>
      <c r="K41" s="1427"/>
    </row>
    <row r="42" spans="1:28" ht="25.35" customHeight="1">
      <c r="B42" s="1478"/>
      <c r="C42" s="1524" t="s">
        <v>1349</v>
      </c>
      <c r="D42" s="1525"/>
      <c r="E42" s="1526" cm="1">
        <f t="array" ref="E42">SUMPRODUCT(E28:E38*F28:F38)</f>
        <v>0</v>
      </c>
      <c r="F42" s="1464"/>
      <c r="G42" s="1464"/>
      <c r="J42" s="1427"/>
      <c r="K42" s="1427"/>
    </row>
    <row r="43" spans="1:28" ht="25.35" customHeight="1" thickBot="1">
      <c r="C43" s="1527" t="s">
        <v>1348</v>
      </c>
      <c r="D43" s="1528"/>
      <c r="E43" s="1574" t="str">
        <f>IF(total_test=0,"-",(E42/total_test))</f>
        <v>-</v>
      </c>
      <c r="J43" s="1427"/>
      <c r="K43" s="1427"/>
    </row>
    <row r="44" spans="1:28">
      <c r="J44" s="1427"/>
      <c r="K44" s="1427"/>
    </row>
    <row r="45" spans="1:28">
      <c r="A45" s="1427"/>
      <c r="B45" s="1427"/>
      <c r="C45" s="1427"/>
      <c r="D45" s="1531"/>
      <c r="E45" s="1531"/>
      <c r="F45" s="1427"/>
      <c r="G45" s="1427"/>
      <c r="H45" s="1427"/>
      <c r="I45" s="1427"/>
      <c r="J45" s="1427"/>
      <c r="K45" s="1427"/>
    </row>
    <row r="46" spans="1:28">
      <c r="A46" s="1427"/>
      <c r="B46" s="1427"/>
      <c r="C46" s="1427"/>
      <c r="D46" s="1531"/>
      <c r="E46" s="1531"/>
      <c r="F46" s="1427"/>
      <c r="G46" s="1427"/>
      <c r="H46" s="1427"/>
      <c r="I46" s="1427"/>
      <c r="J46" s="1427"/>
      <c r="K46" s="1427"/>
    </row>
    <row r="47" spans="1:28">
      <c r="A47" s="1427"/>
      <c r="B47" s="1427"/>
      <c r="C47" s="1427"/>
      <c r="D47" s="1531"/>
      <c r="E47" s="1531"/>
      <c r="F47" s="1427"/>
      <c r="G47" s="1427"/>
      <c r="H47" s="1427"/>
      <c r="I47" s="1427"/>
      <c r="J47" s="1427"/>
      <c r="K47" s="1427"/>
    </row>
  </sheetData>
  <sheetProtection algorithmName="SHA-512" hashValue="mtpgrJY6Ne5uDtnwh75JvmRxxmJaJYwqiosuZ+CFkXji8yIhZSajxVuDgA7J5+PXKi86PHf44hJnJ/1dKpN9WA==" saltValue="kT/XJ5cr9U20Jqe/BhbgoQ==" spinCount="100000" sheet="1" selectLockedCells="1"/>
  <mergeCells count="26">
    <mergeCell ref="U22:AA22"/>
    <mergeCell ref="C24:D24"/>
    <mergeCell ref="C41:D41"/>
    <mergeCell ref="C19:D19"/>
    <mergeCell ref="E19:F19"/>
    <mergeCell ref="C20:D20"/>
    <mergeCell ref="E20:F20"/>
    <mergeCell ref="C21:D21"/>
    <mergeCell ref="F21:F22"/>
    <mergeCell ref="C22:D22"/>
    <mergeCell ref="G28:G29"/>
    <mergeCell ref="C23:D23"/>
    <mergeCell ref="C25:D25"/>
    <mergeCell ref="C16:D16"/>
    <mergeCell ref="E16:F16"/>
    <mergeCell ref="C17:D17"/>
    <mergeCell ref="E17:F17"/>
    <mergeCell ref="C18:D18"/>
    <mergeCell ref="E18:F18"/>
    <mergeCell ref="C15:D15"/>
    <mergeCell ref="E15:F15"/>
    <mergeCell ref="A1:I1"/>
    <mergeCell ref="B2:I2"/>
    <mergeCell ref="B3:C3"/>
    <mergeCell ref="E3:G3"/>
    <mergeCell ref="E10:F10"/>
  </mergeCells>
  <dataValidations count="2">
    <dataValidation type="decimal" allowBlank="1" showInputMessage="1" showErrorMessage="1" error="Please enter % between 0 and 100" sqref="C21" xr:uid="{5D3CFD79-5292-5E41-AC90-C30AD0A1B6E5}">
      <formula1>0</formula1>
      <formula2>1</formula2>
    </dataValidation>
    <dataValidation type="whole" operator="greaterThan" allowBlank="1" showInputMessage="1" showErrorMessage="1" error="Please enter whole number" sqref="C22" xr:uid="{49363414-1879-1348-BA1E-399839A9F919}">
      <formula1>0</formula1>
    </dataValidation>
  </dataValidations>
  <printOptions gridLines="1"/>
  <pageMargins left="0.7" right="0.7" top="0.75" bottom="0.75" header="0.3" footer="0.3"/>
  <pageSetup paperSize="9" orientation="portrait" horizontalDpi="4294967292" verticalDpi="429496729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63DBD-FF27-EE49-B137-C7BE3E9ECF1D}">
  <sheetPr published="0" codeName="Foglio26"/>
  <dimension ref="A1:AB49"/>
  <sheetViews>
    <sheetView showGridLines="0" zoomScaleNormal="85" zoomScalePageLayoutView="75" workbookViewId="0">
      <selection activeCell="M40" sqref="M40"/>
    </sheetView>
  </sheetViews>
  <sheetFormatPr defaultColWidth="0" defaultRowHeight="15" zeroHeight="1"/>
  <cols>
    <col min="1" max="1" width="14.6640625" style="602" customWidth="1"/>
    <col min="2" max="2" width="65.1640625" style="602" customWidth="1"/>
    <col min="3" max="3" width="26.1640625" style="602" customWidth="1"/>
    <col min="4" max="4" width="25.6640625" style="601" customWidth="1"/>
    <col min="5" max="5" width="35" style="601" customWidth="1"/>
    <col min="6" max="6" width="55.1640625" style="602" customWidth="1"/>
    <col min="7" max="7" width="44.6640625" style="602" customWidth="1"/>
    <col min="8" max="8" width="23.6640625" style="602" customWidth="1"/>
    <col min="9" max="9" width="10.1640625" style="602" customWidth="1"/>
    <col min="10" max="10" width="6.1640625" style="602" customWidth="1"/>
    <col min="11" max="11" width="10.6640625" style="602" customWidth="1"/>
    <col min="12" max="12" width="9" style="602" customWidth="1"/>
    <col min="13" max="19" width="9" style="1422" customWidth="1"/>
    <col min="20" max="16384" width="9" style="1422" hidden="1"/>
  </cols>
  <sheetData>
    <row r="1" spans="1:19" ht="45.95" customHeight="1">
      <c r="A1" s="1728" t="s">
        <v>987</v>
      </c>
      <c r="B1" s="1728"/>
      <c r="C1" s="1728"/>
      <c r="D1" s="1728"/>
      <c r="E1" s="1728"/>
      <c r="F1" s="1728"/>
      <c r="G1" s="1728"/>
      <c r="H1" s="1728"/>
      <c r="I1" s="1728"/>
      <c r="J1" s="1728"/>
      <c r="K1" s="1030"/>
      <c r="L1" s="1036"/>
    </row>
    <row r="2" spans="1:19" ht="44.1" customHeight="1">
      <c r="B2" s="1718" t="s">
        <v>938</v>
      </c>
      <c r="C2" s="1718"/>
      <c r="D2" s="1718"/>
      <c r="E2" s="1718"/>
      <c r="F2" s="1718"/>
      <c r="G2" s="1718"/>
      <c r="H2" s="1718"/>
      <c r="I2" s="1718"/>
      <c r="J2" s="1718"/>
      <c r="K2" s="1030"/>
      <c r="L2" s="1036"/>
    </row>
    <row r="3" spans="1:19" ht="111" customHeight="1">
      <c r="B3" s="1721" t="s">
        <v>1354</v>
      </c>
      <c r="C3" s="1722"/>
      <c r="D3" s="584"/>
      <c r="E3" s="1721" t="s">
        <v>929</v>
      </c>
      <c r="F3" s="1722"/>
      <c r="G3" s="1751"/>
      <c r="H3" s="582"/>
      <c r="I3" s="582"/>
      <c r="J3" s="582"/>
      <c r="K3" s="1030"/>
      <c r="L3" s="1036"/>
    </row>
    <row r="4" spans="1:19" ht="44.1" customHeight="1">
      <c r="B4" s="764" t="s">
        <v>837</v>
      </c>
      <c r="C4" s="1424">
        <v>0</v>
      </c>
      <c r="D4" s="1214"/>
      <c r="E4" s="757" t="s">
        <v>778</v>
      </c>
      <c r="F4" s="935" t="s">
        <v>916</v>
      </c>
      <c r="G4" s="729" t="s">
        <v>1356</v>
      </c>
      <c r="H4" s="582"/>
      <c r="I4" s="582"/>
      <c r="J4" s="582"/>
      <c r="K4" s="1030"/>
      <c r="L4" s="1036"/>
    </row>
    <row r="5" spans="1:19" ht="31.5">
      <c r="B5" s="764" t="s">
        <v>1355</v>
      </c>
      <c r="C5" s="768">
        <f>C4*Months</f>
        <v>0</v>
      </c>
      <c r="D5" s="1214"/>
      <c r="E5" s="689" t="s">
        <v>628</v>
      </c>
      <c r="F5" s="1404">
        <v>0</v>
      </c>
      <c r="G5" s="687">
        <f>ROUND((F5*Epidemiology!B12*Epidemiology!B20*Epidemiology!E20),-2)</f>
        <v>0</v>
      </c>
      <c r="H5" s="582"/>
      <c r="I5" s="582"/>
      <c r="J5" s="582"/>
      <c r="K5" s="1030"/>
      <c r="L5" s="1036"/>
    </row>
    <row r="6" spans="1:19" ht="44.1" customHeight="1">
      <c r="D6" s="1214"/>
      <c r="E6" s="689" t="s">
        <v>629</v>
      </c>
      <c r="F6" s="1404">
        <v>0</v>
      </c>
      <c r="G6" s="687">
        <f>ROUND(F6*Epidemiology!B9*Epidemiology!B10*Epidemiology!B26, -2)</f>
        <v>0</v>
      </c>
      <c r="H6" s="582"/>
      <c r="I6" s="582"/>
      <c r="J6" s="582"/>
      <c r="K6" s="1030"/>
      <c r="L6" s="1036"/>
    </row>
    <row r="7" spans="1:19" ht="44.1" customHeight="1">
      <c r="B7" s="1213"/>
      <c r="C7" s="1214"/>
      <c r="D7" s="1214"/>
      <c r="E7" s="1303" t="s">
        <v>920</v>
      </c>
      <c r="F7" s="1404">
        <v>0</v>
      </c>
      <c r="G7" s="687">
        <f>ROUND(F7*(Epidemiology!E7*Epidemiology!B17)+Epidemiology!B8+(Epidemiology!B14*Epidemiology!E17), -2)</f>
        <v>0</v>
      </c>
      <c r="H7" s="582"/>
      <c r="I7" s="582"/>
      <c r="J7" s="582"/>
      <c r="K7" s="1030"/>
      <c r="L7" s="1036"/>
    </row>
    <row r="8" spans="1:19" ht="44.1" customHeight="1">
      <c r="B8" s="1270"/>
      <c r="C8" s="1271"/>
      <c r="D8" s="1271"/>
      <c r="E8" s="689" t="s">
        <v>627</v>
      </c>
      <c r="F8" s="1404">
        <v>0</v>
      </c>
      <c r="G8" s="687">
        <f>ROUND(F8*Epidemiology!E11*Epidemiology!E10*Epidemiology!C4*Epidemiology!B18,-2)</f>
        <v>0</v>
      </c>
      <c r="H8" s="582"/>
      <c r="I8" s="582"/>
      <c r="J8" s="582"/>
      <c r="K8" s="1030"/>
      <c r="L8" s="1036"/>
    </row>
    <row r="9" spans="1:19" ht="44.1" customHeight="1">
      <c r="B9" s="1270"/>
      <c r="C9" s="1271"/>
      <c r="D9" s="1271"/>
      <c r="E9" s="1307" t="s">
        <v>1039</v>
      </c>
      <c r="F9" s="1404">
        <v>0</v>
      </c>
      <c r="G9" s="687">
        <f>ROUND(Epidemiology!C7-((Epidemiology!B9*Epidemiology!B10)+(Epidemiology!E7+Epidemiology!B8+Epidemiology!B14)+(Epidemiology!E11*Epidemiology!E10*Epidemiology!C4)+(Epidemiology!C7*Epidemiology!B10)),-2)*F9</f>
        <v>0</v>
      </c>
      <c r="H9" s="582"/>
      <c r="I9" s="582"/>
      <c r="J9" s="582"/>
      <c r="K9" s="1030"/>
      <c r="L9" s="1036"/>
    </row>
    <row r="10" spans="1:19" ht="44.1" customHeight="1">
      <c r="B10" s="1213"/>
      <c r="C10" s="1214"/>
      <c r="D10" s="1214"/>
      <c r="E10" s="1304" t="s">
        <v>1357</v>
      </c>
      <c r="F10" s="1304"/>
      <c r="G10" s="758">
        <f>SUM(G5:G9)</f>
        <v>0</v>
      </c>
      <c r="H10" s="582"/>
      <c r="I10" s="582"/>
      <c r="J10" s="582"/>
      <c r="K10" s="1030"/>
      <c r="L10" s="1036"/>
    </row>
    <row r="11" spans="1:19" ht="44.1" customHeight="1">
      <c r="B11" s="1270"/>
      <c r="C11" s="1271"/>
      <c r="D11" s="1271"/>
      <c r="E11" s="1305"/>
      <c r="F11" s="1305"/>
      <c r="G11" s="694"/>
      <c r="H11" s="582"/>
      <c r="I11" s="582"/>
      <c r="J11" s="582"/>
      <c r="K11" s="1030"/>
      <c r="L11" s="1036"/>
    </row>
    <row r="12" spans="1:19" s="1575" customFormat="1" ht="24.95" customHeight="1">
      <c r="A12" s="759"/>
      <c r="B12" s="766"/>
      <c r="C12" s="767"/>
      <c r="D12" s="767"/>
      <c r="E12" s="767"/>
      <c r="F12" s="767"/>
      <c r="G12" s="767"/>
      <c r="H12" s="695"/>
      <c r="I12" s="695"/>
      <c r="J12" s="695"/>
      <c r="K12" s="1030"/>
      <c r="L12" s="1036"/>
      <c r="M12" s="1423"/>
      <c r="N12" s="1423"/>
      <c r="O12" s="1423"/>
      <c r="P12" s="1423"/>
      <c r="Q12" s="1423"/>
      <c r="R12" s="1423"/>
      <c r="S12" s="1423"/>
    </row>
    <row r="13" spans="1:19" s="1575" customFormat="1" ht="27.95" customHeight="1">
      <c r="A13" s="759"/>
      <c r="B13" s="766"/>
      <c r="C13" s="767"/>
      <c r="D13" s="767"/>
      <c r="E13" s="767"/>
      <c r="F13" s="767"/>
      <c r="G13" s="767"/>
      <c r="H13" s="695"/>
      <c r="I13" s="695"/>
      <c r="J13" s="695"/>
      <c r="K13" s="1030"/>
      <c r="L13" s="1036"/>
      <c r="M13" s="1423"/>
      <c r="N13" s="1423"/>
      <c r="O13" s="1423"/>
      <c r="P13" s="1423"/>
      <c r="Q13" s="1423"/>
      <c r="R13" s="1423"/>
      <c r="S13" s="1423"/>
    </row>
    <row r="14" spans="1:19" ht="44.1" customHeight="1">
      <c r="B14" s="1213"/>
      <c r="C14" s="1214"/>
      <c r="D14" s="1214"/>
      <c r="E14" s="763"/>
      <c r="F14" s="763"/>
      <c r="G14" s="763"/>
      <c r="H14" s="582"/>
      <c r="I14" s="582"/>
      <c r="J14" s="582"/>
      <c r="K14" s="1030"/>
      <c r="L14" s="1036"/>
      <c r="M14" s="1423"/>
      <c r="N14" s="1423"/>
      <c r="O14" s="1423"/>
      <c r="P14" s="1423"/>
      <c r="Q14" s="1423"/>
      <c r="R14" s="1423"/>
      <c r="S14" s="1423"/>
    </row>
    <row r="15" spans="1:19" ht="51" customHeight="1">
      <c r="B15" s="691" t="s">
        <v>1037</v>
      </c>
      <c r="C15" s="1789">
        <v>0</v>
      </c>
      <c r="D15" s="1789"/>
      <c r="E15" s="1806"/>
      <c r="F15" s="1807"/>
      <c r="G15" s="725"/>
      <c r="H15" s="754"/>
      <c r="I15" s="755"/>
      <c r="J15" s="756"/>
      <c r="K15" s="1039"/>
      <c r="L15" s="1038"/>
    </row>
    <row r="16" spans="1:19" ht="51" customHeight="1">
      <c r="B16" s="691" t="s">
        <v>728</v>
      </c>
      <c r="C16" s="1789">
        <v>0</v>
      </c>
      <c r="D16" s="1789"/>
      <c r="E16" s="1806"/>
      <c r="F16" s="1807"/>
      <c r="G16" s="725"/>
      <c r="H16" s="754"/>
      <c r="I16" s="755"/>
      <c r="J16" s="495"/>
      <c r="K16" s="1031"/>
      <c r="L16" s="1038"/>
    </row>
    <row r="17" spans="2:28" ht="45">
      <c r="B17" s="753" t="s">
        <v>1358</v>
      </c>
      <c r="C17" s="1794">
        <v>0</v>
      </c>
      <c r="D17" s="1794"/>
      <c r="E17" s="1808"/>
      <c r="F17" s="1808"/>
      <c r="G17" s="725"/>
      <c r="H17" s="754"/>
      <c r="I17" s="755"/>
      <c r="J17" s="495"/>
      <c r="K17" s="1031"/>
      <c r="L17" s="1038"/>
    </row>
    <row r="18" spans="2:28" ht="51" customHeight="1">
      <c r="B18" s="753" t="s">
        <v>1040</v>
      </c>
      <c r="C18" s="1809">
        <f>C15+C16</f>
        <v>0</v>
      </c>
      <c r="D18" s="1809"/>
      <c r="E18" s="1810"/>
      <c r="F18" s="1810"/>
      <c r="G18" s="725"/>
      <c r="H18" s="741"/>
      <c r="I18" s="741"/>
      <c r="J18" s="495"/>
      <c r="K18" s="1031"/>
      <c r="L18" s="1038"/>
    </row>
    <row r="19" spans="2:28" ht="51" customHeight="1">
      <c r="B19" s="753" t="s">
        <v>1300</v>
      </c>
      <c r="C19" s="1814" t="str">
        <f>IF(C15=0,"0",C17/C15)</f>
        <v>0</v>
      </c>
      <c r="D19" s="1814"/>
      <c r="E19" s="1815"/>
      <c r="F19" s="1815"/>
      <c r="G19" s="483"/>
      <c r="K19" s="1036"/>
      <c r="L19" s="1036"/>
    </row>
    <row r="20" spans="2:28" ht="51" customHeight="1">
      <c r="B20" s="753" t="s">
        <v>731</v>
      </c>
      <c r="C20" s="1816">
        <f>C19*C18</f>
        <v>0</v>
      </c>
      <c r="D20" s="1816"/>
      <c r="E20" s="1817"/>
      <c r="F20" s="1817"/>
      <c r="G20" s="379"/>
      <c r="K20" s="1036"/>
      <c r="L20" s="1036"/>
    </row>
    <row r="21" spans="2:28" ht="15.95" customHeight="1">
      <c r="B21" s="1311" t="s">
        <v>993</v>
      </c>
      <c r="C21" s="1803">
        <v>0</v>
      </c>
      <c r="D21" s="1803"/>
      <c r="E21" s="603"/>
      <c r="F21" s="1818"/>
      <c r="G21" s="379"/>
      <c r="K21" s="1036"/>
      <c r="L21" s="1036"/>
    </row>
    <row r="22" spans="2:28" ht="15.75" thickBot="1">
      <c r="B22" s="762" t="s">
        <v>729</v>
      </c>
      <c r="C22" s="1804">
        <v>1</v>
      </c>
      <c r="D22" s="1804"/>
      <c r="E22" s="603"/>
      <c r="F22" s="1818"/>
      <c r="G22" s="379"/>
      <c r="K22" s="1036"/>
      <c r="L22" s="1036"/>
      <c r="V22" s="1811" t="s">
        <v>749</v>
      </c>
      <c r="W22" s="1811"/>
      <c r="X22" s="1811"/>
      <c r="Y22" s="1811"/>
      <c r="Z22" s="1811"/>
      <c r="AA22" s="1811"/>
      <c r="AB22" s="1811"/>
    </row>
    <row r="23" spans="2:28">
      <c r="B23" s="1294" t="s">
        <v>890</v>
      </c>
      <c r="C23" s="1822">
        <v>0</v>
      </c>
      <c r="D23" s="1823"/>
      <c r="E23" s="603"/>
      <c r="F23" s="1272"/>
      <c r="G23" s="379"/>
      <c r="K23" s="1036"/>
      <c r="L23" s="1036"/>
      <c r="V23" s="1576"/>
      <c r="W23" s="1576"/>
      <c r="X23" s="1576"/>
      <c r="Y23" s="1576"/>
      <c r="Z23" s="1576"/>
      <c r="AA23" s="1576"/>
      <c r="AB23" s="1576"/>
    </row>
    <row r="24" spans="2:28" ht="15.95" customHeight="1">
      <c r="B24" s="769" t="s">
        <v>1057</v>
      </c>
      <c r="C24" s="1812"/>
      <c r="D24" s="1813"/>
      <c r="E24" s="602"/>
      <c r="G24" s="483"/>
      <c r="H24" s="483"/>
      <c r="I24" s="483"/>
      <c r="J24" s="483"/>
      <c r="K24" s="1036"/>
      <c r="L24" s="1036"/>
      <c r="V24" s="1577" t="s">
        <v>848</v>
      </c>
      <c r="W24" s="1578"/>
      <c r="X24" s="1578"/>
      <c r="Y24" s="1578"/>
      <c r="Z24" s="1578"/>
      <c r="AA24" s="1578"/>
      <c r="AB24" s="1579"/>
    </row>
    <row r="25" spans="2:28" ht="15.95" customHeight="1">
      <c r="B25" s="769" t="s">
        <v>1414</v>
      </c>
      <c r="C25" s="1812">
        <f>IF(C23=0,(ROUNDUP(C20+(C20*repet)+C22*C19,0)),(ROUNDUP(C20+(C20*repet)+C22*C19,0))-C23)</f>
        <v>0</v>
      </c>
      <c r="D25" s="1813"/>
      <c r="E25" s="602"/>
      <c r="G25" s="483"/>
      <c r="H25" s="483"/>
      <c r="I25" s="483"/>
      <c r="J25" s="483"/>
      <c r="K25" s="1036"/>
      <c r="L25" s="1036"/>
      <c r="V25" s="1577"/>
      <c r="W25" s="1578"/>
      <c r="X25" s="1578"/>
      <c r="Y25" s="1578"/>
      <c r="Z25" s="1578"/>
      <c r="AA25" s="1578"/>
      <c r="AB25" s="1579"/>
    </row>
    <row r="26" spans="2:28" ht="15.95" customHeight="1">
      <c r="B26" s="1311" t="s">
        <v>994</v>
      </c>
      <c r="C26" s="1775" t="s">
        <v>848</v>
      </c>
      <c r="D26" s="1775"/>
      <c r="E26" s="936" t="s">
        <v>0</v>
      </c>
      <c r="G26" s="483"/>
      <c r="H26" s="483"/>
      <c r="I26" s="483"/>
      <c r="J26" s="483"/>
      <c r="K26" s="1036"/>
      <c r="L26" s="1036"/>
      <c r="V26" s="1577" t="s">
        <v>849</v>
      </c>
      <c r="W26" s="1578"/>
      <c r="X26" s="1578"/>
      <c r="Y26" s="1578"/>
      <c r="Z26" s="1578"/>
      <c r="AA26" s="1578"/>
      <c r="AB26" s="1579"/>
    </row>
    <row r="27" spans="2:28" ht="15.95" customHeight="1">
      <c r="B27" s="1238"/>
      <c r="C27" s="1239"/>
      <c r="D27" s="1239"/>
      <c r="E27" s="602"/>
      <c r="G27" s="483"/>
      <c r="H27" s="483"/>
      <c r="I27" s="483"/>
      <c r="J27" s="483"/>
      <c r="K27" s="1036"/>
      <c r="L27" s="1036"/>
      <c r="V27" s="1577"/>
      <c r="W27" s="1578"/>
      <c r="X27" s="1578"/>
      <c r="Y27" s="1578"/>
      <c r="Z27" s="1578"/>
      <c r="AA27" s="1578"/>
      <c r="AB27" s="1579"/>
    </row>
    <row r="28" spans="2:28" ht="20.100000000000001" customHeight="1" thickBot="1">
      <c r="D28" s="602"/>
      <c r="E28" s="602"/>
      <c r="K28" s="1036"/>
      <c r="L28" s="1036"/>
      <c r="V28" s="1577"/>
      <c r="W28" s="1578"/>
      <c r="X28" s="1578"/>
      <c r="Y28" s="1578"/>
      <c r="Z28" s="1578"/>
      <c r="AA28" s="1578"/>
      <c r="AB28" s="1579"/>
    </row>
    <row r="29" spans="2:28">
      <c r="B29" s="604" t="s">
        <v>614</v>
      </c>
      <c r="C29" s="604" t="s">
        <v>923</v>
      </c>
      <c r="D29" s="605" t="s">
        <v>946</v>
      </c>
      <c r="E29" s="605" t="s">
        <v>945</v>
      </c>
      <c r="F29" s="606" t="s">
        <v>433</v>
      </c>
      <c r="G29" s="607" t="s">
        <v>79</v>
      </c>
      <c r="H29" s="608" t="s">
        <v>1023</v>
      </c>
      <c r="K29" s="1036"/>
      <c r="L29" s="1036"/>
      <c r="V29" s="1577"/>
      <c r="W29" s="1578"/>
      <c r="X29" s="1578"/>
      <c r="Y29" s="1578"/>
      <c r="Z29" s="1578"/>
      <c r="AA29" s="1578"/>
      <c r="AB29" s="1579"/>
    </row>
    <row r="30" spans="2:28" ht="30">
      <c r="B30" s="609"/>
      <c r="C30" s="760" t="s">
        <v>838</v>
      </c>
      <c r="D30" s="609">
        <v>96</v>
      </c>
      <c r="E30" s="610">
        <f>ROUNDUP(C25/unit_pack,0)</f>
        <v>0</v>
      </c>
      <c r="F30" s="1583">
        <v>0</v>
      </c>
      <c r="G30" s="1819" t="s">
        <v>1038</v>
      </c>
      <c r="H30" s="1220"/>
      <c r="K30" s="1036"/>
      <c r="L30" s="1036"/>
      <c r="V30" s="1577"/>
      <c r="W30" s="1578"/>
      <c r="X30" s="1578"/>
      <c r="Y30" s="1578"/>
      <c r="Z30" s="1578"/>
      <c r="AA30" s="1578"/>
      <c r="AB30" s="1579"/>
    </row>
    <row r="31" spans="2:28" ht="30">
      <c r="B31" s="612"/>
      <c r="C31" s="761" t="s">
        <v>849</v>
      </c>
      <c r="D31" s="1223">
        <v>96</v>
      </c>
      <c r="E31" s="613">
        <f>IF($C$26=$V$26,ROUNDUP(C25/unit_pack,0),0)</f>
        <v>0</v>
      </c>
      <c r="F31" s="1583">
        <v>0</v>
      </c>
      <c r="G31" s="1820"/>
      <c r="H31" s="1220"/>
      <c r="K31" s="1036"/>
      <c r="L31" s="1036"/>
      <c r="V31" s="1577"/>
      <c r="W31" s="1578"/>
      <c r="X31" s="1578"/>
      <c r="Y31" s="1578"/>
      <c r="Z31" s="1578"/>
      <c r="AA31" s="1578"/>
      <c r="AB31" s="1579"/>
    </row>
    <row r="32" spans="2:28" ht="30">
      <c r="B32" s="1217"/>
      <c r="C32" s="1218" t="s">
        <v>848</v>
      </c>
      <c r="D32" s="1222">
        <v>96</v>
      </c>
      <c r="E32" s="1219">
        <f>IF($C$26=$V$24,ROUNDUP(C25/unit_pack,0),0)</f>
        <v>0</v>
      </c>
      <c r="F32" s="1583">
        <v>0</v>
      </c>
      <c r="G32" s="1821"/>
      <c r="H32" s="1230"/>
      <c r="K32" s="1036"/>
      <c r="L32" s="1036"/>
      <c r="V32" s="1577"/>
      <c r="W32" s="1578"/>
      <c r="X32" s="1578"/>
      <c r="Y32" s="1578"/>
      <c r="Z32" s="1578"/>
      <c r="AA32" s="1578"/>
      <c r="AB32" s="1579"/>
    </row>
    <row r="33" spans="1:28" ht="30">
      <c r="B33" s="609">
        <v>106384</v>
      </c>
      <c r="C33" s="760" t="s">
        <v>1007</v>
      </c>
      <c r="D33" s="609">
        <v>500</v>
      </c>
      <c r="E33" s="609">
        <f>ROUNDUP(kit_ordered*D30*1.05/unit_pack,0)</f>
        <v>0</v>
      </c>
      <c r="F33" s="619">
        <v>48.95</v>
      </c>
      <c r="G33" s="611" t="s">
        <v>88</v>
      </c>
      <c r="H33" s="1221"/>
      <c r="K33" s="1036"/>
      <c r="L33" s="1036"/>
      <c r="V33" s="1577"/>
      <c r="W33" s="1578"/>
      <c r="X33" s="1578"/>
      <c r="Y33" s="1578"/>
      <c r="Z33" s="1578"/>
      <c r="AA33" s="1578"/>
      <c r="AB33" s="1579"/>
    </row>
    <row r="34" spans="1:28" s="1554" customFormat="1" ht="30">
      <c r="A34" s="146"/>
      <c r="B34" s="560">
        <v>106422</v>
      </c>
      <c r="C34" s="614" t="s">
        <v>998</v>
      </c>
      <c r="D34" s="484">
        <v>500</v>
      </c>
      <c r="E34" s="484">
        <f>ROUNDUP(C19*2*1.05/unit_pack,0)</f>
        <v>0</v>
      </c>
      <c r="F34" s="615">
        <v>49.55</v>
      </c>
      <c r="G34" s="616" t="s">
        <v>836</v>
      </c>
      <c r="H34" s="383"/>
      <c r="I34" s="146"/>
      <c r="J34" s="146"/>
      <c r="K34" s="1040"/>
      <c r="L34" s="1040"/>
      <c r="V34" s="1580"/>
      <c r="W34" s="1581"/>
      <c r="X34" s="1581"/>
      <c r="Y34" s="1581"/>
      <c r="Z34" s="1581"/>
      <c r="AA34" s="1581"/>
      <c r="AB34" s="1582"/>
    </row>
    <row r="35" spans="1:28" ht="30">
      <c r="B35" s="560">
        <v>106554</v>
      </c>
      <c r="C35" s="614" t="s">
        <v>1001</v>
      </c>
      <c r="D35" s="560">
        <v>960</v>
      </c>
      <c r="E35" s="484">
        <f>ROUNDUP((kit_ordered*D30*4*1.05)/unit_pack,0)</f>
        <v>0</v>
      </c>
      <c r="F35" s="617">
        <v>115.7</v>
      </c>
      <c r="G35" s="616" t="s">
        <v>1041</v>
      </c>
      <c r="H35" s="485"/>
      <c r="K35" s="1036"/>
      <c r="L35" s="1036"/>
      <c r="V35" s="1577"/>
      <c r="W35" s="1578"/>
      <c r="X35" s="1578"/>
      <c r="Y35" s="1578"/>
      <c r="Z35" s="1578"/>
      <c r="AA35" s="1578"/>
      <c r="AB35" s="1579"/>
    </row>
    <row r="36" spans="1:28" ht="30">
      <c r="B36" s="560">
        <v>106389</v>
      </c>
      <c r="C36" s="614" t="s">
        <v>1002</v>
      </c>
      <c r="D36" s="560">
        <v>960</v>
      </c>
      <c r="E36" s="560">
        <f>ROUNDUP((kit_ordered*D30*4*1.05)/unit_pack,0)</f>
        <v>0</v>
      </c>
      <c r="F36" s="617">
        <v>61</v>
      </c>
      <c r="G36" s="616" t="s">
        <v>835</v>
      </c>
      <c r="H36" s="485"/>
      <c r="K36" s="1036"/>
      <c r="L36" s="1036"/>
      <c r="V36" s="1577"/>
      <c r="W36" s="1578"/>
      <c r="X36" s="1578"/>
      <c r="Y36" s="1578"/>
      <c r="Z36" s="1578"/>
      <c r="AA36" s="1578"/>
      <c r="AB36" s="1579"/>
    </row>
    <row r="37" spans="1:28" ht="30">
      <c r="B37" s="560">
        <v>106390</v>
      </c>
      <c r="C37" s="614" t="s">
        <v>1003</v>
      </c>
      <c r="D37" s="560">
        <v>960</v>
      </c>
      <c r="E37" s="560">
        <f>ROUNDUP((kit_ordered*D30*4*1.05)/unit_pack,0)</f>
        <v>0</v>
      </c>
      <c r="F37" s="617">
        <v>88.5</v>
      </c>
      <c r="G37" s="618" t="s">
        <v>835</v>
      </c>
      <c r="H37" s="485"/>
      <c r="K37" s="1036"/>
      <c r="L37" s="1036"/>
      <c r="V37" s="1577"/>
      <c r="W37" s="1578"/>
      <c r="X37" s="1578"/>
      <c r="Y37" s="1578"/>
      <c r="Z37" s="1578"/>
      <c r="AA37" s="1578"/>
      <c r="AB37" s="1579"/>
    </row>
    <row r="38" spans="1:28">
      <c r="B38" s="609">
        <v>106444</v>
      </c>
      <c r="C38" s="760" t="s">
        <v>1008</v>
      </c>
      <c r="D38" s="609">
        <v>200</v>
      </c>
      <c r="E38" s="609">
        <f>ROUNDUP(Months*22*4/unit_pack,0)</f>
        <v>0</v>
      </c>
      <c r="F38" s="619">
        <v>98.6</v>
      </c>
      <c r="G38" s="611" t="s">
        <v>1016</v>
      </c>
      <c r="H38" s="383"/>
      <c r="K38" s="1036"/>
      <c r="L38" s="1036"/>
    </row>
    <row r="39" spans="1:28" ht="30">
      <c r="B39" s="609">
        <v>106415</v>
      </c>
      <c r="C39" s="760" t="s">
        <v>1009</v>
      </c>
      <c r="D39" s="609">
        <v>100</v>
      </c>
      <c r="E39" s="609">
        <f>ROUNDUP(Months*22*8/unit_pack,0)</f>
        <v>0</v>
      </c>
      <c r="F39" s="619">
        <v>111.4</v>
      </c>
      <c r="G39" s="611" t="s">
        <v>22</v>
      </c>
      <c r="H39" s="383"/>
      <c r="K39" s="1036"/>
      <c r="L39" s="1036"/>
    </row>
    <row r="40" spans="1:28">
      <c r="B40" s="609">
        <v>106755</v>
      </c>
      <c r="C40" s="760" t="s">
        <v>862</v>
      </c>
      <c r="D40" s="609">
        <v>200</v>
      </c>
      <c r="E40" s="609">
        <f>ROUNDUP(Months*22*40/unit_pack,0)</f>
        <v>0</v>
      </c>
      <c r="F40" s="619">
        <v>1.45</v>
      </c>
      <c r="G40" s="620" t="s">
        <v>23</v>
      </c>
      <c r="H40" s="383"/>
      <c r="K40" s="1036"/>
      <c r="L40" s="1036"/>
    </row>
    <row r="41" spans="1:28" ht="30">
      <c r="B41" s="609">
        <v>106333</v>
      </c>
      <c r="C41" s="760" t="s">
        <v>1034</v>
      </c>
      <c r="D41" s="609">
        <v>5</v>
      </c>
      <c r="E41" s="609">
        <f>ROUNDUP(Months*4.33*1/unit_pack,0)</f>
        <v>0</v>
      </c>
      <c r="F41" s="619">
        <v>32.15</v>
      </c>
      <c r="G41" s="620" t="s">
        <v>1017</v>
      </c>
      <c r="H41" s="383"/>
      <c r="K41" s="1036"/>
      <c r="L41" s="1036"/>
    </row>
    <row r="42" spans="1:28" ht="25.35" customHeight="1" thickBot="1">
      <c r="B42" s="379"/>
      <c r="C42" s="379"/>
      <c r="D42" s="621"/>
      <c r="E42" s="621"/>
      <c r="F42" s="622"/>
      <c r="G42" s="621"/>
      <c r="H42" s="379"/>
      <c r="K42" s="1036"/>
      <c r="L42" s="1036"/>
    </row>
    <row r="43" spans="1:28" ht="15.95" customHeight="1">
      <c r="B43" s="379"/>
      <c r="C43" s="1749" t="s">
        <v>506</v>
      </c>
      <c r="D43" s="1750"/>
      <c r="E43" s="919" t="s">
        <v>931</v>
      </c>
      <c r="F43" s="483"/>
      <c r="G43" s="603"/>
      <c r="K43" s="1036"/>
      <c r="L43" s="1036"/>
    </row>
    <row r="44" spans="1:28" ht="25.35" customHeight="1">
      <c r="B44" s="379"/>
      <c r="C44" s="561" t="s">
        <v>1042</v>
      </c>
      <c r="D44" s="380"/>
      <c r="E44" s="623" cm="1">
        <f t="array" ref="E44">SUMPRODUCT(E30:E41*F30:F41)</f>
        <v>0</v>
      </c>
      <c r="F44" s="603"/>
      <c r="G44" s="603"/>
      <c r="K44" s="1036"/>
      <c r="L44" s="1036"/>
    </row>
    <row r="45" spans="1:28" ht="25.35" customHeight="1" thickBot="1">
      <c r="C45" s="562" t="s">
        <v>1359</v>
      </c>
      <c r="D45" s="563"/>
      <c r="E45" s="564" t="str">
        <f>IF(C25=0,"-",E44/C25)</f>
        <v>-</v>
      </c>
      <c r="K45" s="1036"/>
      <c r="L45" s="1036"/>
    </row>
    <row r="46" spans="1:28">
      <c r="K46" s="1036"/>
      <c r="L46" s="1036"/>
    </row>
    <row r="47" spans="1:28">
      <c r="A47" s="1036"/>
      <c r="B47" s="1036"/>
      <c r="C47" s="1036"/>
      <c r="D47" s="1041"/>
      <c r="E47" s="1041"/>
      <c r="F47" s="1036"/>
      <c r="G47" s="1036"/>
      <c r="H47" s="1036"/>
      <c r="I47" s="1036"/>
      <c r="J47" s="1036"/>
      <c r="K47" s="1036"/>
      <c r="L47" s="1036"/>
    </row>
    <row r="48" spans="1:28">
      <c r="A48" s="1036"/>
      <c r="B48" s="1036"/>
      <c r="C48" s="1036"/>
      <c r="D48" s="1041"/>
      <c r="E48" s="1041"/>
      <c r="F48" s="1036"/>
      <c r="G48" s="1036"/>
      <c r="H48" s="1036"/>
      <c r="I48" s="1036"/>
      <c r="J48" s="1036"/>
      <c r="K48" s="1036"/>
      <c r="L48" s="1036"/>
    </row>
    <row r="49" spans="1:12">
      <c r="A49" s="1036"/>
      <c r="B49" s="1036"/>
      <c r="C49" s="1036"/>
      <c r="D49" s="1041"/>
      <c r="E49" s="1041"/>
      <c r="F49" s="1036"/>
      <c r="G49" s="1036"/>
      <c r="H49" s="1036"/>
      <c r="I49" s="1036"/>
      <c r="J49" s="1036"/>
      <c r="K49" s="1036"/>
      <c r="L49" s="1036"/>
    </row>
  </sheetData>
  <sheetProtection algorithmName="SHA-512" hashValue="0ZCJXbgPEUdz+rBa3whUr0iw27zYmhEaF8n3Ukpgdng/5sFz/Z8PeEIfdY0rMU3PehzW29cA26ETDp0KUnPDNw==" saltValue="g6k8S5dBoQ/2JT7VOG7v7g==" spinCount="100000" sheet="1" selectLockedCells="1"/>
  <mergeCells count="26">
    <mergeCell ref="V22:AB22"/>
    <mergeCell ref="C24:D24"/>
    <mergeCell ref="C43:D43"/>
    <mergeCell ref="C19:D19"/>
    <mergeCell ref="E19:F19"/>
    <mergeCell ref="C20:D20"/>
    <mergeCell ref="E20:F20"/>
    <mergeCell ref="C21:D21"/>
    <mergeCell ref="F21:F22"/>
    <mergeCell ref="C22:D22"/>
    <mergeCell ref="C26:D26"/>
    <mergeCell ref="G30:G32"/>
    <mergeCell ref="C23:D23"/>
    <mergeCell ref="C25:D25"/>
    <mergeCell ref="C16:D16"/>
    <mergeCell ref="E16:F16"/>
    <mergeCell ref="C17:D17"/>
    <mergeCell ref="E17:F17"/>
    <mergeCell ref="C18:D18"/>
    <mergeCell ref="E18:F18"/>
    <mergeCell ref="C15:D15"/>
    <mergeCell ref="E15:F15"/>
    <mergeCell ref="A1:J1"/>
    <mergeCell ref="B2:J2"/>
    <mergeCell ref="B3:C3"/>
    <mergeCell ref="E3:G3"/>
  </mergeCells>
  <dataValidations count="3">
    <dataValidation type="whole" operator="greaterThan" allowBlank="1" showInputMessage="1" showErrorMessage="1" error="Please enter whole number" sqref="C22" xr:uid="{CD988B3E-FC01-5F4D-9B7A-3D58FBE1AE0A}">
      <formula1>0</formula1>
    </dataValidation>
    <dataValidation type="decimal" allowBlank="1" showInputMessage="1" showErrorMessage="1" error="Please enter % between 0 and 100" sqref="C21" xr:uid="{C5EE5188-0454-D64E-99EE-2D675379F274}">
      <formula1>0</formula1>
      <formula2>1</formula2>
    </dataValidation>
    <dataValidation type="list" allowBlank="1" showInputMessage="1" showErrorMessage="1" sqref="C26:D26" xr:uid="{DA894328-10D3-5C4C-9B1A-9ED71EDB8BE9}">
      <formula1>$V$24:$V$26</formula1>
    </dataValidation>
  </dataValidations>
  <printOptions gridLines="1"/>
  <pageMargins left="0.7" right="0.7" top="0.75" bottom="0.75" header="0.3" footer="0.3"/>
  <pageSetup paperSize="9" orientation="portrait" horizontalDpi="4294967292" verticalDpi="429496729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A86CB-2C79-1040-8835-3AEBF6F97E08}">
  <sheetPr published="0" codeName="Foglio25"/>
  <dimension ref="A1:AA52"/>
  <sheetViews>
    <sheetView showGridLines="0" zoomScaleNormal="70" zoomScalePageLayoutView="75" workbookViewId="0">
      <selection activeCell="L43" sqref="L43"/>
    </sheetView>
  </sheetViews>
  <sheetFormatPr defaultColWidth="0" defaultRowHeight="15" zeroHeight="1"/>
  <cols>
    <col min="1" max="1" width="14.6640625" style="1428" customWidth="1"/>
    <col min="2" max="2" width="65.1640625" style="1428" customWidth="1"/>
    <col min="3" max="3" width="26.1640625" style="1428" customWidth="1"/>
    <col min="4" max="4" width="27.1640625" style="1530" customWidth="1"/>
    <col min="5" max="5" width="35" style="1530" customWidth="1"/>
    <col min="6" max="6" width="55.1640625" style="1428" customWidth="1"/>
    <col min="7" max="7" width="44.6640625" style="1428" customWidth="1"/>
    <col min="8" max="8" width="20.6640625" style="1428" customWidth="1"/>
    <col min="9" max="9" width="19" style="1428" customWidth="1"/>
    <col min="10" max="10" width="10.6640625" style="1428" customWidth="1"/>
    <col min="11" max="11" width="9" style="1428" customWidth="1"/>
    <col min="12" max="18" width="9" style="1422" customWidth="1"/>
    <col min="19" max="19" width="9" style="1422" hidden="1" customWidth="1"/>
    <col min="20" max="20" width="0" style="1422" hidden="1" customWidth="1"/>
    <col min="21" max="16384" width="9" style="1422" hidden="1"/>
  </cols>
  <sheetData>
    <row r="1" spans="1:18" ht="45.95" customHeight="1">
      <c r="A1" s="1703" t="s">
        <v>1360</v>
      </c>
      <c r="B1" s="1703"/>
      <c r="C1" s="1703"/>
      <c r="D1" s="1703"/>
      <c r="E1" s="1703"/>
      <c r="F1" s="1703"/>
      <c r="G1" s="1703"/>
      <c r="H1" s="1703"/>
      <c r="I1" s="1703"/>
      <c r="J1" s="1426"/>
      <c r="K1" s="1427"/>
    </row>
    <row r="2" spans="1:18" ht="44.1" customHeight="1">
      <c r="B2" s="1753" t="s">
        <v>937</v>
      </c>
      <c r="C2" s="1753"/>
      <c r="D2" s="1753"/>
      <c r="E2" s="1753"/>
      <c r="F2" s="1753"/>
      <c r="G2" s="1753"/>
      <c r="H2" s="1753"/>
      <c r="I2" s="1753"/>
      <c r="J2" s="1426"/>
      <c r="K2" s="1427"/>
    </row>
    <row r="3" spans="1:18" ht="111" customHeight="1">
      <c r="B3" s="1783" t="s">
        <v>793</v>
      </c>
      <c r="C3" s="1784"/>
      <c r="D3" s="1429"/>
      <c r="E3" s="1783" t="s">
        <v>929</v>
      </c>
      <c r="F3" s="1784"/>
      <c r="G3" s="1785"/>
      <c r="H3" s="1430"/>
      <c r="I3" s="1430"/>
      <c r="J3" s="1426"/>
      <c r="K3" s="1427"/>
    </row>
    <row r="4" spans="1:18" ht="44.1" customHeight="1">
      <c r="B4" s="1431" t="s">
        <v>1046</v>
      </c>
      <c r="C4" s="1424">
        <v>0</v>
      </c>
      <c r="D4" s="1432"/>
      <c r="E4" s="1433" t="s">
        <v>778</v>
      </c>
      <c r="F4" s="1434" t="s">
        <v>916</v>
      </c>
      <c r="G4" s="1435" t="s">
        <v>1049</v>
      </c>
      <c r="H4" s="1430"/>
      <c r="I4" s="1430"/>
      <c r="J4" s="1426"/>
      <c r="K4" s="1427"/>
    </row>
    <row r="5" spans="1:18" ht="31.5">
      <c r="B5" s="1431" t="s">
        <v>1047</v>
      </c>
      <c r="C5" s="1424">
        <v>0</v>
      </c>
      <c r="D5" s="1432"/>
      <c r="E5" s="1555" t="s">
        <v>628</v>
      </c>
      <c r="F5" s="1404">
        <v>0</v>
      </c>
      <c r="G5" s="1438">
        <f>ROUND((F5*Epidemiology!B12*Epidemiology!B20*Epidemiology!E20),-2)</f>
        <v>0</v>
      </c>
      <c r="H5" s="1430"/>
      <c r="I5" s="1430"/>
      <c r="J5" s="1426"/>
      <c r="K5" s="1427"/>
    </row>
    <row r="6" spans="1:18" ht="44.1" customHeight="1">
      <c r="B6" s="1431" t="s">
        <v>1048</v>
      </c>
      <c r="C6" s="1436">
        <f>(C4+C5)*Months</f>
        <v>0</v>
      </c>
      <c r="D6" s="1432"/>
      <c r="E6" s="1555" t="s">
        <v>629</v>
      </c>
      <c r="F6" s="1404">
        <v>0</v>
      </c>
      <c r="G6" s="1438">
        <f>ROUND(F6*Epidemiology!B9*Epidemiology!B10*Epidemiology!B26, -2)</f>
        <v>0</v>
      </c>
      <c r="H6" s="1430"/>
      <c r="I6" s="1430"/>
      <c r="J6" s="1426"/>
      <c r="K6" s="1427"/>
    </row>
    <row r="7" spans="1:18" ht="44.1" customHeight="1">
      <c r="B7" s="1439"/>
      <c r="C7" s="1432"/>
      <c r="D7" s="1432"/>
      <c r="E7" s="1437" t="s">
        <v>920</v>
      </c>
      <c r="F7" s="1404">
        <v>0</v>
      </c>
      <c r="G7" s="1584">
        <f>ROUND(F7*(Epidemiology!E7*Epidemiology!B17)+Epidemiology!B8+(Epidemiology!B14*Epidemiology!E17), -2)</f>
        <v>0</v>
      </c>
      <c r="H7" s="1430"/>
      <c r="I7" s="1430"/>
      <c r="J7" s="1426"/>
      <c r="K7" s="1427"/>
    </row>
    <row r="8" spans="1:18" ht="44.1" customHeight="1">
      <c r="B8" s="1439"/>
      <c r="C8" s="1432"/>
      <c r="D8" s="1432"/>
      <c r="E8" s="1555" t="s">
        <v>627</v>
      </c>
      <c r="F8" s="1404">
        <v>0</v>
      </c>
      <c r="G8" s="1584">
        <f>ROUND(F8*Epidemiology!E11*Epidemiology!E10*Epidemiology!C4*Epidemiology!B18,-2)</f>
        <v>0</v>
      </c>
      <c r="H8" s="1430"/>
      <c r="I8" s="1430"/>
      <c r="J8" s="1426"/>
      <c r="K8" s="1427"/>
    </row>
    <row r="9" spans="1:18" ht="44.1" customHeight="1">
      <c r="B9" s="1439"/>
      <c r="C9" s="1432"/>
      <c r="D9" s="1432"/>
      <c r="E9" s="1557" t="s">
        <v>947</v>
      </c>
      <c r="F9" s="1404">
        <v>0</v>
      </c>
      <c r="G9" s="1584">
        <f>ROUND(Epidemiology!C7-((Epidemiology!B9*Epidemiology!B10)+(Epidemiology!E7+Epidemiology!B8+Epidemiology!B14)+(Epidemiology!E11*Epidemiology!E10*Epidemiology!C4)+(Epidemiology!C7*Epidemiology!B10)),-2)*F9</f>
        <v>0</v>
      </c>
      <c r="H9" s="1430"/>
      <c r="I9" s="1430"/>
      <c r="J9" s="1426"/>
      <c r="K9" s="1427"/>
    </row>
    <row r="10" spans="1:18" ht="44.1" customHeight="1">
      <c r="B10" s="1439"/>
      <c r="C10" s="1432"/>
      <c r="D10" s="1432"/>
      <c r="E10" s="1786" t="s">
        <v>1361</v>
      </c>
      <c r="F10" s="1786"/>
      <c r="G10" s="1584">
        <f>SUM(G5:G9)</f>
        <v>0</v>
      </c>
      <c r="H10" s="1430"/>
      <c r="I10" s="1430"/>
      <c r="J10" s="1426"/>
      <c r="K10" s="1427"/>
    </row>
    <row r="11" spans="1:18" ht="44.1" customHeight="1">
      <c r="B11" s="1439"/>
      <c r="C11" s="1432"/>
      <c r="D11" s="1432"/>
      <c r="E11" s="1432"/>
      <c r="F11" s="1432"/>
      <c r="G11" s="1432"/>
      <c r="H11" s="1430"/>
      <c r="I11" s="1430"/>
      <c r="J11" s="1426"/>
      <c r="K11" s="1427"/>
    </row>
    <row r="12" spans="1:18" s="1575" customFormat="1" ht="24.95" customHeight="1">
      <c r="A12" s="1440"/>
      <c r="B12" s="1441"/>
      <c r="C12" s="1442"/>
      <c r="D12" s="1442"/>
      <c r="E12" s="1442"/>
      <c r="F12" s="1442"/>
      <c r="G12" s="1442"/>
      <c r="H12" s="1443"/>
      <c r="I12" s="1443"/>
      <c r="J12" s="1426"/>
      <c r="K12" s="1427"/>
      <c r="L12" s="1423"/>
      <c r="M12" s="1423"/>
      <c r="N12" s="1423"/>
      <c r="O12" s="1423"/>
      <c r="P12" s="1423"/>
      <c r="Q12" s="1423"/>
      <c r="R12" s="1423"/>
    </row>
    <row r="13" spans="1:18" s="1575" customFormat="1" ht="27.95" customHeight="1">
      <c r="A13" s="1440"/>
      <c r="B13" s="1441"/>
      <c r="C13" s="1442"/>
      <c r="D13" s="1442"/>
      <c r="E13" s="1442"/>
      <c r="F13" s="1442"/>
      <c r="G13" s="1442"/>
      <c r="H13" s="1443"/>
      <c r="I13" s="1443"/>
      <c r="J13" s="1426"/>
      <c r="K13" s="1427"/>
      <c r="L13" s="1423"/>
      <c r="M13" s="1423"/>
      <c r="N13" s="1423"/>
      <c r="O13" s="1423"/>
      <c r="P13" s="1423"/>
      <c r="Q13" s="1423"/>
      <c r="R13" s="1423"/>
    </row>
    <row r="14" spans="1:18" ht="44.1" customHeight="1">
      <c r="B14" s="1439"/>
      <c r="C14" s="1432"/>
      <c r="D14" s="1432"/>
      <c r="E14" s="1445"/>
      <c r="F14" s="1445"/>
      <c r="G14" s="1445"/>
      <c r="H14" s="1430"/>
      <c r="I14" s="1430"/>
      <c r="J14" s="1426"/>
      <c r="K14" s="1427"/>
    </row>
    <row r="15" spans="1:18" ht="51" customHeight="1">
      <c r="B15" s="1448" t="s">
        <v>1037</v>
      </c>
      <c r="C15" s="1789">
        <v>0</v>
      </c>
      <c r="D15" s="1789"/>
      <c r="E15" s="1790"/>
      <c r="F15" s="1791"/>
      <c r="G15" s="1449"/>
      <c r="H15" s="1455"/>
      <c r="I15" s="1456"/>
      <c r="J15" s="1457"/>
      <c r="K15" s="1453"/>
    </row>
    <row r="16" spans="1:18" ht="51" customHeight="1">
      <c r="B16" s="1448" t="s">
        <v>728</v>
      </c>
      <c r="C16" s="1789">
        <v>0</v>
      </c>
      <c r="D16" s="1789"/>
      <c r="E16" s="1790"/>
      <c r="F16" s="1791"/>
      <c r="G16" s="1449"/>
      <c r="H16" s="1455"/>
      <c r="I16" s="1458"/>
      <c r="J16" s="1459"/>
      <c r="K16" s="1453"/>
    </row>
    <row r="17" spans="2:27" ht="45">
      <c r="B17" s="1460" t="s">
        <v>1050</v>
      </c>
      <c r="C17" s="1794">
        <v>0</v>
      </c>
      <c r="D17" s="1794"/>
      <c r="E17" s="1795"/>
      <c r="F17" s="1795"/>
      <c r="G17" s="1449"/>
      <c r="H17" s="1455"/>
      <c r="I17" s="1458"/>
      <c r="J17" s="1459"/>
      <c r="K17" s="1453"/>
    </row>
    <row r="18" spans="2:27" ht="51" customHeight="1">
      <c r="B18" s="1460" t="s">
        <v>1040</v>
      </c>
      <c r="C18" s="1796">
        <f>C15+C16</f>
        <v>0</v>
      </c>
      <c r="D18" s="1796"/>
      <c r="E18" s="1797"/>
      <c r="F18" s="1797"/>
      <c r="G18" s="1449"/>
      <c r="H18" s="1461"/>
      <c r="I18" s="1458"/>
      <c r="J18" s="1459"/>
      <c r="K18" s="1453"/>
    </row>
    <row r="19" spans="2:27" ht="51" customHeight="1">
      <c r="B19" s="1460" t="s">
        <v>1073</v>
      </c>
      <c r="C19" s="1799" t="str">
        <f>IF(C15=0,"0",C17/C15)</f>
        <v>0</v>
      </c>
      <c r="D19" s="1799"/>
      <c r="E19" s="1800"/>
      <c r="F19" s="1800"/>
      <c r="G19" s="1462"/>
      <c r="J19" s="1427"/>
      <c r="K19" s="1427"/>
    </row>
    <row r="20" spans="2:27" ht="51" customHeight="1">
      <c r="B20" s="1460" t="s">
        <v>1362</v>
      </c>
      <c r="C20" s="1801">
        <f>C19*C18</f>
        <v>0</v>
      </c>
      <c r="D20" s="1801"/>
      <c r="E20" s="1802"/>
      <c r="F20" s="1802"/>
      <c r="G20" s="1478"/>
      <c r="J20" s="1427"/>
      <c r="K20" s="1427"/>
    </row>
    <row r="21" spans="2:27" ht="15.95" customHeight="1">
      <c r="B21" s="1463" t="s">
        <v>993</v>
      </c>
      <c r="C21" s="1803">
        <v>0</v>
      </c>
      <c r="D21" s="1803"/>
      <c r="E21" s="1464"/>
      <c r="F21" s="1769"/>
      <c r="G21" s="1478"/>
      <c r="J21" s="1427"/>
      <c r="K21" s="1427"/>
    </row>
    <row r="22" spans="2:27" ht="15.75" thickBot="1">
      <c r="B22" s="1465" t="s">
        <v>729</v>
      </c>
      <c r="C22" s="1804">
        <v>1</v>
      </c>
      <c r="D22" s="1804"/>
      <c r="E22" s="1464"/>
      <c r="F22" s="1769"/>
      <c r="G22" s="1478"/>
      <c r="J22" s="1427"/>
      <c r="K22" s="1427"/>
      <c r="U22" s="1811" t="s">
        <v>749</v>
      </c>
      <c r="V22" s="1811"/>
      <c r="W22" s="1811"/>
      <c r="X22" s="1811"/>
      <c r="Y22" s="1811"/>
      <c r="Z22" s="1811"/>
      <c r="AA22" s="1811"/>
    </row>
    <row r="23" spans="2:27">
      <c r="B23" s="1474" t="s">
        <v>890</v>
      </c>
      <c r="C23" s="1824">
        <v>0</v>
      </c>
      <c r="D23" s="1825"/>
      <c r="E23" s="1464"/>
      <c r="F23" s="1476"/>
      <c r="G23" s="1478"/>
      <c r="J23" s="1427"/>
      <c r="K23" s="1427"/>
      <c r="U23" s="1576"/>
      <c r="V23" s="1576"/>
      <c r="W23" s="1576"/>
      <c r="X23" s="1576"/>
      <c r="Y23" s="1576"/>
      <c r="Z23" s="1576"/>
      <c r="AA23" s="1576"/>
    </row>
    <row r="24" spans="2:27" ht="15.95" customHeight="1">
      <c r="B24" s="1477" t="s">
        <v>1044</v>
      </c>
      <c r="C24" s="1798">
        <f>(ROUNDUP(C20+(C20*repet)+C22*C19,0))</f>
        <v>0</v>
      </c>
      <c r="D24" s="1798"/>
      <c r="E24" s="1428"/>
      <c r="G24" s="1462"/>
      <c r="H24" s="1462"/>
      <c r="I24" s="1462"/>
      <c r="J24" s="1427"/>
      <c r="K24" s="1427"/>
      <c r="U24" s="1577"/>
      <c r="V24" s="1578"/>
      <c r="W24" s="1578"/>
      <c r="X24" s="1578"/>
      <c r="Y24" s="1578"/>
      <c r="Z24" s="1578"/>
      <c r="AA24" s="1579"/>
    </row>
    <row r="25" spans="2:27" ht="15.95" customHeight="1">
      <c r="B25" s="1477" t="s">
        <v>1414</v>
      </c>
      <c r="C25" s="1798">
        <f>(ROUNDUP(C20+(C20*repet)+C22*C19,0))-C23</f>
        <v>0</v>
      </c>
      <c r="D25" s="1798"/>
      <c r="E25" s="1428"/>
      <c r="G25" s="1462"/>
      <c r="H25" s="1462"/>
      <c r="I25" s="1462"/>
      <c r="J25" s="1427"/>
      <c r="K25" s="1427"/>
      <c r="U25" s="1577"/>
      <c r="V25" s="1578"/>
      <c r="W25" s="1578"/>
      <c r="X25" s="1578"/>
      <c r="Y25" s="1578"/>
      <c r="Z25" s="1578"/>
      <c r="AA25" s="1579"/>
    </row>
    <row r="26" spans="2:27" ht="20.100000000000001" customHeight="1" thickBot="1">
      <c r="D26" s="1428"/>
      <c r="E26" s="1428"/>
      <c r="J26" s="1427"/>
      <c r="K26" s="1427"/>
      <c r="U26" s="1577"/>
      <c r="V26" s="1578"/>
      <c r="W26" s="1578"/>
      <c r="X26" s="1578"/>
      <c r="Y26" s="1578"/>
      <c r="Z26" s="1578"/>
      <c r="AA26" s="1579"/>
    </row>
    <row r="27" spans="2:27">
      <c r="B27" s="1479" t="s">
        <v>614</v>
      </c>
      <c r="C27" s="1479" t="s">
        <v>923</v>
      </c>
      <c r="D27" s="1480" t="s">
        <v>946</v>
      </c>
      <c r="E27" s="1480" t="s">
        <v>945</v>
      </c>
      <c r="F27" s="1481" t="s">
        <v>433</v>
      </c>
      <c r="G27" s="1482" t="s">
        <v>79</v>
      </c>
      <c r="J27" s="1427"/>
      <c r="K27" s="1427"/>
      <c r="U27" s="1577"/>
      <c r="V27" s="1578"/>
      <c r="W27" s="1578"/>
      <c r="X27" s="1578"/>
      <c r="Y27" s="1578"/>
      <c r="Z27" s="1578"/>
      <c r="AA27" s="1579"/>
    </row>
    <row r="28" spans="2:27" ht="24" customHeight="1">
      <c r="B28" s="1484"/>
      <c r="C28" s="1487" t="s">
        <v>949</v>
      </c>
      <c r="D28" s="1585">
        <v>384</v>
      </c>
      <c r="E28" s="1488">
        <f>ROUNDUP(C25/unit_pack,0)</f>
        <v>0</v>
      </c>
      <c r="F28" s="1583">
        <v>0</v>
      </c>
      <c r="G28" s="1805" t="s">
        <v>1363</v>
      </c>
      <c r="J28" s="1427"/>
      <c r="K28" s="1427"/>
      <c r="U28" s="1577"/>
      <c r="V28" s="1578"/>
      <c r="W28" s="1578"/>
      <c r="X28" s="1578"/>
      <c r="Y28" s="1578"/>
      <c r="Z28" s="1578"/>
      <c r="AA28" s="1579"/>
    </row>
    <row r="29" spans="2:27" ht="30">
      <c r="B29" s="1490"/>
      <c r="C29" s="1491" t="s">
        <v>1045</v>
      </c>
      <c r="D29" s="1586">
        <v>16</v>
      </c>
      <c r="E29" s="1492">
        <f>C19/D29</f>
        <v>0</v>
      </c>
      <c r="F29" s="1583">
        <v>0</v>
      </c>
      <c r="G29" s="1805"/>
      <c r="J29" s="1427"/>
      <c r="K29" s="1427"/>
      <c r="U29" s="1577"/>
      <c r="V29" s="1578"/>
      <c r="W29" s="1578"/>
      <c r="X29" s="1578"/>
      <c r="Y29" s="1578"/>
      <c r="Z29" s="1578"/>
      <c r="AA29" s="1579"/>
    </row>
    <row r="30" spans="2:27" ht="45">
      <c r="B30" s="1587"/>
      <c r="C30" s="1588" t="s">
        <v>950</v>
      </c>
      <c r="D30" s="1589">
        <v>16</v>
      </c>
      <c r="E30" s="1492">
        <f>C19/D30</f>
        <v>0</v>
      </c>
      <c r="F30" s="1583">
        <v>0</v>
      </c>
      <c r="G30" s="1805"/>
      <c r="J30" s="1427"/>
      <c r="K30" s="1427"/>
      <c r="U30" s="1577"/>
      <c r="V30" s="1578"/>
      <c r="W30" s="1578"/>
      <c r="X30" s="1578"/>
      <c r="Y30" s="1578"/>
      <c r="Z30" s="1578"/>
      <c r="AA30" s="1579"/>
    </row>
    <row r="31" spans="2:27" ht="60">
      <c r="B31" s="1587"/>
      <c r="C31" s="1588" t="s">
        <v>951</v>
      </c>
      <c r="D31" s="1589">
        <v>16</v>
      </c>
      <c r="E31" s="1590">
        <f>(C25*3.2)/480</f>
        <v>0</v>
      </c>
      <c r="F31" s="1583">
        <v>0</v>
      </c>
      <c r="G31" s="1591" t="s">
        <v>1364</v>
      </c>
      <c r="J31" s="1427"/>
      <c r="K31" s="1427"/>
      <c r="U31" s="1577"/>
      <c r="V31" s="1578"/>
      <c r="W31" s="1578"/>
      <c r="X31" s="1578"/>
      <c r="Y31" s="1578"/>
      <c r="Z31" s="1578"/>
      <c r="AA31" s="1579"/>
    </row>
    <row r="32" spans="2:27" ht="34.5" customHeight="1">
      <c r="B32" s="1587"/>
      <c r="C32" s="1588" t="s">
        <v>952</v>
      </c>
      <c r="D32" s="1589">
        <v>72</v>
      </c>
      <c r="E32" s="1590">
        <v>3</v>
      </c>
      <c r="F32" s="1583">
        <v>0</v>
      </c>
      <c r="G32" s="1805" t="s">
        <v>1363</v>
      </c>
      <c r="J32" s="1427"/>
      <c r="K32" s="1427"/>
      <c r="U32" s="1577"/>
      <c r="V32" s="1578"/>
      <c r="W32" s="1578"/>
      <c r="X32" s="1578"/>
      <c r="Y32" s="1578"/>
      <c r="Z32" s="1578"/>
      <c r="AA32" s="1579"/>
    </row>
    <row r="33" spans="1:27" ht="47.1" customHeight="1">
      <c r="B33" s="1587"/>
      <c r="C33" s="1588" t="s">
        <v>953</v>
      </c>
      <c r="D33" s="1589">
        <v>16</v>
      </c>
      <c r="E33" s="1590">
        <f>C19/D29</f>
        <v>0</v>
      </c>
      <c r="F33" s="1583">
        <v>0</v>
      </c>
      <c r="G33" s="1805"/>
      <c r="J33" s="1427"/>
      <c r="K33" s="1427"/>
      <c r="U33" s="1577"/>
      <c r="V33" s="1578"/>
      <c r="W33" s="1578"/>
      <c r="X33" s="1578"/>
      <c r="Y33" s="1578"/>
      <c r="Z33" s="1578"/>
      <c r="AA33" s="1579"/>
    </row>
    <row r="34" spans="1:27" ht="45">
      <c r="B34" s="1587"/>
      <c r="C34" s="1588" t="s">
        <v>950</v>
      </c>
      <c r="D34" s="1589">
        <v>16</v>
      </c>
      <c r="E34" s="1590">
        <f>C19/D30</f>
        <v>0</v>
      </c>
      <c r="F34" s="1583">
        <v>0</v>
      </c>
      <c r="G34" s="1805"/>
      <c r="J34" s="1427"/>
      <c r="K34" s="1427"/>
      <c r="U34" s="1577"/>
      <c r="V34" s="1578"/>
      <c r="W34" s="1578"/>
      <c r="X34" s="1578"/>
      <c r="Y34" s="1578"/>
      <c r="Z34" s="1578"/>
      <c r="AA34" s="1579"/>
    </row>
    <row r="35" spans="1:27" ht="30">
      <c r="B35" s="1587"/>
      <c r="C35" s="1588" t="s">
        <v>850</v>
      </c>
      <c r="D35" s="1589">
        <v>16</v>
      </c>
      <c r="E35" s="1590">
        <f>(C25*3.2)/480</f>
        <v>0</v>
      </c>
      <c r="F35" s="1583">
        <v>0</v>
      </c>
      <c r="G35" s="1805"/>
      <c r="J35" s="1427"/>
      <c r="K35" s="1427"/>
      <c r="U35" s="1577"/>
      <c r="V35" s="1578"/>
      <c r="W35" s="1578"/>
      <c r="X35" s="1578"/>
      <c r="Y35" s="1578"/>
      <c r="Z35" s="1578"/>
      <c r="AA35" s="1579"/>
    </row>
    <row r="36" spans="1:27" ht="30">
      <c r="B36" s="1484">
        <v>106384</v>
      </c>
      <c r="C36" s="1487" t="s">
        <v>1007</v>
      </c>
      <c r="D36" s="1484">
        <v>500</v>
      </c>
      <c r="E36" s="1484">
        <f>ROUNDUP(kit_ordered*D28*1.05/unit_pack,0)</f>
        <v>0</v>
      </c>
      <c r="F36" s="1519">
        <v>48.95</v>
      </c>
      <c r="G36" s="1567" t="s">
        <v>88</v>
      </c>
      <c r="J36" s="1427"/>
      <c r="K36" s="1427"/>
      <c r="U36" s="1577"/>
      <c r="V36" s="1578"/>
      <c r="W36" s="1578"/>
      <c r="X36" s="1578"/>
      <c r="Y36" s="1578"/>
      <c r="Z36" s="1578"/>
      <c r="AA36" s="1579"/>
    </row>
    <row r="37" spans="1:27" s="1554" customFormat="1" ht="30">
      <c r="A37" s="1504"/>
      <c r="B37" s="1503">
        <v>106422</v>
      </c>
      <c r="C37" s="1496" t="s">
        <v>998</v>
      </c>
      <c r="D37" s="1495">
        <v>500</v>
      </c>
      <c r="E37" s="1495">
        <f>ROUNDUP(C19*2*1.05/unit_pack,0)</f>
        <v>0</v>
      </c>
      <c r="F37" s="1499">
        <v>49.55</v>
      </c>
      <c r="G37" s="1500" t="s">
        <v>836</v>
      </c>
      <c r="H37" s="1504"/>
      <c r="I37" s="1504"/>
      <c r="J37" s="1505"/>
      <c r="K37" s="1505"/>
      <c r="U37" s="1580"/>
      <c r="V37" s="1581"/>
      <c r="W37" s="1581"/>
      <c r="X37" s="1581"/>
      <c r="Y37" s="1581"/>
      <c r="Z37" s="1581"/>
      <c r="AA37" s="1582"/>
    </row>
    <row r="38" spans="1:27" ht="30">
      <c r="B38" s="1503">
        <v>106554</v>
      </c>
      <c r="C38" s="1496" t="s">
        <v>1027</v>
      </c>
      <c r="D38" s="1503">
        <v>960</v>
      </c>
      <c r="E38" s="1495">
        <f>ROUNDUP((kit_ordered*D28*4*1.05)/unit_pack,0)</f>
        <v>0</v>
      </c>
      <c r="F38" s="1508">
        <v>115.7</v>
      </c>
      <c r="G38" s="1500" t="s">
        <v>834</v>
      </c>
      <c r="J38" s="1427"/>
      <c r="K38" s="1427"/>
      <c r="U38" s="1577"/>
      <c r="V38" s="1578"/>
      <c r="W38" s="1578"/>
      <c r="X38" s="1578"/>
      <c r="Y38" s="1578"/>
      <c r="Z38" s="1578"/>
      <c r="AA38" s="1579"/>
    </row>
    <row r="39" spans="1:27" ht="30">
      <c r="B39" s="1503">
        <v>106389</v>
      </c>
      <c r="C39" s="1496" t="s">
        <v>1002</v>
      </c>
      <c r="D39" s="1503">
        <v>960</v>
      </c>
      <c r="E39" s="1503">
        <f>ROUNDUP((kit_ordered*D28*4*1.05)/unit_pack,0)</f>
        <v>0</v>
      </c>
      <c r="F39" s="1508">
        <v>61</v>
      </c>
      <c r="G39" s="1500" t="s">
        <v>835</v>
      </c>
      <c r="J39" s="1427"/>
      <c r="K39" s="1427"/>
      <c r="U39" s="1577"/>
      <c r="V39" s="1578"/>
      <c r="W39" s="1578"/>
      <c r="X39" s="1578"/>
      <c r="Y39" s="1578"/>
      <c r="Z39" s="1578"/>
      <c r="AA39" s="1579"/>
    </row>
    <row r="40" spans="1:27" ht="30">
      <c r="B40" s="1503">
        <v>106390</v>
      </c>
      <c r="C40" s="1496" t="s">
        <v>1003</v>
      </c>
      <c r="D40" s="1503">
        <v>960</v>
      </c>
      <c r="E40" s="1503">
        <f>ROUNDUP((kit_ordered*D28*4*1.05)/unit_pack,0)</f>
        <v>0</v>
      </c>
      <c r="F40" s="1508">
        <v>88.5</v>
      </c>
      <c r="G40" s="1568" t="s">
        <v>835</v>
      </c>
      <c r="J40" s="1427"/>
      <c r="K40" s="1427"/>
      <c r="U40" s="1577"/>
      <c r="V40" s="1578"/>
      <c r="W40" s="1578"/>
      <c r="X40" s="1578"/>
      <c r="Y40" s="1578"/>
      <c r="Z40" s="1578"/>
      <c r="AA40" s="1579"/>
    </row>
    <row r="41" spans="1:27">
      <c r="B41" s="1484">
        <v>106444</v>
      </c>
      <c r="C41" s="1487" t="s">
        <v>1008</v>
      </c>
      <c r="D41" s="1484">
        <v>200</v>
      </c>
      <c r="E41" s="1484">
        <f>ROUNDUP(Months*22*4/unit_pack,0)</f>
        <v>0</v>
      </c>
      <c r="F41" s="1519">
        <v>98.6</v>
      </c>
      <c r="G41" s="1567" t="s">
        <v>1016</v>
      </c>
      <c r="J41" s="1427"/>
      <c r="K41" s="1427"/>
    </row>
    <row r="42" spans="1:27" ht="30">
      <c r="B42" s="1484">
        <v>106415</v>
      </c>
      <c r="C42" s="1487" t="s">
        <v>1009</v>
      </c>
      <c r="D42" s="1484">
        <v>100</v>
      </c>
      <c r="E42" s="1484">
        <f>ROUNDUP(Months*22*8/unit_pack,0)</f>
        <v>0</v>
      </c>
      <c r="F42" s="1519">
        <v>111.4</v>
      </c>
      <c r="G42" s="1567" t="s">
        <v>22</v>
      </c>
      <c r="J42" s="1427"/>
      <c r="K42" s="1427"/>
    </row>
    <row r="43" spans="1:27">
      <c r="B43" s="1484">
        <v>106755</v>
      </c>
      <c r="C43" s="1487" t="s">
        <v>862</v>
      </c>
      <c r="D43" s="1484">
        <v>200</v>
      </c>
      <c r="E43" s="1484">
        <f>ROUNDUP(Months*22*40/unit_pack,0)</f>
        <v>0</v>
      </c>
      <c r="F43" s="1519">
        <v>1.45</v>
      </c>
      <c r="G43" s="1563" t="s">
        <v>23</v>
      </c>
      <c r="J43" s="1427"/>
      <c r="K43" s="1427"/>
    </row>
    <row r="44" spans="1:27" ht="30">
      <c r="B44" s="1484">
        <v>106333</v>
      </c>
      <c r="C44" s="1487" t="s">
        <v>1034</v>
      </c>
      <c r="D44" s="1484">
        <v>5</v>
      </c>
      <c r="E44" s="1484">
        <f>ROUNDUP(Months*4.33*1/unit_pack,0)</f>
        <v>0</v>
      </c>
      <c r="F44" s="1519">
        <v>32.15</v>
      </c>
      <c r="G44" s="1563" t="s">
        <v>1017</v>
      </c>
      <c r="J44" s="1427"/>
      <c r="K44" s="1427"/>
    </row>
    <row r="45" spans="1:27" ht="25.35" customHeight="1" thickBot="1">
      <c r="B45" s="1478"/>
      <c r="C45" s="1478"/>
      <c r="D45" s="1521"/>
      <c r="E45" s="1521"/>
      <c r="F45" s="1522"/>
      <c r="G45" s="1521"/>
      <c r="J45" s="1427"/>
      <c r="K45" s="1427"/>
    </row>
    <row r="46" spans="1:27" ht="15.95" customHeight="1">
      <c r="B46" s="1478"/>
      <c r="C46" s="1772" t="s">
        <v>506</v>
      </c>
      <c r="D46" s="1773"/>
      <c r="E46" s="1523" t="s">
        <v>931</v>
      </c>
      <c r="F46" s="1462"/>
      <c r="G46" s="1464"/>
      <c r="J46" s="1427"/>
      <c r="K46" s="1427"/>
    </row>
    <row r="47" spans="1:27" ht="25.35" customHeight="1">
      <c r="B47" s="1478"/>
      <c r="C47" s="1524" t="s">
        <v>1051</v>
      </c>
      <c r="D47" s="1525"/>
      <c r="E47" s="1526" cm="1">
        <f t="array" ref="E47">SUMPRODUCT(E28:E44*F28:F44)</f>
        <v>0</v>
      </c>
      <c r="F47" s="1464"/>
      <c r="G47" s="1464"/>
      <c r="J47" s="1427"/>
      <c r="K47" s="1427"/>
    </row>
    <row r="48" spans="1:27" ht="25.35" customHeight="1" thickBot="1">
      <c r="C48" s="1527" t="s">
        <v>1052</v>
      </c>
      <c r="D48" s="1528"/>
      <c r="E48" s="1574" t="str">
        <f>IF(C25=0,"-",E47/C25)</f>
        <v>-</v>
      </c>
      <c r="J48" s="1427"/>
      <c r="K48" s="1427"/>
    </row>
    <row r="49" spans="1:11">
      <c r="J49" s="1427"/>
      <c r="K49" s="1427"/>
    </row>
    <row r="50" spans="1:11">
      <c r="A50" s="1427"/>
      <c r="B50" s="1427"/>
      <c r="C50" s="1427"/>
      <c r="D50" s="1531"/>
      <c r="E50" s="1531"/>
      <c r="F50" s="1427"/>
      <c r="G50" s="1427"/>
      <c r="H50" s="1427"/>
      <c r="I50" s="1427"/>
      <c r="J50" s="1427"/>
      <c r="K50" s="1427"/>
    </row>
    <row r="51" spans="1:11">
      <c r="A51" s="1427"/>
      <c r="B51" s="1427"/>
      <c r="C51" s="1427"/>
      <c r="D51" s="1531"/>
      <c r="E51" s="1531"/>
      <c r="F51" s="1427"/>
      <c r="G51" s="1427"/>
      <c r="H51" s="1427"/>
      <c r="I51" s="1427"/>
      <c r="J51" s="1427"/>
      <c r="K51" s="1427"/>
    </row>
    <row r="52" spans="1:11">
      <c r="A52" s="1427"/>
      <c r="B52" s="1427"/>
      <c r="C52" s="1427"/>
      <c r="D52" s="1531"/>
      <c r="E52" s="1531"/>
      <c r="F52" s="1427"/>
      <c r="G52" s="1427"/>
      <c r="H52" s="1427"/>
      <c r="I52" s="1427"/>
      <c r="J52" s="1427"/>
      <c r="K52" s="1427"/>
    </row>
  </sheetData>
  <sheetProtection algorithmName="SHA-512" hashValue="LVM/nN+uUpYKSBjOGydaJpn7Gsp0U5oTzGhYlsbTOjUHtxLLi2IQeKrvS1KqZ9BhbcSi5IJ498V4h8GDkqZeqQ==" saltValue="0wMp/wFVGGEQR2++RDrecA==" spinCount="100000" sheet="1" selectLockedCells="1"/>
  <mergeCells count="27">
    <mergeCell ref="U22:AA22"/>
    <mergeCell ref="C24:D24"/>
    <mergeCell ref="C46:D46"/>
    <mergeCell ref="C19:D19"/>
    <mergeCell ref="E19:F19"/>
    <mergeCell ref="C20:D20"/>
    <mergeCell ref="E20:F20"/>
    <mergeCell ref="C21:D21"/>
    <mergeCell ref="F21:F22"/>
    <mergeCell ref="C22:D22"/>
    <mergeCell ref="G28:G30"/>
    <mergeCell ref="G32:G35"/>
    <mergeCell ref="C23:D23"/>
    <mergeCell ref="C25:D25"/>
    <mergeCell ref="C16:D16"/>
    <mergeCell ref="E16:F16"/>
    <mergeCell ref="C17:D17"/>
    <mergeCell ref="E17:F17"/>
    <mergeCell ref="C18:D18"/>
    <mergeCell ref="E18:F18"/>
    <mergeCell ref="C15:D15"/>
    <mergeCell ref="E15:F15"/>
    <mergeCell ref="A1:I1"/>
    <mergeCell ref="B2:I2"/>
    <mergeCell ref="B3:C3"/>
    <mergeCell ref="E3:G3"/>
    <mergeCell ref="E10:F10"/>
  </mergeCells>
  <dataValidations count="2">
    <dataValidation type="decimal" allowBlank="1" showInputMessage="1" showErrorMessage="1" error="Please enter % between 0 and 100" sqref="C21" xr:uid="{BB7DF3D0-B396-D94B-BA3B-791D11D0F5C9}">
      <formula1>0</formula1>
      <formula2>1</formula2>
    </dataValidation>
    <dataValidation type="whole" operator="greaterThan" allowBlank="1" showInputMessage="1" showErrorMessage="1" error="Please enter whole number" sqref="C22" xr:uid="{45CD1446-75EB-AD43-8601-E10CB1920197}">
      <formula1>0</formula1>
    </dataValidation>
  </dataValidations>
  <printOptions gridLines="1"/>
  <pageMargins left="0.7" right="0.7" top="0.75" bottom="0.75" header="0.3" footer="0.3"/>
  <pageSetup paperSize="9" orientation="portrait" horizontalDpi="4294967292" verticalDpi="4294967292"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A8E71-CEC8-C344-98C7-557CE86DD36A}">
  <sheetPr published="0" codeName="Foglio24"/>
  <dimension ref="A1:AA52"/>
  <sheetViews>
    <sheetView showGridLines="0" topLeftCell="A7" zoomScale="86" zoomScaleNormal="70" zoomScalePageLayoutView="75" workbookViewId="0">
      <selection activeCell="L43" sqref="L43"/>
    </sheetView>
  </sheetViews>
  <sheetFormatPr defaultColWidth="0" defaultRowHeight="15" zeroHeight="1"/>
  <cols>
    <col min="1" max="1" width="14.6640625" style="1428" customWidth="1"/>
    <col min="2" max="2" width="65.1640625" style="1428" customWidth="1"/>
    <col min="3" max="3" width="26.1640625" style="1428" customWidth="1"/>
    <col min="4" max="5" width="35" style="1530" customWidth="1"/>
    <col min="6" max="6" width="51.5" style="1428" customWidth="1"/>
    <col min="7" max="7" width="44.6640625" style="1428" customWidth="1"/>
    <col min="8" max="8" width="20.6640625" style="1428" customWidth="1"/>
    <col min="9" max="9" width="19" style="1428" customWidth="1"/>
    <col min="10" max="10" width="10.6640625" style="1428" customWidth="1"/>
    <col min="11" max="11" width="9" style="1428" customWidth="1"/>
    <col min="12" max="19" width="9" style="1422" customWidth="1"/>
    <col min="20" max="20" width="0" style="1428" hidden="1" customWidth="1"/>
    <col min="21" max="28" width="9" style="1428" hidden="1" customWidth="1"/>
    <col min="29" max="16384" width="9" style="1428" hidden="1"/>
  </cols>
  <sheetData>
    <row r="1" spans="1:19" ht="45.95" customHeight="1">
      <c r="A1" s="1703" t="s">
        <v>1053</v>
      </c>
      <c r="B1" s="1703"/>
      <c r="C1" s="1703"/>
      <c r="D1" s="1703"/>
      <c r="E1" s="1703"/>
      <c r="F1" s="1703"/>
      <c r="G1" s="1703"/>
      <c r="H1" s="1703"/>
      <c r="I1" s="1703"/>
      <c r="J1" s="1426"/>
      <c r="K1" s="1427"/>
    </row>
    <row r="2" spans="1:19" ht="44.1" customHeight="1">
      <c r="B2" s="1753" t="s">
        <v>937</v>
      </c>
      <c r="C2" s="1753"/>
      <c r="D2" s="1753"/>
      <c r="E2" s="1753"/>
      <c r="F2" s="1753"/>
      <c r="G2" s="1753"/>
      <c r="H2" s="1753"/>
      <c r="I2" s="1753"/>
      <c r="J2" s="1426"/>
      <c r="K2" s="1427"/>
    </row>
    <row r="3" spans="1:19" ht="111" customHeight="1">
      <c r="B3" s="1783" t="s">
        <v>1054</v>
      </c>
      <c r="C3" s="1784"/>
      <c r="D3" s="1429"/>
      <c r="E3" s="1783" t="s">
        <v>929</v>
      </c>
      <c r="F3" s="1784"/>
      <c r="G3" s="1785"/>
      <c r="H3" s="1430"/>
      <c r="I3" s="1430"/>
      <c r="J3" s="1426"/>
      <c r="K3" s="1427"/>
    </row>
    <row r="4" spans="1:19" ht="44.1" customHeight="1">
      <c r="B4" s="1431" t="s">
        <v>832</v>
      </c>
      <c r="C4" s="1424">
        <v>0</v>
      </c>
      <c r="D4" s="1432"/>
      <c r="E4" s="1433" t="s">
        <v>778</v>
      </c>
      <c r="F4" s="1434" t="s">
        <v>916</v>
      </c>
      <c r="G4" s="1435" t="s">
        <v>1365</v>
      </c>
      <c r="H4" s="1430"/>
      <c r="I4" s="1430"/>
      <c r="J4" s="1426"/>
      <c r="K4" s="1427"/>
    </row>
    <row r="5" spans="1:19" ht="31.5">
      <c r="B5" s="1431" t="s">
        <v>833</v>
      </c>
      <c r="C5" s="1424">
        <v>0</v>
      </c>
      <c r="D5" s="1432"/>
      <c r="E5" s="1555" t="s">
        <v>628</v>
      </c>
      <c r="F5" s="1404">
        <v>0</v>
      </c>
      <c r="G5" s="1438">
        <f>ROUND((F5*Epidemiology!B12*Epidemiology!B20*Epidemiology!E20),-2)</f>
        <v>0</v>
      </c>
      <c r="H5" s="1430"/>
      <c r="I5" s="1430"/>
      <c r="J5" s="1426"/>
      <c r="K5" s="1427"/>
    </row>
    <row r="6" spans="1:19" ht="44.1" customHeight="1">
      <c r="B6" s="1431" t="s">
        <v>1055</v>
      </c>
      <c r="C6" s="1436">
        <f>(C4+C5)*Months</f>
        <v>0</v>
      </c>
      <c r="D6" s="1432"/>
      <c r="E6" s="1555" t="s">
        <v>629</v>
      </c>
      <c r="F6" s="1404">
        <v>0</v>
      </c>
      <c r="G6" s="1438">
        <f>ROUND(F6*Epidemiology!B9*Epidemiology!B10*Epidemiology!B26, -2)</f>
        <v>0</v>
      </c>
      <c r="H6" s="1430"/>
      <c r="I6" s="1430"/>
      <c r="J6" s="1426"/>
      <c r="K6" s="1427"/>
    </row>
    <row r="7" spans="1:19" ht="44.1" customHeight="1">
      <c r="B7" s="1439"/>
      <c r="C7" s="1432"/>
      <c r="D7" s="1432"/>
      <c r="E7" s="1437" t="s">
        <v>920</v>
      </c>
      <c r="F7" s="1404">
        <v>0</v>
      </c>
      <c r="G7" s="1584">
        <f>ROUND(F7*(Epidemiology!E7*Epidemiology!B17)+Epidemiology!B8+(Epidemiology!B14*Epidemiology!E17), -2)</f>
        <v>0</v>
      </c>
      <c r="H7" s="1430"/>
      <c r="I7" s="1430"/>
      <c r="J7" s="1426"/>
      <c r="K7" s="1427"/>
    </row>
    <row r="8" spans="1:19" ht="44.1" customHeight="1">
      <c r="B8" s="1439"/>
      <c r="C8" s="1432"/>
      <c r="D8" s="1432"/>
      <c r="E8" s="1555" t="s">
        <v>627</v>
      </c>
      <c r="F8" s="1404">
        <v>0</v>
      </c>
      <c r="G8" s="1584">
        <f>ROUND(F8*Epidemiology!E11*Epidemiology!E10*Epidemiology!C4*Epidemiology!B18,-2)</f>
        <v>0</v>
      </c>
      <c r="H8" s="1430"/>
      <c r="I8" s="1430"/>
      <c r="J8" s="1426"/>
      <c r="K8" s="1427"/>
    </row>
    <row r="9" spans="1:19" ht="44.1" customHeight="1">
      <c r="B9" s="1439"/>
      <c r="C9" s="1432"/>
      <c r="D9" s="1432"/>
      <c r="E9" s="1557" t="s">
        <v>947</v>
      </c>
      <c r="F9" s="1404">
        <v>0</v>
      </c>
      <c r="G9" s="1584">
        <f>ROUND(Epidemiology!C7-((Epidemiology!B9*Epidemiology!B10)+(Epidemiology!E7+Epidemiology!B8+Epidemiology!B14)+(Epidemiology!E11*Epidemiology!E10*Epidemiology!C4)+(Epidemiology!C7*Epidemiology!B10)),-2)*F9</f>
        <v>0</v>
      </c>
      <c r="H9" s="1430"/>
      <c r="I9" s="1430"/>
      <c r="J9" s="1426"/>
      <c r="K9" s="1427"/>
    </row>
    <row r="10" spans="1:19" ht="44.1" customHeight="1">
      <c r="B10" s="1439"/>
      <c r="C10" s="1432"/>
      <c r="D10" s="1432"/>
      <c r="E10" s="1786" t="s">
        <v>1366</v>
      </c>
      <c r="F10" s="1786"/>
      <c r="G10" s="1584">
        <f>SUM(G5:G9)</f>
        <v>0</v>
      </c>
      <c r="H10" s="1430"/>
      <c r="I10" s="1430"/>
      <c r="J10" s="1426"/>
      <c r="K10" s="1427"/>
    </row>
    <row r="11" spans="1:19" ht="44.1" customHeight="1">
      <c r="B11" s="1439"/>
      <c r="C11" s="1432"/>
      <c r="D11" s="1432"/>
      <c r="E11" s="1432"/>
      <c r="F11" s="1432"/>
      <c r="G11" s="1432"/>
      <c r="H11" s="1430"/>
      <c r="I11" s="1430"/>
      <c r="J11" s="1426"/>
      <c r="K11" s="1427"/>
    </row>
    <row r="12" spans="1:19" s="1534" customFormat="1" ht="24.95" customHeight="1">
      <c r="A12" s="1440"/>
      <c r="B12" s="1441"/>
      <c r="C12" s="1442"/>
      <c r="D12" s="1442"/>
      <c r="E12" s="1442"/>
      <c r="F12" s="1442"/>
      <c r="G12" s="1442"/>
      <c r="H12" s="1443"/>
      <c r="I12" s="1443"/>
      <c r="J12" s="1426"/>
      <c r="K12" s="1427"/>
      <c r="L12" s="1548"/>
      <c r="M12" s="1548"/>
      <c r="N12" s="1548"/>
      <c r="O12" s="1548"/>
      <c r="P12" s="1548"/>
      <c r="Q12" s="1548"/>
      <c r="R12" s="1548"/>
      <c r="S12" s="1548"/>
    </row>
    <row r="13" spans="1:19" s="1534" customFormat="1" ht="27.95" customHeight="1">
      <c r="A13" s="1440"/>
      <c r="B13" s="1441"/>
      <c r="C13" s="1442"/>
      <c r="D13" s="1442"/>
      <c r="E13" s="1442"/>
      <c r="F13" s="1442"/>
      <c r="G13" s="1442"/>
      <c r="H13" s="1443"/>
      <c r="I13" s="1443"/>
      <c r="J13" s="1426"/>
      <c r="K13" s="1427"/>
      <c r="L13" s="1548"/>
      <c r="M13" s="1548"/>
      <c r="N13" s="1548"/>
      <c r="O13" s="1548"/>
      <c r="P13" s="1548"/>
      <c r="Q13" s="1548"/>
      <c r="R13" s="1548"/>
      <c r="S13" s="1548"/>
    </row>
    <row r="14" spans="1:19" ht="44.1" customHeight="1">
      <c r="B14" s="1439"/>
      <c r="C14" s="1432"/>
      <c r="D14" s="1432"/>
      <c r="E14" s="1445"/>
      <c r="F14" s="1445"/>
      <c r="G14" s="1445"/>
      <c r="H14" s="1430"/>
      <c r="I14" s="1430"/>
      <c r="J14" s="1426"/>
      <c r="K14" s="1427"/>
    </row>
    <row r="15" spans="1:19" ht="51" customHeight="1">
      <c r="B15" s="1448" t="s">
        <v>1037</v>
      </c>
      <c r="C15" s="1789">
        <v>0</v>
      </c>
      <c r="D15" s="1789"/>
      <c r="E15" s="1790"/>
      <c r="F15" s="1791"/>
      <c r="G15" s="1449"/>
      <c r="H15" s="1455"/>
      <c r="I15" s="1456"/>
      <c r="J15" s="1457"/>
      <c r="K15" s="1453"/>
    </row>
    <row r="16" spans="1:19" ht="51" customHeight="1">
      <c r="B16" s="1448" t="s">
        <v>728</v>
      </c>
      <c r="C16" s="1789">
        <v>0</v>
      </c>
      <c r="D16" s="1789"/>
      <c r="E16" s="1790"/>
      <c r="F16" s="1791"/>
      <c r="G16" s="1449"/>
      <c r="H16" s="1455"/>
      <c r="I16" s="1458"/>
      <c r="J16" s="1459"/>
      <c r="K16" s="1453"/>
    </row>
    <row r="17" spans="2:27" ht="45">
      <c r="B17" s="1460" t="s">
        <v>1367</v>
      </c>
      <c r="C17" s="1794">
        <v>0</v>
      </c>
      <c r="D17" s="1794"/>
      <c r="E17" s="1795"/>
      <c r="F17" s="1795"/>
      <c r="G17" s="1449"/>
      <c r="H17" s="1455"/>
      <c r="I17" s="1458"/>
      <c r="J17" s="1459"/>
      <c r="K17" s="1453"/>
    </row>
    <row r="18" spans="2:27" ht="51" customHeight="1">
      <c r="B18" s="1460" t="s">
        <v>1040</v>
      </c>
      <c r="C18" s="1796">
        <f>C15+C16</f>
        <v>0</v>
      </c>
      <c r="D18" s="1796"/>
      <c r="E18" s="1797"/>
      <c r="F18" s="1797"/>
      <c r="G18" s="1449"/>
      <c r="H18" s="1461"/>
      <c r="I18" s="1458"/>
      <c r="J18" s="1459"/>
      <c r="K18" s="1453"/>
    </row>
    <row r="19" spans="2:27" ht="51" customHeight="1">
      <c r="B19" s="1460" t="s">
        <v>1056</v>
      </c>
      <c r="C19" s="1799">
        <f>IF(C15=0,0,C17/C15)</f>
        <v>0</v>
      </c>
      <c r="D19" s="1799"/>
      <c r="E19" s="1800"/>
      <c r="F19" s="1800"/>
      <c r="G19" s="1462"/>
      <c r="J19" s="1427"/>
      <c r="K19" s="1427"/>
    </row>
    <row r="20" spans="2:27" ht="51" customHeight="1">
      <c r="B20" s="1460" t="s">
        <v>731</v>
      </c>
      <c r="C20" s="1801">
        <f>C19*C18</f>
        <v>0</v>
      </c>
      <c r="D20" s="1801"/>
      <c r="E20" s="1802"/>
      <c r="F20" s="1802"/>
      <c r="G20" s="1478"/>
      <c r="J20" s="1427"/>
      <c r="K20" s="1427"/>
    </row>
    <row r="21" spans="2:27" ht="15.95" customHeight="1">
      <c r="B21" s="1463" t="s">
        <v>993</v>
      </c>
      <c r="C21" s="1803">
        <v>0</v>
      </c>
      <c r="D21" s="1803"/>
      <c r="E21" s="1464"/>
      <c r="F21" s="1769"/>
      <c r="G21" s="1478"/>
      <c r="J21" s="1427"/>
      <c r="K21" s="1427"/>
    </row>
    <row r="22" spans="2:27" ht="15.75" thickBot="1">
      <c r="B22" s="1465" t="s">
        <v>729</v>
      </c>
      <c r="C22" s="1804">
        <v>1</v>
      </c>
      <c r="D22" s="1804"/>
      <c r="E22" s="1464"/>
      <c r="F22" s="1769"/>
      <c r="G22" s="1478"/>
      <c r="J22" s="1427"/>
      <c r="K22" s="1427"/>
      <c r="U22" s="1774" t="s">
        <v>749</v>
      </c>
      <c r="V22" s="1774"/>
      <c r="W22" s="1774"/>
      <c r="X22" s="1774"/>
      <c r="Y22" s="1774"/>
      <c r="Z22" s="1774"/>
      <c r="AA22" s="1774"/>
    </row>
    <row r="23" spans="2:27">
      <c r="B23" s="1474" t="s">
        <v>890</v>
      </c>
      <c r="C23" s="1826">
        <v>0</v>
      </c>
      <c r="D23" s="1826"/>
      <c r="E23" s="1464"/>
      <c r="F23" s="1476"/>
      <c r="G23" s="1478"/>
      <c r="J23" s="1427"/>
      <c r="K23" s="1427"/>
      <c r="U23" s="1561"/>
      <c r="V23" s="1561"/>
      <c r="W23" s="1561"/>
      <c r="X23" s="1561"/>
      <c r="Y23" s="1561"/>
      <c r="Z23" s="1561"/>
      <c r="AA23" s="1561"/>
    </row>
    <row r="24" spans="2:27" ht="15.95" customHeight="1">
      <c r="B24" s="1477" t="s">
        <v>1057</v>
      </c>
      <c r="C24" s="1798">
        <f>ROUNDUP(C20+(C20*repet)+C22*C19,0)</f>
        <v>0</v>
      </c>
      <c r="D24" s="1798"/>
      <c r="E24" s="1428"/>
      <c r="G24" s="1462"/>
      <c r="H24" s="1462"/>
      <c r="I24" s="1462"/>
      <c r="J24" s="1427"/>
      <c r="K24" s="1427"/>
      <c r="U24" s="1470"/>
      <c r="V24" s="1471"/>
      <c r="W24" s="1471"/>
      <c r="X24" s="1471"/>
      <c r="Y24" s="1471"/>
      <c r="Z24" s="1471"/>
      <c r="AA24" s="1472"/>
    </row>
    <row r="25" spans="2:27" ht="15.95" customHeight="1">
      <c r="B25" s="1477" t="s">
        <v>1414</v>
      </c>
      <c r="C25" s="1798">
        <f>IF(C23=0,0,(ROUNDUP(C20+(C20*repet)+C22*C19,0))-C23)</f>
        <v>0</v>
      </c>
      <c r="D25" s="1798"/>
      <c r="E25" s="1428"/>
      <c r="G25" s="1462"/>
      <c r="H25" s="1462"/>
      <c r="I25" s="1462"/>
      <c r="J25" s="1427"/>
      <c r="K25" s="1427"/>
      <c r="U25" s="1470"/>
      <c r="V25" s="1471"/>
      <c r="W25" s="1471"/>
      <c r="X25" s="1471"/>
      <c r="Y25" s="1471"/>
      <c r="Z25" s="1471"/>
      <c r="AA25" s="1472"/>
    </row>
    <row r="26" spans="2:27" ht="20.100000000000001" customHeight="1" thickBot="1">
      <c r="D26" s="1428"/>
      <c r="E26" s="1428"/>
      <c r="J26" s="1427"/>
      <c r="K26" s="1427"/>
      <c r="U26" s="1470"/>
      <c r="V26" s="1471"/>
      <c r="W26" s="1471"/>
      <c r="X26" s="1471"/>
      <c r="Y26" s="1471"/>
      <c r="Z26" s="1471"/>
      <c r="AA26" s="1472"/>
    </row>
    <row r="27" spans="2:27">
      <c r="B27" s="1479" t="s">
        <v>614</v>
      </c>
      <c r="C27" s="1479" t="s">
        <v>923</v>
      </c>
      <c r="D27" s="1480" t="s">
        <v>93</v>
      </c>
      <c r="E27" s="1480" t="s">
        <v>78</v>
      </c>
      <c r="F27" s="1481" t="s">
        <v>433</v>
      </c>
      <c r="G27" s="1482" t="s">
        <v>79</v>
      </c>
      <c r="J27" s="1427"/>
      <c r="K27" s="1427"/>
      <c r="U27" s="1470"/>
      <c r="V27" s="1471"/>
      <c r="W27" s="1471"/>
      <c r="X27" s="1471"/>
      <c r="Y27" s="1471"/>
      <c r="Z27" s="1471"/>
      <c r="AA27" s="1472"/>
    </row>
    <row r="28" spans="2:27">
      <c r="B28" s="1563"/>
      <c r="C28" s="1563" t="s">
        <v>1058</v>
      </c>
      <c r="D28" s="1592"/>
      <c r="E28" s="1563"/>
      <c r="F28" s="1593"/>
      <c r="G28" s="1798" t="s">
        <v>1369</v>
      </c>
      <c r="J28" s="1427"/>
      <c r="K28" s="1427"/>
      <c r="U28" s="1470"/>
      <c r="V28" s="1471"/>
      <c r="W28" s="1471"/>
      <c r="X28" s="1471"/>
      <c r="Y28" s="1471"/>
      <c r="Z28" s="1471"/>
      <c r="AA28" s="1472"/>
    </row>
    <row r="29" spans="2:27" ht="45">
      <c r="B29" s="1563"/>
      <c r="C29" s="1594" t="s">
        <v>1368</v>
      </c>
      <c r="D29" s="1563">
        <v>192</v>
      </c>
      <c r="E29" s="1563">
        <f>ROUNDUP(C25/unit_pack,0)</f>
        <v>0</v>
      </c>
      <c r="F29" s="1593"/>
      <c r="G29" s="1798"/>
      <c r="J29" s="1427"/>
      <c r="K29" s="1427"/>
      <c r="U29" s="1470"/>
      <c r="V29" s="1471"/>
      <c r="W29" s="1471"/>
      <c r="X29" s="1471"/>
      <c r="Y29" s="1471"/>
      <c r="Z29" s="1471"/>
      <c r="AA29" s="1472"/>
    </row>
    <row r="30" spans="2:27" ht="45">
      <c r="B30" s="1484"/>
      <c r="C30" s="1487" t="s">
        <v>1059</v>
      </c>
      <c r="D30" s="1484">
        <v>96</v>
      </c>
      <c r="E30" s="1488">
        <f>ROUNDUP(C25/unit_pack,0)</f>
        <v>0</v>
      </c>
      <c r="F30" s="1595"/>
      <c r="G30" s="1798"/>
      <c r="J30" s="1427"/>
      <c r="K30" s="1427"/>
      <c r="U30" s="1470"/>
      <c r="V30" s="1471"/>
      <c r="W30" s="1471"/>
      <c r="X30" s="1471"/>
      <c r="Y30" s="1471"/>
      <c r="Z30" s="1471"/>
      <c r="AA30" s="1472"/>
    </row>
    <row r="31" spans="2:27" ht="30">
      <c r="B31" s="1490"/>
      <c r="C31" s="1491" t="s">
        <v>1060</v>
      </c>
      <c r="D31" s="1586">
        <v>8</v>
      </c>
      <c r="E31" s="1492">
        <f>C19/D31</f>
        <v>0</v>
      </c>
      <c r="F31" s="1596"/>
      <c r="G31" s="1798"/>
      <c r="J31" s="1427"/>
      <c r="K31" s="1427"/>
      <c r="U31" s="1470"/>
      <c r="V31" s="1471"/>
      <c r="W31" s="1471"/>
      <c r="X31" s="1471"/>
      <c r="Y31" s="1471"/>
      <c r="Z31" s="1471"/>
      <c r="AA31" s="1472"/>
    </row>
    <row r="32" spans="2:27" ht="60">
      <c r="B32" s="1587"/>
      <c r="C32" s="1588" t="s">
        <v>1061</v>
      </c>
      <c r="D32" s="1589">
        <v>24</v>
      </c>
      <c r="E32" s="1590">
        <f>ROUNDUP(C25/unit_pack,0)</f>
        <v>0</v>
      </c>
      <c r="F32" s="1597"/>
      <c r="G32" s="1798"/>
      <c r="J32" s="1427"/>
      <c r="K32" s="1427"/>
      <c r="U32" s="1470"/>
      <c r="V32" s="1471"/>
      <c r="W32" s="1471"/>
      <c r="X32" s="1471"/>
      <c r="Y32" s="1471"/>
      <c r="Z32" s="1471"/>
      <c r="AA32" s="1472"/>
    </row>
    <row r="33" spans="2:27" ht="45">
      <c r="B33" s="1587"/>
      <c r="C33" s="1588" t="s">
        <v>1062</v>
      </c>
      <c r="D33" s="1589">
        <v>4</v>
      </c>
      <c r="E33" s="1590">
        <f>ROUNDUP(C19/unit_pack,0)</f>
        <v>0</v>
      </c>
      <c r="F33" s="1597"/>
      <c r="G33" s="1798"/>
      <c r="J33" s="1427"/>
      <c r="K33" s="1427"/>
      <c r="U33" s="1470"/>
      <c r="V33" s="1471"/>
      <c r="W33" s="1471"/>
      <c r="X33" s="1471"/>
      <c r="Y33" s="1471"/>
      <c r="Z33" s="1471"/>
      <c r="AA33" s="1472"/>
    </row>
    <row r="34" spans="2:27" ht="30">
      <c r="B34" s="1587"/>
      <c r="C34" s="1588" t="s">
        <v>851</v>
      </c>
      <c r="D34" s="1589">
        <v>20</v>
      </c>
      <c r="E34" s="1686">
        <f>ROUNDUP(C25/unit_pack,0)</f>
        <v>0</v>
      </c>
      <c r="F34" s="1597"/>
      <c r="G34" s="1798"/>
      <c r="J34" s="1427"/>
      <c r="K34" s="1427"/>
      <c r="U34" s="1470"/>
      <c r="V34" s="1471"/>
      <c r="W34" s="1471"/>
      <c r="X34" s="1471"/>
      <c r="Y34" s="1471"/>
      <c r="Z34" s="1471"/>
      <c r="AA34" s="1472"/>
    </row>
    <row r="35" spans="2:27" ht="30">
      <c r="B35" s="1587"/>
      <c r="C35" s="1588" t="s">
        <v>852</v>
      </c>
      <c r="D35" s="1589">
        <v>32</v>
      </c>
      <c r="E35" s="1686">
        <f>ROUNDUP(C25/unit_pack,0)</f>
        <v>0</v>
      </c>
      <c r="F35" s="1597"/>
      <c r="G35" s="1798"/>
      <c r="J35" s="1427"/>
      <c r="K35" s="1427"/>
      <c r="U35" s="1470"/>
      <c r="V35" s="1471"/>
      <c r="W35" s="1471"/>
      <c r="X35" s="1471"/>
      <c r="Y35" s="1471"/>
      <c r="Z35" s="1471"/>
      <c r="AA35" s="1472"/>
    </row>
    <row r="36" spans="2:27" ht="30">
      <c r="B36" s="1484">
        <v>106384</v>
      </c>
      <c r="C36" s="1487" t="s">
        <v>1007</v>
      </c>
      <c r="D36" s="1484">
        <v>500</v>
      </c>
      <c r="E36" s="1484">
        <f>ROUNDUP(kit_ordered*D30*1.05/unit_pack,0)</f>
        <v>0</v>
      </c>
      <c r="F36" s="1519">
        <v>48.95</v>
      </c>
      <c r="G36" s="1567" t="s">
        <v>88</v>
      </c>
      <c r="J36" s="1427"/>
      <c r="K36" s="1427"/>
      <c r="U36" s="1470"/>
      <c r="V36" s="1471"/>
      <c r="W36" s="1471"/>
      <c r="X36" s="1471"/>
      <c r="Y36" s="1471"/>
      <c r="Z36" s="1471"/>
      <c r="AA36" s="1472"/>
    </row>
    <row r="37" spans="2:27" s="1504" customFormat="1" ht="30">
      <c r="B37" s="1503">
        <v>106422</v>
      </c>
      <c r="C37" s="1496" t="s">
        <v>998</v>
      </c>
      <c r="D37" s="1495">
        <v>500</v>
      </c>
      <c r="E37" s="1495">
        <f>ROUNDUP(C19*2*1.05/unit_pack,0)</f>
        <v>0</v>
      </c>
      <c r="F37" s="1499">
        <v>49.55</v>
      </c>
      <c r="G37" s="1500" t="s">
        <v>836</v>
      </c>
      <c r="J37" s="1505"/>
      <c r="K37" s="1505"/>
      <c r="L37" s="1554"/>
      <c r="M37" s="1554"/>
      <c r="N37" s="1554"/>
      <c r="O37" s="1554"/>
      <c r="P37" s="1554"/>
      <c r="Q37" s="1554"/>
      <c r="R37" s="1554"/>
      <c r="S37" s="1554"/>
      <c r="U37" s="1506"/>
      <c r="V37" s="1473"/>
      <c r="W37" s="1473"/>
      <c r="X37" s="1473"/>
      <c r="Y37" s="1473"/>
      <c r="Z37" s="1473"/>
      <c r="AA37" s="1507"/>
    </row>
    <row r="38" spans="2:27" ht="30">
      <c r="B38" s="1503">
        <v>106554</v>
      </c>
      <c r="C38" s="1496" t="s">
        <v>1001</v>
      </c>
      <c r="D38" s="1503">
        <v>960</v>
      </c>
      <c r="E38" s="1495">
        <f>ROUNDUP((kit_ordered*D30*4*1.05)/unit_pack,0)</f>
        <v>0</v>
      </c>
      <c r="F38" s="1508">
        <v>115.7</v>
      </c>
      <c r="G38" s="1500" t="s">
        <v>1041</v>
      </c>
      <c r="J38" s="1427"/>
      <c r="K38" s="1427"/>
      <c r="U38" s="1470"/>
      <c r="V38" s="1471"/>
      <c r="W38" s="1471"/>
      <c r="X38" s="1471"/>
      <c r="Y38" s="1471"/>
      <c r="Z38" s="1471"/>
      <c r="AA38" s="1472"/>
    </row>
    <row r="39" spans="2:27" ht="30">
      <c r="B39" s="1503">
        <v>106389</v>
      </c>
      <c r="C39" s="1496" t="s">
        <v>1002</v>
      </c>
      <c r="D39" s="1503">
        <v>960</v>
      </c>
      <c r="E39" s="1503">
        <f>ROUNDUP((kit_ordered*D30*4*1.05)/unit_pack,0)</f>
        <v>0</v>
      </c>
      <c r="F39" s="1508">
        <v>61</v>
      </c>
      <c r="G39" s="1500" t="s">
        <v>835</v>
      </c>
      <c r="J39" s="1427"/>
      <c r="K39" s="1427"/>
      <c r="U39" s="1470"/>
      <c r="V39" s="1471"/>
      <c r="W39" s="1471"/>
      <c r="X39" s="1471"/>
      <c r="Y39" s="1471"/>
      <c r="Z39" s="1471"/>
      <c r="AA39" s="1472"/>
    </row>
    <row r="40" spans="2:27" ht="30">
      <c r="B40" s="1503">
        <v>106390</v>
      </c>
      <c r="C40" s="1496" t="s">
        <v>1003</v>
      </c>
      <c r="D40" s="1503">
        <v>960</v>
      </c>
      <c r="E40" s="1503">
        <f>ROUNDUP((kit_ordered*D30*4*1.05)/unit_pack,0)</f>
        <v>0</v>
      </c>
      <c r="F40" s="1508">
        <v>88.5</v>
      </c>
      <c r="G40" s="1510" t="s">
        <v>835</v>
      </c>
      <c r="J40" s="1427"/>
      <c r="K40" s="1427"/>
      <c r="U40" s="1470"/>
      <c r="V40" s="1471"/>
      <c r="W40" s="1471"/>
      <c r="X40" s="1471"/>
      <c r="Y40" s="1471"/>
      <c r="Z40" s="1471"/>
      <c r="AA40" s="1472"/>
    </row>
    <row r="41" spans="2:27">
      <c r="B41" s="1484">
        <v>106444</v>
      </c>
      <c r="C41" s="1487" t="s">
        <v>1008</v>
      </c>
      <c r="D41" s="1484">
        <v>200</v>
      </c>
      <c r="E41" s="1484">
        <f>ROUNDUP(Months*22*4/unit_pack,0)</f>
        <v>0</v>
      </c>
      <c r="F41" s="1519">
        <v>98.6</v>
      </c>
      <c r="G41" s="1489" t="s">
        <v>1016</v>
      </c>
      <c r="J41" s="1427"/>
      <c r="K41" s="1427"/>
    </row>
    <row r="42" spans="2:27" ht="30">
      <c r="B42" s="1484">
        <v>106415</v>
      </c>
      <c r="C42" s="1487" t="s">
        <v>1009</v>
      </c>
      <c r="D42" s="1484">
        <v>100</v>
      </c>
      <c r="E42" s="1484">
        <f>ROUNDUP(Months*22*8/unit_pack,0)</f>
        <v>0</v>
      </c>
      <c r="F42" s="1519">
        <v>111.4</v>
      </c>
      <c r="G42" s="1489" t="s">
        <v>22</v>
      </c>
      <c r="J42" s="1427"/>
      <c r="K42" s="1427"/>
    </row>
    <row r="43" spans="2:27">
      <c r="B43" s="1484">
        <v>106755</v>
      </c>
      <c r="C43" s="1487" t="s">
        <v>862</v>
      </c>
      <c r="D43" s="1484">
        <v>200</v>
      </c>
      <c r="E43" s="1484">
        <f>ROUNDUP(Months*22*40/unit_pack,0)</f>
        <v>0</v>
      </c>
      <c r="F43" s="1519">
        <v>1.45</v>
      </c>
      <c r="G43" s="1520" t="s">
        <v>23</v>
      </c>
      <c r="J43" s="1427"/>
      <c r="K43" s="1427"/>
    </row>
    <row r="44" spans="2:27" ht="30">
      <c r="B44" s="1484">
        <v>106333</v>
      </c>
      <c r="C44" s="1487" t="s">
        <v>1034</v>
      </c>
      <c r="D44" s="1484">
        <v>5</v>
      </c>
      <c r="E44" s="1484">
        <f>ROUNDUP(Months*4.33*1/unit_pack,0)</f>
        <v>0</v>
      </c>
      <c r="F44" s="1519">
        <v>32.15</v>
      </c>
      <c r="G44" s="1520" t="s">
        <v>1017</v>
      </c>
      <c r="J44" s="1427"/>
      <c r="K44" s="1427"/>
    </row>
    <row r="45" spans="2:27" ht="25.35" customHeight="1" thickBot="1">
      <c r="B45" s="1478"/>
      <c r="C45" s="1478"/>
      <c r="D45" s="1560"/>
      <c r="E45" s="1560"/>
      <c r="F45" s="1522"/>
      <c r="G45" s="1560"/>
      <c r="J45" s="1427"/>
      <c r="K45" s="1427"/>
    </row>
    <row r="46" spans="2:27" ht="15.95" customHeight="1">
      <c r="B46" s="1478"/>
      <c r="C46" s="1772" t="s">
        <v>506</v>
      </c>
      <c r="D46" s="1773"/>
      <c r="E46" s="1523" t="s">
        <v>931</v>
      </c>
      <c r="F46" s="1462"/>
      <c r="G46" s="1464"/>
      <c r="J46" s="1427"/>
      <c r="K46" s="1427"/>
    </row>
    <row r="47" spans="2:27" ht="25.35" customHeight="1">
      <c r="B47" s="1478"/>
      <c r="C47" s="1524" t="s">
        <v>1063</v>
      </c>
      <c r="D47" s="1525"/>
      <c r="E47" s="1526" cm="1">
        <f t="array" ref="E47">SUMPRODUCT(E30:E44*F30:F44)</f>
        <v>0</v>
      </c>
      <c r="F47" s="1464"/>
      <c r="G47" s="1464"/>
      <c r="J47" s="1427"/>
      <c r="K47" s="1427"/>
    </row>
    <row r="48" spans="2:27" ht="25.35" customHeight="1" thickBot="1">
      <c r="C48" s="1527" t="s">
        <v>1370</v>
      </c>
      <c r="D48" s="1528"/>
      <c r="E48" s="1529" t="str">
        <f>IF(C25=0,"-",E47/C25)</f>
        <v>-</v>
      </c>
      <c r="J48" s="1427"/>
      <c r="K48" s="1427"/>
    </row>
    <row r="49" spans="1:11">
      <c r="J49" s="1427"/>
      <c r="K49" s="1427"/>
    </row>
    <row r="50" spans="1:11">
      <c r="A50" s="1427"/>
      <c r="B50" s="1427"/>
      <c r="C50" s="1427"/>
      <c r="D50" s="1531"/>
      <c r="E50" s="1531"/>
      <c r="F50" s="1427"/>
      <c r="G50" s="1427"/>
      <c r="H50" s="1427"/>
      <c r="I50" s="1427"/>
      <c r="J50" s="1427"/>
      <c r="K50" s="1427"/>
    </row>
    <row r="51" spans="1:11">
      <c r="A51" s="1427"/>
      <c r="B51" s="1427"/>
      <c r="C51" s="1427"/>
      <c r="D51" s="1531"/>
      <c r="E51" s="1531"/>
      <c r="F51" s="1427"/>
      <c r="G51" s="1427"/>
      <c r="H51" s="1427"/>
      <c r="I51" s="1427"/>
      <c r="J51" s="1427"/>
      <c r="K51" s="1427"/>
    </row>
    <row r="52" spans="1:11">
      <c r="A52" s="1427"/>
      <c r="B52" s="1427"/>
      <c r="C52" s="1427"/>
      <c r="D52" s="1531"/>
      <c r="E52" s="1531"/>
      <c r="F52" s="1427"/>
      <c r="G52" s="1427"/>
      <c r="H52" s="1427"/>
      <c r="I52" s="1427"/>
      <c r="J52" s="1427"/>
      <c r="K52" s="1427"/>
    </row>
  </sheetData>
  <sheetProtection algorithmName="SHA-512" hashValue="N/9NdlynNmHYUouF87mtRLru7TNJDfNxHlK2dhMqpWRwxYhYk2O+rAXuM+2+YogKn4u2Py4G0w4HMwAaYLhCTA==" saltValue="DzR1IiXdKgTV9bgeFPGzEw==" spinCount="100000" sheet="1" selectLockedCells="1"/>
  <mergeCells count="26">
    <mergeCell ref="C46:D46"/>
    <mergeCell ref="C21:D21"/>
    <mergeCell ref="F21:F22"/>
    <mergeCell ref="C22:D22"/>
    <mergeCell ref="U22:AA22"/>
    <mergeCell ref="G28:G35"/>
    <mergeCell ref="C24:D24"/>
    <mergeCell ref="C23:D23"/>
    <mergeCell ref="C25:D25"/>
    <mergeCell ref="C18:D18"/>
    <mergeCell ref="E18:F18"/>
    <mergeCell ref="C19:D19"/>
    <mergeCell ref="E19:F19"/>
    <mergeCell ref="C20:D20"/>
    <mergeCell ref="E20:F20"/>
    <mergeCell ref="A1:I1"/>
    <mergeCell ref="B2:I2"/>
    <mergeCell ref="B3:C3"/>
    <mergeCell ref="E3:G3"/>
    <mergeCell ref="E10:F10"/>
    <mergeCell ref="C15:D15"/>
    <mergeCell ref="E15:F15"/>
    <mergeCell ref="C16:D16"/>
    <mergeCell ref="E16:F16"/>
    <mergeCell ref="C17:D17"/>
    <mergeCell ref="E17:F17"/>
  </mergeCells>
  <dataValidations count="2">
    <dataValidation type="whole" operator="greaterThan" allowBlank="1" showInputMessage="1" showErrorMessage="1" error="Please enter whole number" sqref="C22" xr:uid="{430F9ED4-2235-7645-AAF7-1AE805CDD25E}">
      <formula1>0</formula1>
    </dataValidation>
    <dataValidation type="decimal" allowBlank="1" showInputMessage="1" showErrorMessage="1" error="Please enter % between 0 and 100" sqref="C21" xr:uid="{58769890-FAA3-094A-A2E9-2D8AC8091E02}">
      <formula1>0</formula1>
      <formula2>1</formula2>
    </dataValidation>
  </dataValidations>
  <printOptions gridLines="1"/>
  <pageMargins left="0.7" right="0.7" top="0.75" bottom="0.75" header="0.3" footer="0.3"/>
  <pageSetup paperSize="9" orientation="portrait" horizontalDpi="4294967292" verticalDpi="429496729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ublished="0" codeName="Foglio11"/>
  <dimension ref="A1:AK91"/>
  <sheetViews>
    <sheetView showGridLines="0" zoomScaleNormal="100" zoomScalePageLayoutView="75" workbookViewId="0">
      <selection activeCell="AC1" sqref="AC1:XFD1048576"/>
    </sheetView>
  </sheetViews>
  <sheetFormatPr defaultColWidth="0" defaultRowHeight="12.75" zeroHeight="1"/>
  <cols>
    <col min="1" max="1" width="9" style="573" customWidth="1"/>
    <col min="2" max="2" width="65.1640625" style="572" customWidth="1"/>
    <col min="3" max="3" width="26" style="572" customWidth="1"/>
    <col min="4" max="4" width="70.1640625" style="572" customWidth="1"/>
    <col min="5" max="5" width="56.5" style="579" customWidth="1"/>
    <col min="6" max="6" width="32.5" style="572" customWidth="1"/>
    <col min="7" max="7" width="28.6640625" style="572" customWidth="1"/>
    <col min="8" max="8" width="62.1640625" style="574" customWidth="1"/>
    <col min="9" max="11" width="9" style="573" customWidth="1"/>
    <col min="12" max="28" width="9" style="1660" customWidth="1"/>
    <col min="29" max="30" width="9" style="1660" hidden="1" customWidth="1"/>
    <col min="31" max="37" width="9" style="573" hidden="1" customWidth="1"/>
    <col min="38" max="16384" width="10.6640625" style="573" hidden="1"/>
  </cols>
  <sheetData>
    <row r="1" spans="1:37" ht="47.1" customHeight="1">
      <c r="A1" s="1728" t="s">
        <v>1064</v>
      </c>
      <c r="B1" s="1728"/>
      <c r="C1" s="1728"/>
      <c r="D1" s="1728"/>
      <c r="E1" s="1728"/>
      <c r="F1" s="1728"/>
      <c r="G1" s="1728"/>
      <c r="H1" s="1728"/>
      <c r="I1" s="1728"/>
      <c r="J1" s="1044"/>
      <c r="K1" s="1044"/>
    </row>
    <row r="2" spans="1:37" ht="42" customHeight="1">
      <c r="B2" s="1718" t="s">
        <v>937</v>
      </c>
      <c r="C2" s="1718"/>
      <c r="D2" s="1718"/>
      <c r="E2" s="1718"/>
      <c r="F2" s="1718"/>
      <c r="G2" s="1718"/>
      <c r="H2" s="1718"/>
      <c r="I2" s="1718"/>
      <c r="J2" s="1044"/>
      <c r="K2" s="1044"/>
    </row>
    <row r="3" spans="1:37" ht="111.95" customHeight="1">
      <c r="B3" s="1721" t="s">
        <v>1019</v>
      </c>
      <c r="C3" s="1722"/>
      <c r="D3" s="584"/>
      <c r="E3" s="1721" t="s">
        <v>929</v>
      </c>
      <c r="F3" s="1722"/>
      <c r="G3" s="1751"/>
      <c r="J3" s="1044"/>
      <c r="K3" s="1044"/>
    </row>
    <row r="4" spans="1:37" ht="50.1" customHeight="1">
      <c r="B4" s="764" t="s">
        <v>1065</v>
      </c>
      <c r="C4" s="1424">
        <v>0</v>
      </c>
      <c r="D4" s="1271"/>
      <c r="E4" s="757" t="s">
        <v>778</v>
      </c>
      <c r="F4" s="935" t="s">
        <v>916</v>
      </c>
      <c r="G4" s="1312" t="s">
        <v>1069</v>
      </c>
      <c r="J4" s="1044"/>
      <c r="K4" s="1044"/>
    </row>
    <row r="5" spans="1:37" ht="31.5">
      <c r="B5" s="764" t="s">
        <v>1066</v>
      </c>
      <c r="C5" s="768">
        <f>C4*Months</f>
        <v>0</v>
      </c>
      <c r="D5" s="1271"/>
      <c r="E5" s="1303" t="s">
        <v>1068</v>
      </c>
      <c r="F5" s="1401">
        <v>0</v>
      </c>
      <c r="G5" s="758">
        <f>Epidemiology!$B$14*F5</f>
        <v>0</v>
      </c>
      <c r="J5" s="1044"/>
      <c r="K5" s="1044"/>
    </row>
    <row r="6" spans="1:37" ht="17.25">
      <c r="B6" s="1270"/>
      <c r="C6" s="1271"/>
      <c r="D6" s="1271"/>
      <c r="E6" s="1303" t="s">
        <v>1067</v>
      </c>
      <c r="F6" s="1401">
        <v>0</v>
      </c>
      <c r="G6" s="758">
        <f>(Epidemiology!$E$7+Epidemiology!$B$8)*F6*Epidemiology!B16</f>
        <v>0</v>
      </c>
      <c r="J6" s="1044"/>
      <c r="K6" s="1044"/>
    </row>
    <row r="7" spans="1:37" ht="32.1" customHeight="1">
      <c r="B7" s="1270"/>
      <c r="C7" s="1271"/>
      <c r="D7" s="1271"/>
      <c r="E7" s="1835" t="s">
        <v>1070</v>
      </c>
      <c r="F7" s="1835"/>
      <c r="G7" s="758">
        <f>SUM(G5:G6)</f>
        <v>0</v>
      </c>
      <c r="J7" s="1044"/>
      <c r="K7" s="1044"/>
    </row>
    <row r="8" spans="1:37">
      <c r="J8" s="1044"/>
      <c r="K8" s="1044"/>
    </row>
    <row r="9" spans="1:37">
      <c r="J9" s="1044"/>
      <c r="K9" s="1044"/>
    </row>
    <row r="10" spans="1:37">
      <c r="J10" s="1044"/>
      <c r="K10" s="1044"/>
    </row>
    <row r="11" spans="1:37" s="773" customFormat="1">
      <c r="B11" s="770"/>
      <c r="C11" s="770"/>
      <c r="D11" s="770"/>
      <c r="E11" s="771"/>
      <c r="F11" s="770"/>
      <c r="G11" s="770"/>
      <c r="H11" s="772"/>
      <c r="J11" s="1044"/>
      <c r="K11" s="1044"/>
      <c r="L11" s="1661"/>
      <c r="M11" s="1661"/>
      <c r="N11" s="1661"/>
      <c r="O11" s="1661"/>
      <c r="P11" s="1661"/>
      <c r="Q11" s="1661"/>
      <c r="R11" s="1661"/>
      <c r="S11" s="1661"/>
      <c r="T11" s="1661"/>
      <c r="U11" s="1661"/>
      <c r="V11" s="1661"/>
      <c r="W11" s="1661"/>
      <c r="X11" s="1661"/>
      <c r="Y11" s="1661"/>
      <c r="Z11" s="1661"/>
      <c r="AA11" s="1661"/>
      <c r="AB11" s="1661"/>
      <c r="AC11" s="1661"/>
      <c r="AD11" s="1661"/>
      <c r="AE11" s="1659"/>
      <c r="AF11" s="1659"/>
      <c r="AG11" s="1659"/>
      <c r="AH11" s="1659"/>
      <c r="AI11" s="1659"/>
      <c r="AJ11" s="1659"/>
      <c r="AK11" s="1659"/>
    </row>
    <row r="12" spans="1:37" s="773" customFormat="1">
      <c r="B12" s="770"/>
      <c r="C12" s="770"/>
      <c r="D12" s="770"/>
      <c r="E12" s="771"/>
      <c r="F12" s="770"/>
      <c r="G12" s="770"/>
      <c r="H12" s="772"/>
      <c r="J12" s="1044"/>
      <c r="K12" s="1044"/>
      <c r="L12" s="1661"/>
      <c r="M12" s="1661"/>
      <c r="N12" s="1661"/>
      <c r="O12" s="1661"/>
      <c r="P12" s="1661"/>
      <c r="Q12" s="1661"/>
      <c r="R12" s="1661"/>
      <c r="S12" s="1661"/>
      <c r="T12" s="1661"/>
      <c r="U12" s="1661"/>
      <c r="V12" s="1661"/>
      <c r="W12" s="1661"/>
      <c r="X12" s="1661"/>
      <c r="Y12" s="1661"/>
      <c r="Z12" s="1661"/>
      <c r="AA12" s="1661"/>
      <c r="AB12" s="1661"/>
      <c r="AC12" s="1661"/>
      <c r="AD12" s="1661"/>
      <c r="AE12" s="1659"/>
      <c r="AF12" s="1659"/>
      <c r="AG12" s="1659"/>
      <c r="AH12" s="1659"/>
      <c r="AI12" s="1659"/>
      <c r="AJ12" s="1659"/>
      <c r="AK12" s="1659"/>
    </row>
    <row r="13" spans="1:37">
      <c r="J13" s="1044"/>
      <c r="K13" s="1044"/>
    </row>
    <row r="14" spans="1:37">
      <c r="J14" s="1044"/>
      <c r="K14" s="1044"/>
    </row>
    <row r="15" spans="1:37" ht="24" customHeight="1">
      <c r="B15" s="775" t="s">
        <v>1071</v>
      </c>
      <c r="C15" s="1598" t="s">
        <v>801</v>
      </c>
      <c r="D15" s="937" t="s">
        <v>0</v>
      </c>
      <c r="E15" s="780" t="s">
        <v>806</v>
      </c>
      <c r="F15" s="1598" t="s">
        <v>76</v>
      </c>
      <c r="G15" s="937" t="s">
        <v>0</v>
      </c>
      <c r="J15" s="1044"/>
      <c r="K15" s="1044"/>
    </row>
    <row r="16" spans="1:37" ht="48" thickBot="1">
      <c r="B16" s="764" t="s">
        <v>1074</v>
      </c>
      <c r="C16" s="1598">
        <v>0</v>
      </c>
      <c r="D16" s="852"/>
      <c r="E16" s="764" t="s">
        <v>1074</v>
      </c>
      <c r="F16" s="1598">
        <v>0</v>
      </c>
      <c r="G16" s="853"/>
      <c r="H16" s="853"/>
      <c r="J16" s="1044"/>
      <c r="K16" s="1044"/>
      <c r="AE16" s="1827" t="s">
        <v>749</v>
      </c>
      <c r="AF16" s="1827"/>
      <c r="AG16" s="1827"/>
      <c r="AH16" s="1827"/>
      <c r="AI16" s="1827"/>
      <c r="AJ16" s="1827"/>
      <c r="AK16" s="1827"/>
    </row>
    <row r="17" spans="1:37" ht="15.75">
      <c r="B17" s="764" t="s">
        <v>90</v>
      </c>
      <c r="C17" s="1598">
        <v>0</v>
      </c>
      <c r="D17" s="852"/>
      <c r="E17" s="764" t="s">
        <v>91</v>
      </c>
      <c r="F17" s="1599">
        <v>0</v>
      </c>
      <c r="G17" s="853"/>
      <c r="H17" s="853"/>
      <c r="J17" s="1044"/>
      <c r="K17" s="1044"/>
      <c r="AE17" s="670"/>
      <c r="AF17" s="671" t="s">
        <v>799</v>
      </c>
      <c r="AG17" s="671" t="s">
        <v>20</v>
      </c>
      <c r="AH17" s="671"/>
      <c r="AI17" s="671"/>
      <c r="AJ17" s="671"/>
      <c r="AK17" s="672"/>
    </row>
    <row r="18" spans="1:37" ht="15.75">
      <c r="B18" s="764" t="s">
        <v>91</v>
      </c>
      <c r="C18" s="1599">
        <v>0</v>
      </c>
      <c r="D18" s="852"/>
      <c r="E18" s="764" t="s">
        <v>92</v>
      </c>
      <c r="F18" s="1599">
        <v>0</v>
      </c>
      <c r="G18" s="853"/>
      <c r="H18" s="853"/>
      <c r="J18" s="1044"/>
      <c r="K18" s="1044"/>
      <c r="AE18" s="674"/>
      <c r="AF18" s="674"/>
      <c r="AG18" s="674"/>
      <c r="AH18" s="674"/>
      <c r="AI18" s="674"/>
      <c r="AJ18" s="674"/>
      <c r="AK18" s="674"/>
    </row>
    <row r="19" spans="1:37" ht="15.75">
      <c r="B19" s="764" t="s">
        <v>92</v>
      </c>
      <c r="C19" s="1599">
        <v>0</v>
      </c>
      <c r="D19" s="852"/>
      <c r="E19" s="764" t="s">
        <v>1372</v>
      </c>
      <c r="F19" s="1599">
        <v>0</v>
      </c>
      <c r="G19" s="853"/>
      <c r="H19" s="853"/>
      <c r="J19" s="1044"/>
      <c r="K19" s="1044"/>
      <c r="AE19" s="674"/>
      <c r="AF19" s="674"/>
      <c r="AG19" s="674"/>
      <c r="AH19" s="674"/>
      <c r="AI19" s="674"/>
      <c r="AJ19" s="674"/>
      <c r="AK19" s="674"/>
    </row>
    <row r="20" spans="1:37" ht="15.75">
      <c r="B20" s="1831" t="s">
        <v>1072</v>
      </c>
      <c r="C20" s="1833">
        <v>0</v>
      </c>
      <c r="D20" s="852"/>
      <c r="E20" s="1295" t="s">
        <v>890</v>
      </c>
      <c r="F20" s="1600">
        <v>0</v>
      </c>
      <c r="G20" s="853"/>
      <c r="H20" s="853"/>
      <c r="J20" s="1044"/>
      <c r="K20" s="1044"/>
      <c r="AE20" s="674"/>
      <c r="AF20" s="674"/>
      <c r="AG20" s="674"/>
      <c r="AH20" s="674"/>
      <c r="AI20" s="674"/>
      <c r="AJ20" s="674"/>
      <c r="AK20" s="674"/>
    </row>
    <row r="21" spans="1:37" ht="15.75">
      <c r="B21" s="1832"/>
      <c r="C21" s="1834"/>
      <c r="D21" s="852"/>
      <c r="E21" s="764" t="s">
        <v>1373</v>
      </c>
      <c r="F21" s="859">
        <f>F16*(1+F17+F18)</f>
        <v>0</v>
      </c>
      <c r="G21" s="853"/>
      <c r="H21" s="853"/>
      <c r="J21" s="1044"/>
      <c r="K21" s="1044"/>
      <c r="AE21" s="573" t="s">
        <v>807</v>
      </c>
      <c r="AF21" s="573" t="s">
        <v>801</v>
      </c>
      <c r="AG21" s="573" t="s">
        <v>802</v>
      </c>
    </row>
    <row r="22" spans="1:37" ht="15.75">
      <c r="B22" s="1295" t="s">
        <v>890</v>
      </c>
      <c r="C22" s="1601">
        <v>0</v>
      </c>
      <c r="D22" s="852"/>
      <c r="E22" s="764" t="s">
        <v>1416</v>
      </c>
      <c r="F22" s="859">
        <f>(IF(AE25=F15,(F16*(1+F17+F18)),0))-F20</f>
        <v>0</v>
      </c>
      <c r="G22" s="853"/>
      <c r="H22" s="853"/>
      <c r="J22" s="1044"/>
      <c r="K22" s="1044"/>
    </row>
    <row r="23" spans="1:37" ht="24.95" customHeight="1">
      <c r="B23" s="764" t="s">
        <v>1371</v>
      </c>
      <c r="C23" s="859">
        <f>C16*(1+C18+C19)</f>
        <v>0</v>
      </c>
      <c r="D23" s="852"/>
      <c r="E23" s="573"/>
      <c r="F23" s="573"/>
      <c r="G23" s="853"/>
      <c r="H23" s="853"/>
      <c r="J23" s="1044"/>
      <c r="K23" s="1044"/>
      <c r="AF23" s="146" t="s">
        <v>1407</v>
      </c>
      <c r="AG23" s="146" t="s">
        <v>650</v>
      </c>
    </row>
    <row r="24" spans="1:37" ht="24.95" customHeight="1">
      <c r="B24" s="764" t="s">
        <v>1415</v>
      </c>
      <c r="C24" s="859">
        <f>IF(C22=0,C16*(1+C18+C19),((C16*(1+C18+C19)))-C22)</f>
        <v>0</v>
      </c>
      <c r="D24" s="852"/>
      <c r="E24" s="573"/>
      <c r="F24" s="573"/>
      <c r="G24" s="853"/>
      <c r="H24" s="853"/>
      <c r="J24" s="1044"/>
      <c r="K24" s="1044"/>
      <c r="AF24" s="146"/>
      <c r="AG24" s="146"/>
    </row>
    <row r="25" spans="1:37" ht="24.95" customHeight="1">
      <c r="B25" s="764" t="s">
        <v>734</v>
      </c>
      <c r="C25" s="854">
        <f>IF(C20=0,0,ROUNDUP(1620/C20,0))</f>
        <v>0</v>
      </c>
      <c r="D25" s="852"/>
      <c r="E25" s="573"/>
      <c r="F25" s="573"/>
      <c r="G25" s="853"/>
      <c r="H25" s="853"/>
      <c r="J25" s="1044"/>
      <c r="K25" s="1044"/>
      <c r="AE25" s="573" t="s">
        <v>76</v>
      </c>
      <c r="AF25" s="573" t="s">
        <v>77</v>
      </c>
    </row>
    <row r="26" spans="1:37" ht="24.95" customHeight="1">
      <c r="B26" s="764" t="s">
        <v>1073</v>
      </c>
      <c r="C26" s="781">
        <f>IF(C25=0,0,ROUNDUP(C24/C25,0))</f>
        <v>0</v>
      </c>
      <c r="D26" s="852"/>
      <c r="E26" s="855"/>
      <c r="F26" s="856"/>
      <c r="G26" s="853"/>
      <c r="H26" s="853"/>
      <c r="J26" s="1044"/>
      <c r="K26" s="1044"/>
    </row>
    <row r="27" spans="1:37" ht="24.95" customHeight="1">
      <c r="B27" s="573"/>
      <c r="C27" s="573"/>
      <c r="D27" s="852"/>
      <c r="E27" s="855"/>
      <c r="F27" s="856"/>
      <c r="G27" s="853"/>
      <c r="H27" s="853"/>
      <c r="J27" s="1044"/>
      <c r="K27" s="1044"/>
    </row>
    <row r="28" spans="1:37" ht="24.95" customHeight="1">
      <c r="A28" s="858"/>
      <c r="B28" s="476"/>
      <c r="C28" s="851"/>
      <c r="D28" s="852"/>
      <c r="E28" s="855"/>
      <c r="F28" s="856"/>
      <c r="G28" s="853"/>
      <c r="H28" s="853"/>
      <c r="J28" s="1044"/>
      <c r="K28" s="1044"/>
    </row>
    <row r="29" spans="1:37" ht="24.95" customHeight="1">
      <c r="A29" s="858"/>
      <c r="B29" s="476"/>
      <c r="C29" s="851"/>
      <c r="D29" s="852"/>
      <c r="E29" s="855"/>
      <c r="F29" s="856"/>
      <c r="G29" s="853"/>
      <c r="H29" s="853"/>
      <c r="J29" s="1044"/>
      <c r="K29" s="1044"/>
    </row>
    <row r="30" spans="1:37" ht="15">
      <c r="B30" s="775" t="s">
        <v>800</v>
      </c>
      <c r="C30" s="1598" t="s">
        <v>799</v>
      </c>
      <c r="D30" s="937" t="s">
        <v>0</v>
      </c>
      <c r="E30" s="857"/>
      <c r="F30" s="856"/>
      <c r="G30" s="777"/>
      <c r="H30" s="777"/>
      <c r="J30" s="1044"/>
      <c r="K30" s="1044"/>
    </row>
    <row r="31" spans="1:37">
      <c r="B31" s="476"/>
      <c r="C31" s="851"/>
      <c r="D31" s="476"/>
      <c r="E31" s="779"/>
      <c r="F31" s="778"/>
      <c r="G31" s="778"/>
      <c r="H31" s="779"/>
      <c r="J31" s="1044"/>
      <c r="K31" s="1044"/>
    </row>
    <row r="32" spans="1:37" ht="20.100000000000001" customHeight="1">
      <c r="C32" s="579"/>
      <c r="D32" s="476"/>
      <c r="E32" s="774"/>
      <c r="H32" s="776"/>
      <c r="J32" s="1044"/>
      <c r="K32" s="1044"/>
    </row>
    <row r="33" spans="2:11" ht="15.95" customHeight="1">
      <c r="B33" s="1828" t="s">
        <v>546</v>
      </c>
      <c r="C33" s="1828"/>
      <c r="D33" s="1828"/>
      <c r="E33" s="1828"/>
      <c r="F33" s="1828"/>
      <c r="G33" s="1828"/>
      <c r="H33" s="1828"/>
      <c r="J33" s="1044"/>
      <c r="K33" s="1044"/>
    </row>
    <row r="34" spans="2:11" ht="15" customHeight="1">
      <c r="B34" s="1828"/>
      <c r="C34" s="1828"/>
      <c r="D34" s="1828"/>
      <c r="E34" s="1828"/>
      <c r="F34" s="1828"/>
      <c r="G34" s="1828"/>
      <c r="H34" s="1828"/>
      <c r="J34" s="1044"/>
      <c r="K34" s="1044"/>
    </row>
    <row r="35" spans="2:11" ht="27.75" customHeight="1">
      <c r="B35" s="784"/>
      <c r="C35" s="785" t="s">
        <v>614</v>
      </c>
      <c r="D35" s="786" t="s">
        <v>923</v>
      </c>
      <c r="E35" s="787" t="s">
        <v>946</v>
      </c>
      <c r="F35" s="788" t="s">
        <v>945</v>
      </c>
      <c r="G35" s="789" t="s">
        <v>433</v>
      </c>
      <c r="H35" s="790" t="s">
        <v>79</v>
      </c>
      <c r="J35" s="1044"/>
      <c r="K35" s="1044"/>
    </row>
    <row r="36" spans="2:11">
      <c r="B36" s="1842" t="s">
        <v>1092</v>
      </c>
      <c r="C36" s="782">
        <v>106259</v>
      </c>
      <c r="D36" s="576" t="s">
        <v>1075</v>
      </c>
      <c r="E36" s="577">
        <v>1</v>
      </c>
      <c r="F36" s="599">
        <f>IF($C$15=$AF$21,ROUNDUP(0.0375*C26/E36,0),0)</f>
        <v>0</v>
      </c>
      <c r="G36" s="624">
        <v>69.55</v>
      </c>
      <c r="H36" s="625" t="s">
        <v>1077</v>
      </c>
      <c r="J36" s="1044"/>
      <c r="K36" s="1044"/>
    </row>
    <row r="37" spans="2:11">
      <c r="B37" s="1842"/>
      <c r="C37" s="782">
        <v>106268</v>
      </c>
      <c r="D37" s="576" t="s">
        <v>1076</v>
      </c>
      <c r="E37" s="577">
        <v>1</v>
      </c>
      <c r="F37" s="599">
        <f>IF($C$15=$AF$21,ROUNDUP(0.0375*C26/E37,0),0)</f>
        <v>0</v>
      </c>
      <c r="G37" s="624">
        <v>10.55</v>
      </c>
      <c r="H37" s="625" t="s">
        <v>1078</v>
      </c>
      <c r="J37" s="1044"/>
      <c r="K37" s="1044"/>
    </row>
    <row r="38" spans="2:11">
      <c r="B38" s="938"/>
      <c r="C38" s="908"/>
      <c r="D38" s="909"/>
      <c r="E38" s="910"/>
      <c r="F38" s="911"/>
      <c r="G38" s="912"/>
      <c r="H38" s="913"/>
      <c r="J38" s="1044"/>
      <c r="K38" s="1044"/>
    </row>
    <row r="39" spans="2:11" ht="14.1" customHeight="1">
      <c r="B39" s="1842" t="s">
        <v>1374</v>
      </c>
      <c r="C39" s="783">
        <v>106263</v>
      </c>
      <c r="D39" s="627" t="s">
        <v>1079</v>
      </c>
      <c r="E39" s="599">
        <v>1</v>
      </c>
      <c r="F39" s="599">
        <f>IF($C$15=$AG$21,ROUNDUP(0.0024*C26/E39,0),0)</f>
        <v>0</v>
      </c>
      <c r="G39" s="600">
        <v>36.700000000000003</v>
      </c>
      <c r="H39" s="625" t="s">
        <v>1080</v>
      </c>
      <c r="J39" s="1044"/>
      <c r="K39" s="1044"/>
    </row>
    <row r="40" spans="2:11" ht="24" customHeight="1">
      <c r="B40" s="1842"/>
      <c r="C40" s="783">
        <v>106264</v>
      </c>
      <c r="D40" s="627" t="s">
        <v>1408</v>
      </c>
      <c r="E40" s="599">
        <v>0.5</v>
      </c>
      <c r="F40" s="599">
        <f>IF($C$15=$AG$21,ROUNDUP(0.00024*C26/E40,0),0)</f>
        <v>0</v>
      </c>
      <c r="G40" s="600">
        <v>8.25</v>
      </c>
      <c r="H40" s="625" t="s">
        <v>1081</v>
      </c>
      <c r="J40" s="1044"/>
      <c r="K40" s="1044"/>
    </row>
    <row r="41" spans="2:11" ht="27" customHeight="1">
      <c r="B41" s="1842"/>
      <c r="C41" s="783">
        <v>106265</v>
      </c>
      <c r="D41" s="627" t="s">
        <v>1409</v>
      </c>
      <c r="E41" s="599">
        <v>0.1</v>
      </c>
      <c r="F41" s="599">
        <f>IF($C$15=$AG$21,ROUNDUP(0.0036*C26/E41,0),0)</f>
        <v>0</v>
      </c>
      <c r="G41" s="600">
        <v>21.6</v>
      </c>
      <c r="H41" s="625" t="s">
        <v>1082</v>
      </c>
      <c r="J41" s="1044"/>
      <c r="K41" s="1044"/>
    </row>
    <row r="42" spans="2:11">
      <c r="B42" s="1842"/>
      <c r="C42" s="783">
        <v>106266</v>
      </c>
      <c r="D42" s="1605" t="s">
        <v>1410</v>
      </c>
      <c r="E42" s="599">
        <v>0.1</v>
      </c>
      <c r="F42" s="599">
        <f>IF($C$15=$AG$21,ROUNDUP(0.0006*C26/E42,0),0)</f>
        <v>0</v>
      </c>
      <c r="G42" s="600">
        <v>52.5</v>
      </c>
      <c r="H42" s="625" t="s">
        <v>1083</v>
      </c>
      <c r="J42" s="1044"/>
      <c r="K42" s="1044"/>
    </row>
    <row r="43" spans="2:11">
      <c r="B43" s="1842"/>
      <c r="C43" s="783">
        <v>106267</v>
      </c>
      <c r="D43" s="627" t="s">
        <v>264</v>
      </c>
      <c r="E43" s="599">
        <v>0.1</v>
      </c>
      <c r="F43" s="599">
        <f>IF($C$15=$AG$21,ROUNDUP(0.0004*C26/E43,0),0)</f>
        <v>0</v>
      </c>
      <c r="G43" s="600">
        <v>112.95</v>
      </c>
      <c r="H43" s="625" t="s">
        <v>1084</v>
      </c>
      <c r="J43" s="1044"/>
      <c r="K43" s="1044"/>
    </row>
    <row r="44" spans="2:11">
      <c r="B44" s="1842"/>
      <c r="C44" s="783">
        <v>106268</v>
      </c>
      <c r="D44" s="627" t="s">
        <v>1076</v>
      </c>
      <c r="E44" s="599">
        <v>1</v>
      </c>
      <c r="F44" s="599">
        <f>IF($C$15=$AG$21,ROUNDUP(0.012*C26/E44,0),0)</f>
        <v>0</v>
      </c>
      <c r="G44" s="600">
        <v>10.55</v>
      </c>
      <c r="H44" s="625" t="s">
        <v>1078</v>
      </c>
      <c r="J44" s="1044"/>
      <c r="K44" s="1044"/>
    </row>
    <row r="45" spans="2:11" ht="20.100000000000001" customHeight="1">
      <c r="D45" s="952" t="s">
        <v>654</v>
      </c>
      <c r="E45" s="953"/>
      <c r="F45" s="953"/>
      <c r="G45" s="954" cm="1">
        <f t="array" ref="G45">SUMPRODUCT(F36:F44*G36:G44)</f>
        <v>0</v>
      </c>
      <c r="J45" s="1044"/>
      <c r="K45" s="1044"/>
    </row>
    <row r="46" spans="2:11" ht="20.100000000000001" customHeight="1">
      <c r="D46" s="791"/>
      <c r="E46" s="792"/>
      <c r="F46" s="792"/>
      <c r="G46" s="793"/>
      <c r="J46" s="1044"/>
      <c r="K46" s="1044"/>
    </row>
    <row r="47" spans="2:11" ht="20.100000000000001" customHeight="1">
      <c r="B47" s="1828" t="s">
        <v>536</v>
      </c>
      <c r="C47" s="1828"/>
      <c r="D47" s="1828"/>
      <c r="E47" s="1828"/>
      <c r="F47" s="1828"/>
      <c r="G47" s="1828"/>
      <c r="H47" s="1828"/>
      <c r="J47" s="1044"/>
      <c r="K47" s="1044"/>
    </row>
    <row r="48" spans="2:11" ht="20.100000000000001" customHeight="1">
      <c r="B48" s="1828"/>
      <c r="C48" s="1828"/>
      <c r="D48" s="1828"/>
      <c r="E48" s="1828"/>
      <c r="F48" s="1828"/>
      <c r="G48" s="1828"/>
      <c r="H48" s="1828"/>
      <c r="J48" s="1044"/>
      <c r="K48" s="1044"/>
    </row>
    <row r="49" spans="2:11" ht="20.100000000000001" customHeight="1">
      <c r="B49" s="1830" t="s">
        <v>1093</v>
      </c>
      <c r="C49" s="627">
        <v>106026</v>
      </c>
      <c r="D49" s="627" t="s">
        <v>1085</v>
      </c>
      <c r="E49" s="627">
        <v>100</v>
      </c>
      <c r="F49" s="627">
        <f>IF(AE25=F15,ROUNDUP(F16*(1+F17+F18)/E49,0),0)</f>
        <v>0</v>
      </c>
      <c r="G49" s="1251">
        <v>195</v>
      </c>
      <c r="H49" s="862" t="s">
        <v>97</v>
      </c>
      <c r="J49" s="1044"/>
      <c r="K49" s="1044"/>
    </row>
    <row r="50" spans="2:11" ht="27" customHeight="1">
      <c r="B50" s="1830"/>
      <c r="C50" s="627">
        <v>106027</v>
      </c>
      <c r="D50" s="627" t="s">
        <v>115</v>
      </c>
      <c r="E50" s="627">
        <v>100</v>
      </c>
      <c r="F50" s="627">
        <f>IF(AE25=F15,ROUNDUP(F16*(1+F17+F18)/E50,0),0)</f>
        <v>0</v>
      </c>
      <c r="G50" s="1251">
        <v>70.8</v>
      </c>
      <c r="H50" s="862" t="s">
        <v>98</v>
      </c>
      <c r="J50" s="1044"/>
      <c r="K50" s="1044"/>
    </row>
    <row r="51" spans="2:11" ht="20.100000000000001" customHeight="1">
      <c r="B51" s="1830"/>
      <c r="C51" s="627">
        <v>106098</v>
      </c>
      <c r="D51" s="627" t="s">
        <v>1086</v>
      </c>
      <c r="E51" s="627">
        <v>100</v>
      </c>
      <c r="F51" s="627">
        <f>IF(AE25=F15,ROUNDUP(F16*(1+F17+F18)*0.1/E51,0),0)</f>
        <v>0</v>
      </c>
      <c r="G51" s="1251">
        <v>43.6</v>
      </c>
      <c r="H51" s="862" t="s">
        <v>99</v>
      </c>
      <c r="J51" s="1044"/>
      <c r="K51" s="1044"/>
    </row>
    <row r="52" spans="2:11">
      <c r="B52" s="1830"/>
      <c r="C52" s="627">
        <v>106340</v>
      </c>
      <c r="D52" s="627" t="s">
        <v>978</v>
      </c>
      <c r="E52" s="627">
        <v>500</v>
      </c>
      <c r="F52" s="627">
        <f>IF(AE25=F15,ROUNDUP(F16*(1+F17+F18)/E52,0),0)</f>
        <v>0</v>
      </c>
      <c r="G52" s="1251">
        <v>45</v>
      </c>
      <c r="H52" s="862" t="s">
        <v>1096</v>
      </c>
      <c r="J52" s="1044"/>
      <c r="K52" s="1044"/>
    </row>
    <row r="53" spans="2:11" ht="25.5">
      <c r="B53" s="1830"/>
      <c r="C53" s="627">
        <v>106394</v>
      </c>
      <c r="D53" s="627" t="s">
        <v>1087</v>
      </c>
      <c r="E53" s="627">
        <v>500</v>
      </c>
      <c r="F53" s="627">
        <f>IF(AE25=F15,ROUNDUP(F22*(1+F19+0.1)/E53,0),0)</f>
        <v>0</v>
      </c>
      <c r="G53" s="1251">
        <v>36.85</v>
      </c>
      <c r="H53" s="862" t="s">
        <v>1097</v>
      </c>
      <c r="J53" s="1044"/>
      <c r="K53" s="1044"/>
    </row>
    <row r="54" spans="2:11" ht="20.100000000000001" customHeight="1">
      <c r="B54" s="1830"/>
      <c r="C54" s="627">
        <v>106714</v>
      </c>
      <c r="D54" s="627" t="s">
        <v>1088</v>
      </c>
      <c r="E54" s="627">
        <v>500</v>
      </c>
      <c r="F54" s="627">
        <f>IF(AE25=F15,ROUNDUP(F16*F19*0.3/E54,0),0)</f>
        <v>0</v>
      </c>
      <c r="G54" s="1251">
        <v>16.8</v>
      </c>
      <c r="H54" s="862" t="s">
        <v>24</v>
      </c>
      <c r="J54" s="1044"/>
      <c r="K54" s="1044"/>
    </row>
    <row r="55" spans="2:11" ht="20.100000000000001" customHeight="1">
      <c r="B55" s="1830"/>
      <c r="C55" s="627">
        <v>106344</v>
      </c>
      <c r="D55" s="627" t="s">
        <v>1089</v>
      </c>
      <c r="E55" s="627">
        <v>1000</v>
      </c>
      <c r="F55" s="627">
        <f>IF(AE25=F15,ROUNDUP(F16*F19*0.3/E55,0),0)</f>
        <v>0</v>
      </c>
      <c r="G55" s="1251">
        <v>295.89999999999998</v>
      </c>
      <c r="H55" s="864" t="s">
        <v>100</v>
      </c>
      <c r="J55" s="1044"/>
      <c r="K55" s="1044"/>
    </row>
    <row r="56" spans="2:11">
      <c r="B56" s="1830"/>
      <c r="C56" s="627">
        <v>106052</v>
      </c>
      <c r="D56" s="627" t="s">
        <v>1090</v>
      </c>
      <c r="E56" s="627">
        <v>1</v>
      </c>
      <c r="F56" s="627">
        <f>IF(AE25=F15,ROUNDUP(F16*F19*0.3/81/E56,0),0)</f>
        <v>0</v>
      </c>
      <c r="G56" s="1251">
        <v>2.15</v>
      </c>
      <c r="H56" s="862" t="s">
        <v>1098</v>
      </c>
      <c r="J56" s="1044"/>
      <c r="K56" s="1044"/>
    </row>
    <row r="57" spans="2:11">
      <c r="B57" s="1830"/>
      <c r="C57" s="627">
        <v>106823</v>
      </c>
      <c r="D57" s="627" t="s">
        <v>1091</v>
      </c>
      <c r="E57" s="627">
        <v>480</v>
      </c>
      <c r="F57" s="627"/>
      <c r="G57" s="1251">
        <v>1.95</v>
      </c>
      <c r="H57" s="862" t="s">
        <v>1099</v>
      </c>
      <c r="J57" s="1044"/>
      <c r="K57" s="1044"/>
    </row>
    <row r="58" spans="2:11" ht="38.25">
      <c r="B58" s="1830"/>
      <c r="C58" s="627" t="s">
        <v>884</v>
      </c>
      <c r="D58" s="1684" t="s">
        <v>650</v>
      </c>
      <c r="E58" s="1602" t="s">
        <v>1425</v>
      </c>
      <c r="F58" s="860"/>
      <c r="G58" s="1251">
        <v>88.5</v>
      </c>
      <c r="H58" s="863" t="s">
        <v>1100</v>
      </c>
      <c r="J58" s="1044"/>
      <c r="K58" s="1044"/>
    </row>
    <row r="59" spans="2:11" ht="20.100000000000001" customHeight="1">
      <c r="B59" s="1830"/>
      <c r="C59" s="627">
        <v>106407</v>
      </c>
      <c r="D59" s="627" t="s">
        <v>1094</v>
      </c>
      <c r="E59" s="627">
        <v>0.5</v>
      </c>
      <c r="F59" s="627">
        <f>IF(AE25=F15,ROUNDUP(Months/12*1,0),0)</f>
        <v>0</v>
      </c>
      <c r="G59" s="1251">
        <v>84.65</v>
      </c>
      <c r="H59" s="863" t="s">
        <v>65</v>
      </c>
      <c r="J59" s="1044"/>
      <c r="K59" s="1044"/>
    </row>
    <row r="60" spans="2:11" ht="20.100000000000001" customHeight="1">
      <c r="B60" s="1830"/>
      <c r="C60" s="627">
        <v>106362</v>
      </c>
      <c r="D60" s="627" t="s">
        <v>1095</v>
      </c>
      <c r="E60" s="627">
        <v>1</v>
      </c>
      <c r="F60" s="627">
        <f>IF(AE25=F15,ROUNDUP(Months/12*2,0),0)</f>
        <v>0</v>
      </c>
      <c r="G60" s="1251">
        <v>70.400000000000006</v>
      </c>
      <c r="H60" s="863" t="s">
        <v>4</v>
      </c>
      <c r="J60" s="1044"/>
      <c r="K60" s="1044"/>
    </row>
    <row r="61" spans="2:11" ht="20.100000000000001" customHeight="1">
      <c r="B61" s="575"/>
      <c r="C61" s="865"/>
      <c r="D61" s="1843" t="s">
        <v>814</v>
      </c>
      <c r="E61" s="1844"/>
      <c r="F61" s="1845"/>
      <c r="G61" s="951" cm="1">
        <f t="array" ref="G61">SUMPRODUCT(F49:F60*G49:G60)</f>
        <v>0</v>
      </c>
      <c r="H61" s="866"/>
      <c r="J61" s="1044"/>
      <c r="K61" s="1044"/>
    </row>
    <row r="62" spans="2:11" ht="20.100000000000001" customHeight="1">
      <c r="B62" s="476"/>
      <c r="C62" s="573"/>
      <c r="D62" s="614"/>
      <c r="E62" s="560"/>
      <c r="F62" s="537"/>
      <c r="G62" s="861"/>
      <c r="H62" s="774"/>
      <c r="J62" s="1044"/>
      <c r="K62" s="1044"/>
    </row>
    <row r="63" spans="2:11" ht="20.100000000000001" customHeight="1">
      <c r="B63" s="1829" t="s">
        <v>545</v>
      </c>
      <c r="C63" s="1829"/>
      <c r="D63" s="1829"/>
      <c r="E63" s="1829"/>
      <c r="F63" s="1829"/>
      <c r="G63" s="1829"/>
      <c r="H63" s="1829"/>
      <c r="J63" s="1044"/>
      <c r="K63" s="1044"/>
    </row>
    <row r="64" spans="2:11">
      <c r="B64" s="477"/>
      <c r="C64" s="786" t="s">
        <v>614</v>
      </c>
      <c r="D64" s="786" t="s">
        <v>923</v>
      </c>
      <c r="E64" s="787" t="s">
        <v>946</v>
      </c>
      <c r="F64" s="788" t="s">
        <v>945</v>
      </c>
      <c r="G64" s="789" t="s">
        <v>433</v>
      </c>
      <c r="H64" s="790" t="s">
        <v>79</v>
      </c>
      <c r="J64" s="1044"/>
      <c r="K64" s="1044"/>
    </row>
    <row r="65" spans="2:30" ht="30.95" customHeight="1">
      <c r="B65" s="1841" t="s">
        <v>1101</v>
      </c>
      <c r="C65" s="626">
        <v>106278</v>
      </c>
      <c r="D65" s="576" t="s">
        <v>1102</v>
      </c>
      <c r="E65" s="577">
        <v>1</v>
      </c>
      <c r="F65" s="599">
        <f>ROUNDUP((IF(C23=0,F22,C23)*0.04*1.5*0.00474),0)</f>
        <v>0</v>
      </c>
      <c r="G65" s="578">
        <v>27</v>
      </c>
      <c r="H65" s="625" t="s">
        <v>1107</v>
      </c>
      <c r="J65" s="1044"/>
      <c r="K65" s="1044"/>
    </row>
    <row r="66" spans="2:30" ht="26.1" customHeight="1">
      <c r="B66" s="1841"/>
      <c r="C66" s="626">
        <v>106263</v>
      </c>
      <c r="D66" s="576" t="s">
        <v>1104</v>
      </c>
      <c r="E66" s="577">
        <v>1</v>
      </c>
      <c r="F66" s="599">
        <f>ROUNDUP((IF(C23=0,F22,C23)*0.04*1.5*0.00454),0)</f>
        <v>0</v>
      </c>
      <c r="G66" s="578">
        <v>36.700000000000003</v>
      </c>
      <c r="H66" s="625" t="s">
        <v>1108</v>
      </c>
      <c r="J66" s="1044"/>
      <c r="K66" s="1044"/>
    </row>
    <row r="67" spans="2:30" ht="20.100000000000001" customHeight="1">
      <c r="B67" s="939"/>
      <c r="C67" s="940"/>
      <c r="D67" s="940"/>
      <c r="E67" s="941"/>
      <c r="F67" s="941"/>
      <c r="G67" s="942"/>
      <c r="H67" s="943"/>
      <c r="J67" s="1044"/>
      <c r="K67" s="1044"/>
    </row>
    <row r="68" spans="2:30" ht="15.95" customHeight="1">
      <c r="B68" s="1336" t="s">
        <v>273</v>
      </c>
      <c r="C68" s="628">
        <v>106281</v>
      </c>
      <c r="D68" s="576" t="s">
        <v>1103</v>
      </c>
      <c r="E68" s="577">
        <v>1</v>
      </c>
      <c r="F68" s="577">
        <f>IF($C$30=$AF$17,ROUNDUP(IF(C23=0,F22,C23)*(C20/1000)*0.04/E68,0),0)</f>
        <v>0</v>
      </c>
      <c r="G68" s="578">
        <v>13.55</v>
      </c>
      <c r="H68" s="625" t="s">
        <v>1109</v>
      </c>
      <c r="J68" s="1044"/>
      <c r="K68" s="1044"/>
    </row>
    <row r="69" spans="2:30" ht="15.95" customHeight="1">
      <c r="B69" s="944"/>
      <c r="C69" s="940"/>
      <c r="D69" s="945"/>
      <c r="E69" s="941"/>
      <c r="F69" s="941"/>
      <c r="G69" s="942"/>
      <c r="H69" s="943"/>
      <c r="J69" s="1044"/>
      <c r="K69" s="1044"/>
    </row>
    <row r="70" spans="2:30" ht="15.95" customHeight="1">
      <c r="B70" s="1838" t="s">
        <v>733</v>
      </c>
      <c r="C70" s="628">
        <v>106283</v>
      </c>
      <c r="D70" s="576" t="s">
        <v>1105</v>
      </c>
      <c r="E70" s="577">
        <v>0.1</v>
      </c>
      <c r="F70" s="577">
        <f>IF($C$30=$AG$17,ROUNDUP(IF(C23=0,F22,C23)*(C20/1000)*0.005/E70,0),0)</f>
        <v>0</v>
      </c>
      <c r="G70" s="578">
        <v>180.5</v>
      </c>
      <c r="H70" s="625" t="s">
        <v>1110</v>
      </c>
      <c r="J70" s="1044"/>
      <c r="K70" s="1044"/>
    </row>
    <row r="71" spans="2:30" ht="15.95" customHeight="1">
      <c r="B71" s="1839"/>
      <c r="C71" s="628">
        <v>106284</v>
      </c>
      <c r="D71" s="576" t="s">
        <v>1411</v>
      </c>
      <c r="E71" s="577">
        <v>1</v>
      </c>
      <c r="F71" s="577">
        <f>IF($C$30=$AG$17,ROUNDUP(IF(C23=0,F22,C23)*(C20/1000)*0.029/2/E71,0),0)</f>
        <v>0</v>
      </c>
      <c r="G71" s="578">
        <v>55.35</v>
      </c>
      <c r="H71" s="625" t="s">
        <v>1111</v>
      </c>
      <c r="J71" s="1044"/>
      <c r="K71" s="1044"/>
    </row>
    <row r="72" spans="2:30" ht="15.95" customHeight="1" thickBot="1">
      <c r="B72" s="1840"/>
      <c r="C72" s="629">
        <v>106281</v>
      </c>
      <c r="D72" s="630" t="s">
        <v>1103</v>
      </c>
      <c r="E72" s="631">
        <v>1</v>
      </c>
      <c r="F72" s="631">
        <f>IF($C$30=$AG$17,ROUNDUP(IF(C23=0,F22,C23)*(C20/1000)*0.02/E72,0),0)</f>
        <v>0</v>
      </c>
      <c r="G72" s="632">
        <v>13.55</v>
      </c>
      <c r="H72" s="633" t="s">
        <v>1112</v>
      </c>
      <c r="J72" s="1044"/>
      <c r="K72" s="1044"/>
    </row>
    <row r="73" spans="2:30" ht="20.100000000000001" customHeight="1">
      <c r="F73" s="579"/>
      <c r="G73" s="634"/>
      <c r="J73" s="1044"/>
      <c r="K73" s="1044"/>
    </row>
    <row r="74" spans="2:30" s="572" customFormat="1" ht="15.95" customHeight="1">
      <c r="B74" s="946" t="s">
        <v>426</v>
      </c>
      <c r="C74" s="577">
        <v>106340</v>
      </c>
      <c r="D74" s="627" t="s">
        <v>978</v>
      </c>
      <c r="E74" s="577">
        <v>500</v>
      </c>
      <c r="F74" s="577">
        <f>ROUNDUP(IF(C23=0,F22,C23)*1.1/E74,0)</f>
        <v>0</v>
      </c>
      <c r="G74" s="578">
        <v>45</v>
      </c>
      <c r="H74" s="599" t="s">
        <v>94</v>
      </c>
      <c r="J74" s="1046"/>
      <c r="K74" s="1046"/>
      <c r="L74" s="1662"/>
      <c r="M74" s="1662"/>
      <c r="N74" s="1662"/>
      <c r="O74" s="1662"/>
      <c r="P74" s="1662"/>
      <c r="Q74" s="1662"/>
      <c r="R74" s="1662"/>
      <c r="S74" s="1662"/>
      <c r="T74" s="1662"/>
      <c r="U74" s="1662"/>
      <c r="V74" s="1662"/>
      <c r="W74" s="1662"/>
      <c r="X74" s="1662"/>
      <c r="Y74" s="1662"/>
      <c r="Z74" s="1662"/>
      <c r="AA74" s="1662"/>
      <c r="AB74" s="1662"/>
      <c r="AC74" s="1662"/>
      <c r="AD74" s="1662"/>
    </row>
    <row r="75" spans="2:30" s="572" customFormat="1" ht="15.95" customHeight="1">
      <c r="B75" s="946" t="s">
        <v>426</v>
      </c>
      <c r="C75" s="577">
        <v>106434</v>
      </c>
      <c r="D75" s="576" t="s">
        <v>1106</v>
      </c>
      <c r="E75" s="577">
        <v>500</v>
      </c>
      <c r="F75" s="577">
        <f>ROUNDUP(Months/12,0)</f>
        <v>0</v>
      </c>
      <c r="G75" s="635">
        <v>9.9</v>
      </c>
      <c r="H75" s="599" t="s">
        <v>65</v>
      </c>
      <c r="J75" s="1046"/>
      <c r="K75" s="1046"/>
      <c r="L75" s="1662"/>
      <c r="M75" s="1662"/>
      <c r="N75" s="1662"/>
      <c r="O75" s="1662"/>
      <c r="P75" s="1662"/>
      <c r="Q75" s="1662"/>
      <c r="R75" s="1662"/>
      <c r="S75" s="1662"/>
      <c r="T75" s="1662"/>
      <c r="U75" s="1662"/>
      <c r="V75" s="1662"/>
      <c r="W75" s="1662"/>
      <c r="X75" s="1662"/>
      <c r="Y75" s="1662"/>
      <c r="Z75" s="1662"/>
      <c r="AA75" s="1662"/>
      <c r="AB75" s="1662"/>
      <c r="AC75" s="1662"/>
      <c r="AD75" s="1662"/>
    </row>
    <row r="76" spans="2:30" ht="20.100000000000001" customHeight="1">
      <c r="D76" s="947" t="s">
        <v>732</v>
      </c>
      <c r="E76" s="948"/>
      <c r="F76" s="949"/>
      <c r="G76" s="950" cm="1">
        <f t="array" ref="G76">SUMPRODUCT(F65:F75*G65:G75)</f>
        <v>0</v>
      </c>
      <c r="J76" s="1044"/>
      <c r="K76" s="1044"/>
    </row>
    <row r="77" spans="2:30">
      <c r="J77" s="1044"/>
      <c r="K77" s="1044"/>
    </row>
    <row r="78" spans="2:30">
      <c r="J78" s="1044"/>
      <c r="K78" s="1044"/>
    </row>
    <row r="79" spans="2:30" ht="13.5" thickBot="1">
      <c r="G79" s="778"/>
      <c r="J79" s="1044"/>
      <c r="K79" s="1044"/>
    </row>
    <row r="80" spans="2:30">
      <c r="D80" s="1836" t="s">
        <v>506</v>
      </c>
      <c r="E80" s="1837"/>
      <c r="F80" s="920" t="s">
        <v>931</v>
      </c>
      <c r="G80" s="855"/>
      <c r="J80" s="1044"/>
      <c r="K80" s="1044"/>
    </row>
    <row r="81" spans="1:11">
      <c r="D81" s="636" t="s">
        <v>654</v>
      </c>
      <c r="E81" s="921"/>
      <c r="F81" s="922">
        <f>G45</f>
        <v>0</v>
      </c>
      <c r="G81" s="778"/>
      <c r="J81" s="1044"/>
      <c r="K81" s="1044"/>
    </row>
    <row r="82" spans="1:11">
      <c r="D82" s="660" t="s">
        <v>808</v>
      </c>
      <c r="E82" s="659"/>
      <c r="F82" s="923">
        <f>G61</f>
        <v>0</v>
      </c>
      <c r="G82" s="778"/>
      <c r="J82" s="1044"/>
      <c r="K82" s="1044"/>
    </row>
    <row r="83" spans="1:11">
      <c r="D83" s="637" t="s">
        <v>1113</v>
      </c>
      <c r="E83" s="638"/>
      <c r="F83" s="924">
        <f>G76</f>
        <v>0</v>
      </c>
      <c r="G83" s="778"/>
      <c r="J83" s="1044"/>
      <c r="K83" s="1044"/>
    </row>
    <row r="84" spans="1:11">
      <c r="D84" s="639" t="s">
        <v>1114</v>
      </c>
      <c r="E84" s="537"/>
      <c r="F84" s="1603" t="str">
        <f>IF(C24=0,"-",F81/C24)</f>
        <v>-</v>
      </c>
      <c r="G84" s="778"/>
      <c r="J84" s="1044"/>
      <c r="K84" s="1044"/>
    </row>
    <row r="85" spans="1:11">
      <c r="D85" s="639" t="s">
        <v>1115</v>
      </c>
      <c r="E85" s="537"/>
      <c r="F85" s="1603" t="str">
        <f>IF(F22=0,"-",F82/F22)</f>
        <v>-</v>
      </c>
      <c r="G85" s="778"/>
      <c r="J85" s="1044"/>
      <c r="K85" s="1044"/>
    </row>
    <row r="86" spans="1:11" ht="13.5" thickBot="1">
      <c r="D86" s="640" t="s">
        <v>1116</v>
      </c>
      <c r="E86" s="641"/>
      <c r="F86" s="1604" t="str">
        <f>IF(C24=0,"-",F83/C24)</f>
        <v>-</v>
      </c>
      <c r="G86" s="778"/>
      <c r="J86" s="1044"/>
      <c r="K86" s="1044"/>
    </row>
    <row r="87" spans="1:11">
      <c r="G87" s="778"/>
      <c r="J87" s="1044"/>
      <c r="K87" s="1044"/>
    </row>
    <row r="88" spans="1:11">
      <c r="A88" s="1044"/>
      <c r="B88" s="1046"/>
      <c r="C88" s="1046"/>
      <c r="D88" s="1046"/>
      <c r="E88" s="1047"/>
      <c r="F88" s="1046"/>
      <c r="G88" s="1046"/>
      <c r="H88" s="1045"/>
      <c r="I88" s="1044"/>
      <c r="J88" s="1044"/>
      <c r="K88" s="1044"/>
    </row>
    <row r="89" spans="1:11">
      <c r="A89" s="1044"/>
      <c r="B89" s="1046"/>
      <c r="C89" s="1046"/>
      <c r="D89" s="1046"/>
      <c r="E89" s="1047"/>
      <c r="F89" s="1046"/>
      <c r="G89" s="1046"/>
      <c r="H89" s="1045"/>
      <c r="I89" s="1044"/>
      <c r="J89" s="1044"/>
      <c r="K89" s="1044"/>
    </row>
    <row r="90" spans="1:11">
      <c r="A90" s="1044"/>
      <c r="B90" s="1046"/>
      <c r="C90" s="1046"/>
      <c r="D90" s="1046"/>
      <c r="E90" s="1047"/>
      <c r="F90" s="1046"/>
      <c r="G90" s="1046"/>
      <c r="H90" s="1045"/>
      <c r="I90" s="1044"/>
      <c r="J90" s="1044"/>
      <c r="K90" s="1044"/>
    </row>
    <row r="91" spans="1:11">
      <c r="A91" s="1044"/>
      <c r="B91" s="1046"/>
      <c r="C91" s="1046"/>
      <c r="D91" s="1046"/>
      <c r="E91" s="1047"/>
      <c r="F91" s="1046"/>
      <c r="G91" s="1046"/>
      <c r="H91" s="1045"/>
      <c r="I91" s="1044"/>
      <c r="J91" s="1044"/>
      <c r="K91" s="1044"/>
    </row>
  </sheetData>
  <sheetProtection algorithmName="SHA-512" hashValue="3sjPl4OFbJtIWe4IwzT8oLYIBBz75EICVmaEAX2RDxa3z6eHUGsLS51Kzm2H7QOJ7poY1O4DzBkRSnOTOPZ2KQ==" saltValue="CO/bxNx+lsuydU3nHfik2Q==" spinCount="100000" sheet="1" selectLockedCells="1"/>
  <mergeCells count="18">
    <mergeCell ref="D80:E80"/>
    <mergeCell ref="B70:B72"/>
    <mergeCell ref="B65:B66"/>
    <mergeCell ref="B36:B37"/>
    <mergeCell ref="B39:B44"/>
    <mergeCell ref="D61:F61"/>
    <mergeCell ref="B3:C3"/>
    <mergeCell ref="E3:G3"/>
    <mergeCell ref="E7:F7"/>
    <mergeCell ref="B2:I2"/>
    <mergeCell ref="A1:I1"/>
    <mergeCell ref="AE16:AK16"/>
    <mergeCell ref="B33:H34"/>
    <mergeCell ref="B63:H63"/>
    <mergeCell ref="B47:H48"/>
    <mergeCell ref="B49:B60"/>
    <mergeCell ref="B20:B21"/>
    <mergeCell ref="C20:C21"/>
  </mergeCells>
  <phoneticPr fontId="67" type="noConversion"/>
  <dataValidations count="5">
    <dataValidation type="list" allowBlank="1" showInputMessage="1" showErrorMessage="1" sqref="C30 F30" xr:uid="{00000000-0002-0000-0A00-000000000000}">
      <formula1>$AF$17:$AG$17</formula1>
    </dataValidation>
    <dataValidation type="list" allowBlank="1" showInputMessage="1" showErrorMessage="1" sqref="F15" xr:uid="{00000000-0002-0000-0A00-000001000000}">
      <formula1>$AE$25:$AF$25</formula1>
    </dataValidation>
    <dataValidation type="decimal" operator="greaterThan" allowBlank="1" showInputMessage="1" showErrorMessage="1" error="Please enter only decimal" sqref="E31:E32" xr:uid="{00000000-0002-0000-0A00-000002000000}">
      <formula1>0</formula1>
    </dataValidation>
    <dataValidation type="list" allowBlank="1" showInputMessage="1" showErrorMessage="1" sqref="AE23:AE24 C15" xr:uid="{00000000-0002-0000-0A00-000003000000}">
      <formula1>$AE$21:$AG$21</formula1>
    </dataValidation>
    <dataValidation type="list" allowBlank="1" showInputMessage="1" showErrorMessage="1" sqref="D58" xr:uid="{9D6234D1-68EE-F644-9A5D-76A44C1065F5}">
      <formula1>$AF$23:$AG$23</formula1>
    </dataValidation>
  </dataValidations>
  <pageMargins left="0.7" right="0.7" top="0.75" bottom="0.75" header="0.3" footer="0.3"/>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12"/>
  <dimension ref="A1:U50"/>
  <sheetViews>
    <sheetView showGridLines="0" zoomScaleNormal="100" zoomScalePageLayoutView="75" workbookViewId="0">
      <selection activeCell="C4" sqref="C4"/>
    </sheetView>
  </sheetViews>
  <sheetFormatPr defaultColWidth="0" defaultRowHeight="12.75" zeroHeight="1"/>
  <cols>
    <col min="1" max="1" width="12" style="538" customWidth="1"/>
    <col min="2" max="2" width="65.1640625" style="538" customWidth="1"/>
    <col min="3" max="3" width="33.6640625" style="538" customWidth="1"/>
    <col min="4" max="4" width="70.1640625" style="538" customWidth="1"/>
    <col min="5" max="5" width="41" style="538" customWidth="1"/>
    <col min="6" max="6" width="34.1640625" style="538" customWidth="1"/>
    <col min="7" max="7" width="28.5" style="538" customWidth="1"/>
    <col min="8" max="8" width="12" style="538" customWidth="1"/>
    <col min="9" max="9" width="41.1640625" style="538" customWidth="1"/>
    <col min="10" max="13" width="12" style="1606" customWidth="1"/>
    <col min="14" max="14" width="21.1640625" style="1606" customWidth="1"/>
    <col min="15" max="19" width="12" style="1606" customWidth="1"/>
    <col min="20" max="21" width="0" style="538" hidden="1" customWidth="1"/>
    <col min="22" max="23" width="12" style="538" hidden="1" customWidth="1"/>
    <col min="24" max="16384" width="12" style="538" hidden="1"/>
  </cols>
  <sheetData>
    <row r="1" spans="1:21" ht="47.1" customHeight="1">
      <c r="A1" s="1717" t="s">
        <v>1117</v>
      </c>
      <c r="B1" s="1717"/>
      <c r="C1" s="1717"/>
      <c r="D1" s="1717"/>
      <c r="E1" s="1717"/>
      <c r="F1" s="1717"/>
      <c r="G1" s="1717"/>
      <c r="H1" s="1717"/>
      <c r="I1" s="1048"/>
    </row>
    <row r="2" spans="1:21" ht="42" customHeight="1">
      <c r="A2" s="1718" t="s">
        <v>937</v>
      </c>
      <c r="B2" s="1718"/>
      <c r="C2" s="1718"/>
      <c r="D2" s="1718"/>
      <c r="E2" s="1718"/>
      <c r="F2" s="1718"/>
      <c r="G2" s="1718"/>
      <c r="H2" s="1718"/>
      <c r="I2" s="1048"/>
    </row>
    <row r="3" spans="1:21" ht="111.95" customHeight="1">
      <c r="A3" s="1060"/>
      <c r="B3" s="1721" t="s">
        <v>1019</v>
      </c>
      <c r="C3" s="1722"/>
      <c r="D3" s="1053"/>
      <c r="E3" s="1054"/>
      <c r="F3" s="891"/>
      <c r="G3" s="892"/>
      <c r="H3" s="1055"/>
      <c r="I3" s="1049"/>
    </row>
    <row r="4" spans="1:21" ht="48.95" customHeight="1">
      <c r="A4" s="1060"/>
      <c r="B4" s="764" t="s">
        <v>1375</v>
      </c>
      <c r="C4" s="1424">
        <v>0</v>
      </c>
      <c r="D4" s="1043"/>
      <c r="E4" s="894"/>
      <c r="F4" s="895"/>
      <c r="G4" s="1056"/>
      <c r="H4" s="1055"/>
      <c r="I4" s="1049"/>
    </row>
    <row r="5" spans="1:21" ht="48.95" customHeight="1">
      <c r="A5" s="1060"/>
      <c r="B5" s="1295" t="s">
        <v>890</v>
      </c>
      <c r="C5" s="1609">
        <v>0</v>
      </c>
      <c r="D5" s="1043"/>
      <c r="E5" s="894"/>
      <c r="F5" s="895"/>
      <c r="G5" s="1056"/>
      <c r="H5" s="1055"/>
      <c r="I5" s="1049"/>
    </row>
    <row r="6" spans="1:21" ht="42.95" customHeight="1">
      <c r="A6" s="1060"/>
      <c r="B6" s="764" t="s">
        <v>1376</v>
      </c>
      <c r="C6" s="768">
        <f>(C4*Months)</f>
        <v>0</v>
      </c>
      <c r="D6" s="1043"/>
      <c r="E6" s="1057"/>
      <c r="F6" s="898"/>
      <c r="G6" s="1058"/>
      <c r="H6" s="1055"/>
      <c r="I6" s="1049"/>
    </row>
    <row r="7" spans="1:21" ht="42.95" customHeight="1">
      <c r="A7" s="1060"/>
      <c r="B7" s="764" t="s">
        <v>1417</v>
      </c>
      <c r="C7" s="768">
        <f>IF(C5=0,0,(C4*Months)-C5)</f>
        <v>0</v>
      </c>
      <c r="D7" s="1043"/>
      <c r="E7" s="1057"/>
      <c r="F7" s="898"/>
      <c r="G7" s="1058"/>
      <c r="H7" s="1055"/>
      <c r="I7" s="1049"/>
    </row>
    <row r="8" spans="1:21" ht="17.25">
      <c r="A8" s="1060"/>
      <c r="B8" s="1042"/>
      <c r="C8" s="1043"/>
      <c r="D8" s="1043"/>
      <c r="E8" s="1057"/>
      <c r="F8" s="898"/>
      <c r="G8" s="1058"/>
      <c r="H8" s="1055"/>
      <c r="I8" s="1049"/>
    </row>
    <row r="9" spans="1:21" ht="17.25">
      <c r="A9" s="1060"/>
      <c r="B9" s="1042"/>
      <c r="C9" s="1043"/>
      <c r="D9" s="1043"/>
      <c r="E9" s="1059"/>
      <c r="F9" s="1059"/>
      <c r="G9" s="1058"/>
      <c r="H9" s="1055"/>
      <c r="I9" s="1049"/>
    </row>
    <row r="10" spans="1:21" s="1060" customFormat="1">
      <c r="A10" s="796"/>
      <c r="B10" s="796"/>
      <c r="C10" s="796"/>
      <c r="D10" s="796"/>
      <c r="E10" s="797"/>
      <c r="F10" s="797"/>
      <c r="G10" s="797"/>
      <c r="H10" s="797"/>
      <c r="I10" s="1049"/>
      <c r="J10" s="1607"/>
      <c r="K10" s="1607"/>
      <c r="L10" s="1607"/>
      <c r="M10" s="1607"/>
      <c r="N10" s="1607"/>
      <c r="O10" s="1607"/>
      <c r="P10" s="1607"/>
      <c r="Q10" s="1607"/>
      <c r="R10" s="1607"/>
      <c r="S10" s="1607"/>
    </row>
    <row r="11" spans="1:21" s="1060" customFormat="1">
      <c r="A11" s="797"/>
      <c r="B11" s="796"/>
      <c r="C11" s="796"/>
      <c r="D11" s="796"/>
      <c r="E11" s="797"/>
      <c r="F11" s="797"/>
      <c r="G11" s="797"/>
      <c r="H11" s="797"/>
      <c r="I11" s="1049"/>
      <c r="J11" s="1607"/>
      <c r="K11" s="1607"/>
      <c r="L11" s="1607"/>
      <c r="M11" s="1607"/>
      <c r="N11" s="1607"/>
      <c r="O11" s="1607"/>
      <c r="P11" s="1607"/>
      <c r="Q11" s="1607"/>
      <c r="R11" s="1607"/>
      <c r="S11" s="1607"/>
    </row>
    <row r="12" spans="1:21">
      <c r="A12" s="1055"/>
      <c r="B12" s="1060"/>
      <c r="C12" s="1060"/>
      <c r="D12" s="1060"/>
      <c r="E12" s="1060"/>
      <c r="F12" s="1060"/>
      <c r="G12" s="1060"/>
      <c r="H12" s="1060"/>
      <c r="I12" s="1049"/>
    </row>
    <row r="13" spans="1:21" ht="24" customHeight="1">
      <c r="A13" s="1076"/>
      <c r="B13" s="1846" t="s">
        <v>803</v>
      </c>
      <c r="C13" s="1846"/>
      <c r="D13" s="1069">
        <f>C7</f>
        <v>0</v>
      </c>
      <c r="E13" s="1060"/>
      <c r="F13" s="1055"/>
      <c r="G13" s="1055"/>
      <c r="H13" s="1055"/>
      <c r="I13" s="1049"/>
      <c r="J13" s="1608"/>
      <c r="K13" s="1608"/>
      <c r="U13" s="538" t="s">
        <v>804</v>
      </c>
    </row>
    <row r="14" spans="1:21" ht="24" customHeight="1">
      <c r="A14" s="1076"/>
      <c r="B14" s="1846" t="s">
        <v>1377</v>
      </c>
      <c r="C14" s="1846"/>
      <c r="D14" s="1610" t="s">
        <v>805</v>
      </c>
      <c r="E14" s="1061" t="s">
        <v>0</v>
      </c>
      <c r="F14" s="1055"/>
      <c r="G14" s="1055"/>
      <c r="H14" s="1055"/>
      <c r="I14" s="1049"/>
      <c r="J14" s="1608"/>
      <c r="K14" s="1608"/>
      <c r="U14" s="538" t="s">
        <v>805</v>
      </c>
    </row>
    <row r="15" spans="1:21">
      <c r="A15" s="1055"/>
      <c r="B15" s="1055"/>
      <c r="C15" s="1071"/>
      <c r="D15" s="1055"/>
      <c r="E15" s="1055"/>
      <c r="F15" s="1055"/>
      <c r="G15" s="1055"/>
      <c r="H15" s="1055"/>
      <c r="I15" s="1049"/>
      <c r="J15" s="1608"/>
      <c r="K15" s="1608"/>
    </row>
    <row r="16" spans="1:21">
      <c r="A16" s="1070"/>
      <c r="B16" s="1055"/>
      <c r="C16" s="1055"/>
      <c r="D16" s="1055"/>
      <c r="E16" s="1055"/>
      <c r="F16" s="1055"/>
      <c r="G16" s="1055"/>
      <c r="H16" s="1055"/>
      <c r="I16" s="1049"/>
      <c r="J16" s="1608"/>
      <c r="K16" s="1608"/>
    </row>
    <row r="17" spans="1:19">
      <c r="A17" s="1070"/>
      <c r="B17" s="478" t="s">
        <v>614</v>
      </c>
      <c r="C17" s="478" t="s">
        <v>923</v>
      </c>
      <c r="D17" s="479" t="s">
        <v>1378</v>
      </c>
      <c r="E17" s="479" t="s">
        <v>944</v>
      </c>
      <c r="F17" s="799" t="s">
        <v>433</v>
      </c>
      <c r="G17" s="1055"/>
      <c r="H17" s="1062"/>
      <c r="I17" s="1049"/>
      <c r="J17" s="1608"/>
      <c r="K17" s="1608"/>
    </row>
    <row r="18" spans="1:19" ht="25.5">
      <c r="A18" s="1070"/>
      <c r="B18" s="642">
        <v>106414</v>
      </c>
      <c r="C18" s="643" t="s">
        <v>651</v>
      </c>
      <c r="D18" s="798">
        <v>25</v>
      </c>
      <c r="E18" s="801">
        <f>IF($D$14=$U$13,ROUNDUP((D13/D18),0),0)</f>
        <v>0</v>
      </c>
      <c r="F18" s="800">
        <v>35</v>
      </c>
      <c r="G18" s="1055"/>
      <c r="H18" s="646"/>
      <c r="I18" s="1049"/>
      <c r="J18" s="1608"/>
      <c r="K18" s="1608"/>
    </row>
    <row r="19" spans="1:19" ht="25.5">
      <c r="A19" s="1070"/>
      <c r="B19" s="642">
        <v>106394</v>
      </c>
      <c r="C19" s="643" t="s">
        <v>1118</v>
      </c>
      <c r="D19" s="798">
        <v>500</v>
      </c>
      <c r="E19" s="801">
        <f>IF($D$14=$U$13,ROUNDUP((D19/D19),0),0)</f>
        <v>0</v>
      </c>
      <c r="F19" s="800">
        <v>36.85</v>
      </c>
      <c r="G19" s="1055"/>
      <c r="H19" s="646"/>
      <c r="I19" s="1049"/>
      <c r="J19" s="1608"/>
      <c r="K19" s="1608"/>
    </row>
    <row r="20" spans="1:19" s="482" customFormat="1" ht="48" customHeight="1">
      <c r="A20" s="1070"/>
      <c r="B20" s="1252">
        <v>106714</v>
      </c>
      <c r="C20" s="1252" t="s">
        <v>1088</v>
      </c>
      <c r="D20" s="599">
        <v>500</v>
      </c>
      <c r="E20" s="801">
        <f>IF($D$14=$U$13,ROUNDUP((D13/D20),0),0)</f>
        <v>0</v>
      </c>
      <c r="F20" s="800">
        <v>16.8</v>
      </c>
      <c r="G20" s="1055"/>
      <c r="H20" s="1055"/>
      <c r="I20" s="1049"/>
      <c r="J20" s="1608"/>
      <c r="K20" s="1608"/>
      <c r="L20" s="1606"/>
      <c r="M20" s="1606"/>
      <c r="N20" s="1606"/>
      <c r="O20" s="1606"/>
      <c r="P20" s="1606"/>
      <c r="Q20" s="1606"/>
      <c r="R20" s="1606"/>
      <c r="S20" s="1606"/>
    </row>
    <row r="21" spans="1:19" s="482" customFormat="1" ht="45" customHeight="1">
      <c r="A21" s="1070"/>
      <c r="B21" s="1252">
        <v>106344</v>
      </c>
      <c r="C21" s="627" t="s">
        <v>1089</v>
      </c>
      <c r="D21" s="599">
        <v>1000</v>
      </c>
      <c r="E21" s="801">
        <f>IF($D$14=$U$13,ROUNDUP((D13/D21),0),0)</f>
        <v>0</v>
      </c>
      <c r="F21" s="800">
        <v>295.89999999999998</v>
      </c>
      <c r="G21" s="1055"/>
      <c r="H21" s="1055"/>
      <c r="I21" s="1049"/>
      <c r="J21" s="1608"/>
      <c r="K21" s="1608"/>
      <c r="L21" s="1606"/>
      <c r="M21" s="1606"/>
      <c r="N21" s="1606"/>
      <c r="O21" s="1606"/>
      <c r="P21" s="1606"/>
      <c r="Q21" s="1606"/>
      <c r="R21" s="1606"/>
      <c r="S21" s="1606"/>
    </row>
    <row r="22" spans="1:19" s="482" customFormat="1">
      <c r="A22" s="1070"/>
      <c r="B22" s="645"/>
      <c r="C22" s="646"/>
      <c r="D22" s="647"/>
      <c r="E22" s="648"/>
      <c r="F22" s="1063"/>
      <c r="G22" s="1063"/>
      <c r="H22" s="1064"/>
      <c r="I22" s="1049"/>
      <c r="J22" s="1608"/>
      <c r="K22" s="1608"/>
      <c r="L22" s="1606"/>
      <c r="M22" s="1606"/>
      <c r="N22" s="1606"/>
      <c r="O22" s="1606"/>
      <c r="P22" s="1606"/>
      <c r="Q22" s="1606"/>
      <c r="R22" s="1606"/>
      <c r="S22" s="1606"/>
    </row>
    <row r="23" spans="1:19" s="482" customFormat="1">
      <c r="A23" s="1070"/>
      <c r="B23" s="645"/>
      <c r="C23" s="955" t="s">
        <v>506</v>
      </c>
      <c r="D23" s="956"/>
      <c r="E23" s="959" t="s">
        <v>1119</v>
      </c>
      <c r="F23" s="1063"/>
      <c r="G23" s="1063"/>
      <c r="H23" s="1064"/>
      <c r="I23" s="1049"/>
      <c r="J23" s="1608"/>
      <c r="K23" s="1608"/>
      <c r="L23" s="1606"/>
      <c r="M23" s="1606"/>
      <c r="N23" s="1606"/>
      <c r="O23" s="1606"/>
      <c r="P23" s="1606"/>
      <c r="Q23" s="1606"/>
      <c r="R23" s="1606"/>
      <c r="S23" s="1606"/>
    </row>
    <row r="24" spans="1:19" s="482" customFormat="1">
      <c r="A24" s="1070"/>
      <c r="B24" s="645"/>
      <c r="C24" s="649" t="s">
        <v>1120</v>
      </c>
      <c r="D24" s="537"/>
      <c r="E24" s="662" cm="1">
        <f t="array" ref="E24">SUMPRODUCT(E18:E21*F18:F21)</f>
        <v>0</v>
      </c>
      <c r="F24" s="1063"/>
      <c r="G24" s="1063"/>
      <c r="H24" s="1064"/>
      <c r="I24" s="1049"/>
      <c r="J24" s="1608"/>
      <c r="K24" s="1608"/>
      <c r="L24" s="1606"/>
      <c r="M24" s="1606"/>
      <c r="N24" s="1606"/>
      <c r="O24" s="1606"/>
      <c r="P24" s="1606"/>
      <c r="Q24" s="1606"/>
      <c r="R24" s="1606"/>
      <c r="S24" s="1606"/>
    </row>
    <row r="25" spans="1:19" s="482" customFormat="1" ht="13.5" thickBot="1">
      <c r="A25" s="1072"/>
      <c r="B25" s="1073"/>
      <c r="C25" s="650" t="s">
        <v>735</v>
      </c>
      <c r="D25" s="641"/>
      <c r="E25" s="651">
        <f>IF(D13=0,0,E24/D13)</f>
        <v>0</v>
      </c>
      <c r="F25" s="1065"/>
      <c r="G25" s="1065"/>
      <c r="H25" s="1066"/>
      <c r="I25" s="1049"/>
      <c r="J25" s="1608"/>
      <c r="K25" s="1608"/>
      <c r="L25" s="1606"/>
      <c r="M25" s="1606"/>
      <c r="N25" s="1606"/>
      <c r="O25" s="1606"/>
      <c r="P25" s="1606"/>
      <c r="Q25" s="1606"/>
      <c r="R25" s="1606"/>
      <c r="S25" s="1606"/>
    </row>
    <row r="26" spans="1:19" s="482" customFormat="1">
      <c r="A26" s="1055"/>
      <c r="B26" s="645"/>
      <c r="C26" s="646"/>
      <c r="D26" s="647"/>
      <c r="E26" s="1074"/>
      <c r="F26" s="1063"/>
      <c r="G26" s="1063"/>
      <c r="H26" s="1064"/>
      <c r="I26" s="1049"/>
      <c r="J26" s="1608"/>
      <c r="K26" s="1608"/>
      <c r="L26" s="1606"/>
      <c r="M26" s="1606"/>
      <c r="N26" s="1606"/>
      <c r="O26" s="1606"/>
      <c r="P26" s="1606"/>
      <c r="Q26" s="1606"/>
      <c r="R26" s="1606"/>
      <c r="S26" s="1606"/>
    </row>
    <row r="27" spans="1:19" s="482" customFormat="1">
      <c r="A27" s="1055"/>
      <c r="B27" s="645"/>
      <c r="C27" s="646"/>
      <c r="D27" s="647"/>
      <c r="E27" s="1074"/>
      <c r="F27" s="1063"/>
      <c r="G27" s="1063"/>
      <c r="H27" s="1064"/>
      <c r="I27" s="1049"/>
      <c r="J27" s="1608"/>
      <c r="K27" s="1608"/>
      <c r="L27" s="1606"/>
      <c r="M27" s="1606"/>
      <c r="N27" s="1606"/>
      <c r="O27" s="1606"/>
      <c r="P27" s="1606"/>
      <c r="Q27" s="1606"/>
      <c r="R27" s="1606"/>
      <c r="S27" s="1606"/>
    </row>
    <row r="28" spans="1:19">
      <c r="A28" s="1070"/>
      <c r="B28" s="1055"/>
      <c r="C28" s="1075"/>
      <c r="D28" s="1055"/>
      <c r="E28" s="1055"/>
      <c r="F28" s="1055"/>
      <c r="G28" s="1055"/>
      <c r="H28" s="1055"/>
      <c r="I28" s="1049"/>
      <c r="J28" s="1608"/>
      <c r="K28" s="1608"/>
    </row>
    <row r="29" spans="1:19">
      <c r="A29" s="1070"/>
      <c r="B29" s="652" t="s">
        <v>614</v>
      </c>
      <c r="C29" s="653" t="s">
        <v>923</v>
      </c>
      <c r="D29" s="479" t="s">
        <v>1378</v>
      </c>
      <c r="E29" s="654" t="s">
        <v>944</v>
      </c>
      <c r="F29" s="654" t="s">
        <v>433</v>
      </c>
      <c r="G29" s="1060"/>
      <c r="H29" s="1060"/>
      <c r="I29" s="1050"/>
      <c r="J29" s="1608"/>
      <c r="K29" s="1608"/>
    </row>
    <row r="30" spans="1:19" ht="25.5">
      <c r="A30" s="1070"/>
      <c r="B30" s="536">
        <v>106611</v>
      </c>
      <c r="C30" s="643" t="s">
        <v>1121</v>
      </c>
      <c r="D30" s="481">
        <v>100</v>
      </c>
      <c r="E30" s="801">
        <f>IF($D$14=$U$14,ROUNDUP((D13/D30),0),0)</f>
        <v>0</v>
      </c>
      <c r="F30" s="655">
        <v>100</v>
      </c>
      <c r="G30" s="1060"/>
      <c r="H30" s="1060"/>
      <c r="I30" s="1049"/>
      <c r="J30" s="1608"/>
      <c r="K30" s="1608"/>
    </row>
    <row r="31" spans="1:19" ht="25.5">
      <c r="A31" s="1070"/>
      <c r="B31" s="656">
        <v>106612</v>
      </c>
      <c r="C31" s="657" t="s">
        <v>1122</v>
      </c>
      <c r="D31" s="481">
        <v>20</v>
      </c>
      <c r="E31" s="801">
        <f>IF($D$14=$U$14,ROUNDUP((D13/D30),0),0)</f>
        <v>0</v>
      </c>
      <c r="F31" s="658">
        <v>8</v>
      </c>
      <c r="G31" s="1060"/>
      <c r="H31" s="1060"/>
      <c r="I31" s="1051"/>
      <c r="J31" s="1608"/>
      <c r="K31" s="1608"/>
    </row>
    <row r="32" spans="1:19">
      <c r="A32" s="1070"/>
      <c r="B32" s="642">
        <v>106394</v>
      </c>
      <c r="C32" s="643" t="s">
        <v>1123</v>
      </c>
      <c r="D32" s="481">
        <v>500</v>
      </c>
      <c r="E32" s="801">
        <f>IF($D$14=$U$14,ROUNDUP((D13/D30),0),0)</f>
        <v>0</v>
      </c>
      <c r="F32" s="644">
        <v>36.85</v>
      </c>
      <c r="G32" s="1060"/>
      <c r="H32" s="1060"/>
      <c r="I32" s="1051"/>
      <c r="J32" s="1608"/>
      <c r="K32" s="1608"/>
    </row>
    <row r="33" spans="1:11">
      <c r="A33" s="1070"/>
      <c r="B33" s="1252">
        <v>106714</v>
      </c>
      <c r="C33" s="1252" t="s">
        <v>1088</v>
      </c>
      <c r="D33" s="599">
        <v>500</v>
      </c>
      <c r="E33" s="801">
        <f>IF($D$14=$U$14,ROUNDUP((D13/D30),0),0)</f>
        <v>0</v>
      </c>
      <c r="F33" s="644">
        <v>16.8</v>
      </c>
      <c r="G33" s="1060"/>
      <c r="H33" s="1060"/>
      <c r="I33" s="1049"/>
      <c r="J33" s="1608"/>
      <c r="K33" s="1608"/>
    </row>
    <row r="34" spans="1:11">
      <c r="A34" s="1070"/>
      <c r="B34" s="1252">
        <v>106344</v>
      </c>
      <c r="C34" s="627" t="s">
        <v>1089</v>
      </c>
      <c r="D34" s="599">
        <v>1000</v>
      </c>
      <c r="E34" s="801">
        <f>IF($D$14=$U$14,ROUNDUP((D13/D30),0),0)</f>
        <v>0</v>
      </c>
      <c r="F34" s="644">
        <v>295.89999999999998</v>
      </c>
      <c r="G34" s="1060"/>
      <c r="H34" s="1060"/>
      <c r="I34" s="1049"/>
      <c r="J34" s="1608"/>
      <c r="K34" s="1608"/>
    </row>
    <row r="35" spans="1:11" ht="13.5" thickBot="1">
      <c r="A35" s="1070"/>
      <c r="B35" s="645"/>
      <c r="C35" s="646"/>
      <c r="D35" s="659"/>
      <c r="E35" s="648"/>
      <c r="F35" s="1074"/>
      <c r="G35" s="1067"/>
      <c r="H35" s="1064"/>
      <c r="I35" s="1051"/>
      <c r="J35" s="1608"/>
      <c r="K35" s="1608"/>
    </row>
    <row r="36" spans="1:11" ht="15.75">
      <c r="A36" s="1070"/>
      <c r="B36" s="1055"/>
      <c r="C36" s="957" t="s">
        <v>506</v>
      </c>
      <c r="D36" s="958"/>
      <c r="E36" s="916" t="s">
        <v>931</v>
      </c>
      <c r="F36" s="1055"/>
      <c r="G36" s="1055"/>
      <c r="H36" s="1055"/>
      <c r="I36" s="1052"/>
      <c r="J36" s="1608"/>
      <c r="K36" s="1608"/>
    </row>
    <row r="37" spans="1:11">
      <c r="A37" s="1070"/>
      <c r="B37" s="1055"/>
      <c r="C37" s="660" t="s">
        <v>1124</v>
      </c>
      <c r="D37" s="537"/>
      <c r="E37" s="663">
        <f>SUMPRODUCT(E30:E34*F30:F34)</f>
        <v>0</v>
      </c>
      <c r="F37" s="1055"/>
      <c r="G37" s="1055"/>
      <c r="H37" s="1055"/>
      <c r="I37" s="1049"/>
      <c r="J37" s="1608"/>
      <c r="K37" s="1608"/>
    </row>
    <row r="38" spans="1:11" ht="13.5" thickBot="1">
      <c r="A38" s="1072"/>
      <c r="B38" s="1068"/>
      <c r="C38" s="661" t="s">
        <v>664</v>
      </c>
      <c r="D38" s="641"/>
      <c r="E38" s="651" t="str">
        <f>IF(D13=0,"-",E37/D13)</f>
        <v>-</v>
      </c>
      <c r="F38" s="1068"/>
      <c r="G38" s="1068"/>
      <c r="H38" s="1068"/>
      <c r="I38" s="1049"/>
      <c r="J38" s="1608"/>
      <c r="K38" s="1608"/>
    </row>
    <row r="39" spans="1:11">
      <c r="A39" s="482"/>
      <c r="B39" s="482"/>
      <c r="C39" s="482"/>
      <c r="D39" s="482"/>
      <c r="E39" s="482"/>
      <c r="F39" s="482"/>
      <c r="G39" s="1055"/>
      <c r="H39" s="1055"/>
      <c r="I39" s="1049"/>
      <c r="J39" s="1608"/>
      <c r="K39" s="1608"/>
    </row>
    <row r="40" spans="1:11">
      <c r="A40" s="1682"/>
      <c r="B40" s="1682"/>
      <c r="C40" s="1682"/>
      <c r="D40" s="1682"/>
      <c r="E40" s="1682"/>
      <c r="F40" s="1682"/>
      <c r="G40" s="1682"/>
      <c r="H40" s="1682"/>
      <c r="I40" s="1683"/>
      <c r="J40" s="1608"/>
      <c r="K40" s="1608"/>
    </row>
    <row r="41" spans="1:11">
      <c r="A41" s="1682"/>
      <c r="B41" s="1682"/>
      <c r="C41" s="1682"/>
      <c r="D41" s="1682"/>
      <c r="E41" s="1682"/>
      <c r="F41" s="1682"/>
      <c r="G41" s="1682"/>
      <c r="H41" s="1682"/>
      <c r="I41" s="1683"/>
      <c r="J41" s="1608"/>
      <c r="K41" s="1608"/>
    </row>
    <row r="42" spans="1:11" hidden="1">
      <c r="I42" s="794"/>
      <c r="J42" s="1608"/>
      <c r="K42" s="1608"/>
    </row>
    <row r="43" spans="1:11" hidden="1">
      <c r="I43" s="794"/>
      <c r="J43" s="1608"/>
      <c r="K43" s="1608"/>
    </row>
    <row r="44" spans="1:11" hidden="1">
      <c r="I44" s="794"/>
      <c r="J44" s="1608"/>
      <c r="K44" s="1608"/>
    </row>
    <row r="45" spans="1:11" hidden="1">
      <c r="I45" s="794"/>
      <c r="J45" s="1608"/>
      <c r="K45" s="1608"/>
    </row>
    <row r="46" spans="1:11" hidden="1">
      <c r="I46" s="794"/>
      <c r="J46" s="1608"/>
      <c r="K46" s="1608"/>
    </row>
    <row r="47" spans="1:11" hidden="1">
      <c r="I47" s="794"/>
      <c r="J47" s="1608"/>
      <c r="K47" s="1608"/>
    </row>
    <row r="48" spans="1:11" hidden="1">
      <c r="I48" s="794"/>
      <c r="J48" s="1608"/>
      <c r="K48" s="1608"/>
    </row>
    <row r="49" spans="9:11" hidden="1">
      <c r="I49" s="794"/>
      <c r="J49" s="1608"/>
      <c r="K49" s="1608"/>
    </row>
    <row r="50" spans="9:11" hidden="1">
      <c r="I50" s="794"/>
      <c r="J50" s="1608"/>
      <c r="K50" s="1608"/>
    </row>
  </sheetData>
  <sheetProtection algorithmName="SHA-512" hashValue="idhKt7nS5BFg8qaXEO4EEr7NHE5JVcuNmq8+b2Y2+svmivFgrioO5Jlx+/EGHBiNFdp/+kn8t0LH+NP/HcM9cQ==" saltValue="j8os2Fvfo6mGmh4XUS6wZw==" spinCount="100000" sheet="1" objects="1" scenarios="1" selectLockedCells="1"/>
  <mergeCells count="5">
    <mergeCell ref="B3:C3"/>
    <mergeCell ref="B13:C13"/>
    <mergeCell ref="B14:C14"/>
    <mergeCell ref="A2:H2"/>
    <mergeCell ref="A1:H1"/>
  </mergeCells>
  <dataValidations count="2">
    <dataValidation type="list" allowBlank="1" showInputMessage="1" showErrorMessage="1" sqref="D15:E15" xr:uid="{00000000-0002-0000-0B00-000000000000}">
      <formula1>$N$15:$N$15</formula1>
    </dataValidation>
    <dataValidation type="list" allowBlank="1" showInputMessage="1" showErrorMessage="1" sqref="D14" xr:uid="{00000000-0002-0000-0B00-000001000000}">
      <formula1>$U$13:$U$14</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glio13"/>
  <dimension ref="A1:S38"/>
  <sheetViews>
    <sheetView showGridLines="0" zoomScaleNormal="70" zoomScalePageLayoutView="75" workbookViewId="0">
      <selection activeCell="C5" sqref="C5"/>
    </sheetView>
  </sheetViews>
  <sheetFormatPr defaultColWidth="0" defaultRowHeight="12.75" zeroHeight="1"/>
  <cols>
    <col min="1" max="1" width="11" style="805" customWidth="1"/>
    <col min="2" max="2" width="65.5" style="805" customWidth="1"/>
    <col min="3" max="3" width="26" style="805" customWidth="1"/>
    <col min="4" max="4" width="70.5" style="805" customWidth="1"/>
    <col min="5" max="5" width="41.5" style="805" customWidth="1"/>
    <col min="6" max="6" width="32.6640625" style="805" customWidth="1"/>
    <col min="7" max="7" width="28.6640625" style="805" customWidth="1"/>
    <col min="8" max="9" width="11" style="805" customWidth="1"/>
    <col min="10" max="19" width="11" style="1612" customWidth="1"/>
    <col min="20" max="16384" width="11" style="805" hidden="1"/>
  </cols>
  <sheetData>
    <row r="1" spans="1:19">
      <c r="J1" s="805"/>
      <c r="K1" s="805"/>
      <c r="L1" s="805"/>
      <c r="M1" s="805"/>
      <c r="N1" s="805"/>
      <c r="O1" s="805"/>
      <c r="P1" s="805"/>
      <c r="Q1" s="805"/>
      <c r="R1" s="805"/>
      <c r="S1" s="805"/>
    </row>
    <row r="2" spans="1:19" ht="47.1" customHeight="1">
      <c r="A2" s="1847" t="s">
        <v>1128</v>
      </c>
      <c r="B2" s="1847"/>
      <c r="C2" s="1847"/>
      <c r="D2" s="1847"/>
      <c r="E2" s="1847"/>
      <c r="F2" s="1847"/>
      <c r="G2" s="1847"/>
      <c r="H2" s="1847"/>
      <c r="I2" s="1077"/>
    </row>
    <row r="3" spans="1:19" ht="42" customHeight="1">
      <c r="A3" s="1848" t="s">
        <v>1129</v>
      </c>
      <c r="B3" s="1848"/>
      <c r="C3" s="1848"/>
      <c r="D3" s="1848"/>
      <c r="E3" s="1848"/>
      <c r="F3" s="1848"/>
      <c r="G3" s="1848"/>
      <c r="H3" s="1848"/>
      <c r="I3" s="1077"/>
    </row>
    <row r="4" spans="1:19" ht="111.95" customHeight="1">
      <c r="B4" s="1850" t="s">
        <v>1130</v>
      </c>
      <c r="C4" s="1851"/>
      <c r="D4" s="806"/>
      <c r="E4" s="1850" t="s">
        <v>1132</v>
      </c>
      <c r="F4" s="1851"/>
      <c r="G4" s="1852"/>
      <c r="I4" s="1077"/>
    </row>
    <row r="5" spans="1:19" ht="47.25">
      <c r="B5" s="807" t="s">
        <v>1131</v>
      </c>
      <c r="C5" s="1613">
        <v>0</v>
      </c>
      <c r="D5" s="808"/>
      <c r="E5" s="809" t="s">
        <v>778</v>
      </c>
      <c r="F5" s="960" t="s">
        <v>916</v>
      </c>
      <c r="G5" s="811" t="s">
        <v>1380</v>
      </c>
      <c r="I5" s="1077"/>
    </row>
    <row r="6" spans="1:19" ht="48.95" customHeight="1">
      <c r="B6" s="807" t="s">
        <v>1379</v>
      </c>
      <c r="C6" s="812">
        <f>C5*Months</f>
        <v>0</v>
      </c>
      <c r="D6" s="808"/>
      <c r="E6" s="813" t="s">
        <v>1133</v>
      </c>
      <c r="F6" s="1614">
        <v>0</v>
      </c>
      <c r="G6" s="814">
        <f>Epidemiology!$B$14*F6</f>
        <v>0</v>
      </c>
      <c r="I6" s="1077"/>
    </row>
    <row r="7" spans="1:19" ht="42.95" customHeight="1">
      <c r="B7" s="815"/>
      <c r="C7" s="808"/>
      <c r="D7" s="808"/>
      <c r="E7" s="813" t="s">
        <v>1067</v>
      </c>
      <c r="F7" s="1614">
        <v>0</v>
      </c>
      <c r="G7" s="814">
        <f>(Epidemiology!$E$7+Epidemiology!$B$8)*F7*Epidemiology!B16</f>
        <v>0</v>
      </c>
      <c r="I7" s="1077"/>
    </row>
    <row r="8" spans="1:19" ht="17.25">
      <c r="B8" s="815"/>
      <c r="C8" s="808"/>
      <c r="D8" s="808"/>
      <c r="E8" s="1853" t="s">
        <v>1381</v>
      </c>
      <c r="F8" s="1853"/>
      <c r="G8" s="814">
        <f>SUM(G6:G7)</f>
        <v>0</v>
      </c>
      <c r="I8" s="1077"/>
    </row>
    <row r="9" spans="1:19">
      <c r="I9" s="1077"/>
    </row>
    <row r="10" spans="1:19">
      <c r="I10" s="1077"/>
    </row>
    <row r="11" spans="1:19" s="816" customFormat="1">
      <c r="I11" s="1077"/>
      <c r="J11" s="1631"/>
      <c r="K11" s="1631"/>
      <c r="L11" s="1631"/>
      <c r="M11" s="1631"/>
      <c r="N11" s="1631"/>
      <c r="O11" s="1631"/>
      <c r="P11" s="1631"/>
      <c r="Q11" s="1631"/>
      <c r="R11" s="1631"/>
      <c r="S11" s="1631"/>
    </row>
    <row r="12" spans="1:19" s="816" customFormat="1">
      <c r="I12" s="1077"/>
      <c r="J12" s="1631"/>
      <c r="K12" s="1631"/>
      <c r="L12" s="1631"/>
      <c r="M12" s="1631"/>
      <c r="N12" s="1631"/>
      <c r="O12" s="1631"/>
      <c r="P12" s="1631"/>
      <c r="Q12" s="1631"/>
      <c r="R12" s="1631"/>
      <c r="S12" s="1631"/>
    </row>
    <row r="13" spans="1:19">
      <c r="I13" s="1077"/>
    </row>
    <row r="14" spans="1:19">
      <c r="D14" s="817"/>
      <c r="E14" s="818"/>
      <c r="F14" s="818"/>
      <c r="G14" s="818"/>
      <c r="I14" s="1077"/>
    </row>
    <row r="15" spans="1:19" ht="31.5">
      <c r="B15" s="803" t="s">
        <v>1144</v>
      </c>
      <c r="C15" s="1615">
        <v>0</v>
      </c>
      <c r="D15" s="1849"/>
      <c r="E15" s="819"/>
      <c r="F15" s="819"/>
      <c r="G15" s="819"/>
      <c r="I15" s="1077"/>
    </row>
    <row r="16" spans="1:19" ht="15.75">
      <c r="B16" s="802" t="s">
        <v>1134</v>
      </c>
      <c r="C16" s="1615">
        <v>0</v>
      </c>
      <c r="D16" s="1849"/>
      <c r="E16" s="819"/>
      <c r="F16" s="819"/>
      <c r="G16" s="819"/>
      <c r="I16" s="1077"/>
    </row>
    <row r="17" spans="1:9" ht="15.75">
      <c r="B17" s="1296" t="s">
        <v>890</v>
      </c>
      <c r="C17" s="1616">
        <v>0</v>
      </c>
      <c r="D17" s="1273"/>
      <c r="E17" s="819"/>
      <c r="F17" s="819"/>
      <c r="G17" s="819"/>
      <c r="I17" s="1077"/>
    </row>
    <row r="18" spans="1:9" ht="15.75">
      <c r="B18" s="802" t="s">
        <v>1057</v>
      </c>
      <c r="C18" s="961">
        <f>(C15+(C15*C16)/100)</f>
        <v>0</v>
      </c>
      <c r="D18" s="820"/>
      <c r="E18" s="820"/>
      <c r="F18" s="818"/>
      <c r="G18" s="818"/>
      <c r="I18" s="1077"/>
    </row>
    <row r="19" spans="1:9" ht="15.75">
      <c r="A19" s="817"/>
      <c r="B19" s="802" t="s">
        <v>1414</v>
      </c>
      <c r="C19" s="961">
        <f>IF(C17=0,0,((C15+(C15*C16)/100))-C17)</f>
        <v>0</v>
      </c>
      <c r="D19" s="820"/>
      <c r="E19" s="820"/>
      <c r="F19" s="818"/>
      <c r="G19" s="818"/>
      <c r="I19" s="1077"/>
    </row>
    <row r="20" spans="1:9" ht="58.5" customHeight="1">
      <c r="A20" s="818"/>
      <c r="B20" s="834"/>
      <c r="C20" s="835"/>
      <c r="D20" s="818"/>
      <c r="E20" s="833" t="s">
        <v>736</v>
      </c>
      <c r="F20" s="821"/>
      <c r="G20" s="817"/>
      <c r="I20" s="1077"/>
    </row>
    <row r="21" spans="1:9" ht="30" customHeight="1">
      <c r="A21" s="818"/>
      <c r="B21" s="819"/>
      <c r="C21" s="820"/>
      <c r="D21" s="820"/>
      <c r="E21" s="836"/>
      <c r="I21" s="1077"/>
    </row>
    <row r="22" spans="1:9" ht="44.25" customHeight="1">
      <c r="A22" s="837" t="s">
        <v>614</v>
      </c>
      <c r="B22" s="837" t="s">
        <v>923</v>
      </c>
      <c r="C22" s="838" t="s">
        <v>645</v>
      </c>
      <c r="D22" s="838" t="s">
        <v>946</v>
      </c>
      <c r="E22" s="839" t="s">
        <v>737</v>
      </c>
      <c r="F22" s="838" t="s">
        <v>944</v>
      </c>
      <c r="G22" s="840" t="s">
        <v>433</v>
      </c>
      <c r="I22" s="1077"/>
    </row>
    <row r="23" spans="1:9">
      <c r="A23" s="822">
        <v>106268</v>
      </c>
      <c r="B23" s="823" t="s">
        <v>1135</v>
      </c>
      <c r="C23" s="824" t="s">
        <v>609</v>
      </c>
      <c r="D23" s="825">
        <v>1000</v>
      </c>
      <c r="E23" s="1611">
        <v>0</v>
      </c>
      <c r="F23" s="1282">
        <f>ROUNDUP((E23/D23)*C19,0)</f>
        <v>0</v>
      </c>
      <c r="G23" s="825">
        <v>10.55</v>
      </c>
      <c r="I23" s="1077"/>
    </row>
    <row r="24" spans="1:9">
      <c r="A24" s="822">
        <v>106259</v>
      </c>
      <c r="B24" s="823" t="s">
        <v>1075</v>
      </c>
      <c r="C24" s="824" t="s">
        <v>610</v>
      </c>
      <c r="D24" s="825">
        <v>500</v>
      </c>
      <c r="E24" s="1611">
        <v>0</v>
      </c>
      <c r="F24" s="825">
        <f>ROUNDUP((E24/D24)*C19,0)</f>
        <v>0</v>
      </c>
      <c r="G24" s="825">
        <v>69.55</v>
      </c>
      <c r="I24" s="1077"/>
    </row>
    <row r="25" spans="1:9">
      <c r="A25" s="822">
        <v>106308</v>
      </c>
      <c r="B25" s="826" t="s">
        <v>641</v>
      </c>
      <c r="C25" s="824" t="s">
        <v>610</v>
      </c>
      <c r="D25" s="825">
        <v>5</v>
      </c>
      <c r="E25" s="1611">
        <v>0</v>
      </c>
      <c r="F25" s="825">
        <f>ROUNDUP((E25/D25)*C19,0)</f>
        <v>0</v>
      </c>
      <c r="G25" s="825">
        <v>40.5</v>
      </c>
      <c r="I25" s="1077"/>
    </row>
    <row r="26" spans="1:9">
      <c r="A26" s="822">
        <v>106309</v>
      </c>
      <c r="B26" s="823" t="s">
        <v>642</v>
      </c>
      <c r="C26" s="824" t="s">
        <v>610</v>
      </c>
      <c r="D26" s="825">
        <v>1</v>
      </c>
      <c r="E26" s="1611">
        <v>0</v>
      </c>
      <c r="F26" s="825">
        <f>ROUNDUP((E26/D26)*C19,0)</f>
        <v>0</v>
      </c>
      <c r="G26" s="825">
        <v>131.6</v>
      </c>
      <c r="I26" s="1077"/>
    </row>
    <row r="27" spans="1:9">
      <c r="A27" s="822">
        <v>106311</v>
      </c>
      <c r="B27" s="1253" t="s">
        <v>643</v>
      </c>
      <c r="C27" s="824" t="s">
        <v>610</v>
      </c>
      <c r="D27" s="825">
        <v>5</v>
      </c>
      <c r="E27" s="1611">
        <v>0</v>
      </c>
      <c r="F27" s="825">
        <f>ROUNDUP((E27/D27)*C19,0)</f>
        <v>0</v>
      </c>
      <c r="G27" s="825">
        <v>65.61</v>
      </c>
      <c r="I27" s="1077"/>
    </row>
    <row r="28" spans="1:9">
      <c r="A28" s="822">
        <v>106310</v>
      </c>
      <c r="B28" s="823" t="s">
        <v>611</v>
      </c>
      <c r="C28" s="824" t="s">
        <v>610</v>
      </c>
      <c r="D28" s="825">
        <v>25</v>
      </c>
      <c r="E28" s="1611">
        <v>0</v>
      </c>
      <c r="F28" s="825">
        <f>ROUNDUP((E28/D28)*C19,0)</f>
        <v>0</v>
      </c>
      <c r="G28" s="825">
        <v>140.1</v>
      </c>
      <c r="I28" s="1077"/>
    </row>
    <row r="29" spans="1:9">
      <c r="A29" s="822">
        <v>106394</v>
      </c>
      <c r="B29" s="827" t="s">
        <v>1136</v>
      </c>
      <c r="C29" s="824" t="s">
        <v>608</v>
      </c>
      <c r="D29" s="825">
        <v>500</v>
      </c>
      <c r="E29" s="1611">
        <v>0</v>
      </c>
      <c r="F29" s="825">
        <f>ROUNDUP((E29/D29)*C19,0)</f>
        <v>0</v>
      </c>
      <c r="G29" s="825">
        <v>36.85</v>
      </c>
      <c r="I29" s="1077"/>
    </row>
    <row r="30" spans="1:9">
      <c r="A30" s="627">
        <v>106344</v>
      </c>
      <c r="B30" s="627" t="s">
        <v>1137</v>
      </c>
      <c r="C30" s="824" t="s">
        <v>608</v>
      </c>
      <c r="D30" s="825">
        <v>1000</v>
      </c>
      <c r="E30" s="1611">
        <v>0</v>
      </c>
      <c r="F30" s="825">
        <f>ROUNDUP((E30/D30)*C19,0)</f>
        <v>0</v>
      </c>
      <c r="G30" s="825">
        <v>295.89999999999998</v>
      </c>
      <c r="I30" s="1077"/>
    </row>
    <row r="31" spans="1:9">
      <c r="I31" s="1077"/>
    </row>
    <row r="32" spans="1:9" ht="13.5" thickBot="1">
      <c r="I32" s="1077"/>
    </row>
    <row r="33" spans="1:9" ht="17.25">
      <c r="B33" s="962" t="s">
        <v>506</v>
      </c>
      <c r="C33" s="916" t="s">
        <v>931</v>
      </c>
      <c r="I33" s="1077"/>
    </row>
    <row r="34" spans="1:9">
      <c r="B34" s="828" t="s">
        <v>1138</v>
      </c>
      <c r="C34" s="829" cm="1">
        <f t="array" ref="C34">SUMPRODUCT(F23:F30*G23:G30)</f>
        <v>0</v>
      </c>
      <c r="D34" s="830"/>
      <c r="E34" s="830"/>
      <c r="I34" s="1077"/>
    </row>
    <row r="35" spans="1:9" ht="13.5" thickBot="1">
      <c r="B35" s="831" t="s">
        <v>1139</v>
      </c>
      <c r="C35" s="1617" t="str">
        <f>IF(C19=0,"-",C34/C19)</f>
        <v>-</v>
      </c>
      <c r="D35" s="832"/>
      <c r="E35" s="832"/>
      <c r="I35" s="1077"/>
    </row>
    <row r="36" spans="1:9">
      <c r="I36" s="1077"/>
    </row>
    <row r="37" spans="1:9">
      <c r="A37" s="1077"/>
      <c r="B37" s="1077"/>
      <c r="C37" s="1077"/>
      <c r="D37" s="1077"/>
      <c r="E37" s="1077"/>
      <c r="F37" s="1077"/>
      <c r="G37" s="1077"/>
      <c r="H37" s="1077"/>
      <c r="I37" s="1077"/>
    </row>
    <row r="38" spans="1:9">
      <c r="A38" s="1077"/>
      <c r="B38" s="1077"/>
      <c r="C38" s="1077"/>
      <c r="D38" s="1077"/>
      <c r="E38" s="1077"/>
      <c r="F38" s="1077"/>
      <c r="G38" s="1077"/>
      <c r="H38" s="1077"/>
      <c r="I38" s="1077"/>
    </row>
  </sheetData>
  <sheetProtection algorithmName="SHA-512" hashValue="O0QiuwSlYlJbHLMGVW8M8oQ/v9ApwgIJAMUznaXleI5Qi9BAxKMMbU27xbbZemOXXMvXllxyB3avE7IJWa58lw==" saltValue="HaLUgYIcv6BSegzyFQ63cg==" spinCount="100000" sheet="1" objects="1" scenarios="1" selectLockedCells="1"/>
  <mergeCells count="6">
    <mergeCell ref="A2:H2"/>
    <mergeCell ref="A3:H3"/>
    <mergeCell ref="D15:D16"/>
    <mergeCell ref="B4:C4"/>
    <mergeCell ref="E4:G4"/>
    <mergeCell ref="E8:F8"/>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oglio14"/>
  <dimension ref="A1:S39"/>
  <sheetViews>
    <sheetView showGridLines="0" zoomScaleNormal="70" zoomScalePageLayoutView="75" workbookViewId="0">
      <selection activeCell="C4" sqref="C4"/>
    </sheetView>
  </sheetViews>
  <sheetFormatPr defaultColWidth="0" defaultRowHeight="12.75" zeroHeight="1"/>
  <cols>
    <col min="1" max="1" width="15" style="375" customWidth="1"/>
    <col min="2" max="2" width="65.1640625" style="375" customWidth="1"/>
    <col min="3" max="3" width="26" style="375" customWidth="1"/>
    <col min="4" max="4" width="70.5" style="375" customWidth="1"/>
    <col min="5" max="5" width="41.6640625" style="375" customWidth="1"/>
    <col min="6" max="6" width="32.6640625" style="375" customWidth="1"/>
    <col min="7" max="7" width="29" style="375" customWidth="1"/>
    <col min="8" max="8" width="65.1640625" style="375" customWidth="1"/>
    <col min="9" max="19" width="15" style="375" customWidth="1"/>
    <col min="20" max="16384" width="15" style="375" hidden="1"/>
  </cols>
  <sheetData>
    <row r="1" spans="1:19" s="805" customFormat="1" ht="47.1" customHeight="1">
      <c r="A1" s="1847" t="s">
        <v>1140</v>
      </c>
      <c r="B1" s="1847"/>
      <c r="C1" s="1847"/>
      <c r="D1" s="1847"/>
      <c r="E1" s="1847"/>
      <c r="F1" s="1847"/>
      <c r="G1" s="1847"/>
      <c r="H1" s="1847"/>
      <c r="I1" s="1847"/>
      <c r="J1" s="1077"/>
      <c r="K1" s="1612"/>
      <c r="L1" s="1612"/>
      <c r="M1" s="1612"/>
      <c r="N1" s="1612"/>
      <c r="O1" s="1612"/>
      <c r="P1" s="1612"/>
      <c r="Q1" s="1612"/>
      <c r="R1" s="1612"/>
      <c r="S1" s="1612"/>
    </row>
    <row r="2" spans="1:19" s="805" customFormat="1" ht="42" customHeight="1">
      <c r="A2" s="1848" t="s">
        <v>1141</v>
      </c>
      <c r="B2" s="1848"/>
      <c r="C2" s="1848"/>
      <c r="D2" s="1848"/>
      <c r="E2" s="1848"/>
      <c r="F2" s="1848"/>
      <c r="G2" s="1848"/>
      <c r="H2" s="1848"/>
      <c r="I2" s="1848"/>
      <c r="J2" s="1077"/>
      <c r="K2" s="1612"/>
      <c r="L2" s="1612"/>
      <c r="M2" s="1612"/>
      <c r="N2" s="1612"/>
      <c r="O2" s="1612"/>
      <c r="P2" s="1612"/>
      <c r="Q2" s="1612"/>
      <c r="R2" s="1612"/>
      <c r="S2" s="1612"/>
    </row>
    <row r="3" spans="1:19" s="805" customFormat="1" ht="111.95" customHeight="1">
      <c r="A3" s="1081"/>
      <c r="B3" s="1850" t="s">
        <v>1130</v>
      </c>
      <c r="C3" s="1851"/>
      <c r="D3" s="1085"/>
      <c r="E3" s="1850" t="s">
        <v>1132</v>
      </c>
      <c r="F3" s="1851"/>
      <c r="G3" s="1852"/>
      <c r="H3" s="1081"/>
      <c r="I3" s="1081"/>
      <c r="J3" s="1077"/>
      <c r="K3" s="1612"/>
      <c r="L3" s="1612"/>
      <c r="M3" s="1612"/>
      <c r="N3" s="1612"/>
      <c r="O3" s="1612"/>
      <c r="P3" s="1612"/>
      <c r="Q3" s="1612"/>
      <c r="R3" s="1612"/>
      <c r="S3" s="1612"/>
    </row>
    <row r="4" spans="1:19" s="805" customFormat="1" ht="47.25">
      <c r="A4" s="1081"/>
      <c r="B4" s="807" t="s">
        <v>1142</v>
      </c>
      <c r="C4" s="1613">
        <v>0</v>
      </c>
      <c r="D4" s="1084"/>
      <c r="E4" s="809" t="s">
        <v>778</v>
      </c>
      <c r="F4" s="810" t="s">
        <v>1043</v>
      </c>
      <c r="G4" s="811" t="s">
        <v>1383</v>
      </c>
      <c r="H4" s="1081"/>
      <c r="I4" s="1081"/>
      <c r="J4" s="1077"/>
      <c r="K4" s="1612"/>
      <c r="L4" s="1612"/>
      <c r="M4" s="1612"/>
      <c r="N4" s="1612"/>
      <c r="O4" s="1612"/>
      <c r="P4" s="1612"/>
      <c r="Q4" s="1612"/>
      <c r="R4" s="1612"/>
      <c r="S4" s="1612"/>
    </row>
    <row r="5" spans="1:19" s="805" customFormat="1" ht="48.95" customHeight="1">
      <c r="A5" s="1081"/>
      <c r="B5" s="849" t="s">
        <v>1382</v>
      </c>
      <c r="C5" s="812">
        <f>C4*Months</f>
        <v>0</v>
      </c>
      <c r="D5" s="1084"/>
      <c r="E5" s="813" t="s">
        <v>1143</v>
      </c>
      <c r="F5" s="1623">
        <v>0</v>
      </c>
      <c r="G5" s="814">
        <f>Epidemiology!$B$14*F5</f>
        <v>0</v>
      </c>
      <c r="H5" s="1081"/>
      <c r="I5" s="1081"/>
      <c r="J5" s="1077"/>
      <c r="K5" s="1612"/>
      <c r="L5" s="1612"/>
      <c r="M5" s="1612"/>
      <c r="N5" s="1612"/>
      <c r="O5" s="1612"/>
      <c r="P5" s="1612"/>
      <c r="Q5" s="1612"/>
      <c r="R5" s="1612"/>
      <c r="S5" s="1612"/>
    </row>
    <row r="6" spans="1:19" s="805" customFormat="1" ht="47.25">
      <c r="A6" s="1081"/>
      <c r="B6" s="1083"/>
      <c r="C6" s="1084"/>
      <c r="D6" s="1084"/>
      <c r="E6" s="813" t="s">
        <v>977</v>
      </c>
      <c r="F6" s="1623">
        <v>0</v>
      </c>
      <c r="G6" s="814">
        <f>(Epidemiology!$E$7+Epidemiology!$B$8)*F6*Epidemiology!B16</f>
        <v>0</v>
      </c>
      <c r="H6" s="1081"/>
      <c r="I6" s="1081"/>
      <c r="J6" s="1077"/>
      <c r="K6" s="1612"/>
      <c r="L6" s="1612"/>
      <c r="M6" s="1612"/>
      <c r="N6" s="1612"/>
      <c r="O6" s="1612"/>
      <c r="P6" s="1612"/>
      <c r="Q6" s="1612"/>
      <c r="R6" s="1612"/>
      <c r="S6" s="1612"/>
    </row>
    <row r="7" spans="1:19" s="805" customFormat="1" ht="36" customHeight="1">
      <c r="A7" s="1081"/>
      <c r="B7" s="1083"/>
      <c r="C7" s="1084"/>
      <c r="D7" s="1084"/>
      <c r="E7" s="1854" t="s">
        <v>1381</v>
      </c>
      <c r="F7" s="1854"/>
      <c r="G7" s="814">
        <f>SUM(G5:G6)</f>
        <v>0</v>
      </c>
      <c r="H7" s="1081"/>
      <c r="I7" s="1081"/>
      <c r="J7" s="1077"/>
      <c r="K7" s="1612"/>
      <c r="L7" s="1612"/>
      <c r="M7" s="1612"/>
      <c r="N7" s="1612"/>
      <c r="O7" s="1612"/>
      <c r="P7" s="1612"/>
      <c r="Q7" s="1612"/>
      <c r="R7" s="1612"/>
      <c r="S7" s="1612"/>
    </row>
    <row r="8" spans="1:19" s="805" customFormat="1" ht="17.25">
      <c r="A8" s="1081"/>
      <c r="B8" s="1083"/>
      <c r="C8" s="1084"/>
      <c r="D8" s="1084"/>
      <c r="E8" s="841"/>
      <c r="F8" s="841"/>
      <c r="G8" s="842"/>
      <c r="H8" s="1081"/>
      <c r="I8" s="1081"/>
      <c r="J8" s="1077"/>
      <c r="K8" s="1612"/>
      <c r="L8" s="1612"/>
      <c r="M8" s="1612"/>
      <c r="N8" s="1612"/>
      <c r="O8" s="1612"/>
      <c r="P8" s="1612"/>
      <c r="Q8" s="1612"/>
      <c r="R8" s="1612"/>
      <c r="S8" s="1612"/>
    </row>
    <row r="9" spans="1:19" s="1081" customFormat="1" ht="17.25">
      <c r="A9" s="816"/>
      <c r="B9" s="843"/>
      <c r="C9" s="844"/>
      <c r="D9" s="844"/>
      <c r="E9" s="845"/>
      <c r="F9" s="845"/>
      <c r="G9" s="846"/>
      <c r="H9" s="816"/>
      <c r="I9" s="816"/>
      <c r="J9" s="1077"/>
      <c r="K9" s="1618"/>
      <c r="L9" s="1618"/>
      <c r="M9" s="1618"/>
      <c r="N9" s="1618"/>
      <c r="O9" s="1618"/>
      <c r="P9" s="1618"/>
      <c r="Q9" s="1618"/>
      <c r="R9" s="1618"/>
      <c r="S9" s="1618"/>
    </row>
    <row r="10" spans="1:19" s="1081" customFormat="1" ht="17.25">
      <c r="A10" s="816"/>
      <c r="B10" s="843"/>
      <c r="C10" s="844"/>
      <c r="D10" s="844"/>
      <c r="E10" s="845"/>
      <c r="F10" s="845"/>
      <c r="G10" s="846"/>
      <c r="H10" s="816"/>
      <c r="I10" s="816"/>
      <c r="J10" s="1077"/>
      <c r="K10" s="1618"/>
      <c r="L10" s="1618"/>
      <c r="M10" s="1618"/>
      <c r="N10" s="1618"/>
      <c r="O10" s="1618"/>
      <c r="P10" s="1618"/>
      <c r="Q10" s="1618"/>
      <c r="R10" s="1618"/>
      <c r="S10" s="1618"/>
    </row>
    <row r="11" spans="1:19">
      <c r="A11" s="1082"/>
      <c r="D11" s="393"/>
      <c r="E11" s="393"/>
      <c r="F11" s="1082"/>
      <c r="G11" s="1082"/>
      <c r="H11" s="1082"/>
      <c r="I11" s="1082"/>
      <c r="J11" s="1077"/>
      <c r="K11" s="1619"/>
      <c r="L11" s="1619"/>
      <c r="M11" s="1619"/>
      <c r="N11" s="1619"/>
      <c r="O11" s="1619"/>
      <c r="P11" s="1619"/>
      <c r="Q11" s="1619"/>
      <c r="R11" s="1619"/>
      <c r="S11" s="1619"/>
    </row>
    <row r="12" spans="1:19" ht="31.5">
      <c r="A12" s="1082"/>
      <c r="B12" s="803" t="s">
        <v>1144</v>
      </c>
      <c r="C12" s="1621">
        <v>0</v>
      </c>
      <c r="D12" s="1086"/>
      <c r="E12" s="1087"/>
      <c r="F12" s="1087"/>
      <c r="G12" s="1087"/>
      <c r="H12" s="1082"/>
      <c r="I12" s="1082"/>
      <c r="J12" s="1078"/>
      <c r="K12" s="1619"/>
      <c r="L12" s="1619"/>
      <c r="M12" s="1619"/>
      <c r="N12" s="1619"/>
      <c r="O12" s="1619"/>
      <c r="P12" s="1619"/>
      <c r="Q12" s="1619"/>
      <c r="R12" s="1619"/>
      <c r="S12" s="1619"/>
    </row>
    <row r="13" spans="1:19" ht="15.75">
      <c r="A13" s="1082"/>
      <c r="B13" s="802" t="s">
        <v>1134</v>
      </c>
      <c r="C13" s="1621">
        <v>0</v>
      </c>
      <c r="D13" s="1086"/>
      <c r="E13" s="1087"/>
      <c r="F13" s="1087"/>
      <c r="G13" s="1087"/>
      <c r="H13" s="1082"/>
      <c r="I13" s="1082"/>
      <c r="J13" s="1078"/>
      <c r="K13" s="1619"/>
      <c r="L13" s="1619"/>
      <c r="M13" s="1619"/>
      <c r="N13" s="1619"/>
      <c r="O13" s="1619"/>
      <c r="P13" s="1619"/>
      <c r="Q13" s="1619"/>
      <c r="R13" s="1619"/>
      <c r="S13" s="1619"/>
    </row>
    <row r="14" spans="1:19" ht="15.75">
      <c r="A14" s="1082"/>
      <c r="B14" s="1296" t="s">
        <v>890</v>
      </c>
      <c r="C14" s="1622">
        <v>0</v>
      </c>
      <c r="D14" s="1086"/>
      <c r="E14" s="1087"/>
      <c r="F14" s="1087"/>
      <c r="G14" s="1087"/>
      <c r="H14" s="1082"/>
      <c r="I14" s="1082"/>
      <c r="J14" s="1078"/>
      <c r="K14" s="1619"/>
      <c r="L14" s="1619"/>
      <c r="M14" s="1619"/>
      <c r="N14" s="1619"/>
      <c r="O14" s="1619"/>
      <c r="P14" s="1619"/>
      <c r="Q14" s="1619"/>
      <c r="R14" s="1619"/>
      <c r="S14" s="1619"/>
    </row>
    <row r="15" spans="1:19" ht="15.75">
      <c r="A15" s="1082"/>
      <c r="B15" s="802" t="s">
        <v>1057</v>
      </c>
      <c r="C15" s="964">
        <f>(C12+((C12*C13)/100))</f>
        <v>0</v>
      </c>
      <c r="D15" s="1088"/>
      <c r="E15" s="393"/>
      <c r="F15" s="393"/>
      <c r="G15" s="393"/>
      <c r="H15" s="1082"/>
      <c r="I15" s="1082"/>
      <c r="J15" s="1078"/>
      <c r="K15" s="1619"/>
      <c r="L15" s="1619"/>
      <c r="M15" s="1619"/>
      <c r="N15" s="1619"/>
      <c r="O15" s="1619"/>
      <c r="P15" s="1619"/>
      <c r="Q15" s="1619"/>
      <c r="R15" s="1619"/>
      <c r="S15" s="1619"/>
    </row>
    <row r="16" spans="1:19" ht="15.75">
      <c r="A16" s="1082"/>
      <c r="B16" s="802" t="s">
        <v>1414</v>
      </c>
      <c r="C16" s="964">
        <f>IF(C14=0,0,((C12+((C12*C13)/100)))-C14)</f>
        <v>0</v>
      </c>
      <c r="D16" s="1087"/>
      <c r="E16" s="393"/>
      <c r="F16" s="1082"/>
      <c r="G16" s="1082"/>
      <c r="H16" s="1082"/>
      <c r="I16" s="1082"/>
      <c r="J16" s="1078"/>
      <c r="K16" s="1619"/>
      <c r="L16" s="1619"/>
      <c r="M16" s="1619"/>
      <c r="N16" s="1619"/>
      <c r="O16" s="1619"/>
      <c r="P16" s="1619"/>
      <c r="Q16" s="1619"/>
      <c r="R16" s="1619"/>
      <c r="S16" s="1619"/>
    </row>
    <row r="17" spans="1:19" hidden="1">
      <c r="A17" s="1082"/>
      <c r="B17" s="1087"/>
      <c r="C17" s="1087"/>
      <c r="D17" s="1087"/>
      <c r="E17" s="393"/>
      <c r="F17" s="1082"/>
      <c r="G17" s="1082"/>
      <c r="H17" s="1082"/>
      <c r="I17" s="1082"/>
      <c r="J17" s="1078"/>
      <c r="K17" s="1619"/>
      <c r="L17" s="1619"/>
      <c r="M17" s="1619"/>
      <c r="N17" s="1619"/>
      <c r="O17" s="1619"/>
      <c r="P17" s="1619"/>
      <c r="Q17" s="1619"/>
      <c r="R17" s="1619"/>
      <c r="S17" s="1619"/>
    </row>
    <row r="18" spans="1:19" ht="38.25">
      <c r="A18" s="1082"/>
      <c r="B18" s="1087"/>
      <c r="C18" s="1087"/>
      <c r="D18" s="393"/>
      <c r="E18" s="1089" t="s">
        <v>736</v>
      </c>
      <c r="F18" s="1090"/>
      <c r="G18" s="1082"/>
      <c r="H18" s="1082"/>
      <c r="I18" s="1082"/>
      <c r="J18" s="1078"/>
      <c r="K18" s="1619"/>
      <c r="L18" s="1619"/>
      <c r="M18" s="1619"/>
      <c r="N18" s="1619"/>
      <c r="O18" s="1619"/>
      <c r="P18" s="1619"/>
      <c r="Q18" s="1619"/>
      <c r="R18" s="1619"/>
      <c r="S18" s="1619"/>
    </row>
    <row r="19" spans="1:19" ht="24.95" customHeight="1" thickBot="1">
      <c r="A19" s="1082"/>
      <c r="B19" s="1087"/>
      <c r="C19" s="1087"/>
      <c r="D19" s="1087"/>
      <c r="E19" s="1091"/>
      <c r="F19" s="1082"/>
      <c r="G19" s="1082"/>
      <c r="H19" s="1082"/>
      <c r="I19" s="1082"/>
      <c r="J19" s="1078"/>
      <c r="K19" s="1619"/>
      <c r="L19" s="1619"/>
      <c r="M19" s="1619"/>
      <c r="N19" s="1619"/>
      <c r="O19" s="1619"/>
      <c r="P19" s="1619"/>
      <c r="Q19" s="1619"/>
      <c r="R19" s="1619"/>
      <c r="S19" s="1619"/>
    </row>
    <row r="20" spans="1:19" s="182" customFormat="1" ht="53.1" customHeight="1">
      <c r="A20" s="206" t="s">
        <v>614</v>
      </c>
      <c r="B20" s="206" t="s">
        <v>923</v>
      </c>
      <c r="C20" s="208" t="s">
        <v>645</v>
      </c>
      <c r="D20" s="390" t="s">
        <v>1386</v>
      </c>
      <c r="E20" s="804" t="s">
        <v>737</v>
      </c>
      <c r="F20" s="208" t="s">
        <v>944</v>
      </c>
      <c r="G20" s="209" t="s">
        <v>433</v>
      </c>
      <c r="H20" s="212" t="s">
        <v>79</v>
      </c>
      <c r="I20" s="1092"/>
      <c r="J20" s="1079"/>
      <c r="K20" s="1620"/>
      <c r="L20" s="1620"/>
      <c r="M20" s="1620"/>
      <c r="N20" s="1620"/>
      <c r="O20" s="1620"/>
      <c r="P20" s="1620"/>
      <c r="Q20" s="1620"/>
      <c r="R20" s="1620"/>
      <c r="S20" s="1620"/>
    </row>
    <row r="21" spans="1:19" s="146" customFormat="1" ht="15.75" customHeight="1">
      <c r="A21" s="822">
        <v>106268</v>
      </c>
      <c r="B21" s="823" t="s">
        <v>1135</v>
      </c>
      <c r="C21" s="150" t="s">
        <v>609</v>
      </c>
      <c r="D21" s="382">
        <v>1000</v>
      </c>
      <c r="E21" s="1624">
        <v>0</v>
      </c>
      <c r="F21" s="150">
        <f>ROUNDUP((E21/D21)*C16,0)</f>
        <v>0</v>
      </c>
      <c r="G21" s="382">
        <v>10.55</v>
      </c>
      <c r="H21" s="391"/>
      <c r="I21" s="1093"/>
      <c r="J21" s="1080"/>
      <c r="K21" s="1554"/>
      <c r="L21" s="1554"/>
      <c r="M21" s="1554"/>
      <c r="N21" s="1554"/>
      <c r="O21" s="1554"/>
      <c r="P21" s="1554"/>
      <c r="Q21" s="1554"/>
      <c r="R21" s="1554"/>
      <c r="S21" s="1554"/>
    </row>
    <row r="22" spans="1:19">
      <c r="A22" s="822">
        <v>106259</v>
      </c>
      <c r="B22" s="822" t="s">
        <v>1075</v>
      </c>
      <c r="C22" s="183" t="s">
        <v>610</v>
      </c>
      <c r="D22" s="384">
        <v>500</v>
      </c>
      <c r="E22" s="1624">
        <v>0</v>
      </c>
      <c r="F22" s="150">
        <f>ROUNDUP((E22/D22)*C16,0)</f>
        <v>0</v>
      </c>
      <c r="G22" s="382">
        <v>69.55</v>
      </c>
      <c r="H22" s="377"/>
      <c r="I22" s="1082"/>
      <c r="J22" s="1078"/>
      <c r="K22" s="1619"/>
      <c r="L22" s="1619"/>
      <c r="M22" s="1619"/>
      <c r="N22" s="1619"/>
      <c r="O22" s="1619"/>
      <c r="P22" s="1619"/>
      <c r="Q22" s="1619"/>
      <c r="R22" s="1619"/>
      <c r="S22" s="1619"/>
    </row>
    <row r="23" spans="1:19">
      <c r="A23" s="822">
        <v>106560</v>
      </c>
      <c r="B23" s="822" t="s">
        <v>830</v>
      </c>
      <c r="C23" s="376" t="s">
        <v>610</v>
      </c>
      <c r="D23" s="387">
        <v>1</v>
      </c>
      <c r="E23" s="1624">
        <v>0</v>
      </c>
      <c r="F23" s="150">
        <f>ROUNDUP((E23/D23)*C16,0)</f>
        <v>0</v>
      </c>
      <c r="G23" s="389">
        <v>43.75</v>
      </c>
      <c r="H23" s="377"/>
      <c r="I23" s="1082"/>
      <c r="J23" s="1078"/>
      <c r="K23" s="1619"/>
      <c r="L23" s="1619"/>
      <c r="M23" s="1619"/>
      <c r="N23" s="1619"/>
      <c r="O23" s="1619"/>
      <c r="P23" s="1619"/>
      <c r="Q23" s="1619"/>
      <c r="R23" s="1619"/>
      <c r="S23" s="1619"/>
    </row>
    <row r="24" spans="1:19">
      <c r="A24" s="822">
        <v>106316</v>
      </c>
      <c r="B24" s="822" t="s">
        <v>646</v>
      </c>
      <c r="C24" s="376" t="s">
        <v>610</v>
      </c>
      <c r="D24" s="387">
        <v>5</v>
      </c>
      <c r="E24" s="1624">
        <v>0</v>
      </c>
      <c r="F24" s="150">
        <f>ROUNDUP((E24/D24)*C16,0)</f>
        <v>0</v>
      </c>
      <c r="G24" s="389">
        <v>135.19999999999999</v>
      </c>
      <c r="H24" s="377"/>
      <c r="I24" s="1082"/>
      <c r="J24" s="1078"/>
      <c r="K24" s="1619"/>
      <c r="L24" s="1619"/>
      <c r="M24" s="1619"/>
      <c r="N24" s="1619"/>
      <c r="O24" s="1619"/>
      <c r="P24" s="1619"/>
      <c r="Q24" s="1619"/>
      <c r="R24" s="1619"/>
      <c r="S24" s="1619"/>
    </row>
    <row r="25" spans="1:19">
      <c r="A25" s="822">
        <v>106317</v>
      </c>
      <c r="B25" s="822" t="s">
        <v>647</v>
      </c>
      <c r="C25" s="376" t="s">
        <v>610</v>
      </c>
      <c r="D25" s="387">
        <v>5</v>
      </c>
      <c r="E25" s="1624">
        <v>0</v>
      </c>
      <c r="F25" s="150">
        <f>ROUNDUP((E25/D25)*C16,0)</f>
        <v>0</v>
      </c>
      <c r="G25" s="389">
        <v>171.4</v>
      </c>
      <c r="H25" s="377"/>
      <c r="I25" s="1082"/>
      <c r="J25" s="1078"/>
      <c r="K25" s="1619"/>
      <c r="L25" s="1619"/>
      <c r="M25" s="1619"/>
      <c r="N25" s="1619"/>
      <c r="O25" s="1619"/>
      <c r="P25" s="1619"/>
      <c r="Q25" s="1619"/>
      <c r="R25" s="1619"/>
      <c r="S25" s="1619"/>
    </row>
    <row r="26" spans="1:19">
      <c r="A26" s="822">
        <v>106318</v>
      </c>
      <c r="B26" s="822" t="s">
        <v>648</v>
      </c>
      <c r="C26" s="376" t="s">
        <v>610</v>
      </c>
      <c r="D26" s="387">
        <v>5</v>
      </c>
      <c r="E26" s="1624">
        <v>0</v>
      </c>
      <c r="F26" s="150">
        <f>ROUNDUP((E26/D26)*C16,0)</f>
        <v>0</v>
      </c>
      <c r="G26" s="389">
        <v>90</v>
      </c>
      <c r="H26" s="377"/>
      <c r="I26" s="1082"/>
      <c r="J26" s="1078"/>
      <c r="K26" s="1619"/>
      <c r="L26" s="1619"/>
      <c r="M26" s="1619"/>
      <c r="N26" s="1619"/>
      <c r="O26" s="1619"/>
      <c r="P26" s="1619"/>
      <c r="Q26" s="1619"/>
      <c r="R26" s="1619"/>
      <c r="S26" s="1619"/>
    </row>
    <row r="27" spans="1:19">
      <c r="A27" s="822">
        <v>106319</v>
      </c>
      <c r="B27" s="822" t="s">
        <v>649</v>
      </c>
      <c r="C27" s="376" t="s">
        <v>610</v>
      </c>
      <c r="D27" s="387">
        <v>1</v>
      </c>
      <c r="E27" s="1624">
        <v>0</v>
      </c>
      <c r="F27" s="150">
        <f>ROUNDUP((E27/D27)*C16,0)</f>
        <v>0</v>
      </c>
      <c r="G27" s="389">
        <v>274.60000000000002</v>
      </c>
      <c r="H27" s="377"/>
      <c r="I27" s="1082"/>
      <c r="J27" s="1078"/>
      <c r="K27" s="1619"/>
      <c r="L27" s="1619"/>
      <c r="M27" s="1619"/>
      <c r="N27" s="1619"/>
      <c r="O27" s="1619"/>
      <c r="P27" s="1619"/>
      <c r="Q27" s="1619"/>
      <c r="R27" s="1619"/>
      <c r="S27" s="1619"/>
    </row>
    <row r="28" spans="1:19">
      <c r="A28" s="822">
        <v>106396</v>
      </c>
      <c r="B28" s="822" t="s">
        <v>1145</v>
      </c>
      <c r="C28" s="378" t="s">
        <v>1146</v>
      </c>
      <c r="D28" s="388">
        <v>100</v>
      </c>
      <c r="E28" s="1624">
        <v>0</v>
      </c>
      <c r="F28" s="150">
        <f>ROUNDUP((E28/D28)*C15,0)</f>
        <v>0</v>
      </c>
      <c r="G28" s="389">
        <v>50</v>
      </c>
      <c r="H28" s="377"/>
      <c r="I28" s="1082"/>
      <c r="J28" s="1078"/>
      <c r="K28" s="1619"/>
      <c r="L28" s="1619"/>
      <c r="M28" s="1619"/>
      <c r="N28" s="1619"/>
      <c r="O28" s="1619"/>
      <c r="P28" s="1619"/>
      <c r="Q28" s="1619"/>
      <c r="R28" s="1619"/>
      <c r="S28" s="1619"/>
    </row>
    <row r="29" spans="1:19">
      <c r="A29" s="822">
        <v>106394</v>
      </c>
      <c r="B29" s="822" t="s">
        <v>1118</v>
      </c>
      <c r="C29" s="378" t="s">
        <v>1146</v>
      </c>
      <c r="D29" s="388">
        <v>500</v>
      </c>
      <c r="E29" s="1624">
        <v>0</v>
      </c>
      <c r="F29" s="150">
        <f>ROUNDUP((E29/D29)*C16,0)</f>
        <v>0</v>
      </c>
      <c r="G29" s="825">
        <v>36.85</v>
      </c>
      <c r="H29" s="377"/>
      <c r="I29" s="1082"/>
      <c r="J29" s="1078"/>
      <c r="K29" s="1619"/>
      <c r="L29" s="1619"/>
      <c r="M29" s="1619"/>
      <c r="N29" s="1619"/>
      <c r="O29" s="1619"/>
      <c r="P29" s="1619"/>
      <c r="Q29" s="1619"/>
      <c r="R29" s="1619"/>
      <c r="S29" s="1619"/>
    </row>
    <row r="30" spans="1:19">
      <c r="A30" s="822">
        <v>106344</v>
      </c>
      <c r="B30" s="822" t="s">
        <v>1089</v>
      </c>
      <c r="C30" s="378" t="s">
        <v>1146</v>
      </c>
      <c r="D30" s="388">
        <v>1000</v>
      </c>
      <c r="E30" s="1624">
        <v>0</v>
      </c>
      <c r="F30" s="150">
        <f>ROUNDUP((E30/D30)*C16,0)</f>
        <v>0</v>
      </c>
      <c r="G30" s="825">
        <v>295.89999999999998</v>
      </c>
      <c r="H30" s="377"/>
      <c r="I30" s="1082"/>
      <c r="J30" s="1078"/>
      <c r="K30" s="1619"/>
      <c r="L30" s="1619"/>
      <c r="M30" s="1619"/>
      <c r="N30" s="1619"/>
      <c r="O30" s="1619"/>
      <c r="P30" s="1619"/>
      <c r="Q30" s="1619"/>
      <c r="R30" s="1619"/>
      <c r="S30" s="1619"/>
    </row>
    <row r="31" spans="1:19">
      <c r="A31" s="1082"/>
      <c r="B31" s="1082"/>
      <c r="C31" s="1082"/>
      <c r="D31" s="1082"/>
      <c r="E31" s="1082"/>
      <c r="F31" s="1082"/>
      <c r="G31" s="1082"/>
      <c r="H31" s="1082"/>
      <c r="I31" s="1082"/>
      <c r="J31" s="1078"/>
      <c r="K31" s="1619"/>
      <c r="L31" s="1619"/>
      <c r="M31" s="1619"/>
      <c r="N31" s="1619"/>
      <c r="O31" s="1619"/>
      <c r="P31" s="1619"/>
      <c r="Q31" s="1619"/>
      <c r="R31" s="1619"/>
      <c r="S31" s="1619"/>
    </row>
    <row r="32" spans="1:19" ht="13.5" thickBot="1">
      <c r="A32" s="1082"/>
      <c r="B32" s="1092"/>
      <c r="C32" s="1092"/>
      <c r="D32" s="1092"/>
      <c r="E32" s="1082"/>
      <c r="F32" s="1082"/>
      <c r="G32" s="1082"/>
      <c r="H32" s="1082"/>
      <c r="I32" s="1082"/>
      <c r="J32" s="1078"/>
      <c r="K32" s="1619"/>
      <c r="L32" s="1619"/>
      <c r="M32" s="1619"/>
      <c r="N32" s="1619"/>
      <c r="O32" s="1619"/>
      <c r="P32" s="1619"/>
      <c r="Q32" s="1619"/>
      <c r="R32" s="1619"/>
      <c r="S32" s="1619"/>
    </row>
    <row r="33" spans="1:19" ht="16.5">
      <c r="A33" s="1082"/>
      <c r="B33" s="963" t="s">
        <v>506</v>
      </c>
      <c r="C33" s="916" t="s">
        <v>931</v>
      </c>
      <c r="D33" s="1094"/>
      <c r="E33" s="1082"/>
      <c r="F33" s="1082"/>
      <c r="G33" s="1082"/>
      <c r="H33" s="1082"/>
      <c r="I33" s="1082"/>
      <c r="J33" s="1078"/>
      <c r="K33" s="1619"/>
      <c r="L33" s="1619"/>
      <c r="M33" s="1619"/>
      <c r="N33" s="1619"/>
      <c r="O33" s="1619"/>
      <c r="P33" s="1619"/>
      <c r="Q33" s="1619"/>
      <c r="R33" s="1619"/>
      <c r="S33" s="1619"/>
    </row>
    <row r="34" spans="1:19">
      <c r="A34" s="1082"/>
      <c r="B34" s="385" t="s">
        <v>1147</v>
      </c>
      <c r="C34" s="664">
        <f>SUMPRODUCT(F21:F30,G21:G30)</f>
        <v>0</v>
      </c>
      <c r="D34" s="1082"/>
      <c r="E34" s="1082"/>
      <c r="F34" s="1082"/>
      <c r="G34" s="1082"/>
      <c r="H34" s="1082"/>
      <c r="I34" s="1082"/>
      <c r="J34" s="1078"/>
      <c r="K34" s="1619"/>
      <c r="L34" s="1619"/>
      <c r="M34" s="1619"/>
      <c r="N34" s="1619"/>
      <c r="O34" s="1619"/>
      <c r="P34" s="1619"/>
      <c r="Q34" s="1619"/>
      <c r="R34" s="1619"/>
      <c r="S34" s="1619"/>
    </row>
    <row r="35" spans="1:19" ht="13.5" thickBot="1">
      <c r="A35" s="1082"/>
      <c r="B35" s="386" t="s">
        <v>1148</v>
      </c>
      <c r="C35" s="1625" t="str">
        <f>IF(C15=0,"-",C34/C16)</f>
        <v>-</v>
      </c>
      <c r="D35" s="1095"/>
      <c r="E35" s="1082"/>
      <c r="F35" s="1082"/>
      <c r="G35" s="1082"/>
      <c r="H35" s="1082"/>
      <c r="I35" s="1082"/>
      <c r="J35" s="1078"/>
      <c r="K35" s="1619"/>
      <c r="L35" s="1619"/>
      <c r="M35" s="1619"/>
      <c r="N35" s="1619"/>
      <c r="O35" s="1619"/>
      <c r="P35" s="1619"/>
      <c r="Q35" s="1619"/>
      <c r="R35" s="1619"/>
      <c r="S35" s="1619"/>
    </row>
    <row r="36" spans="1:19">
      <c r="A36" s="1082"/>
      <c r="B36" s="1082"/>
      <c r="C36" s="1082"/>
      <c r="D36" s="1082"/>
      <c r="E36" s="1082"/>
      <c r="F36" s="1082"/>
      <c r="G36" s="1082"/>
      <c r="H36" s="1082"/>
      <c r="I36" s="1082"/>
      <c r="J36" s="1078"/>
      <c r="K36" s="1619"/>
      <c r="L36" s="1619"/>
      <c r="M36" s="1619"/>
      <c r="N36" s="1619"/>
      <c r="O36" s="1619"/>
      <c r="P36" s="1619"/>
      <c r="Q36" s="1619"/>
      <c r="R36" s="1619"/>
      <c r="S36" s="1619"/>
    </row>
    <row r="37" spans="1:19">
      <c r="A37" s="1078"/>
      <c r="B37" s="1078"/>
      <c r="C37" s="1078"/>
      <c r="D37" s="1078"/>
      <c r="E37" s="1078"/>
      <c r="F37" s="1078"/>
      <c r="G37" s="1078"/>
      <c r="H37" s="1078"/>
      <c r="I37" s="1078"/>
      <c r="J37" s="1078"/>
      <c r="K37" s="1619"/>
      <c r="L37" s="1619"/>
      <c r="M37" s="1619"/>
      <c r="N37" s="1619"/>
      <c r="O37" s="1619"/>
      <c r="P37" s="1619"/>
      <c r="Q37" s="1619"/>
      <c r="R37" s="1619"/>
      <c r="S37" s="1619"/>
    </row>
    <row r="38" spans="1:19">
      <c r="A38" s="1078"/>
      <c r="B38" s="1078"/>
      <c r="C38" s="1078"/>
      <c r="D38" s="1078"/>
      <c r="E38" s="1078"/>
      <c r="F38" s="1078"/>
      <c r="G38" s="1078"/>
      <c r="H38" s="1078"/>
      <c r="I38" s="1078"/>
      <c r="J38" s="1078"/>
      <c r="K38" s="1619"/>
      <c r="L38" s="1619"/>
      <c r="M38" s="1619"/>
      <c r="N38" s="1619"/>
      <c r="O38" s="1619"/>
      <c r="P38" s="1619"/>
      <c r="Q38" s="1619"/>
      <c r="R38" s="1619"/>
      <c r="S38" s="1619"/>
    </row>
    <row r="39" spans="1:19">
      <c r="A39" s="1078"/>
      <c r="B39" s="1078"/>
      <c r="C39" s="1078"/>
      <c r="D39" s="1078"/>
      <c r="E39" s="1078"/>
      <c r="F39" s="1078"/>
      <c r="G39" s="1078"/>
      <c r="H39" s="1078"/>
      <c r="I39" s="1078"/>
      <c r="J39" s="1078"/>
      <c r="K39" s="1619"/>
      <c r="L39" s="1619"/>
      <c r="M39" s="1619"/>
      <c r="N39" s="1619"/>
      <c r="O39" s="1619"/>
      <c r="P39" s="1619"/>
      <c r="Q39" s="1619"/>
      <c r="R39" s="1619"/>
      <c r="S39" s="1619"/>
    </row>
  </sheetData>
  <sheetProtection algorithmName="SHA-512" hashValue="jARzXwmmb7KvpiKTKh+F8IbBMODekcghiQBi9aJnd/JFzimtUWwvX2ptfkyojkoDpyn65xtA4cRSTPqYEZvNbQ==" saltValue="qLLkRLwOdtrTP2kz+cSbRQ==" spinCount="100000" sheet="1" objects="1" scenarios="1" selectLockedCells="1"/>
  <mergeCells count="5">
    <mergeCell ref="B3:C3"/>
    <mergeCell ref="E3:G3"/>
    <mergeCell ref="E7:F7"/>
    <mergeCell ref="A1:I1"/>
    <mergeCell ref="A2:I2"/>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published="0" codeName="Foglio15"/>
  <dimension ref="A1:S51"/>
  <sheetViews>
    <sheetView showGridLines="0" zoomScaleNormal="100" zoomScalePageLayoutView="75" workbookViewId="0">
      <selection activeCell="C4" sqref="C4"/>
    </sheetView>
  </sheetViews>
  <sheetFormatPr defaultColWidth="0" defaultRowHeight="12.75" zeroHeight="1"/>
  <cols>
    <col min="1" max="1" width="9" style="146" customWidth="1"/>
    <col min="2" max="2" width="65" style="146" customWidth="1"/>
    <col min="3" max="3" width="35.5" style="146" customWidth="1"/>
    <col min="4" max="4" width="74" style="146" customWidth="1"/>
    <col min="5" max="5" width="41.6640625" style="146" customWidth="1"/>
    <col min="6" max="6" width="32.5" style="146" customWidth="1"/>
    <col min="7" max="7" width="79.5" style="152" bestFit="1" customWidth="1"/>
    <col min="8" max="8" width="30.1640625" style="146" customWidth="1"/>
    <col min="9" max="9" width="9" style="146" customWidth="1"/>
    <col min="10" max="10" width="24.1640625" style="146" customWidth="1"/>
    <col min="11" max="19" width="9" style="1554" customWidth="1"/>
    <col min="20" max="16384" width="9" style="146" hidden="1"/>
  </cols>
  <sheetData>
    <row r="1" spans="1:19" s="805" customFormat="1" ht="47.1" customHeight="1">
      <c r="A1" s="1855" t="s">
        <v>1149</v>
      </c>
      <c r="B1" s="1855"/>
      <c r="C1" s="1855"/>
      <c r="D1" s="1855"/>
      <c r="E1" s="1855"/>
      <c r="F1" s="1855"/>
      <c r="G1" s="1855"/>
      <c r="H1" s="1855"/>
      <c r="I1" s="1098"/>
      <c r="J1" s="1098"/>
      <c r="K1" s="1612"/>
      <c r="L1" s="1612"/>
      <c r="M1" s="1612"/>
      <c r="N1" s="1612"/>
      <c r="O1" s="1612"/>
      <c r="P1" s="1612"/>
      <c r="Q1" s="1612"/>
      <c r="R1" s="1612"/>
      <c r="S1" s="1612"/>
    </row>
    <row r="2" spans="1:19" s="805" customFormat="1" ht="42" customHeight="1">
      <c r="B2" s="1848" t="s">
        <v>1150</v>
      </c>
      <c r="C2" s="1848"/>
      <c r="D2" s="1848"/>
      <c r="E2" s="1848"/>
      <c r="F2" s="1848"/>
      <c r="G2" s="1848"/>
      <c r="H2" s="1848"/>
      <c r="I2" s="1098"/>
      <c r="J2" s="1098"/>
      <c r="K2" s="1612"/>
      <c r="L2" s="1612"/>
      <c r="M2" s="1612"/>
      <c r="N2" s="1612"/>
      <c r="O2" s="1612"/>
      <c r="P2" s="1612"/>
      <c r="Q2" s="1612"/>
      <c r="R2" s="1612"/>
      <c r="S2" s="1612"/>
    </row>
    <row r="3" spans="1:19" s="805" customFormat="1" ht="111.95" customHeight="1">
      <c r="B3" s="1850" t="s">
        <v>1130</v>
      </c>
      <c r="C3" s="1851"/>
      <c r="D3" s="806"/>
      <c r="E3" s="1850" t="s">
        <v>1132</v>
      </c>
      <c r="F3" s="1851"/>
      <c r="G3" s="1852"/>
      <c r="I3" s="1098"/>
      <c r="J3" s="1098"/>
      <c r="K3" s="1612"/>
      <c r="L3" s="1612"/>
      <c r="M3" s="1612"/>
      <c r="N3" s="1612"/>
      <c r="O3" s="1612"/>
      <c r="P3" s="1612"/>
      <c r="Q3" s="1612"/>
      <c r="R3" s="1612"/>
      <c r="S3" s="1612"/>
    </row>
    <row r="4" spans="1:19" s="805" customFormat="1" ht="17.25">
      <c r="B4" s="807" t="s">
        <v>809</v>
      </c>
      <c r="C4" s="1613">
        <v>0</v>
      </c>
      <c r="D4" s="808"/>
      <c r="E4" s="809" t="s">
        <v>778</v>
      </c>
      <c r="F4" s="810" t="s">
        <v>1043</v>
      </c>
      <c r="G4" s="811" t="s">
        <v>1151</v>
      </c>
      <c r="I4" s="1098"/>
      <c r="J4" s="1098"/>
      <c r="K4" s="1612"/>
      <c r="L4" s="1612"/>
      <c r="M4" s="1612"/>
      <c r="N4" s="1612"/>
      <c r="O4" s="1612"/>
      <c r="P4" s="1612"/>
      <c r="Q4" s="1612"/>
      <c r="R4" s="1612"/>
      <c r="S4" s="1612"/>
    </row>
    <row r="5" spans="1:19" s="805" customFormat="1" ht="48.95" customHeight="1">
      <c r="B5" s="807" t="s">
        <v>1384</v>
      </c>
      <c r="C5" s="812">
        <f>C4*Months</f>
        <v>0</v>
      </c>
      <c r="D5" s="808"/>
      <c r="E5" s="813" t="s">
        <v>1133</v>
      </c>
      <c r="F5" s="1623">
        <v>0</v>
      </c>
      <c r="G5" s="814">
        <f>Epidemiology!$B$14*F5</f>
        <v>0</v>
      </c>
      <c r="I5" s="1098"/>
      <c r="J5" s="1098"/>
      <c r="K5" s="1612"/>
      <c r="L5" s="1612"/>
      <c r="M5" s="1612"/>
      <c r="N5" s="1612"/>
      <c r="O5" s="1612"/>
      <c r="P5" s="1612"/>
      <c r="Q5" s="1612"/>
      <c r="R5" s="1612"/>
      <c r="S5" s="1612"/>
    </row>
    <row r="6" spans="1:19" s="805" customFormat="1" ht="42.95" customHeight="1">
      <c r="B6" s="815"/>
      <c r="C6" s="808"/>
      <c r="D6" s="808"/>
      <c r="E6" s="813" t="s">
        <v>1067</v>
      </c>
      <c r="F6" s="1623">
        <v>0</v>
      </c>
      <c r="G6" s="814">
        <f>(Epidemiology!$E$7+Epidemiology!$B$8)*F6*Epidemiology!B16</f>
        <v>0</v>
      </c>
      <c r="I6" s="1098"/>
      <c r="J6" s="1098"/>
      <c r="K6" s="1612"/>
      <c r="L6" s="1612"/>
      <c r="M6" s="1612"/>
      <c r="N6" s="1612"/>
      <c r="O6" s="1612"/>
      <c r="P6" s="1612"/>
      <c r="Q6" s="1612"/>
      <c r="R6" s="1612"/>
      <c r="S6" s="1612"/>
    </row>
    <row r="7" spans="1:19" s="805" customFormat="1" ht="17.25">
      <c r="B7" s="815"/>
      <c r="C7" s="808"/>
      <c r="D7" s="808"/>
      <c r="E7" s="1853" t="s">
        <v>1152</v>
      </c>
      <c r="F7" s="1853"/>
      <c r="G7" s="814">
        <f>SUM(G5:G6)</f>
        <v>0</v>
      </c>
      <c r="I7" s="1098"/>
      <c r="J7" s="1098"/>
      <c r="K7" s="1612"/>
      <c r="L7" s="1612"/>
      <c r="M7" s="1612"/>
      <c r="N7" s="1612"/>
      <c r="O7" s="1612"/>
      <c r="P7" s="1612"/>
      <c r="Q7" s="1612"/>
      <c r="R7" s="1612"/>
      <c r="S7" s="1612"/>
    </row>
    <row r="8" spans="1:19" s="805" customFormat="1" ht="17.25">
      <c r="B8" s="815"/>
      <c r="C8" s="808"/>
      <c r="D8" s="808"/>
      <c r="E8" s="841"/>
      <c r="F8" s="841"/>
      <c r="G8" s="842"/>
      <c r="I8" s="1098"/>
      <c r="J8" s="1098"/>
      <c r="K8" s="1612"/>
      <c r="L8" s="1612"/>
      <c r="M8" s="1612"/>
      <c r="N8" s="1612"/>
      <c r="O8" s="1612"/>
      <c r="P8" s="1612"/>
      <c r="Q8" s="1612"/>
      <c r="R8" s="1612"/>
      <c r="S8" s="1612"/>
    </row>
    <row r="9" spans="1:19" s="816" customFormat="1" ht="17.25">
      <c r="B9" s="843"/>
      <c r="C9" s="844"/>
      <c r="D9" s="844"/>
      <c r="E9" s="845"/>
      <c r="F9" s="845"/>
      <c r="G9" s="846"/>
      <c r="I9" s="1098"/>
      <c r="J9" s="1098"/>
      <c r="K9" s="1631"/>
      <c r="L9" s="1631"/>
      <c r="M9" s="1631"/>
      <c r="N9" s="1631"/>
      <c r="O9" s="1631"/>
      <c r="P9" s="1631"/>
      <c r="Q9" s="1631"/>
      <c r="R9" s="1631"/>
      <c r="S9" s="1631"/>
    </row>
    <row r="10" spans="1:19" s="816" customFormat="1" ht="17.25">
      <c r="B10" s="843"/>
      <c r="C10" s="844"/>
      <c r="D10" s="844"/>
      <c r="E10" s="845"/>
      <c r="F10" s="845"/>
      <c r="G10" s="846"/>
      <c r="I10" s="1098"/>
      <c r="J10" s="1098"/>
      <c r="K10" s="1631"/>
      <c r="L10" s="1631"/>
      <c r="M10" s="1631"/>
      <c r="N10" s="1631"/>
      <c r="O10" s="1631"/>
      <c r="P10" s="1631"/>
      <c r="Q10" s="1631"/>
      <c r="R10" s="1631"/>
      <c r="S10" s="1631"/>
    </row>
    <row r="11" spans="1:19" ht="20.100000000000001" customHeight="1">
      <c r="B11" s="1861" t="s">
        <v>811</v>
      </c>
      <c r="C11" s="1862"/>
      <c r="D11" s="1862"/>
      <c r="E11" s="144"/>
      <c r="I11" s="1040"/>
      <c r="J11" s="1040"/>
    </row>
    <row r="12" spans="1:19" ht="47.25">
      <c r="B12" s="877" t="s">
        <v>1153</v>
      </c>
      <c r="C12" s="1626">
        <v>0</v>
      </c>
      <c r="D12" s="1859"/>
      <c r="E12" s="867"/>
      <c r="F12" s="867"/>
      <c r="G12" s="765"/>
      <c r="I12" s="1040"/>
      <c r="J12" s="1040"/>
    </row>
    <row r="13" spans="1:19" ht="30.95" customHeight="1">
      <c r="B13" s="869" t="s">
        <v>95</v>
      </c>
      <c r="C13" s="1627">
        <v>0</v>
      </c>
      <c r="D13" s="1859"/>
      <c r="E13" s="867"/>
      <c r="F13" s="867"/>
      <c r="G13" s="765"/>
      <c r="I13" s="1040"/>
      <c r="J13" s="1040"/>
    </row>
    <row r="14" spans="1:19" ht="30.95" customHeight="1">
      <c r="B14" s="1297" t="s">
        <v>890</v>
      </c>
      <c r="C14" s="1626">
        <v>0</v>
      </c>
      <c r="D14" s="1678"/>
      <c r="E14" s="867"/>
      <c r="F14" s="867"/>
      <c r="G14" s="765"/>
      <c r="I14" s="1040"/>
      <c r="J14" s="1040"/>
    </row>
    <row r="15" spans="1:19" ht="30.95" customHeight="1">
      <c r="B15" s="873" t="s">
        <v>1385</v>
      </c>
      <c r="C15" s="872">
        <f>C12*(1+C13)</f>
        <v>0</v>
      </c>
      <c r="D15" s="1678"/>
      <c r="E15" s="867"/>
      <c r="F15" s="1679"/>
      <c r="G15" s="765"/>
      <c r="I15" s="1040"/>
      <c r="J15" s="1040"/>
    </row>
    <row r="16" spans="1:19" ht="15.75">
      <c r="B16" s="873" t="s">
        <v>1414</v>
      </c>
      <c r="C16" s="872">
        <f>(C12*(1+C13)-C14)</f>
        <v>0</v>
      </c>
      <c r="D16" s="871"/>
      <c r="E16" s="867"/>
      <c r="F16" s="867"/>
      <c r="G16" s="867"/>
      <c r="I16" s="1040"/>
      <c r="J16" s="1040"/>
    </row>
    <row r="17" spans="2:10" ht="20.100000000000001" customHeight="1">
      <c r="B17" s="1863" t="s">
        <v>812</v>
      </c>
      <c r="C17" s="1863"/>
      <c r="D17" s="1863"/>
      <c r="E17" s="765"/>
      <c r="F17" s="765"/>
      <c r="G17" s="868"/>
      <c r="I17" s="1040"/>
      <c r="J17" s="1040"/>
    </row>
    <row r="18" spans="2:10" ht="47.25">
      <c r="B18" s="877" t="s">
        <v>1154</v>
      </c>
      <c r="C18" s="1628">
        <v>0</v>
      </c>
      <c r="D18" s="1860"/>
      <c r="E18" s="1679"/>
      <c r="F18" s="867"/>
      <c r="G18" s="765"/>
      <c r="I18" s="1040"/>
      <c r="J18" s="1040"/>
    </row>
    <row r="19" spans="2:10" ht="20.100000000000001" customHeight="1">
      <c r="B19" s="869" t="s">
        <v>67</v>
      </c>
      <c r="C19" s="1629">
        <v>0</v>
      </c>
      <c r="D19" s="1860"/>
      <c r="E19" s="867"/>
      <c r="F19" s="867"/>
      <c r="G19" s="765"/>
      <c r="I19" s="1040"/>
      <c r="J19" s="1040"/>
    </row>
    <row r="20" spans="2:10" ht="20.100000000000001" customHeight="1">
      <c r="B20" s="1297" t="s">
        <v>890</v>
      </c>
      <c r="C20" s="1630">
        <v>0</v>
      </c>
      <c r="D20" s="1298"/>
      <c r="E20" s="867"/>
      <c r="F20" s="1680"/>
      <c r="G20" s="765"/>
      <c r="I20" s="1040"/>
      <c r="J20" s="1040"/>
    </row>
    <row r="21" spans="2:10" ht="31.5">
      <c r="B21" s="873" t="s">
        <v>1385</v>
      </c>
      <c r="C21" s="872">
        <f>(C18*(1+C19))</f>
        <v>0</v>
      </c>
      <c r="D21" s="870"/>
      <c r="E21" s="867"/>
      <c r="F21" s="867"/>
      <c r="G21" s="867"/>
      <c r="I21" s="1040"/>
      <c r="J21" s="1040"/>
    </row>
    <row r="22" spans="2:10" ht="15.75">
      <c r="B22" s="873" t="s">
        <v>1414</v>
      </c>
      <c r="C22" s="872">
        <f>(C21)-C20</f>
        <v>0</v>
      </c>
      <c r="I22" s="1040"/>
      <c r="J22" s="1040"/>
    </row>
    <row r="23" spans="2:10" ht="25.35" customHeight="1">
      <c r="I23" s="1040"/>
      <c r="J23" s="1040"/>
    </row>
    <row r="24" spans="2:10" ht="25.35" customHeight="1" thickBot="1">
      <c r="C24" s="147" t="s">
        <v>1387</v>
      </c>
      <c r="I24" s="1040"/>
      <c r="J24" s="1040"/>
    </row>
    <row r="25" spans="2:10" ht="25.35" customHeight="1">
      <c r="B25" s="206" t="s">
        <v>614</v>
      </c>
      <c r="C25" s="206" t="s">
        <v>923</v>
      </c>
      <c r="D25" s="207" t="s">
        <v>946</v>
      </c>
      <c r="E25" s="208" t="s">
        <v>945</v>
      </c>
      <c r="F25" s="209" t="s">
        <v>433</v>
      </c>
      <c r="G25" s="210" t="s">
        <v>79</v>
      </c>
      <c r="I25" s="1040"/>
      <c r="J25" s="1040"/>
    </row>
    <row r="26" spans="2:10">
      <c r="B26" s="150">
        <v>106028</v>
      </c>
      <c r="C26" s="149" t="s">
        <v>116</v>
      </c>
      <c r="D26" s="150">
        <v>40</v>
      </c>
      <c r="E26" s="150">
        <f>ROUNDUP(C16/D26,0)</f>
        <v>0</v>
      </c>
      <c r="F26" s="154">
        <v>72.7</v>
      </c>
      <c r="G26" s="850"/>
      <c r="I26" s="1040"/>
      <c r="J26" s="1040"/>
    </row>
    <row r="27" spans="2:10">
      <c r="B27" s="150">
        <v>106026</v>
      </c>
      <c r="C27" s="391" t="s">
        <v>1155</v>
      </c>
      <c r="D27" s="389">
        <v>100</v>
      </c>
      <c r="E27" s="389">
        <f>ROUNDUP(C16*5/D27,0)</f>
        <v>0</v>
      </c>
      <c r="F27" s="154">
        <v>195</v>
      </c>
      <c r="G27" s="971" t="s">
        <v>66</v>
      </c>
      <c r="I27" s="1040"/>
      <c r="J27" s="1040"/>
    </row>
    <row r="28" spans="2:10" ht="15.75">
      <c r="B28" s="1215">
        <v>106389</v>
      </c>
      <c r="C28" s="1313" t="s">
        <v>1002</v>
      </c>
      <c r="D28" s="1215">
        <v>960</v>
      </c>
      <c r="E28" s="1215">
        <f>IF(C16=0,0,ROUNDUP((C16+2)/D28,0))</f>
        <v>0</v>
      </c>
      <c r="F28" s="1216">
        <v>61</v>
      </c>
      <c r="G28" s="1202" t="s">
        <v>1157</v>
      </c>
      <c r="I28" s="1040"/>
      <c r="J28" s="1099"/>
    </row>
    <row r="29" spans="2:10" ht="15">
      <c r="B29" s="560">
        <v>106390</v>
      </c>
      <c r="C29" s="614" t="s">
        <v>1003</v>
      </c>
      <c r="D29" s="560">
        <v>960</v>
      </c>
      <c r="E29" s="1215">
        <f>IF(C16=0,0,ROUNDUP((C16+2)/D29,0))</f>
        <v>0</v>
      </c>
      <c r="F29" s="1216">
        <v>88.5</v>
      </c>
      <c r="G29" s="1202" t="s">
        <v>19</v>
      </c>
      <c r="I29" s="1040"/>
      <c r="J29" s="1040"/>
    </row>
    <row r="30" spans="2:10">
      <c r="B30" s="150">
        <v>106181</v>
      </c>
      <c r="C30" s="149" t="s">
        <v>1156</v>
      </c>
      <c r="D30" s="150">
        <v>100</v>
      </c>
      <c r="E30" s="150">
        <f>ROUNDUP(IF(C16&gt;1000,2,1.2)*Months*22/D30,0)</f>
        <v>0</v>
      </c>
      <c r="F30" s="154">
        <v>196.65</v>
      </c>
      <c r="G30" s="971" t="s">
        <v>1158</v>
      </c>
      <c r="I30" s="1040"/>
      <c r="J30" s="1099"/>
    </row>
    <row r="31" spans="2:10" ht="15.75">
      <c r="B31" s="145"/>
      <c r="C31" s="1856" t="s">
        <v>1160</v>
      </c>
      <c r="D31" s="1857"/>
      <c r="E31" s="1858"/>
      <c r="F31" s="970">
        <f>SUMPRODUCT(E26:E30*F26:F30)</f>
        <v>0</v>
      </c>
      <c r="G31" s="155"/>
      <c r="I31" s="1040"/>
      <c r="J31" s="1099"/>
    </row>
    <row r="32" spans="2:10" ht="15.75">
      <c r="B32" s="145"/>
      <c r="C32" s="875"/>
      <c r="D32" s="875"/>
      <c r="E32" s="153"/>
      <c r="F32" s="876"/>
      <c r="G32" s="155"/>
      <c r="I32" s="1040"/>
      <c r="J32" s="1099"/>
    </row>
    <row r="33" spans="2:10">
      <c r="B33" s="874"/>
      <c r="C33" s="144"/>
      <c r="D33" s="145"/>
      <c r="E33" s="145"/>
      <c r="F33" s="144"/>
      <c r="G33" s="155"/>
      <c r="I33" s="1040"/>
      <c r="J33" s="1040"/>
    </row>
    <row r="34" spans="2:10">
      <c r="B34" s="150">
        <v>106033</v>
      </c>
      <c r="C34" s="149" t="s">
        <v>117</v>
      </c>
      <c r="D34" s="150">
        <v>50</v>
      </c>
      <c r="E34" s="150">
        <f>ROUNDUP(C22/D34,0)</f>
        <v>0</v>
      </c>
      <c r="F34" s="154">
        <v>90.6</v>
      </c>
      <c r="G34" s="149"/>
      <c r="I34" s="1040"/>
      <c r="J34" s="1040"/>
    </row>
    <row r="35" spans="2:10">
      <c r="B35" s="150">
        <v>106036</v>
      </c>
      <c r="C35" s="149" t="s">
        <v>118</v>
      </c>
      <c r="D35" s="150">
        <v>25</v>
      </c>
      <c r="E35" s="150">
        <f>ROUNDUP((C18*(1+C19)*2)/D35,0)</f>
        <v>0</v>
      </c>
      <c r="F35" s="154">
        <v>53.55</v>
      </c>
      <c r="G35" s="149" t="s">
        <v>68</v>
      </c>
      <c r="I35" s="1040"/>
      <c r="J35" s="1040"/>
    </row>
    <row r="36" spans="2:10" ht="31.5">
      <c r="B36" s="150">
        <v>106389</v>
      </c>
      <c r="C36" s="1313" t="s">
        <v>1159</v>
      </c>
      <c r="D36" s="150">
        <v>960</v>
      </c>
      <c r="E36" s="150">
        <f>ROUNDUP(C18*(1+C19)/D36,0)</f>
        <v>0</v>
      </c>
      <c r="F36" s="154">
        <v>61</v>
      </c>
      <c r="G36" s="148" t="s">
        <v>752</v>
      </c>
      <c r="I36" s="1040"/>
      <c r="J36" s="1040"/>
    </row>
    <row r="37" spans="2:10" ht="15.75">
      <c r="B37" s="150">
        <v>106390</v>
      </c>
      <c r="C37" s="1313" t="s">
        <v>1003</v>
      </c>
      <c r="D37" s="150">
        <v>960</v>
      </c>
      <c r="E37" s="151">
        <f>ROUNDUP(C18*(1+C19)/D37,0)</f>
        <v>0</v>
      </c>
      <c r="F37" s="154">
        <v>88.5</v>
      </c>
      <c r="G37" s="148" t="s">
        <v>752</v>
      </c>
      <c r="I37" s="1040"/>
      <c r="J37" s="1040"/>
    </row>
    <row r="38" spans="2:10" ht="25.35" customHeight="1">
      <c r="C38" s="1856" t="s">
        <v>1160</v>
      </c>
      <c r="D38" s="1857"/>
      <c r="E38" s="1858"/>
      <c r="F38" s="970" cm="1">
        <f t="array" ref="F38">SUMPRODUCT(E34:E37*F34:F37)</f>
        <v>0</v>
      </c>
      <c r="I38" s="1040"/>
      <c r="J38" s="1040"/>
    </row>
    <row r="39" spans="2:10">
      <c r="I39" s="1040"/>
      <c r="J39" s="1040"/>
    </row>
    <row r="40" spans="2:10">
      <c r="I40" s="1040"/>
      <c r="J40" s="1040"/>
    </row>
    <row r="41" spans="2:10">
      <c r="I41" s="1040"/>
      <c r="J41" s="1040"/>
    </row>
    <row r="42" spans="2:10" ht="13.5" thickBot="1">
      <c r="B42" s="765"/>
      <c r="I42" s="1040"/>
      <c r="J42" s="1040"/>
    </row>
    <row r="43" spans="2:10" ht="15.75">
      <c r="B43" s="189"/>
      <c r="C43" s="968" t="s">
        <v>506</v>
      </c>
      <c r="D43" s="969" t="s">
        <v>931</v>
      </c>
      <c r="I43" s="1040"/>
      <c r="J43" s="1040"/>
    </row>
    <row r="44" spans="2:10" ht="15">
      <c r="B44" s="189"/>
      <c r="C44" s="965" t="s">
        <v>542</v>
      </c>
      <c r="D44" s="665">
        <f>F31</f>
        <v>0</v>
      </c>
      <c r="I44" s="1040"/>
      <c r="J44" s="1040"/>
    </row>
    <row r="45" spans="2:10" ht="15.75" thickBot="1">
      <c r="B45" s="189"/>
      <c r="C45" s="966" t="s">
        <v>543</v>
      </c>
      <c r="D45" s="666">
        <f>F38</f>
        <v>0</v>
      </c>
      <c r="I45" s="1040"/>
      <c r="J45" s="1040"/>
    </row>
    <row r="46" spans="2:10" ht="32.25" thickBot="1">
      <c r="B46" s="189"/>
      <c r="C46" s="967" t="s">
        <v>1161</v>
      </c>
      <c r="D46" s="667">
        <f>SUM(D44:D45)</f>
        <v>0</v>
      </c>
      <c r="I46" s="1040"/>
      <c r="J46" s="1040"/>
    </row>
    <row r="47" spans="2:10">
      <c r="B47" s="765"/>
      <c r="I47" s="1040"/>
      <c r="J47" s="1040"/>
    </row>
    <row r="48" spans="2:10">
      <c r="B48" s="765"/>
      <c r="I48" s="1040"/>
      <c r="J48" s="1040"/>
    </row>
    <row r="49" spans="1:10">
      <c r="A49" s="1040"/>
      <c r="B49" s="1100"/>
      <c r="C49" s="1040"/>
      <c r="D49" s="1040"/>
      <c r="E49" s="1040"/>
      <c r="F49" s="1040"/>
      <c r="G49" s="1101"/>
      <c r="H49" s="1040"/>
      <c r="I49" s="1040"/>
      <c r="J49" s="1040"/>
    </row>
    <row r="50" spans="1:10">
      <c r="A50" s="1040"/>
      <c r="B50" s="1100"/>
      <c r="C50" s="1040"/>
      <c r="D50" s="1040"/>
      <c r="E50" s="1040"/>
      <c r="F50" s="1040"/>
      <c r="G50" s="1101"/>
      <c r="H50" s="1040"/>
      <c r="I50" s="1040"/>
      <c r="J50" s="1040"/>
    </row>
    <row r="51" spans="1:10">
      <c r="A51" s="1040"/>
      <c r="B51" s="1040"/>
      <c r="C51" s="1040"/>
      <c r="D51" s="1040"/>
      <c r="E51" s="1040"/>
      <c r="F51" s="1040"/>
      <c r="G51" s="1101"/>
      <c r="H51" s="1040"/>
      <c r="I51" s="1040"/>
      <c r="J51" s="1040"/>
    </row>
  </sheetData>
  <sheetProtection algorithmName="SHA-512" hashValue="TMhHsKsSd2bMz3qpSB0zM/wkA5X88wuRSbeXwKxAhH2KmH0NbAkZk40p1sQmjv2P54H3taFppRW9YJ1uEX8flQ==" saltValue="nrm8F7394EIMDOR5+VPi3Q==" spinCount="100000" sheet="1" objects="1" scenarios="1" selectLockedCells="1"/>
  <mergeCells count="11">
    <mergeCell ref="C31:E31"/>
    <mergeCell ref="C38:E38"/>
    <mergeCell ref="D12:D13"/>
    <mergeCell ref="D18:D19"/>
    <mergeCell ref="B11:D11"/>
    <mergeCell ref="B17:D17"/>
    <mergeCell ref="B3:C3"/>
    <mergeCell ref="E3:G3"/>
    <mergeCell ref="E7:F7"/>
    <mergeCell ref="A1:H1"/>
    <mergeCell ref="B2:H2"/>
  </mergeCells>
  <phoneticPr fontId="67" type="noConversion"/>
  <dataValidations disablePrompts="1" count="1">
    <dataValidation type="decimal" allowBlank="1" showInputMessage="1" showErrorMessage="1" error="Please enter %" sqref="D16 D21" xr:uid="{00000000-0002-0000-0E00-000000000000}">
      <formula1>0</formula1>
      <formula2>1</formula2>
    </dataValidation>
  </dataValidations>
  <pageMargins left="0.7" right="0.7" top="0.75" bottom="0.75" header="0.3" footer="0.3"/>
  <pageSetup paperSize="9" orientation="portrait" horizontalDpi="4294967292" verticalDpi="429496729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oglio16"/>
  <dimension ref="A1:AU79"/>
  <sheetViews>
    <sheetView showGridLines="0" zoomScaleNormal="100" zoomScalePageLayoutView="75" workbookViewId="0">
      <selection activeCell="C4" sqref="C4"/>
    </sheetView>
  </sheetViews>
  <sheetFormatPr defaultColWidth="0" defaultRowHeight="12.75" zeroHeight="1"/>
  <cols>
    <col min="1" max="1" width="15.1640625" style="375" customWidth="1"/>
    <col min="2" max="2" width="65.1640625" style="375" customWidth="1"/>
    <col min="3" max="3" width="36" style="375" customWidth="1"/>
    <col min="4" max="4" width="84.1640625" style="375" customWidth="1"/>
    <col min="5" max="5" width="44" style="375" customWidth="1"/>
    <col min="6" max="6" width="32.6640625" style="375" customWidth="1"/>
    <col min="7" max="7" width="66.5" style="375" customWidth="1"/>
    <col min="8" max="8" width="35.1640625" style="375" customWidth="1"/>
    <col min="9" max="11" width="11" style="375" customWidth="1"/>
    <col min="12" max="19" width="11" style="1619" customWidth="1"/>
    <col min="20" max="20" width="13.1640625" style="375" hidden="1" customWidth="1"/>
    <col min="21" max="21" width="14.1640625" style="375" hidden="1" customWidth="1"/>
    <col min="22" max="47" width="0" style="375" hidden="1" customWidth="1"/>
    <col min="48" max="16384" width="11" style="375" hidden="1"/>
  </cols>
  <sheetData>
    <row r="1" spans="1:47" s="805" customFormat="1" ht="47.1" customHeight="1">
      <c r="A1" s="1855" t="s">
        <v>1162</v>
      </c>
      <c r="B1" s="1855"/>
      <c r="C1" s="1855"/>
      <c r="D1" s="1855"/>
      <c r="E1" s="1855"/>
      <c r="F1" s="1855"/>
      <c r="G1" s="1855"/>
      <c r="H1" s="1855"/>
      <c r="I1" s="1855"/>
      <c r="J1" s="1098"/>
      <c r="K1" s="1098"/>
      <c r="L1" s="1612"/>
      <c r="M1" s="1612"/>
      <c r="N1" s="1612"/>
      <c r="O1" s="1612"/>
      <c r="P1" s="1612"/>
      <c r="Q1" s="1612"/>
      <c r="R1" s="1612"/>
      <c r="S1" s="1612"/>
    </row>
    <row r="2" spans="1:47" s="805" customFormat="1" ht="42" customHeight="1">
      <c r="A2" s="1081"/>
      <c r="B2" s="1848" t="s">
        <v>1150</v>
      </c>
      <c r="C2" s="1848"/>
      <c r="D2" s="1848"/>
      <c r="E2" s="1848"/>
      <c r="F2" s="1848"/>
      <c r="G2" s="1848"/>
      <c r="H2" s="1848"/>
      <c r="I2" s="1848"/>
      <c r="J2" s="1098"/>
      <c r="K2" s="1098"/>
      <c r="L2" s="1612"/>
      <c r="M2" s="1612"/>
      <c r="N2" s="1612"/>
      <c r="O2" s="1612"/>
      <c r="P2" s="1612"/>
      <c r="Q2" s="1612"/>
      <c r="R2" s="1612"/>
      <c r="S2" s="1612"/>
    </row>
    <row r="3" spans="1:47" s="805" customFormat="1" ht="111.95" customHeight="1">
      <c r="A3" s="1081"/>
      <c r="B3" s="1850" t="s">
        <v>1130</v>
      </c>
      <c r="C3" s="1851"/>
      <c r="D3" s="1085"/>
      <c r="E3" s="1850" t="s">
        <v>1132</v>
      </c>
      <c r="F3" s="1851"/>
      <c r="G3" s="1852"/>
      <c r="H3" s="1081"/>
      <c r="I3" s="1081"/>
      <c r="J3" s="1098"/>
      <c r="K3" s="1098"/>
      <c r="L3" s="1612"/>
      <c r="M3" s="1612"/>
      <c r="N3" s="1612"/>
      <c r="O3" s="1612"/>
      <c r="P3" s="1612"/>
      <c r="Q3" s="1612"/>
      <c r="R3" s="1612"/>
      <c r="S3" s="1612"/>
    </row>
    <row r="4" spans="1:47" s="805" customFormat="1" ht="31.5">
      <c r="A4" s="1081"/>
      <c r="B4" s="807" t="s">
        <v>809</v>
      </c>
      <c r="C4" s="1613">
        <v>0</v>
      </c>
      <c r="D4" s="1084"/>
      <c r="E4" s="809" t="s">
        <v>778</v>
      </c>
      <c r="F4" s="810" t="s">
        <v>1043</v>
      </c>
      <c r="G4" s="1335" t="s">
        <v>1388</v>
      </c>
      <c r="H4" s="1081"/>
      <c r="I4" s="1081"/>
      <c r="J4" s="1098"/>
      <c r="K4" s="1098"/>
      <c r="L4" s="1612"/>
      <c r="M4" s="1612"/>
      <c r="N4" s="1612"/>
      <c r="O4" s="1612"/>
      <c r="P4" s="1612"/>
      <c r="Q4" s="1612"/>
      <c r="R4" s="1612"/>
      <c r="S4" s="1612"/>
    </row>
    <row r="5" spans="1:47" s="805" customFormat="1" ht="48.95" customHeight="1">
      <c r="A5" s="1081"/>
      <c r="B5" s="807" t="s">
        <v>1384</v>
      </c>
      <c r="C5" s="812">
        <f>C4*Months</f>
        <v>0</v>
      </c>
      <c r="D5" s="1084"/>
      <c r="E5" s="813" t="s">
        <v>1143</v>
      </c>
      <c r="F5" s="1623">
        <v>1</v>
      </c>
      <c r="G5" s="814">
        <f>Epidemiology!$B$14*F5</f>
        <v>0</v>
      </c>
      <c r="H5" s="1081"/>
      <c r="I5" s="1081"/>
      <c r="J5" s="1098"/>
      <c r="K5" s="1098"/>
      <c r="L5" s="1612"/>
      <c r="M5" s="1612"/>
      <c r="N5" s="1612"/>
      <c r="O5" s="1612"/>
      <c r="P5" s="1612"/>
      <c r="Q5" s="1612"/>
      <c r="R5" s="1612"/>
      <c r="S5" s="1612"/>
    </row>
    <row r="6" spans="1:47" s="805" customFormat="1" ht="47.25">
      <c r="A6" s="1081"/>
      <c r="B6" s="1083"/>
      <c r="C6" s="1084"/>
      <c r="D6" s="1084"/>
      <c r="E6" s="813" t="s">
        <v>977</v>
      </c>
      <c r="F6" s="1623">
        <v>1</v>
      </c>
      <c r="G6" s="814">
        <f>(Epidemiology!$E$7+Epidemiology!$B$8)*F6*Epidemiology!B16</f>
        <v>0</v>
      </c>
      <c r="H6" s="1081"/>
      <c r="I6" s="1081"/>
      <c r="J6" s="1098"/>
      <c r="K6" s="1098"/>
      <c r="L6" s="1612"/>
      <c r="M6" s="1612"/>
      <c r="N6" s="1612"/>
      <c r="O6" s="1612"/>
      <c r="P6" s="1612"/>
      <c r="Q6" s="1612"/>
      <c r="R6" s="1612"/>
      <c r="S6" s="1612"/>
    </row>
    <row r="7" spans="1:47" s="805" customFormat="1" ht="17.25">
      <c r="A7" s="1081"/>
      <c r="B7" s="1083"/>
      <c r="C7" s="1084"/>
      <c r="D7" s="1084"/>
      <c r="E7" s="1853" t="s">
        <v>1389</v>
      </c>
      <c r="F7" s="1853"/>
      <c r="G7" s="814">
        <f>SUM(G5:G6)</f>
        <v>0</v>
      </c>
      <c r="H7" s="1081"/>
      <c r="I7" s="1081"/>
      <c r="J7" s="1098"/>
      <c r="K7" s="1098"/>
      <c r="L7" s="1612"/>
      <c r="M7" s="1612"/>
      <c r="N7" s="1612"/>
      <c r="O7" s="1612"/>
      <c r="P7" s="1612"/>
      <c r="Q7" s="1612"/>
      <c r="R7" s="1612"/>
      <c r="S7" s="1612"/>
    </row>
    <row r="8" spans="1:47" s="805" customFormat="1" ht="17.25">
      <c r="A8" s="1081"/>
      <c r="B8" s="1083"/>
      <c r="C8" s="1084"/>
      <c r="D8" s="1084"/>
      <c r="E8" s="1096"/>
      <c r="F8" s="1096"/>
      <c r="G8" s="1097"/>
      <c r="H8" s="1081"/>
      <c r="I8" s="1081"/>
      <c r="J8" s="1098"/>
      <c r="K8" s="1098"/>
      <c r="L8" s="1612"/>
      <c r="M8" s="1612"/>
      <c r="N8" s="1612"/>
      <c r="O8" s="1612"/>
      <c r="P8" s="1612"/>
      <c r="Q8" s="1612"/>
      <c r="R8" s="1612"/>
      <c r="S8" s="1612"/>
    </row>
    <row r="9" spans="1:47">
      <c r="A9" s="1082"/>
      <c r="B9" s="1082"/>
      <c r="C9" s="1082"/>
      <c r="D9" s="1082"/>
      <c r="E9" s="1082"/>
      <c r="F9" s="1082"/>
      <c r="G9" s="1082"/>
      <c r="H9" s="1082"/>
      <c r="I9" s="1082"/>
      <c r="J9" s="1106"/>
      <c r="K9" s="1106"/>
    </row>
    <row r="10" spans="1:47" s="1082" customFormat="1">
      <c r="J10" s="1106"/>
      <c r="K10" s="1106"/>
      <c r="L10" s="1663"/>
      <c r="M10" s="1663"/>
      <c r="N10" s="1663"/>
      <c r="O10" s="1663"/>
      <c r="P10" s="1663"/>
      <c r="Q10" s="1663"/>
      <c r="R10" s="1663"/>
      <c r="S10" s="1663"/>
    </row>
    <row r="11" spans="1:47" s="1082" customFormat="1">
      <c r="J11" s="1106"/>
      <c r="K11" s="1106"/>
      <c r="L11" s="1663"/>
      <c r="M11" s="1663"/>
      <c r="N11" s="1663"/>
      <c r="O11" s="1663"/>
      <c r="P11" s="1663"/>
      <c r="Q11" s="1663"/>
      <c r="R11" s="1663"/>
      <c r="S11" s="1663"/>
    </row>
    <row r="12" spans="1:47" s="396" customFormat="1">
      <c r="A12" s="393"/>
      <c r="B12" s="393"/>
      <c r="C12" s="393"/>
      <c r="D12" s="393"/>
      <c r="E12" s="393"/>
      <c r="F12" s="393"/>
      <c r="G12" s="393"/>
      <c r="H12" s="393"/>
      <c r="I12" s="393"/>
      <c r="J12" s="1106"/>
      <c r="K12" s="1106"/>
      <c r="L12" s="1664"/>
      <c r="M12" s="1664"/>
      <c r="N12" s="1664"/>
      <c r="O12" s="1664"/>
      <c r="P12" s="1664"/>
      <c r="Q12" s="1664"/>
      <c r="R12" s="1664"/>
      <c r="S12" s="1664"/>
    </row>
    <row r="13" spans="1:47" s="396" customFormat="1" ht="14.1" customHeight="1">
      <c r="A13" s="393"/>
      <c r="B13" s="972" t="s">
        <v>1390</v>
      </c>
      <c r="C13" s="1638" t="s">
        <v>815</v>
      </c>
      <c r="D13" s="393"/>
      <c r="E13" s="393"/>
      <c r="F13" s="393"/>
      <c r="G13" s="393"/>
      <c r="H13" s="393"/>
      <c r="I13" s="393"/>
      <c r="J13" s="1106"/>
      <c r="K13" s="1106"/>
      <c r="L13" s="1665"/>
      <c r="M13" s="1665"/>
      <c r="N13" s="1665"/>
      <c r="O13" s="1665"/>
      <c r="P13" s="1665"/>
      <c r="Q13" s="1665"/>
      <c r="R13" s="1665"/>
      <c r="S13" s="1665"/>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row>
    <row r="14" spans="1:47" ht="31.5">
      <c r="A14" s="1105"/>
      <c r="B14" s="888" t="s">
        <v>1391</v>
      </c>
      <c r="C14" s="1632">
        <v>0</v>
      </c>
      <c r="D14" s="1870"/>
      <c r="E14" s="1119"/>
      <c r="F14" s="1119"/>
      <c r="G14" s="1119"/>
      <c r="H14" s="1120"/>
      <c r="I14" s="393"/>
      <c r="J14" s="1107"/>
      <c r="K14" s="1107"/>
      <c r="L14" s="1665"/>
      <c r="M14" s="1665"/>
      <c r="N14" s="1665"/>
      <c r="O14" s="1665"/>
      <c r="P14" s="1665"/>
      <c r="Q14" s="1665"/>
      <c r="R14" s="1665"/>
      <c r="S14" s="1665"/>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row>
    <row r="15" spans="1:47" ht="15.75">
      <c r="A15" s="1105"/>
      <c r="B15" s="889" t="s">
        <v>612</v>
      </c>
      <c r="C15" s="1639">
        <v>0</v>
      </c>
      <c r="D15" s="1870"/>
      <c r="E15" s="1119"/>
      <c r="F15" s="1119"/>
      <c r="G15" s="1119"/>
      <c r="H15" s="1120"/>
      <c r="I15" s="393"/>
      <c r="J15" s="1107"/>
      <c r="K15" s="1107"/>
      <c r="L15" s="1665"/>
      <c r="M15" s="1665"/>
      <c r="N15" s="1665"/>
      <c r="O15" s="1665"/>
      <c r="P15" s="1665"/>
      <c r="Q15" s="1665"/>
      <c r="R15" s="1665"/>
      <c r="S15" s="1665"/>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row>
    <row r="16" spans="1:47" ht="15.75">
      <c r="A16" s="1105"/>
      <c r="B16" s="1299" t="s">
        <v>890</v>
      </c>
      <c r="C16" s="1640">
        <v>0</v>
      </c>
      <c r="D16" s="1337"/>
      <c r="E16" s="1119"/>
      <c r="F16" s="1119"/>
      <c r="G16" s="1119"/>
      <c r="H16" s="1120"/>
      <c r="I16" s="393"/>
      <c r="J16" s="1107"/>
      <c r="K16" s="1107"/>
      <c r="L16" s="1665"/>
      <c r="M16" s="1665"/>
      <c r="N16" s="1665"/>
      <c r="O16" s="1665"/>
      <c r="P16" s="1665"/>
      <c r="Q16" s="1665"/>
      <c r="R16" s="1665"/>
      <c r="S16" s="1665"/>
      <c r="T16" s="848"/>
      <c r="U16" s="848"/>
      <c r="V16" s="848"/>
      <c r="W16" s="848"/>
      <c r="X16" s="848"/>
      <c r="Y16" s="848"/>
      <c r="Z16" s="848"/>
      <c r="AA16" s="848"/>
      <c r="AB16" s="848"/>
      <c r="AC16" s="848"/>
      <c r="AD16" s="848"/>
      <c r="AE16" s="848"/>
      <c r="AF16" s="848"/>
      <c r="AG16" s="848"/>
      <c r="AH16" s="848"/>
      <c r="AI16" s="848"/>
      <c r="AJ16" s="848"/>
      <c r="AK16" s="848"/>
      <c r="AL16" s="848"/>
      <c r="AM16" s="848"/>
      <c r="AN16" s="848"/>
      <c r="AO16" s="848"/>
      <c r="AP16" s="848"/>
      <c r="AQ16" s="848"/>
      <c r="AR16" s="848"/>
      <c r="AS16" s="848"/>
      <c r="AT16" s="848"/>
      <c r="AU16" s="848"/>
    </row>
    <row r="17" spans="1:47" s="393" customFormat="1" ht="15.75">
      <c r="A17" s="1105"/>
      <c r="B17" s="890" t="s">
        <v>1057</v>
      </c>
      <c r="C17" s="1131">
        <f>(ROUNDUP(C14*(1+C15),0))</f>
        <v>0</v>
      </c>
      <c r="D17" s="1117"/>
      <c r="J17" s="1107"/>
      <c r="K17" s="1107"/>
      <c r="L17" s="1665"/>
      <c r="M17" s="1665"/>
      <c r="N17" s="1665"/>
      <c r="O17" s="1665"/>
      <c r="P17" s="1665"/>
      <c r="Q17" s="1665"/>
      <c r="R17" s="1665"/>
      <c r="S17" s="1665"/>
      <c r="T17" s="848"/>
      <c r="U17" s="848"/>
      <c r="V17" s="848"/>
      <c r="W17" s="848"/>
      <c r="X17" s="848"/>
      <c r="Y17" s="848"/>
      <c r="Z17" s="848"/>
      <c r="AA17" s="848"/>
      <c r="AB17" s="848"/>
      <c r="AC17" s="848"/>
      <c r="AD17" s="848"/>
      <c r="AE17" s="848"/>
      <c r="AF17" s="848"/>
      <c r="AG17" s="848"/>
      <c r="AH17" s="848"/>
      <c r="AI17" s="848"/>
      <c r="AJ17" s="848"/>
      <c r="AK17" s="848"/>
      <c r="AL17" s="848"/>
      <c r="AM17" s="848"/>
      <c r="AN17" s="848"/>
      <c r="AO17" s="848"/>
      <c r="AP17" s="848"/>
      <c r="AQ17" s="848"/>
      <c r="AR17" s="848"/>
      <c r="AS17" s="848"/>
      <c r="AT17" s="848"/>
      <c r="AU17" s="848"/>
    </row>
    <row r="18" spans="1:47" s="393" customFormat="1" ht="15.75">
      <c r="B18" s="890" t="s">
        <v>1418</v>
      </c>
      <c r="C18" s="1131">
        <f>(ROUNDUP(C14*(1+C15),0))-C16</f>
        <v>0</v>
      </c>
      <c r="D18" s="1117"/>
      <c r="J18" s="1107"/>
      <c r="K18" s="1107"/>
      <c r="L18" s="1665"/>
      <c r="M18" s="1665"/>
      <c r="N18" s="1665"/>
      <c r="O18" s="1665"/>
      <c r="P18" s="1665"/>
      <c r="Q18" s="1665"/>
      <c r="R18" s="1665"/>
      <c r="S18" s="1665"/>
      <c r="T18" s="848"/>
      <c r="U18" s="848"/>
      <c r="V18" s="848"/>
      <c r="W18" s="848"/>
      <c r="X18" s="848"/>
      <c r="Y18" s="848"/>
      <c r="Z18" s="848"/>
      <c r="AA18" s="848"/>
      <c r="AB18" s="848"/>
      <c r="AC18" s="848"/>
      <c r="AD18" s="848"/>
      <c r="AE18" s="848"/>
      <c r="AF18" s="848"/>
      <c r="AG18" s="848"/>
      <c r="AH18" s="848"/>
      <c r="AI18" s="848"/>
      <c r="AJ18" s="848"/>
      <c r="AK18" s="848"/>
      <c r="AL18" s="848"/>
      <c r="AM18" s="848"/>
      <c r="AN18" s="848"/>
      <c r="AO18" s="848"/>
      <c r="AP18" s="848"/>
      <c r="AQ18" s="848"/>
      <c r="AR18" s="848"/>
      <c r="AS18" s="848"/>
      <c r="AT18" s="848"/>
      <c r="AU18" s="848"/>
    </row>
    <row r="19" spans="1:47" s="393" customFormat="1" ht="15.75">
      <c r="B19" s="1121"/>
      <c r="C19" s="1122"/>
      <c r="D19" s="1117"/>
      <c r="J19" s="1107"/>
      <c r="K19" s="1107"/>
      <c r="L19" s="1665"/>
      <c r="M19" s="1665"/>
      <c r="N19" s="1665"/>
      <c r="O19" s="1665"/>
      <c r="P19" s="1665"/>
      <c r="Q19" s="1665"/>
      <c r="R19" s="1665"/>
      <c r="S19" s="1665"/>
      <c r="T19" s="848"/>
      <c r="U19" s="848"/>
      <c r="V19" s="848"/>
      <c r="W19" s="848"/>
      <c r="X19" s="848"/>
      <c r="Y19" s="848"/>
      <c r="Z19" s="848"/>
      <c r="AA19" s="848"/>
      <c r="AB19" s="848"/>
      <c r="AC19" s="848"/>
      <c r="AD19" s="848"/>
      <c r="AE19" s="848"/>
      <c r="AF19" s="848"/>
      <c r="AG19" s="848"/>
      <c r="AH19" s="848"/>
      <c r="AI19" s="848"/>
      <c r="AJ19" s="848"/>
      <c r="AK19" s="848"/>
      <c r="AL19" s="848"/>
      <c r="AM19" s="848"/>
      <c r="AN19" s="848"/>
      <c r="AO19" s="848"/>
      <c r="AP19" s="848"/>
      <c r="AQ19" s="848"/>
      <c r="AR19" s="848"/>
      <c r="AS19" s="848"/>
      <c r="AT19" s="848"/>
      <c r="AU19" s="848"/>
    </row>
    <row r="20" spans="1:47" s="393" customFormat="1" ht="25.5">
      <c r="B20" s="1123"/>
      <c r="C20" s="1122"/>
      <c r="D20" s="1117"/>
      <c r="J20" s="1107"/>
      <c r="K20" s="1107"/>
      <c r="L20" s="1665"/>
      <c r="M20" s="1665"/>
      <c r="N20" s="1665"/>
      <c r="O20" s="1665"/>
      <c r="P20" s="1665"/>
      <c r="Q20" s="1665"/>
      <c r="R20" s="1665"/>
      <c r="S20" s="1665"/>
      <c r="T20" s="848" t="s">
        <v>815</v>
      </c>
      <c r="U20" s="848" t="s">
        <v>816</v>
      </c>
      <c r="V20" s="848"/>
      <c r="W20" s="848"/>
      <c r="X20" s="848"/>
      <c r="Y20" s="848"/>
      <c r="Z20" s="848"/>
      <c r="AA20" s="848"/>
      <c r="AB20" s="848"/>
      <c r="AC20" s="848"/>
      <c r="AD20" s="848"/>
      <c r="AE20" s="848"/>
      <c r="AF20" s="848"/>
      <c r="AG20" s="848"/>
      <c r="AH20" s="848"/>
      <c r="AI20" s="848"/>
      <c r="AJ20" s="848"/>
      <c r="AK20" s="848"/>
      <c r="AL20" s="848"/>
      <c r="AM20" s="848"/>
      <c r="AN20" s="848"/>
      <c r="AO20" s="848"/>
      <c r="AP20" s="848"/>
      <c r="AQ20" s="848"/>
      <c r="AR20" s="848"/>
      <c r="AS20" s="848"/>
      <c r="AT20" s="848"/>
      <c r="AU20" s="848"/>
    </row>
    <row r="21" spans="1:47" s="393" customFormat="1" ht="39" thickBot="1">
      <c r="B21" s="1124"/>
      <c r="C21" s="1117"/>
      <c r="D21" s="1117"/>
      <c r="E21" s="1118" t="s">
        <v>736</v>
      </c>
      <c r="J21" s="1107"/>
      <c r="K21" s="1107"/>
      <c r="L21" s="1665"/>
      <c r="M21" s="1665"/>
      <c r="N21" s="1665"/>
      <c r="O21" s="1665"/>
      <c r="P21" s="1665"/>
      <c r="Q21" s="1665"/>
      <c r="R21" s="1665"/>
      <c r="S21" s="1665"/>
      <c r="T21" s="848"/>
      <c r="U21" s="848"/>
      <c r="V21" s="848"/>
      <c r="W21" s="848"/>
      <c r="X21" s="848"/>
      <c r="Y21" s="848"/>
      <c r="Z21" s="848"/>
      <c r="AA21" s="848"/>
      <c r="AB21" s="848"/>
      <c r="AC21" s="848"/>
      <c r="AD21" s="848"/>
      <c r="AE21" s="848"/>
      <c r="AF21" s="848"/>
      <c r="AG21" s="848"/>
      <c r="AH21" s="848"/>
      <c r="AI21" s="848"/>
      <c r="AJ21" s="848"/>
      <c r="AK21" s="848"/>
      <c r="AL21" s="848"/>
      <c r="AM21" s="848"/>
      <c r="AN21" s="848"/>
      <c r="AO21" s="848"/>
      <c r="AP21" s="848"/>
      <c r="AQ21" s="848"/>
      <c r="AR21" s="848"/>
      <c r="AS21" s="848"/>
      <c r="AT21" s="848"/>
      <c r="AU21" s="848"/>
    </row>
    <row r="22" spans="1:47" ht="38.1" customHeight="1" thickBot="1">
      <c r="A22" s="1125" t="s">
        <v>614</v>
      </c>
      <c r="B22" s="1126" t="s">
        <v>923</v>
      </c>
      <c r="C22" s="1127" t="s">
        <v>645</v>
      </c>
      <c r="D22" s="1128" t="s">
        <v>1378</v>
      </c>
      <c r="E22" s="1129" t="s">
        <v>737</v>
      </c>
      <c r="F22" s="1127" t="s">
        <v>944</v>
      </c>
      <c r="G22" s="1127" t="s">
        <v>433</v>
      </c>
      <c r="H22" s="1130" t="s">
        <v>79</v>
      </c>
      <c r="I22" s="847"/>
      <c r="J22" s="1107"/>
      <c r="K22" s="1107"/>
      <c r="L22" s="1665"/>
      <c r="M22" s="1665"/>
      <c r="N22" s="1665"/>
      <c r="O22" s="1665"/>
      <c r="P22" s="1665"/>
      <c r="Q22" s="1665"/>
      <c r="R22" s="1665"/>
      <c r="S22" s="1665"/>
      <c r="T22" s="848"/>
      <c r="U22" s="848"/>
      <c r="V22" s="848"/>
      <c r="W22" s="848"/>
      <c r="X22" s="848"/>
      <c r="Y22" s="848"/>
      <c r="Z22" s="848"/>
      <c r="AA22" s="848"/>
      <c r="AB22" s="848"/>
      <c r="AC22" s="848"/>
      <c r="AD22" s="848"/>
      <c r="AE22" s="848"/>
      <c r="AF22" s="848"/>
      <c r="AG22" s="848"/>
      <c r="AH22" s="848"/>
      <c r="AI22" s="848"/>
      <c r="AJ22" s="848"/>
      <c r="AK22" s="848"/>
      <c r="AL22" s="848"/>
      <c r="AM22" s="848"/>
      <c r="AN22" s="848"/>
      <c r="AO22" s="848"/>
      <c r="AP22" s="848"/>
      <c r="AQ22" s="848"/>
      <c r="AR22" s="848"/>
      <c r="AS22" s="848"/>
      <c r="AT22" s="848"/>
      <c r="AU22" s="848"/>
    </row>
    <row r="23" spans="1:47" ht="31.5">
      <c r="A23" s="878">
        <v>106585</v>
      </c>
      <c r="B23" s="885" t="s">
        <v>1163</v>
      </c>
      <c r="C23" s="880" t="s">
        <v>658</v>
      </c>
      <c r="D23" s="881">
        <v>1</v>
      </c>
      <c r="E23" s="1637">
        <v>0</v>
      </c>
      <c r="F23" s="882">
        <f>IF(C13=T20,ROUNDUP((E23/D23)*$C$18,0),0)</f>
        <v>0</v>
      </c>
      <c r="G23" s="882">
        <v>90</v>
      </c>
      <c r="H23" s="884"/>
      <c r="I23" s="847"/>
      <c r="J23" s="1107"/>
      <c r="K23" s="1107"/>
      <c r="L23" s="1665"/>
      <c r="M23" s="1665"/>
      <c r="N23" s="1665"/>
      <c r="O23" s="1665"/>
      <c r="P23" s="1665"/>
      <c r="Q23" s="1665"/>
      <c r="R23" s="1665"/>
      <c r="S23" s="1665"/>
      <c r="T23" s="848"/>
      <c r="U23" s="848"/>
      <c r="V23" s="848"/>
      <c r="W23" s="848"/>
      <c r="X23" s="848"/>
      <c r="Y23" s="848"/>
      <c r="Z23" s="848"/>
      <c r="AA23" s="848"/>
      <c r="AB23" s="848"/>
      <c r="AC23" s="848"/>
      <c r="AD23" s="848"/>
      <c r="AE23" s="848"/>
      <c r="AF23" s="848"/>
      <c r="AG23" s="848"/>
      <c r="AH23" s="848"/>
      <c r="AI23" s="848"/>
      <c r="AJ23" s="848"/>
      <c r="AK23" s="848"/>
      <c r="AL23" s="848"/>
      <c r="AM23" s="848"/>
      <c r="AN23" s="848"/>
      <c r="AO23" s="848"/>
      <c r="AP23" s="848"/>
      <c r="AQ23" s="848"/>
      <c r="AR23" s="848"/>
      <c r="AS23" s="848"/>
      <c r="AT23" s="848"/>
      <c r="AU23" s="848"/>
    </row>
    <row r="24" spans="1:47" ht="15.75">
      <c r="A24" s="878">
        <v>106586</v>
      </c>
      <c r="B24" s="885" t="s">
        <v>1164</v>
      </c>
      <c r="C24" s="880" t="s">
        <v>658</v>
      </c>
      <c r="D24" s="881">
        <v>1</v>
      </c>
      <c r="E24" s="1637">
        <v>0</v>
      </c>
      <c r="F24" s="882">
        <f>IF(C13=T20,ROUNDUP((E24/D24)*$C$18,0),0)</f>
        <v>0</v>
      </c>
      <c r="G24" s="882">
        <v>90</v>
      </c>
      <c r="H24" s="884"/>
      <c r="I24" s="847"/>
      <c r="J24" s="1107"/>
      <c r="K24" s="1107"/>
      <c r="L24" s="1665"/>
      <c r="M24" s="1665"/>
      <c r="N24" s="1665"/>
      <c r="O24" s="1665"/>
      <c r="P24" s="1665"/>
      <c r="Q24" s="1665"/>
      <c r="R24" s="1665"/>
      <c r="S24" s="1665"/>
      <c r="T24" s="848"/>
      <c r="U24" s="848"/>
      <c r="V24" s="848"/>
      <c r="W24" s="848"/>
      <c r="X24" s="848"/>
      <c r="Y24" s="848"/>
      <c r="Z24" s="848"/>
      <c r="AA24" s="848"/>
      <c r="AB24" s="848"/>
      <c r="AC24" s="848"/>
      <c r="AD24" s="848"/>
      <c r="AE24" s="848"/>
      <c r="AF24" s="848"/>
      <c r="AG24" s="848"/>
      <c r="AH24" s="848"/>
      <c r="AI24" s="848"/>
      <c r="AJ24" s="848"/>
      <c r="AK24" s="848"/>
      <c r="AL24" s="848"/>
      <c r="AM24" s="848"/>
      <c r="AN24" s="848"/>
      <c r="AO24" s="848"/>
      <c r="AP24" s="848"/>
      <c r="AQ24" s="848"/>
      <c r="AR24" s="848"/>
      <c r="AS24" s="848"/>
      <c r="AT24" s="848"/>
      <c r="AU24" s="848"/>
    </row>
    <row r="25" spans="1:47" ht="31.5">
      <c r="A25" s="878">
        <v>106584</v>
      </c>
      <c r="B25" s="879" t="s">
        <v>831</v>
      </c>
      <c r="C25" s="880" t="s">
        <v>658</v>
      </c>
      <c r="D25" s="881">
        <v>1</v>
      </c>
      <c r="E25" s="1637">
        <v>0</v>
      </c>
      <c r="F25" s="882">
        <f>IF(C13=T20,ROUNDUP((E25/D25)*$C$18,0),0)</f>
        <v>0</v>
      </c>
      <c r="G25" s="882">
        <v>90</v>
      </c>
      <c r="H25" s="884"/>
      <c r="I25" s="847"/>
      <c r="J25" s="1107"/>
      <c r="K25" s="1107"/>
      <c r="L25" s="1665"/>
      <c r="M25" s="1665"/>
      <c r="N25" s="1665"/>
      <c r="O25" s="1665"/>
      <c r="P25" s="1665"/>
      <c r="Q25" s="1665"/>
      <c r="R25" s="1665"/>
      <c r="S25" s="1665"/>
      <c r="T25" s="848"/>
      <c r="U25" s="848"/>
      <c r="V25" s="848"/>
      <c r="W25" s="848"/>
      <c r="X25" s="848"/>
      <c r="Y25" s="848"/>
      <c r="Z25" s="848"/>
      <c r="AA25" s="848"/>
      <c r="AB25" s="848"/>
      <c r="AC25" s="848"/>
      <c r="AD25" s="848"/>
      <c r="AE25" s="848"/>
      <c r="AF25" s="848"/>
      <c r="AG25" s="848"/>
      <c r="AH25" s="848"/>
      <c r="AI25" s="848"/>
      <c r="AJ25" s="848"/>
      <c r="AK25" s="848"/>
      <c r="AL25" s="848"/>
      <c r="AM25" s="848"/>
      <c r="AN25" s="848"/>
      <c r="AO25" s="848"/>
      <c r="AP25" s="848"/>
      <c r="AQ25" s="848"/>
      <c r="AR25" s="848"/>
      <c r="AS25" s="848"/>
      <c r="AT25" s="848"/>
      <c r="AU25" s="848"/>
    </row>
    <row r="26" spans="1:47" ht="31.5">
      <c r="A26" s="878">
        <v>106587</v>
      </c>
      <c r="B26" s="885" t="s">
        <v>1165</v>
      </c>
      <c r="C26" s="880" t="s">
        <v>658</v>
      </c>
      <c r="D26" s="881">
        <v>1</v>
      </c>
      <c r="E26" s="1637">
        <v>0</v>
      </c>
      <c r="F26" s="882">
        <f>IF(C13=T20,ROUNDUP((E26/D26)*$C$18,0),0)</f>
        <v>0</v>
      </c>
      <c r="G26" s="882">
        <v>90</v>
      </c>
      <c r="H26" s="884"/>
      <c r="I26" s="847"/>
      <c r="J26" s="1107"/>
      <c r="K26" s="1107"/>
      <c r="L26" s="1665"/>
      <c r="M26" s="1665"/>
      <c r="N26" s="1665"/>
      <c r="O26" s="1665"/>
      <c r="P26" s="1665"/>
      <c r="Q26" s="1665"/>
      <c r="R26" s="1665"/>
      <c r="S26" s="1665"/>
      <c r="T26" s="848"/>
      <c r="U26" s="848"/>
      <c r="V26" s="848"/>
      <c r="W26" s="848"/>
      <c r="X26" s="848"/>
      <c r="Y26" s="848"/>
      <c r="Z26" s="848"/>
      <c r="AA26" s="848"/>
      <c r="AB26" s="848"/>
      <c r="AC26" s="848"/>
      <c r="AD26" s="848"/>
      <c r="AE26" s="848"/>
      <c r="AF26" s="848"/>
      <c r="AG26" s="848"/>
      <c r="AH26" s="848"/>
      <c r="AI26" s="848"/>
      <c r="AJ26" s="848"/>
      <c r="AK26" s="848"/>
      <c r="AL26" s="848"/>
      <c r="AM26" s="848"/>
      <c r="AN26" s="848"/>
      <c r="AO26" s="848"/>
      <c r="AP26" s="848"/>
      <c r="AQ26" s="848"/>
      <c r="AR26" s="848"/>
      <c r="AS26" s="848"/>
      <c r="AT26" s="848"/>
      <c r="AU26" s="848"/>
    </row>
    <row r="27" spans="1:47" ht="47.25">
      <c r="A27" s="878">
        <v>106582</v>
      </c>
      <c r="B27" s="885" t="s">
        <v>1166</v>
      </c>
      <c r="C27" s="880" t="s">
        <v>1167</v>
      </c>
      <c r="D27" s="881">
        <v>200</v>
      </c>
      <c r="E27" s="1637">
        <v>0</v>
      </c>
      <c r="F27" s="882">
        <f>IF(C13=T20,ROUNDUP((E27/D27)*$C$18,0),0)</f>
        <v>0</v>
      </c>
      <c r="G27" s="886">
        <v>65.8</v>
      </c>
      <c r="H27" s="884"/>
      <c r="I27" s="847"/>
      <c r="J27" s="1107"/>
      <c r="K27" s="1107"/>
      <c r="L27" s="1665"/>
      <c r="M27" s="1665"/>
      <c r="N27" s="1665"/>
      <c r="O27" s="1665"/>
      <c r="P27" s="1665"/>
      <c r="Q27" s="1665"/>
      <c r="R27" s="1665"/>
      <c r="S27" s="1665"/>
      <c r="T27" s="848"/>
      <c r="U27" s="848"/>
      <c r="V27" s="848"/>
      <c r="W27" s="848"/>
      <c r="X27" s="848"/>
      <c r="Y27" s="848"/>
      <c r="Z27" s="848"/>
      <c r="AA27" s="848"/>
      <c r="AB27" s="848"/>
      <c r="AC27" s="848"/>
      <c r="AD27" s="848"/>
      <c r="AE27" s="848"/>
      <c r="AF27" s="848"/>
      <c r="AG27" s="848"/>
      <c r="AH27" s="848"/>
      <c r="AI27" s="848"/>
      <c r="AJ27" s="848"/>
      <c r="AK27" s="848"/>
      <c r="AL27" s="848"/>
      <c r="AM27" s="848"/>
      <c r="AN27" s="848"/>
      <c r="AO27" s="848"/>
      <c r="AP27" s="848"/>
      <c r="AQ27" s="848"/>
      <c r="AR27" s="848"/>
      <c r="AS27" s="848"/>
      <c r="AT27" s="848"/>
      <c r="AU27" s="848"/>
    </row>
    <row r="28" spans="1:47" ht="31.5">
      <c r="A28" s="878">
        <v>106026</v>
      </c>
      <c r="B28" s="885" t="s">
        <v>1168</v>
      </c>
      <c r="C28" s="880" t="s">
        <v>660</v>
      </c>
      <c r="D28" s="881">
        <v>100</v>
      </c>
      <c r="E28" s="1637">
        <v>0</v>
      </c>
      <c r="F28" s="882">
        <f>IF(C13=T20,ROUNDUP((E28/D28)*$C$18,0),0)</f>
        <v>0</v>
      </c>
      <c r="G28" s="883">
        <v>195</v>
      </c>
      <c r="H28" s="884"/>
      <c r="I28" s="847"/>
      <c r="J28" s="1107"/>
      <c r="K28" s="1107"/>
      <c r="L28" s="1665"/>
      <c r="M28" s="1665"/>
      <c r="N28" s="1665"/>
      <c r="O28" s="1665"/>
      <c r="P28" s="1665"/>
      <c r="Q28" s="1665"/>
      <c r="R28" s="1665"/>
      <c r="S28" s="1665"/>
      <c r="T28" s="848"/>
      <c r="U28" s="848"/>
      <c r="V28" s="848"/>
      <c r="W28" s="848"/>
      <c r="X28" s="848"/>
      <c r="Y28" s="848"/>
      <c r="Z28" s="848"/>
      <c r="AA28" s="848"/>
      <c r="AB28" s="848"/>
      <c r="AC28" s="848"/>
      <c r="AD28" s="848"/>
      <c r="AE28" s="848"/>
      <c r="AF28" s="848"/>
      <c r="AG28" s="848"/>
      <c r="AH28" s="848"/>
      <c r="AI28" s="848"/>
      <c r="AJ28" s="848"/>
      <c r="AK28" s="848"/>
      <c r="AL28" s="848"/>
      <c r="AM28" s="848"/>
      <c r="AN28" s="848"/>
      <c r="AO28" s="848"/>
      <c r="AP28" s="848"/>
      <c r="AQ28" s="848"/>
      <c r="AR28" s="848"/>
      <c r="AS28" s="848"/>
      <c r="AT28" s="848"/>
      <c r="AU28" s="848"/>
    </row>
    <row r="29" spans="1:47" ht="15.75">
      <c r="A29" s="878">
        <v>106412</v>
      </c>
      <c r="B29" s="887" t="s">
        <v>1169</v>
      </c>
      <c r="C29" s="880" t="s">
        <v>1170</v>
      </c>
      <c r="D29" s="881">
        <v>800</v>
      </c>
      <c r="E29" s="1637">
        <v>0</v>
      </c>
      <c r="F29" s="882">
        <f>IF(C13=T20,ROUNDUP((E29/D29)*$C$18,0),0)</f>
        <v>0</v>
      </c>
      <c r="G29" s="883">
        <v>90</v>
      </c>
      <c r="H29" s="884"/>
      <c r="I29" s="847"/>
      <c r="J29" s="1107"/>
      <c r="K29" s="1107"/>
      <c r="L29" s="1665"/>
      <c r="M29" s="1665"/>
      <c r="N29" s="1665"/>
      <c r="O29" s="1665"/>
      <c r="P29" s="1665"/>
      <c r="Q29" s="1665"/>
      <c r="R29" s="1665"/>
      <c r="S29" s="1665"/>
      <c r="T29" s="848"/>
      <c r="U29" s="848"/>
      <c r="V29" s="848"/>
      <c r="W29" s="848"/>
      <c r="X29" s="848"/>
      <c r="Y29" s="848"/>
      <c r="Z29" s="848"/>
      <c r="AA29" s="848"/>
      <c r="AB29" s="848"/>
      <c r="AC29" s="848"/>
      <c r="AD29" s="848"/>
      <c r="AE29" s="848"/>
      <c r="AF29" s="848"/>
      <c r="AG29" s="848"/>
      <c r="AH29" s="848"/>
      <c r="AI29" s="848"/>
      <c r="AJ29" s="848"/>
      <c r="AK29" s="848"/>
      <c r="AL29" s="848"/>
      <c r="AM29" s="848"/>
      <c r="AN29" s="848"/>
      <c r="AO29" s="848"/>
      <c r="AP29" s="848"/>
      <c r="AQ29" s="848"/>
      <c r="AR29" s="848"/>
      <c r="AS29" s="848"/>
      <c r="AT29" s="848"/>
      <c r="AU29" s="848"/>
    </row>
    <row r="30" spans="1:47" ht="24.95" customHeight="1">
      <c r="A30" s="1105"/>
      <c r="B30" s="393"/>
      <c r="C30" s="1114"/>
      <c r="D30" s="1871" t="s">
        <v>1392</v>
      </c>
      <c r="E30" s="1872"/>
      <c r="F30" s="1873"/>
      <c r="G30" s="973">
        <f>SUMPRODUCT(F23:F29,G23:G29)</f>
        <v>0</v>
      </c>
      <c r="H30" s="1132"/>
      <c r="I30" s="847"/>
      <c r="J30" s="1107"/>
      <c r="K30" s="1107"/>
      <c r="L30" s="1665"/>
      <c r="M30" s="1665"/>
      <c r="N30" s="1665"/>
      <c r="O30" s="1665"/>
      <c r="P30" s="1665"/>
      <c r="Q30" s="1665"/>
      <c r="R30" s="1665"/>
      <c r="S30" s="1665"/>
      <c r="T30" s="848"/>
      <c r="U30" s="848"/>
      <c r="V30" s="848"/>
      <c r="W30" s="848"/>
      <c r="X30" s="848"/>
      <c r="Y30" s="848"/>
      <c r="Z30" s="848"/>
      <c r="AA30" s="848"/>
      <c r="AB30" s="848"/>
      <c r="AC30" s="848"/>
      <c r="AD30" s="848"/>
      <c r="AE30" s="848"/>
      <c r="AF30" s="848"/>
      <c r="AG30" s="848"/>
      <c r="AH30" s="848"/>
      <c r="AI30" s="848"/>
      <c r="AJ30" s="848"/>
      <c r="AK30" s="848"/>
      <c r="AL30" s="848"/>
      <c r="AM30" s="848"/>
      <c r="AN30" s="848"/>
      <c r="AO30" s="848"/>
      <c r="AP30" s="848"/>
      <c r="AQ30" s="848"/>
      <c r="AR30" s="848"/>
      <c r="AS30" s="848"/>
      <c r="AT30" s="848"/>
      <c r="AU30" s="848"/>
    </row>
    <row r="31" spans="1:47">
      <c r="A31" s="1082"/>
      <c r="B31" s="1082"/>
      <c r="C31" s="1082"/>
      <c r="D31" s="393"/>
      <c r="E31" s="393"/>
      <c r="F31" s="393"/>
      <c r="G31" s="393"/>
      <c r="H31" s="393"/>
      <c r="I31" s="1082"/>
      <c r="J31" s="1107"/>
      <c r="K31" s="1107"/>
      <c r="L31" s="1665"/>
      <c r="M31" s="1665"/>
      <c r="N31" s="1665"/>
      <c r="O31" s="1665"/>
      <c r="P31" s="1665"/>
      <c r="Q31" s="1665"/>
      <c r="R31" s="1665"/>
      <c r="S31" s="1665"/>
      <c r="T31" s="848"/>
      <c r="U31" s="848"/>
      <c r="V31" s="848"/>
      <c r="W31" s="848"/>
      <c r="X31" s="848"/>
      <c r="Y31" s="848"/>
      <c r="Z31" s="848"/>
      <c r="AA31" s="848"/>
      <c r="AB31" s="848"/>
      <c r="AC31" s="848"/>
      <c r="AD31" s="848"/>
      <c r="AE31" s="848"/>
      <c r="AF31" s="848"/>
      <c r="AG31" s="848"/>
      <c r="AH31" s="848"/>
      <c r="AI31" s="848"/>
      <c r="AJ31" s="848"/>
      <c r="AK31" s="848"/>
      <c r="AL31" s="848"/>
      <c r="AM31" s="848"/>
      <c r="AN31" s="848"/>
      <c r="AO31" s="848"/>
      <c r="AP31" s="848"/>
      <c r="AQ31" s="848"/>
      <c r="AR31" s="848"/>
      <c r="AS31" s="848"/>
      <c r="AT31" s="848"/>
      <c r="AU31" s="848"/>
    </row>
    <row r="32" spans="1:47">
      <c r="A32" s="1082"/>
      <c r="B32" s="1082"/>
      <c r="C32" s="1082"/>
      <c r="D32" s="393"/>
      <c r="E32" s="393"/>
      <c r="F32" s="393"/>
      <c r="G32" s="393"/>
      <c r="H32" s="393"/>
      <c r="I32" s="1082"/>
      <c r="J32" s="1107"/>
      <c r="K32" s="1107"/>
      <c r="L32" s="1665"/>
      <c r="M32" s="1665"/>
      <c r="N32" s="1665"/>
      <c r="O32" s="1665"/>
      <c r="P32" s="1665"/>
      <c r="Q32" s="1665"/>
      <c r="R32" s="1665"/>
      <c r="S32" s="1665"/>
      <c r="T32" s="848"/>
      <c r="U32" s="848"/>
      <c r="V32" s="848"/>
      <c r="W32" s="848"/>
      <c r="X32" s="848"/>
      <c r="Y32" s="848"/>
      <c r="Z32" s="848"/>
      <c r="AA32" s="848"/>
      <c r="AB32" s="848"/>
      <c r="AC32" s="848"/>
      <c r="AD32" s="848"/>
      <c r="AE32" s="848"/>
      <c r="AF32" s="848"/>
      <c r="AG32" s="848"/>
      <c r="AH32" s="848"/>
      <c r="AI32" s="848"/>
      <c r="AJ32" s="848"/>
      <c r="AK32" s="848"/>
      <c r="AL32" s="848"/>
      <c r="AM32" s="848"/>
      <c r="AN32" s="848"/>
      <c r="AO32" s="848"/>
      <c r="AP32" s="848"/>
      <c r="AQ32" s="848"/>
      <c r="AR32" s="848"/>
      <c r="AS32" s="848"/>
      <c r="AT32" s="848"/>
      <c r="AU32" s="848"/>
    </row>
    <row r="33" spans="1:47" ht="39" thickBot="1">
      <c r="A33" s="1105"/>
      <c r="B33" s="1115"/>
      <c r="C33" s="1116"/>
      <c r="D33" s="1117"/>
      <c r="E33" s="1118" t="s">
        <v>736</v>
      </c>
      <c r="F33" s="393"/>
      <c r="G33" s="393"/>
      <c r="H33" s="393"/>
      <c r="I33" s="1082"/>
      <c r="J33" s="1107"/>
      <c r="K33" s="1107"/>
      <c r="L33" s="1665"/>
      <c r="M33" s="1665"/>
      <c r="N33" s="1665"/>
      <c r="O33" s="1665"/>
      <c r="P33" s="1665"/>
      <c r="Q33" s="1665"/>
      <c r="R33" s="1665"/>
      <c r="S33" s="1665"/>
      <c r="T33" s="848"/>
      <c r="U33" s="848"/>
      <c r="V33" s="848"/>
      <c r="W33" s="848"/>
      <c r="X33" s="848"/>
      <c r="Y33" s="848"/>
      <c r="Z33" s="848"/>
      <c r="AA33" s="848"/>
      <c r="AB33" s="848"/>
      <c r="AC33" s="848"/>
      <c r="AD33" s="848"/>
      <c r="AE33" s="848"/>
      <c r="AF33" s="848"/>
      <c r="AG33" s="848"/>
      <c r="AH33" s="848"/>
      <c r="AI33" s="848"/>
      <c r="AJ33" s="848"/>
      <c r="AK33" s="848"/>
      <c r="AL33" s="848"/>
      <c r="AM33" s="848"/>
      <c r="AN33" s="848"/>
      <c r="AO33" s="848"/>
      <c r="AP33" s="848"/>
      <c r="AQ33" s="848"/>
      <c r="AR33" s="848"/>
      <c r="AS33" s="848"/>
      <c r="AT33" s="848"/>
      <c r="AU33" s="848"/>
    </row>
    <row r="34" spans="1:47" ht="38.1" customHeight="1">
      <c r="A34" s="1134" t="s">
        <v>614</v>
      </c>
      <c r="B34" s="1135" t="s">
        <v>923</v>
      </c>
      <c r="C34" s="1136" t="s">
        <v>645</v>
      </c>
      <c r="D34" s="1136" t="s">
        <v>1378</v>
      </c>
      <c r="E34" s="1137" t="s">
        <v>737</v>
      </c>
      <c r="F34" s="1136" t="s">
        <v>944</v>
      </c>
      <c r="G34" s="1136" t="s">
        <v>433</v>
      </c>
      <c r="H34" s="1138" t="s">
        <v>79</v>
      </c>
      <c r="I34" s="1082"/>
      <c r="J34" s="1107"/>
      <c r="K34" s="1107"/>
      <c r="L34" s="1665"/>
      <c r="M34" s="1665"/>
      <c r="N34" s="1665"/>
      <c r="O34" s="1665"/>
      <c r="P34" s="1665"/>
      <c r="Q34" s="1665"/>
      <c r="R34" s="1665"/>
      <c r="S34" s="1665"/>
      <c r="T34" s="848"/>
      <c r="U34" s="848"/>
      <c r="V34" s="848"/>
      <c r="W34" s="848"/>
      <c r="X34" s="848"/>
      <c r="Y34" s="848"/>
      <c r="Z34" s="848"/>
      <c r="AA34" s="848"/>
      <c r="AB34" s="848"/>
      <c r="AC34" s="848"/>
      <c r="AD34" s="848"/>
      <c r="AE34" s="848"/>
      <c r="AF34" s="848"/>
      <c r="AG34" s="848"/>
      <c r="AH34" s="848"/>
      <c r="AI34" s="848"/>
      <c r="AJ34" s="848"/>
      <c r="AK34" s="848"/>
      <c r="AL34" s="848"/>
      <c r="AM34" s="848"/>
      <c r="AN34" s="848"/>
      <c r="AO34" s="848"/>
      <c r="AP34" s="848"/>
      <c r="AQ34" s="848"/>
      <c r="AR34" s="848"/>
      <c r="AS34" s="848"/>
      <c r="AT34" s="848"/>
      <c r="AU34" s="848"/>
    </row>
    <row r="35" spans="1:47" ht="15.75">
      <c r="A35" s="1139">
        <v>106315</v>
      </c>
      <c r="B35" s="1144" t="s">
        <v>740</v>
      </c>
      <c r="C35" s="1140" t="s">
        <v>610</v>
      </c>
      <c r="D35" s="1141">
        <v>2</v>
      </c>
      <c r="E35" s="1632">
        <v>0</v>
      </c>
      <c r="F35" s="1141">
        <f t="shared" ref="F35:F48" si="0">IF($C$13=$U$20,ROUNDUP((E35/D35)*$C$18,0),0)</f>
        <v>0</v>
      </c>
      <c r="G35" s="1142">
        <v>165.9</v>
      </c>
      <c r="H35" s="1143"/>
      <c r="I35" s="1082"/>
      <c r="J35" s="1107"/>
      <c r="K35" s="1107"/>
      <c r="L35" s="1665"/>
      <c r="M35" s="1665"/>
      <c r="N35" s="1665"/>
      <c r="O35" s="1665"/>
      <c r="P35" s="1665"/>
      <c r="Q35" s="1665"/>
      <c r="R35" s="1665"/>
      <c r="S35" s="1665"/>
      <c r="T35" s="848"/>
      <c r="U35" s="848"/>
      <c r="V35" s="848"/>
      <c r="W35" s="848"/>
      <c r="X35" s="848"/>
      <c r="Y35" s="848"/>
      <c r="Z35" s="848"/>
      <c r="AA35" s="848"/>
      <c r="AB35" s="848"/>
      <c r="AC35" s="848"/>
      <c r="AD35" s="848"/>
      <c r="AE35" s="848"/>
      <c r="AF35" s="848"/>
      <c r="AG35" s="848"/>
      <c r="AH35" s="848"/>
      <c r="AI35" s="848"/>
      <c r="AJ35" s="848"/>
      <c r="AK35" s="848"/>
      <c r="AL35" s="848"/>
      <c r="AM35" s="848"/>
      <c r="AN35" s="848"/>
      <c r="AO35" s="848"/>
      <c r="AP35" s="848"/>
      <c r="AQ35" s="848"/>
      <c r="AR35" s="848"/>
      <c r="AS35" s="848"/>
      <c r="AT35" s="848"/>
      <c r="AU35" s="848"/>
    </row>
    <row r="36" spans="1:47" ht="15.75">
      <c r="A36" s="1139">
        <v>106319</v>
      </c>
      <c r="B36" s="1145" t="s">
        <v>649</v>
      </c>
      <c r="C36" s="1140" t="s">
        <v>610</v>
      </c>
      <c r="D36" s="1141">
        <v>1</v>
      </c>
      <c r="E36" s="1632">
        <v>0</v>
      </c>
      <c r="F36" s="1141">
        <f t="shared" si="0"/>
        <v>0</v>
      </c>
      <c r="G36" s="1142">
        <v>274.60000000000002</v>
      </c>
      <c r="H36" s="1143"/>
      <c r="I36" s="1082"/>
      <c r="J36" s="1107"/>
      <c r="K36" s="1107"/>
      <c r="L36" s="1665"/>
      <c r="M36" s="1665"/>
      <c r="N36" s="1665"/>
      <c r="O36" s="1665"/>
      <c r="P36" s="1665"/>
      <c r="Q36" s="1665"/>
      <c r="R36" s="1665"/>
      <c r="S36" s="1665"/>
      <c r="T36" s="848"/>
      <c r="U36" s="848"/>
      <c r="V36" s="848"/>
      <c r="W36" s="848"/>
      <c r="X36" s="848"/>
      <c r="Y36" s="848"/>
      <c r="Z36" s="848"/>
      <c r="AA36" s="848"/>
      <c r="AB36" s="848"/>
      <c r="AC36" s="848"/>
      <c r="AD36" s="848"/>
      <c r="AE36" s="848"/>
      <c r="AF36" s="848"/>
      <c r="AG36" s="848"/>
      <c r="AH36" s="848"/>
      <c r="AI36" s="848"/>
      <c r="AJ36" s="848"/>
      <c r="AK36" s="848"/>
      <c r="AL36" s="848"/>
      <c r="AM36" s="848"/>
      <c r="AN36" s="848"/>
      <c r="AO36" s="848"/>
      <c r="AP36" s="848"/>
      <c r="AQ36" s="848"/>
      <c r="AR36" s="848"/>
      <c r="AS36" s="848"/>
      <c r="AT36" s="848"/>
      <c r="AU36" s="848"/>
    </row>
    <row r="37" spans="1:47" ht="15.75">
      <c r="A37" s="1192">
        <v>106560</v>
      </c>
      <c r="B37" s="1145" t="s">
        <v>659</v>
      </c>
      <c r="C37" s="1140" t="s">
        <v>610</v>
      </c>
      <c r="D37" s="1141">
        <v>1</v>
      </c>
      <c r="E37" s="1632">
        <v>0</v>
      </c>
      <c r="F37" s="1141">
        <f t="shared" si="0"/>
        <v>0</v>
      </c>
      <c r="G37" s="1146">
        <v>43.75</v>
      </c>
      <c r="H37" s="1143"/>
      <c r="I37" s="1082"/>
      <c r="J37" s="1106"/>
      <c r="K37" s="1106"/>
      <c r="L37" s="1666"/>
      <c r="M37" s="1666"/>
      <c r="N37" s="1666"/>
      <c r="O37" s="1666"/>
      <c r="P37" s="1666"/>
      <c r="Q37" s="1666"/>
      <c r="R37" s="1666"/>
      <c r="S37" s="1666"/>
      <c r="T37" s="847"/>
      <c r="U37" s="847"/>
      <c r="V37" s="847"/>
      <c r="W37" s="847"/>
      <c r="X37" s="847"/>
      <c r="Y37" s="847"/>
      <c r="Z37" s="847"/>
      <c r="AA37" s="847"/>
      <c r="AB37" s="847"/>
      <c r="AC37" s="847"/>
      <c r="AD37" s="847"/>
      <c r="AE37" s="847"/>
      <c r="AF37" s="847"/>
      <c r="AG37" s="847"/>
      <c r="AH37" s="847"/>
      <c r="AI37" s="847"/>
      <c r="AJ37" s="847"/>
      <c r="AK37" s="847"/>
      <c r="AL37" s="847"/>
      <c r="AM37" s="847"/>
      <c r="AN37" s="847"/>
      <c r="AO37" s="847"/>
      <c r="AP37" s="847"/>
      <c r="AQ37" s="847"/>
      <c r="AR37" s="847"/>
      <c r="AS37" s="847"/>
      <c r="AT37" s="847"/>
      <c r="AU37" s="847"/>
    </row>
    <row r="38" spans="1:47" ht="15.75">
      <c r="A38" s="1192">
        <v>106653</v>
      </c>
      <c r="B38" s="1191" t="s">
        <v>738</v>
      </c>
      <c r="C38" s="1193" t="s">
        <v>704</v>
      </c>
      <c r="D38" s="1635">
        <v>0</v>
      </c>
      <c r="E38" s="1633">
        <v>0</v>
      </c>
      <c r="F38" s="1141">
        <f t="shared" si="0"/>
        <v>0</v>
      </c>
      <c r="G38" s="1190">
        <v>516.95000000000005</v>
      </c>
      <c r="H38" s="1148"/>
      <c r="I38" s="1082"/>
      <c r="J38" s="1106"/>
      <c r="K38" s="1106"/>
      <c r="L38" s="1666"/>
      <c r="M38" s="1666"/>
      <c r="N38" s="1666"/>
      <c r="O38" s="1666"/>
      <c r="P38" s="1666"/>
      <c r="Q38" s="1666"/>
      <c r="R38" s="1666"/>
      <c r="S38" s="1666"/>
      <c r="T38" s="847"/>
      <c r="U38" s="847"/>
      <c r="V38" s="847"/>
      <c r="W38" s="847"/>
      <c r="X38" s="847"/>
      <c r="Y38" s="847"/>
      <c r="Z38" s="847"/>
      <c r="AA38" s="847"/>
      <c r="AB38" s="847"/>
      <c r="AC38" s="847"/>
      <c r="AD38" s="847"/>
      <c r="AE38" s="847"/>
      <c r="AF38" s="847"/>
      <c r="AG38" s="847"/>
      <c r="AH38" s="847"/>
      <c r="AI38" s="847"/>
      <c r="AJ38" s="847"/>
      <c r="AK38" s="847"/>
      <c r="AL38" s="847"/>
      <c r="AM38" s="847"/>
      <c r="AN38" s="847"/>
      <c r="AO38" s="847"/>
      <c r="AP38" s="847"/>
      <c r="AQ38" s="847"/>
      <c r="AR38" s="847"/>
      <c r="AS38" s="847"/>
      <c r="AT38" s="847"/>
      <c r="AU38" s="847"/>
    </row>
    <row r="39" spans="1:47" ht="15.75">
      <c r="A39" s="1192">
        <v>106654</v>
      </c>
      <c r="B39" s="1191" t="s">
        <v>705</v>
      </c>
      <c r="C39" s="1193" t="s">
        <v>610</v>
      </c>
      <c r="D39" s="1635">
        <v>0</v>
      </c>
      <c r="E39" s="1633">
        <v>0</v>
      </c>
      <c r="F39" s="1141">
        <f t="shared" si="0"/>
        <v>0</v>
      </c>
      <c r="G39" s="1254">
        <v>111.3</v>
      </c>
      <c r="H39" s="1148"/>
      <c r="I39" s="1082"/>
      <c r="J39" s="1106"/>
      <c r="K39" s="1106"/>
      <c r="L39" s="1666"/>
      <c r="M39" s="1666"/>
      <c r="N39" s="1666"/>
      <c r="O39" s="1666"/>
      <c r="P39" s="1666"/>
      <c r="Q39" s="1666"/>
      <c r="R39" s="1666"/>
      <c r="S39" s="1666"/>
      <c r="T39" s="847"/>
      <c r="U39" s="847"/>
      <c r="V39" s="847"/>
      <c r="W39" s="847"/>
      <c r="X39" s="847"/>
      <c r="Y39" s="847"/>
      <c r="Z39" s="847"/>
      <c r="AA39" s="847"/>
      <c r="AB39" s="847"/>
      <c r="AC39" s="847"/>
      <c r="AD39" s="847"/>
      <c r="AE39" s="847"/>
      <c r="AF39" s="847"/>
      <c r="AG39" s="847"/>
      <c r="AH39" s="847"/>
      <c r="AI39" s="847"/>
      <c r="AJ39" s="847"/>
      <c r="AK39" s="847"/>
      <c r="AL39" s="847"/>
      <c r="AM39" s="847"/>
      <c r="AN39" s="847"/>
      <c r="AO39" s="847"/>
      <c r="AP39" s="847"/>
      <c r="AQ39" s="847"/>
      <c r="AR39" s="847"/>
      <c r="AS39" s="847"/>
      <c r="AT39" s="847"/>
      <c r="AU39" s="847"/>
    </row>
    <row r="40" spans="1:47" ht="15.75">
      <c r="A40" s="1147"/>
      <c r="B40" s="1641" t="s">
        <v>706</v>
      </c>
      <c r="C40" s="1636" t="s">
        <v>610</v>
      </c>
      <c r="D40" s="1635">
        <v>0</v>
      </c>
      <c r="E40" s="1633">
        <v>0</v>
      </c>
      <c r="F40" s="1141">
        <f t="shared" si="0"/>
        <v>0</v>
      </c>
      <c r="G40" s="1634">
        <v>0</v>
      </c>
      <c r="H40" s="1148"/>
      <c r="I40" s="1082"/>
      <c r="J40" s="1106"/>
      <c r="K40" s="1106"/>
      <c r="L40" s="1666"/>
      <c r="M40" s="1666"/>
      <c r="N40" s="1666"/>
      <c r="O40" s="1666"/>
      <c r="P40" s="1666"/>
      <c r="Q40" s="1666"/>
      <c r="R40" s="1666"/>
      <c r="S40" s="1666"/>
      <c r="T40" s="847"/>
      <c r="U40" s="847"/>
      <c r="V40" s="847"/>
      <c r="W40" s="847"/>
      <c r="X40" s="847"/>
      <c r="Y40" s="847"/>
      <c r="Z40" s="847"/>
      <c r="AA40" s="847"/>
      <c r="AB40" s="847"/>
      <c r="AC40" s="847"/>
      <c r="AD40" s="847"/>
      <c r="AE40" s="847"/>
      <c r="AF40" s="847"/>
      <c r="AG40" s="847"/>
      <c r="AH40" s="847"/>
      <c r="AI40" s="847"/>
      <c r="AJ40" s="847"/>
      <c r="AK40" s="847"/>
      <c r="AL40" s="847"/>
      <c r="AM40" s="847"/>
      <c r="AN40" s="847"/>
      <c r="AO40" s="847"/>
      <c r="AP40" s="847"/>
      <c r="AQ40" s="847"/>
      <c r="AR40" s="847"/>
      <c r="AS40" s="847"/>
      <c r="AT40" s="847"/>
      <c r="AU40" s="847"/>
    </row>
    <row r="41" spans="1:47" ht="15.75">
      <c r="A41" s="1147"/>
      <c r="B41" s="1641" t="s">
        <v>739</v>
      </c>
      <c r="C41" s="1636" t="s">
        <v>707</v>
      </c>
      <c r="D41" s="1635">
        <v>0</v>
      </c>
      <c r="E41" s="1633">
        <v>0</v>
      </c>
      <c r="F41" s="1141">
        <f t="shared" si="0"/>
        <v>0</v>
      </c>
      <c r="G41" s="1634">
        <v>0</v>
      </c>
      <c r="H41" s="1148"/>
      <c r="I41" s="1082"/>
      <c r="J41" s="1106"/>
      <c r="K41" s="1106"/>
      <c r="L41" s="1666"/>
      <c r="M41" s="1666"/>
      <c r="N41" s="1666"/>
      <c r="O41" s="1666"/>
      <c r="P41" s="1666"/>
      <c r="Q41" s="1666"/>
      <c r="R41" s="1666"/>
      <c r="S41" s="1666"/>
      <c r="T41" s="847"/>
      <c r="U41" s="847"/>
      <c r="V41" s="847"/>
      <c r="W41" s="847"/>
      <c r="X41" s="847"/>
      <c r="Y41" s="847"/>
      <c r="Z41" s="847"/>
      <c r="AA41" s="847"/>
      <c r="AB41" s="847"/>
      <c r="AC41" s="847"/>
      <c r="AD41" s="847"/>
      <c r="AE41" s="847"/>
      <c r="AF41" s="847"/>
      <c r="AG41" s="847"/>
      <c r="AH41" s="847"/>
      <c r="AI41" s="847"/>
      <c r="AJ41" s="847"/>
      <c r="AK41" s="847"/>
      <c r="AL41" s="847"/>
      <c r="AM41" s="847"/>
      <c r="AN41" s="847"/>
      <c r="AO41" s="847"/>
      <c r="AP41" s="847"/>
      <c r="AQ41" s="847"/>
      <c r="AR41" s="847"/>
      <c r="AS41" s="847"/>
      <c r="AT41" s="847"/>
      <c r="AU41" s="847"/>
    </row>
    <row r="42" spans="1:47" ht="15.75">
      <c r="A42" s="1139">
        <v>106623</v>
      </c>
      <c r="B42" s="1313" t="s">
        <v>1171</v>
      </c>
      <c r="C42" s="1141" t="s">
        <v>1167</v>
      </c>
      <c r="D42" s="1141">
        <v>90</v>
      </c>
      <c r="E42" s="1632">
        <v>0</v>
      </c>
      <c r="F42" s="1141">
        <f t="shared" si="0"/>
        <v>0</v>
      </c>
      <c r="G42" s="1141">
        <v>55</v>
      </c>
      <c r="H42" s="1143"/>
      <c r="I42" s="1082"/>
      <c r="J42" s="1106"/>
      <c r="K42" s="1106"/>
      <c r="L42" s="1666"/>
      <c r="M42" s="1666"/>
      <c r="N42" s="1666"/>
      <c r="O42" s="1666"/>
      <c r="P42" s="1666"/>
      <c r="Q42" s="1666"/>
      <c r="R42" s="1666"/>
      <c r="S42" s="1666"/>
      <c r="T42" s="847"/>
      <c r="U42" s="847"/>
      <c r="V42" s="847"/>
      <c r="W42" s="847"/>
      <c r="X42" s="847"/>
      <c r="Y42" s="847"/>
      <c r="Z42" s="847"/>
      <c r="AA42" s="847"/>
      <c r="AB42" s="847"/>
      <c r="AC42" s="847"/>
      <c r="AD42" s="847"/>
      <c r="AE42" s="847"/>
      <c r="AF42" s="847"/>
      <c r="AG42" s="847"/>
      <c r="AH42" s="847"/>
      <c r="AI42" s="847"/>
      <c r="AJ42" s="847"/>
      <c r="AK42" s="847"/>
      <c r="AL42" s="847"/>
      <c r="AM42" s="847"/>
      <c r="AN42" s="847"/>
      <c r="AO42" s="847"/>
      <c r="AP42" s="847"/>
      <c r="AQ42" s="847"/>
      <c r="AR42" s="847"/>
      <c r="AS42" s="847"/>
      <c r="AT42" s="847"/>
      <c r="AU42" s="847"/>
    </row>
    <row r="43" spans="1:47" ht="31.5">
      <c r="A43" s="1139">
        <v>106026</v>
      </c>
      <c r="B43" s="1149" t="s">
        <v>1155</v>
      </c>
      <c r="C43" s="1141" t="s">
        <v>660</v>
      </c>
      <c r="D43" s="1141">
        <v>100</v>
      </c>
      <c r="E43" s="1632">
        <v>0</v>
      </c>
      <c r="F43" s="1141">
        <f t="shared" si="0"/>
        <v>0</v>
      </c>
      <c r="G43" s="1150">
        <v>195</v>
      </c>
      <c r="H43" s="1143"/>
      <c r="I43" s="1082"/>
      <c r="J43" s="1106"/>
      <c r="K43" s="1106"/>
      <c r="L43" s="1666"/>
      <c r="M43" s="1666"/>
      <c r="N43" s="1666"/>
      <c r="O43" s="1666"/>
      <c r="P43" s="1666"/>
      <c r="Q43" s="1666"/>
      <c r="R43" s="1666"/>
      <c r="S43" s="1666"/>
      <c r="T43" s="847"/>
      <c r="U43" s="847"/>
      <c r="V43" s="847"/>
      <c r="W43" s="847"/>
      <c r="X43" s="847"/>
      <c r="Y43" s="847"/>
      <c r="Z43" s="847"/>
      <c r="AA43" s="847"/>
      <c r="AB43" s="847"/>
      <c r="AC43" s="847"/>
      <c r="AD43" s="847"/>
      <c r="AE43" s="847"/>
      <c r="AF43" s="847"/>
      <c r="AG43" s="847"/>
      <c r="AH43" s="847"/>
      <c r="AI43" s="847"/>
      <c r="AJ43" s="847"/>
      <c r="AK43" s="847"/>
      <c r="AL43" s="847"/>
      <c r="AM43" s="847"/>
      <c r="AN43" s="847"/>
      <c r="AO43" s="847"/>
      <c r="AP43" s="847"/>
      <c r="AQ43" s="847"/>
      <c r="AR43" s="847"/>
      <c r="AS43" s="847"/>
      <c r="AT43" s="847"/>
      <c r="AU43" s="847"/>
    </row>
    <row r="44" spans="1:47" ht="15.75">
      <c r="A44" s="1139">
        <v>106209</v>
      </c>
      <c r="B44" s="1313" t="s">
        <v>1172</v>
      </c>
      <c r="C44" s="1141" t="s">
        <v>1176</v>
      </c>
      <c r="D44" s="1141">
        <v>200</v>
      </c>
      <c r="E44" s="1632">
        <v>0</v>
      </c>
      <c r="F44" s="1141">
        <f t="shared" si="0"/>
        <v>0</v>
      </c>
      <c r="G44" s="1142">
        <v>60.95</v>
      </c>
      <c r="H44" s="1143"/>
      <c r="I44" s="1082"/>
      <c r="J44" s="1106"/>
      <c r="K44" s="1106"/>
      <c r="L44" s="1666"/>
      <c r="M44" s="1666"/>
      <c r="N44" s="1666"/>
      <c r="O44" s="1666"/>
      <c r="P44" s="1666"/>
      <c r="Q44" s="1666"/>
      <c r="R44" s="1666"/>
      <c r="S44" s="1666"/>
      <c r="T44" s="847"/>
      <c r="U44" s="847"/>
      <c r="V44" s="847"/>
      <c r="W44" s="847"/>
      <c r="X44" s="847"/>
      <c r="Y44" s="847"/>
      <c r="Z44" s="847"/>
      <c r="AA44" s="847"/>
      <c r="AB44" s="847"/>
      <c r="AC44" s="847"/>
      <c r="AD44" s="847"/>
      <c r="AE44" s="847"/>
      <c r="AF44" s="847"/>
      <c r="AG44" s="847"/>
      <c r="AH44" s="847"/>
      <c r="AI44" s="847"/>
      <c r="AJ44" s="847"/>
      <c r="AK44" s="847"/>
      <c r="AL44" s="847"/>
      <c r="AM44" s="847"/>
      <c r="AN44" s="847"/>
      <c r="AO44" s="847"/>
      <c r="AP44" s="847"/>
      <c r="AQ44" s="847"/>
      <c r="AR44" s="847"/>
      <c r="AS44" s="847"/>
      <c r="AT44" s="847"/>
      <c r="AU44" s="847"/>
    </row>
    <row r="45" spans="1:47" ht="15.75">
      <c r="A45" s="1139">
        <v>106550</v>
      </c>
      <c r="B45" s="1313" t="s">
        <v>1173</v>
      </c>
      <c r="C45" s="1141" t="s">
        <v>1176</v>
      </c>
      <c r="D45" s="1141">
        <v>200</v>
      </c>
      <c r="E45" s="1632">
        <v>0</v>
      </c>
      <c r="F45" s="1141">
        <f t="shared" si="0"/>
        <v>0</v>
      </c>
      <c r="G45" s="1142">
        <v>62.1</v>
      </c>
      <c r="H45" s="1143"/>
      <c r="I45" s="1082"/>
      <c r="J45" s="1106"/>
      <c r="K45" s="1106"/>
      <c r="L45" s="1666"/>
      <c r="M45" s="1666"/>
      <c r="N45" s="1666"/>
      <c r="O45" s="1666"/>
      <c r="P45" s="1666"/>
      <c r="Q45" s="1666"/>
      <c r="R45" s="1666"/>
      <c r="S45" s="1666"/>
      <c r="T45" s="847"/>
      <c r="U45" s="847"/>
      <c r="V45" s="847"/>
      <c r="W45" s="847"/>
      <c r="X45" s="847"/>
      <c r="Y45" s="847"/>
      <c r="Z45" s="847"/>
      <c r="AA45" s="847"/>
      <c r="AB45" s="847"/>
      <c r="AC45" s="847"/>
      <c r="AD45" s="847"/>
      <c r="AE45" s="847"/>
      <c r="AF45" s="847"/>
      <c r="AG45" s="847"/>
      <c r="AH45" s="847"/>
      <c r="AI45" s="847"/>
      <c r="AJ45" s="847"/>
      <c r="AK45" s="847"/>
      <c r="AL45" s="847"/>
      <c r="AM45" s="847"/>
      <c r="AN45" s="847"/>
      <c r="AO45" s="847"/>
      <c r="AP45" s="847"/>
      <c r="AQ45" s="847"/>
      <c r="AR45" s="847"/>
      <c r="AS45" s="847"/>
      <c r="AT45" s="847"/>
      <c r="AU45" s="847"/>
    </row>
    <row r="46" spans="1:47" ht="15.75">
      <c r="A46" s="1139">
        <v>106344</v>
      </c>
      <c r="B46" s="1313" t="s">
        <v>1089</v>
      </c>
      <c r="C46" s="1141" t="s">
        <v>1176</v>
      </c>
      <c r="D46" s="1141">
        <v>1000</v>
      </c>
      <c r="E46" s="1632">
        <v>0</v>
      </c>
      <c r="F46" s="1141">
        <f t="shared" si="0"/>
        <v>0</v>
      </c>
      <c r="G46" s="1141">
        <v>295.89999999999998</v>
      </c>
      <c r="H46" s="1143"/>
      <c r="I46" s="1082"/>
      <c r="J46" s="1106"/>
      <c r="K46" s="1106"/>
      <c r="L46" s="1666"/>
      <c r="M46" s="1666"/>
      <c r="N46" s="1666"/>
      <c r="O46" s="1666"/>
      <c r="P46" s="1666"/>
      <c r="Q46" s="1666"/>
      <c r="R46" s="1666"/>
      <c r="S46" s="1666"/>
      <c r="T46" s="847"/>
      <c r="U46" s="847"/>
      <c r="V46" s="847"/>
      <c r="W46" s="847"/>
      <c r="X46" s="847"/>
      <c r="Y46" s="847"/>
      <c r="Z46" s="847"/>
      <c r="AA46" s="847"/>
      <c r="AB46" s="847"/>
      <c r="AC46" s="847"/>
      <c r="AD46" s="847"/>
      <c r="AE46" s="847"/>
      <c r="AF46" s="847"/>
      <c r="AG46" s="847"/>
      <c r="AH46" s="847"/>
      <c r="AI46" s="847"/>
      <c r="AJ46" s="847"/>
      <c r="AK46" s="847"/>
      <c r="AL46" s="847"/>
      <c r="AM46" s="847"/>
      <c r="AN46" s="847"/>
      <c r="AO46" s="847"/>
      <c r="AP46" s="847"/>
      <c r="AQ46" s="847"/>
      <c r="AR46" s="847"/>
      <c r="AS46" s="847"/>
      <c r="AT46" s="847"/>
      <c r="AU46" s="847"/>
    </row>
    <row r="47" spans="1:47" ht="18" customHeight="1">
      <c r="A47" s="1139">
        <v>106388</v>
      </c>
      <c r="B47" s="1313" t="s">
        <v>1174</v>
      </c>
      <c r="C47" s="1141" t="s">
        <v>1176</v>
      </c>
      <c r="D47" s="1141">
        <v>960</v>
      </c>
      <c r="E47" s="1632">
        <v>0</v>
      </c>
      <c r="F47" s="1141">
        <f t="shared" si="0"/>
        <v>0</v>
      </c>
      <c r="G47" s="1141">
        <v>61</v>
      </c>
      <c r="H47" s="1143"/>
      <c r="I47" s="1082"/>
      <c r="J47" s="1106"/>
      <c r="K47" s="1106"/>
      <c r="L47" s="1666"/>
      <c r="M47" s="1666"/>
      <c r="N47" s="1666"/>
      <c r="O47" s="1666"/>
      <c r="P47" s="1666"/>
      <c r="Q47" s="1666"/>
      <c r="R47" s="1666"/>
      <c r="S47" s="1666"/>
      <c r="T47" s="847"/>
      <c r="U47" s="847"/>
      <c r="V47" s="847"/>
      <c r="W47" s="847"/>
      <c r="X47" s="847"/>
      <c r="Y47" s="847"/>
      <c r="Z47" s="847"/>
      <c r="AA47" s="847"/>
      <c r="AB47" s="847"/>
      <c r="AC47" s="847"/>
      <c r="AD47" s="847"/>
      <c r="AE47" s="847"/>
      <c r="AF47" s="847"/>
      <c r="AG47" s="847"/>
      <c r="AH47" s="847"/>
      <c r="AI47" s="847"/>
      <c r="AJ47" s="847"/>
      <c r="AK47" s="847"/>
      <c r="AL47" s="847"/>
      <c r="AM47" s="847"/>
      <c r="AN47" s="847"/>
      <c r="AO47" s="847"/>
      <c r="AP47" s="847"/>
      <c r="AQ47" s="847"/>
      <c r="AR47" s="847"/>
      <c r="AS47" s="847"/>
      <c r="AT47" s="847"/>
      <c r="AU47" s="847"/>
    </row>
    <row r="48" spans="1:47" ht="15.75">
      <c r="A48" s="1139">
        <v>106352</v>
      </c>
      <c r="B48" s="1313" t="s">
        <v>1175</v>
      </c>
      <c r="C48" s="1141" t="s">
        <v>1176</v>
      </c>
      <c r="D48" s="1141">
        <v>80</v>
      </c>
      <c r="E48" s="1632">
        <v>0</v>
      </c>
      <c r="F48" s="1141">
        <f t="shared" si="0"/>
        <v>0</v>
      </c>
      <c r="G48" s="1142">
        <v>86.05</v>
      </c>
      <c r="H48" s="1143"/>
      <c r="I48" s="1082"/>
      <c r="J48" s="1106"/>
      <c r="K48" s="1106"/>
      <c r="L48" s="1666"/>
      <c r="M48" s="1666"/>
      <c r="N48" s="1666"/>
      <c r="O48" s="1666"/>
      <c r="P48" s="1666"/>
      <c r="Q48" s="1666"/>
      <c r="R48" s="1666"/>
      <c r="S48" s="1666"/>
      <c r="T48" s="847"/>
      <c r="U48" s="847"/>
      <c r="V48" s="847"/>
      <c r="W48" s="847"/>
      <c r="X48" s="847"/>
      <c r="Y48" s="847"/>
      <c r="Z48" s="847"/>
      <c r="AA48" s="847"/>
      <c r="AB48" s="847"/>
      <c r="AC48" s="847"/>
      <c r="AD48" s="847"/>
      <c r="AE48" s="847"/>
      <c r="AF48" s="847"/>
      <c r="AG48" s="847"/>
      <c r="AH48" s="847"/>
      <c r="AI48" s="847"/>
      <c r="AJ48" s="847"/>
      <c r="AK48" s="847"/>
      <c r="AL48" s="847"/>
      <c r="AM48" s="847"/>
      <c r="AN48" s="847"/>
      <c r="AO48" s="847"/>
      <c r="AP48" s="847"/>
      <c r="AQ48" s="847"/>
      <c r="AR48" s="847"/>
      <c r="AS48" s="847"/>
      <c r="AT48" s="847"/>
      <c r="AU48" s="847"/>
    </row>
    <row r="49" spans="1:47" ht="27.95" customHeight="1" thickBot="1">
      <c r="A49" s="1102"/>
      <c r="B49" s="1103"/>
      <c r="C49" s="1104"/>
      <c r="D49" s="1874" t="s">
        <v>1392</v>
      </c>
      <c r="E49" s="1875"/>
      <c r="F49" s="1876"/>
      <c r="G49" s="1133">
        <f>SUMPRODUCT(F35:F48,G35:G48)</f>
        <v>0</v>
      </c>
      <c r="H49" s="393"/>
      <c r="I49" s="393"/>
      <c r="J49" s="1106"/>
      <c r="K49" s="1106"/>
      <c r="L49" s="1666"/>
      <c r="M49" s="1666"/>
      <c r="N49" s="1666"/>
      <c r="O49" s="1666"/>
      <c r="P49" s="1666"/>
      <c r="Q49" s="1666"/>
      <c r="R49" s="1666"/>
      <c r="S49" s="1666"/>
      <c r="T49" s="847"/>
      <c r="U49" s="847"/>
      <c r="V49" s="847"/>
      <c r="W49" s="847"/>
      <c r="X49" s="847"/>
      <c r="Y49" s="847"/>
      <c r="Z49" s="847"/>
      <c r="AA49" s="847"/>
      <c r="AB49" s="847"/>
      <c r="AC49" s="847"/>
      <c r="AD49" s="847"/>
      <c r="AE49" s="847"/>
      <c r="AF49" s="847"/>
      <c r="AG49" s="847"/>
      <c r="AH49" s="847"/>
      <c r="AI49" s="847"/>
      <c r="AJ49" s="847"/>
      <c r="AK49" s="847"/>
      <c r="AL49" s="847"/>
      <c r="AM49" s="847"/>
      <c r="AN49" s="847"/>
      <c r="AO49" s="847"/>
      <c r="AP49" s="847"/>
      <c r="AQ49" s="847"/>
      <c r="AR49" s="847"/>
      <c r="AS49" s="847"/>
      <c r="AT49" s="847"/>
      <c r="AU49" s="847"/>
    </row>
    <row r="50" spans="1:47" ht="15.75">
      <c r="A50" s="1102"/>
      <c r="B50" s="1103"/>
      <c r="C50" s="1104"/>
      <c r="D50" s="1112"/>
      <c r="E50" s="1112"/>
      <c r="F50" s="1112"/>
      <c r="G50" s="1113"/>
      <c r="H50" s="393"/>
      <c r="I50" s="393"/>
      <c r="J50" s="1106"/>
      <c r="K50" s="1106"/>
      <c r="L50" s="1666"/>
      <c r="M50" s="1666"/>
      <c r="N50" s="1666"/>
      <c r="O50" s="1666"/>
      <c r="P50" s="1666"/>
      <c r="Q50" s="1666"/>
      <c r="R50" s="1666"/>
      <c r="S50" s="1666"/>
      <c r="T50" s="847"/>
      <c r="U50" s="847"/>
      <c r="V50" s="847"/>
      <c r="W50" s="847"/>
      <c r="X50" s="847"/>
      <c r="Y50" s="847"/>
      <c r="Z50" s="847"/>
      <c r="AA50" s="847"/>
      <c r="AB50" s="847"/>
      <c r="AC50" s="847"/>
      <c r="AD50" s="847"/>
      <c r="AE50" s="847"/>
      <c r="AF50" s="847"/>
      <c r="AG50" s="847"/>
      <c r="AH50" s="847"/>
      <c r="AI50" s="847"/>
      <c r="AJ50" s="847"/>
      <c r="AK50" s="847"/>
      <c r="AL50" s="847"/>
      <c r="AM50" s="847"/>
      <c r="AN50" s="847"/>
      <c r="AO50" s="847"/>
      <c r="AP50" s="847"/>
      <c r="AQ50" s="847"/>
      <c r="AR50" s="847"/>
      <c r="AS50" s="847"/>
      <c r="AT50" s="847"/>
      <c r="AU50" s="847"/>
    </row>
    <row r="51" spans="1:47" ht="15.75">
      <c r="A51" s="1102"/>
      <c r="B51" s="1103"/>
      <c r="C51" s="1104"/>
      <c r="D51" s="1112"/>
      <c r="E51" s="1112"/>
      <c r="F51" s="1112"/>
      <c r="G51" s="1113"/>
      <c r="H51" s="393"/>
      <c r="I51" s="393"/>
      <c r="J51" s="1106"/>
      <c r="K51" s="1106"/>
      <c r="L51" s="1666"/>
      <c r="M51" s="1666"/>
      <c r="N51" s="1666"/>
      <c r="O51" s="1666"/>
      <c r="P51" s="1666"/>
      <c r="Q51" s="1666"/>
      <c r="R51" s="1666"/>
      <c r="S51" s="1666"/>
      <c r="T51" s="847"/>
      <c r="U51" s="847"/>
      <c r="V51" s="847"/>
      <c r="W51" s="847"/>
      <c r="X51" s="847"/>
      <c r="Y51" s="847"/>
      <c r="Z51" s="847"/>
      <c r="AA51" s="847"/>
      <c r="AB51" s="847"/>
      <c r="AC51" s="847"/>
      <c r="AD51" s="847"/>
      <c r="AE51" s="847"/>
      <c r="AF51" s="847"/>
      <c r="AG51" s="847"/>
      <c r="AH51" s="847"/>
      <c r="AI51" s="847"/>
      <c r="AJ51" s="847"/>
      <c r="AK51" s="847"/>
      <c r="AL51" s="847"/>
      <c r="AM51" s="847"/>
      <c r="AN51" s="847"/>
      <c r="AO51" s="847"/>
      <c r="AP51" s="847"/>
      <c r="AQ51" s="847"/>
      <c r="AR51" s="847"/>
      <c r="AS51" s="847"/>
      <c r="AT51" s="847"/>
      <c r="AU51" s="847"/>
    </row>
    <row r="52" spans="1:47">
      <c r="A52" s="1105"/>
      <c r="B52" s="393"/>
      <c r="C52" s="393"/>
      <c r="D52" s="393"/>
      <c r="E52" s="393"/>
      <c r="F52" s="393"/>
      <c r="G52" s="393"/>
      <c r="H52" s="393"/>
      <c r="I52" s="393"/>
      <c r="J52" s="1106"/>
      <c r="K52" s="1106"/>
      <c r="L52" s="1666"/>
      <c r="M52" s="1666"/>
      <c r="N52" s="1666"/>
      <c r="O52" s="1666"/>
      <c r="P52" s="1666"/>
      <c r="Q52" s="1666"/>
      <c r="R52" s="1666"/>
      <c r="S52" s="1666"/>
      <c r="T52" s="847"/>
      <c r="U52" s="847"/>
      <c r="V52" s="847"/>
      <c r="W52" s="847"/>
      <c r="X52" s="847"/>
      <c r="Y52" s="847"/>
      <c r="Z52" s="847"/>
      <c r="AA52" s="847"/>
      <c r="AB52" s="847"/>
      <c r="AC52" s="847"/>
      <c r="AD52" s="847"/>
      <c r="AE52" s="847"/>
      <c r="AF52" s="847"/>
      <c r="AG52" s="847"/>
      <c r="AH52" s="847"/>
      <c r="AI52" s="847"/>
      <c r="AJ52" s="847"/>
      <c r="AK52" s="847"/>
      <c r="AL52" s="847"/>
      <c r="AM52" s="847"/>
      <c r="AN52" s="847"/>
      <c r="AO52" s="847"/>
      <c r="AP52" s="847"/>
      <c r="AQ52" s="847"/>
      <c r="AR52" s="847"/>
      <c r="AS52" s="847"/>
      <c r="AT52" s="847"/>
      <c r="AU52" s="847"/>
    </row>
    <row r="53" spans="1:47" hidden="1">
      <c r="A53" s="1082"/>
      <c r="B53" s="1082"/>
      <c r="C53" s="1082"/>
      <c r="D53" s="1082"/>
      <c r="E53" s="1082"/>
      <c r="F53" s="1082"/>
      <c r="G53" s="1082"/>
      <c r="H53" s="1082"/>
      <c r="I53" s="1082"/>
      <c r="J53" s="1106"/>
      <c r="K53" s="1106"/>
      <c r="L53" s="1666"/>
      <c r="M53" s="1666"/>
      <c r="N53" s="1666"/>
      <c r="O53" s="1666"/>
      <c r="P53" s="1666"/>
      <c r="Q53" s="1666"/>
      <c r="R53" s="1666"/>
      <c r="S53" s="1666"/>
      <c r="T53" s="847"/>
      <c r="U53" s="847"/>
      <c r="V53" s="847"/>
      <c r="W53" s="847"/>
      <c r="X53" s="847"/>
      <c r="Y53" s="847"/>
      <c r="Z53" s="847"/>
      <c r="AA53" s="847"/>
      <c r="AB53" s="847"/>
      <c r="AC53" s="847"/>
      <c r="AD53" s="847"/>
      <c r="AE53" s="847"/>
      <c r="AF53" s="847"/>
      <c r="AG53" s="847"/>
      <c r="AH53" s="847"/>
      <c r="AI53" s="847"/>
      <c r="AJ53" s="847"/>
      <c r="AK53" s="847"/>
      <c r="AL53" s="847"/>
      <c r="AM53" s="847"/>
      <c r="AN53" s="847"/>
      <c r="AO53" s="847"/>
      <c r="AP53" s="847"/>
      <c r="AQ53" s="847"/>
      <c r="AR53" s="847"/>
      <c r="AS53" s="847"/>
      <c r="AT53" s="847"/>
      <c r="AU53" s="847"/>
    </row>
    <row r="54" spans="1:47" hidden="1">
      <c r="A54" s="1082"/>
      <c r="B54" s="1082"/>
      <c r="C54" s="1082"/>
      <c r="D54" s="1082"/>
      <c r="E54" s="1082"/>
      <c r="F54" s="1082"/>
      <c r="G54" s="1082"/>
      <c r="H54" s="1082"/>
      <c r="I54" s="1082"/>
      <c r="J54" s="1106"/>
      <c r="K54" s="1106"/>
      <c r="L54" s="1666"/>
      <c r="M54" s="1666"/>
      <c r="N54" s="1666"/>
      <c r="O54" s="1666"/>
      <c r="P54" s="1666"/>
      <c r="Q54" s="1666"/>
      <c r="R54" s="1666"/>
      <c r="S54" s="1666"/>
      <c r="T54" s="847"/>
      <c r="U54" s="847"/>
      <c r="V54" s="847"/>
      <c r="W54" s="847"/>
      <c r="X54" s="847"/>
      <c r="Y54" s="847"/>
      <c r="Z54" s="847"/>
      <c r="AA54" s="847"/>
      <c r="AB54" s="847"/>
      <c r="AC54" s="847"/>
      <c r="AD54" s="847"/>
      <c r="AE54" s="847"/>
      <c r="AF54" s="847"/>
      <c r="AG54" s="847"/>
      <c r="AH54" s="847"/>
      <c r="AI54" s="847"/>
      <c r="AJ54" s="847"/>
      <c r="AK54" s="847"/>
      <c r="AL54" s="847"/>
      <c r="AM54" s="847"/>
      <c r="AN54" s="847"/>
      <c r="AO54" s="847"/>
      <c r="AP54" s="847"/>
      <c r="AQ54" s="847"/>
      <c r="AR54" s="847"/>
      <c r="AS54" s="847"/>
      <c r="AT54" s="847"/>
      <c r="AU54" s="847"/>
    </row>
    <row r="55" spans="1:47" hidden="1">
      <c r="C55" s="1082"/>
      <c r="D55" s="1082"/>
      <c r="E55" s="1082"/>
      <c r="F55" s="1082"/>
      <c r="G55" s="1082"/>
      <c r="H55" s="1082"/>
      <c r="I55" s="1082"/>
      <c r="J55" s="1106"/>
      <c r="K55" s="1106"/>
      <c r="L55" s="1666"/>
      <c r="M55" s="1666"/>
      <c r="N55" s="1666"/>
      <c r="O55" s="1666"/>
      <c r="P55" s="1666"/>
      <c r="Q55" s="1666"/>
      <c r="R55" s="1666"/>
      <c r="S55" s="1666"/>
      <c r="T55" s="847"/>
      <c r="U55" s="847"/>
      <c r="V55" s="847"/>
      <c r="W55" s="847"/>
      <c r="X55" s="847"/>
      <c r="Y55" s="847"/>
      <c r="Z55" s="847"/>
      <c r="AA55" s="847"/>
      <c r="AB55" s="847"/>
      <c r="AC55" s="847"/>
      <c r="AD55" s="847"/>
      <c r="AE55" s="847"/>
      <c r="AF55" s="847"/>
      <c r="AG55" s="847"/>
      <c r="AH55" s="847"/>
      <c r="AI55" s="847"/>
      <c r="AJ55" s="847"/>
      <c r="AK55" s="847"/>
      <c r="AL55" s="847"/>
      <c r="AM55" s="847"/>
      <c r="AN55" s="847"/>
      <c r="AO55" s="847"/>
      <c r="AP55" s="847"/>
      <c r="AQ55" s="847"/>
      <c r="AR55" s="847"/>
      <c r="AS55" s="847"/>
      <c r="AT55" s="847"/>
      <c r="AU55" s="847"/>
    </row>
    <row r="56" spans="1:47" ht="15.75" hidden="1" customHeight="1">
      <c r="B56" s="684" t="s">
        <v>766</v>
      </c>
      <c r="C56" s="684"/>
      <c r="D56" s="684"/>
      <c r="E56" s="684"/>
      <c r="F56" s="684"/>
      <c r="G56" s="684"/>
      <c r="H56" s="684"/>
      <c r="I56" s="847"/>
      <c r="J56" s="1106"/>
      <c r="K56" s="1106"/>
      <c r="L56" s="1666"/>
      <c r="M56" s="1666"/>
      <c r="N56" s="1666"/>
      <c r="O56" s="1666"/>
      <c r="P56" s="1666"/>
      <c r="Q56" s="1666"/>
      <c r="R56" s="1666"/>
      <c r="S56" s="1666"/>
      <c r="T56" s="847"/>
      <c r="U56" s="847"/>
      <c r="V56" s="847"/>
      <c r="W56" s="847"/>
      <c r="X56" s="847"/>
      <c r="Y56" s="847"/>
      <c r="Z56" s="847"/>
      <c r="AA56" s="847"/>
      <c r="AB56" s="847"/>
      <c r="AC56" s="847"/>
      <c r="AD56" s="847"/>
      <c r="AE56" s="847"/>
      <c r="AF56" s="847"/>
      <c r="AG56" s="847"/>
      <c r="AH56" s="847"/>
      <c r="AI56" s="847"/>
      <c r="AJ56" s="847"/>
      <c r="AK56" s="847"/>
      <c r="AL56" s="847"/>
      <c r="AM56" s="847"/>
      <c r="AN56" s="847"/>
      <c r="AO56" s="847"/>
      <c r="AP56" s="847"/>
      <c r="AQ56" s="847"/>
      <c r="AR56" s="847"/>
      <c r="AS56" s="847"/>
      <c r="AT56" s="847"/>
      <c r="AU56" s="847"/>
    </row>
    <row r="57" spans="1:47" ht="15.75" hidden="1">
      <c r="B57" s="488"/>
      <c r="C57" s="488"/>
      <c r="D57" s="488"/>
      <c r="E57" s="488"/>
      <c r="F57" s="488"/>
      <c r="G57" s="488"/>
      <c r="H57" s="488"/>
      <c r="I57" s="847"/>
      <c r="J57" s="1106"/>
      <c r="K57" s="1106"/>
      <c r="L57" s="1666"/>
      <c r="M57" s="1666"/>
      <c r="N57" s="1666"/>
      <c r="O57" s="1666"/>
      <c r="P57" s="1666"/>
      <c r="Q57" s="1666"/>
      <c r="R57" s="1666"/>
      <c r="S57" s="1666"/>
      <c r="T57" s="847"/>
      <c r="U57" s="847"/>
      <c r="V57" s="847"/>
      <c r="W57" s="847"/>
      <c r="X57" s="847"/>
      <c r="Y57" s="847"/>
      <c r="Z57" s="847"/>
      <c r="AA57" s="847"/>
      <c r="AB57" s="847"/>
      <c r="AC57" s="847"/>
      <c r="AD57" s="847"/>
      <c r="AE57" s="847"/>
      <c r="AF57" s="847"/>
      <c r="AG57" s="847"/>
      <c r="AH57" s="847"/>
      <c r="AI57" s="847"/>
      <c r="AJ57" s="847"/>
      <c r="AK57" s="847"/>
      <c r="AL57" s="847"/>
      <c r="AM57" s="847"/>
      <c r="AN57" s="847"/>
      <c r="AO57" s="847"/>
      <c r="AP57" s="847"/>
      <c r="AQ57" s="847"/>
      <c r="AR57" s="847"/>
      <c r="AS57" s="847"/>
      <c r="AT57" s="847"/>
      <c r="AU57" s="847"/>
    </row>
    <row r="58" spans="1:47" ht="69.75" hidden="1" customHeight="1">
      <c r="B58" s="680" t="s">
        <v>767</v>
      </c>
      <c r="C58" s="681"/>
      <c r="D58" s="679" t="s">
        <v>772</v>
      </c>
      <c r="E58" s="679" t="s">
        <v>769</v>
      </c>
      <c r="F58" s="679" t="s">
        <v>768</v>
      </c>
      <c r="G58" s="679" t="s">
        <v>754</v>
      </c>
      <c r="H58" s="679" t="s">
        <v>87</v>
      </c>
      <c r="I58" s="847"/>
      <c r="J58" s="1106"/>
      <c r="K58" s="1106"/>
      <c r="L58" s="1666"/>
      <c r="M58" s="1666"/>
      <c r="N58" s="1666"/>
      <c r="O58" s="1666"/>
      <c r="P58" s="1666"/>
      <c r="Q58" s="1666"/>
      <c r="R58" s="1666"/>
      <c r="S58" s="1666"/>
      <c r="T58" s="847"/>
      <c r="U58" s="847"/>
      <c r="V58" s="847"/>
      <c r="W58" s="847"/>
      <c r="X58" s="847"/>
      <c r="Y58" s="847"/>
      <c r="Z58" s="847"/>
      <c r="AA58" s="847"/>
      <c r="AB58" s="847"/>
      <c r="AC58" s="847"/>
      <c r="AD58" s="847"/>
      <c r="AE58" s="847"/>
      <c r="AF58" s="847"/>
      <c r="AG58" s="847"/>
      <c r="AH58" s="847"/>
      <c r="AI58" s="847"/>
      <c r="AJ58" s="847"/>
      <c r="AK58" s="847"/>
      <c r="AL58" s="847"/>
      <c r="AM58" s="847"/>
      <c r="AN58" s="847"/>
      <c r="AO58" s="847"/>
      <c r="AP58" s="847"/>
      <c r="AQ58" s="847"/>
      <c r="AR58" s="847"/>
      <c r="AS58" s="847"/>
      <c r="AT58" s="847"/>
      <c r="AU58" s="847"/>
    </row>
    <row r="59" spans="1:47" ht="15.75" hidden="1">
      <c r="B59" s="1866" t="s">
        <v>755</v>
      </c>
      <c r="C59" s="1867"/>
      <c r="D59" s="678">
        <f>'Processing&amp;solid-liquid culture'!F21</f>
        <v>0</v>
      </c>
      <c r="E59" s="683">
        <v>42</v>
      </c>
      <c r="F59" s="683">
        <v>1</v>
      </c>
      <c r="G59" s="974" t="e">
        <f>365*(period/12)</f>
        <v>#REF!</v>
      </c>
      <c r="H59" s="678"/>
      <c r="I59" s="847"/>
      <c r="J59" s="1106"/>
      <c r="K59" s="1106"/>
      <c r="L59" s="1666"/>
      <c r="M59" s="1666"/>
      <c r="N59" s="1666"/>
      <c r="O59" s="1666"/>
      <c r="P59" s="1666"/>
      <c r="Q59" s="1666"/>
      <c r="R59" s="1666"/>
      <c r="S59" s="1666"/>
      <c r="T59" s="847"/>
      <c r="U59" s="847"/>
      <c r="V59" s="847"/>
      <c r="W59" s="847"/>
      <c r="X59" s="847"/>
      <c r="Y59" s="847"/>
      <c r="Z59" s="847"/>
      <c r="AA59" s="847"/>
      <c r="AB59" s="847"/>
      <c r="AC59" s="847"/>
      <c r="AD59" s="847"/>
      <c r="AE59" s="847"/>
      <c r="AF59" s="847"/>
      <c r="AG59" s="847"/>
      <c r="AH59" s="847"/>
      <c r="AI59" s="847"/>
      <c r="AJ59" s="847"/>
      <c r="AK59" s="847"/>
      <c r="AL59" s="847"/>
      <c r="AM59" s="847"/>
      <c r="AN59" s="847"/>
      <c r="AO59" s="847"/>
      <c r="AP59" s="847"/>
      <c r="AQ59" s="847"/>
      <c r="AR59" s="847"/>
      <c r="AS59" s="847"/>
      <c r="AT59" s="847"/>
      <c r="AU59" s="847"/>
    </row>
    <row r="60" spans="1:47" ht="15.75" hidden="1">
      <c r="B60" s="1866" t="s">
        <v>756</v>
      </c>
      <c r="C60" s="1867"/>
      <c r="D60" s="678">
        <f>'MGIT 1st line DST'!C15</f>
        <v>0</v>
      </c>
      <c r="E60" s="683">
        <v>13</v>
      </c>
      <c r="F60" s="683">
        <v>5</v>
      </c>
      <c r="G60" s="974" t="e">
        <f>365*(period/12)</f>
        <v>#REF!</v>
      </c>
      <c r="H60" s="682" t="s">
        <v>757</v>
      </c>
      <c r="I60" s="847"/>
      <c r="J60" s="1106"/>
      <c r="K60" s="1106"/>
      <c r="L60" s="1666"/>
      <c r="M60" s="1666"/>
      <c r="N60" s="1666"/>
      <c r="O60" s="1666"/>
      <c r="P60" s="1666"/>
      <c r="Q60" s="1666"/>
      <c r="R60" s="1666"/>
      <c r="S60" s="1666"/>
      <c r="T60" s="847"/>
      <c r="U60" s="847"/>
      <c r="V60" s="847"/>
      <c r="W60" s="847"/>
      <c r="X60" s="847"/>
      <c r="Y60" s="847"/>
      <c r="Z60" s="847"/>
      <c r="AA60" s="847"/>
      <c r="AB60" s="847"/>
      <c r="AC60" s="847"/>
      <c r="AD60" s="847"/>
      <c r="AE60" s="847"/>
      <c r="AF60" s="847"/>
      <c r="AG60" s="847"/>
      <c r="AH60" s="847"/>
      <c r="AI60" s="847"/>
      <c r="AJ60" s="847"/>
      <c r="AK60" s="847"/>
      <c r="AL60" s="847"/>
      <c r="AM60" s="847"/>
      <c r="AN60" s="847"/>
      <c r="AO60" s="847"/>
      <c r="AP60" s="847"/>
      <c r="AQ60" s="847"/>
      <c r="AR60" s="847"/>
      <c r="AS60" s="847"/>
      <c r="AT60" s="847"/>
      <c r="AU60" s="847"/>
    </row>
    <row r="61" spans="1:47" ht="15.75" hidden="1">
      <c r="B61" s="1866" t="s">
        <v>758</v>
      </c>
      <c r="C61" s="1867"/>
      <c r="D61" s="678">
        <f>'MGIT 1st line DST'!C21</f>
        <v>0</v>
      </c>
      <c r="E61" s="683">
        <v>21</v>
      </c>
      <c r="F61" s="683">
        <v>2</v>
      </c>
      <c r="G61" s="974" t="e">
        <f>365*(period/12)</f>
        <v>#REF!</v>
      </c>
      <c r="H61" s="682" t="s">
        <v>759</v>
      </c>
      <c r="I61" s="847"/>
      <c r="J61" s="1106"/>
      <c r="K61" s="1106"/>
      <c r="L61" s="1666"/>
      <c r="M61" s="1666"/>
      <c r="N61" s="1666"/>
      <c r="O61" s="1666"/>
      <c r="P61" s="1666"/>
      <c r="Q61" s="1666"/>
      <c r="R61" s="1666"/>
      <c r="S61" s="1666"/>
      <c r="T61" s="847"/>
      <c r="U61" s="847"/>
      <c r="V61" s="847"/>
      <c r="W61" s="847"/>
      <c r="X61" s="847"/>
      <c r="Y61" s="847"/>
      <c r="Z61" s="847"/>
      <c r="AA61" s="847"/>
      <c r="AB61" s="847"/>
      <c r="AC61" s="847"/>
      <c r="AD61" s="847"/>
      <c r="AE61" s="847"/>
      <c r="AF61" s="847"/>
      <c r="AG61" s="847"/>
      <c r="AH61" s="847"/>
      <c r="AI61" s="847"/>
      <c r="AJ61" s="847"/>
      <c r="AK61" s="847"/>
      <c r="AL61" s="847"/>
      <c r="AM61" s="847"/>
      <c r="AN61" s="847"/>
      <c r="AO61" s="847"/>
      <c r="AP61" s="847"/>
      <c r="AQ61" s="847"/>
      <c r="AR61" s="847"/>
      <c r="AS61" s="847"/>
      <c r="AT61" s="847"/>
      <c r="AU61" s="847"/>
    </row>
    <row r="62" spans="1:47" ht="15.75" hidden="1">
      <c r="B62" s="1866" t="s">
        <v>774</v>
      </c>
      <c r="C62" s="1867"/>
      <c r="D62" s="678">
        <f>IF(C13=T20,C17,0)</f>
        <v>0</v>
      </c>
      <c r="E62" s="683">
        <v>13</v>
      </c>
      <c r="F62" s="683">
        <v>8</v>
      </c>
      <c r="G62" s="974" t="e">
        <f>365*(period/12)</f>
        <v>#REF!</v>
      </c>
      <c r="H62" s="682" t="s">
        <v>760</v>
      </c>
      <c r="I62" s="847"/>
      <c r="J62" s="1106"/>
      <c r="K62" s="1106"/>
      <c r="L62" s="1666"/>
      <c r="M62" s="1666"/>
      <c r="N62" s="1666"/>
      <c r="O62" s="1666"/>
      <c r="P62" s="1666"/>
      <c r="Q62" s="1666"/>
      <c r="R62" s="1666"/>
      <c r="S62" s="1666"/>
      <c r="T62" s="847"/>
      <c r="U62" s="847"/>
      <c r="V62" s="847"/>
      <c r="W62" s="847"/>
      <c r="X62" s="847"/>
      <c r="Y62" s="847"/>
      <c r="Z62" s="847"/>
      <c r="AA62" s="847"/>
      <c r="AB62" s="847"/>
      <c r="AC62" s="847"/>
      <c r="AD62" s="847"/>
      <c r="AE62" s="847"/>
      <c r="AF62" s="847"/>
      <c r="AG62" s="847"/>
      <c r="AH62" s="847"/>
      <c r="AI62" s="847"/>
      <c r="AJ62" s="847"/>
      <c r="AK62" s="847"/>
      <c r="AL62" s="847"/>
      <c r="AM62" s="847"/>
      <c r="AN62" s="847"/>
      <c r="AO62" s="847"/>
      <c r="AP62" s="847"/>
      <c r="AQ62" s="847"/>
      <c r="AR62" s="847"/>
      <c r="AS62" s="847"/>
      <c r="AT62" s="847"/>
      <c r="AU62" s="847"/>
    </row>
    <row r="63" spans="1:47" ht="15.75" hidden="1">
      <c r="B63" s="1866" t="s">
        <v>775</v>
      </c>
      <c r="C63" s="1867"/>
      <c r="D63" s="676">
        <f>IF($C$13=$U$20,C17,0)</f>
        <v>0</v>
      </c>
      <c r="E63" s="683">
        <v>13</v>
      </c>
      <c r="F63" s="683">
        <v>8</v>
      </c>
      <c r="G63" s="974" t="e">
        <f>365*(period/12)</f>
        <v>#REF!</v>
      </c>
      <c r="H63" s="682" t="s">
        <v>760</v>
      </c>
      <c r="I63" s="847"/>
      <c r="J63" s="1106"/>
      <c r="K63" s="1106"/>
      <c r="L63" s="1666"/>
      <c r="M63" s="1666"/>
      <c r="N63" s="1666"/>
      <c r="O63" s="1666"/>
      <c r="P63" s="1666"/>
      <c r="Q63" s="1666"/>
      <c r="R63" s="1666"/>
      <c r="S63" s="1666"/>
      <c r="T63" s="847"/>
      <c r="U63" s="847"/>
      <c r="V63" s="847"/>
      <c r="W63" s="847"/>
      <c r="X63" s="847"/>
      <c r="Y63" s="847"/>
      <c r="Z63" s="847"/>
      <c r="AA63" s="847"/>
      <c r="AB63" s="847"/>
      <c r="AC63" s="847"/>
      <c r="AD63" s="847"/>
      <c r="AE63" s="847"/>
      <c r="AF63" s="847"/>
      <c r="AG63" s="847"/>
      <c r="AH63" s="847"/>
      <c r="AI63" s="847"/>
      <c r="AJ63" s="847"/>
      <c r="AK63" s="847"/>
      <c r="AL63" s="847"/>
      <c r="AM63" s="847"/>
      <c r="AN63" s="847"/>
      <c r="AO63" s="847"/>
      <c r="AP63" s="847"/>
      <c r="AQ63" s="847"/>
      <c r="AR63" s="847"/>
      <c r="AS63" s="847"/>
      <c r="AT63" s="847"/>
      <c r="AU63" s="847"/>
    </row>
    <row r="64" spans="1:47" ht="15.75" hidden="1">
      <c r="B64" s="396"/>
      <c r="C64" s="677"/>
      <c r="D64" s="677"/>
      <c r="E64" s="1108"/>
      <c r="F64" s="1109"/>
      <c r="G64" s="1109"/>
      <c r="H64" s="1110"/>
      <c r="I64" s="1082"/>
      <c r="J64" s="1106"/>
      <c r="K64" s="1106"/>
      <c r="L64" s="1666"/>
      <c r="M64" s="1666"/>
      <c r="N64" s="1666"/>
      <c r="O64" s="1666"/>
      <c r="P64" s="1666"/>
      <c r="Q64" s="1666"/>
      <c r="R64" s="1666"/>
      <c r="S64" s="1666"/>
      <c r="T64" s="847"/>
      <c r="U64" s="847"/>
      <c r="V64" s="847"/>
      <c r="W64" s="847"/>
      <c r="X64" s="847"/>
      <c r="Y64" s="847"/>
      <c r="Z64" s="847"/>
      <c r="AA64" s="847"/>
      <c r="AB64" s="847"/>
      <c r="AC64" s="847"/>
      <c r="AD64" s="847"/>
      <c r="AE64" s="847"/>
      <c r="AF64" s="847"/>
      <c r="AG64" s="847"/>
      <c r="AH64" s="847"/>
      <c r="AI64" s="847"/>
      <c r="AJ64" s="847"/>
      <c r="AK64" s="847"/>
      <c r="AL64" s="847"/>
      <c r="AM64" s="847"/>
      <c r="AN64" s="847"/>
      <c r="AO64" s="847"/>
      <c r="AP64" s="847"/>
      <c r="AQ64" s="847"/>
      <c r="AR64" s="847"/>
      <c r="AS64" s="847"/>
      <c r="AT64" s="847"/>
      <c r="AU64" s="847"/>
    </row>
    <row r="65" spans="1:47" ht="15.75" hidden="1">
      <c r="B65" s="975" t="s">
        <v>770</v>
      </c>
      <c r="C65" s="976"/>
      <c r="D65" s="977" t="s">
        <v>771</v>
      </c>
      <c r="E65" s="1111"/>
      <c r="F65" s="1109"/>
      <c r="G65" s="1109"/>
      <c r="H65" s="1110"/>
      <c r="I65" s="1082"/>
      <c r="J65" s="1106"/>
      <c r="K65" s="1106"/>
      <c r="L65" s="1666"/>
      <c r="M65" s="1666"/>
      <c r="N65" s="1666"/>
      <c r="O65" s="1666"/>
      <c r="P65" s="1666"/>
      <c r="Q65" s="1666"/>
      <c r="R65" s="1666"/>
      <c r="S65" s="1666"/>
      <c r="T65" s="847"/>
      <c r="U65" s="847"/>
      <c r="V65" s="847"/>
      <c r="W65" s="847"/>
      <c r="X65" s="847"/>
      <c r="Y65" s="847"/>
      <c r="Z65" s="847"/>
      <c r="AA65" s="847"/>
      <c r="AB65" s="847"/>
      <c r="AC65" s="847"/>
      <c r="AD65" s="847"/>
      <c r="AE65" s="847"/>
      <c r="AF65" s="847"/>
      <c r="AG65" s="847"/>
      <c r="AH65" s="847"/>
      <c r="AI65" s="847"/>
      <c r="AJ65" s="847"/>
      <c r="AK65" s="847"/>
      <c r="AL65" s="847"/>
      <c r="AM65" s="847"/>
      <c r="AN65" s="847"/>
      <c r="AO65" s="847"/>
      <c r="AP65" s="847"/>
      <c r="AQ65" s="847"/>
      <c r="AR65" s="847"/>
      <c r="AS65" s="847"/>
      <c r="AT65" s="847"/>
      <c r="AU65" s="847"/>
    </row>
    <row r="66" spans="1:47" ht="15.75" hidden="1">
      <c r="B66" s="1868" t="s">
        <v>765</v>
      </c>
      <c r="C66" s="1869"/>
      <c r="D66" s="978" t="e">
        <f>((D59*F59)/G59)*E59</f>
        <v>#REF!</v>
      </c>
      <c r="E66" s="1109"/>
      <c r="F66" s="1109"/>
      <c r="G66" s="1109"/>
      <c r="H66" s="1110"/>
      <c r="I66" s="1082"/>
      <c r="J66" s="1106"/>
      <c r="K66" s="1106"/>
      <c r="L66" s="1666"/>
      <c r="M66" s="1666"/>
      <c r="N66" s="1666"/>
      <c r="O66" s="1666"/>
      <c r="P66" s="1666"/>
      <c r="Q66" s="1666"/>
      <c r="R66" s="1666"/>
      <c r="S66" s="1666"/>
      <c r="T66" s="847"/>
      <c r="U66" s="847"/>
      <c r="V66" s="847"/>
      <c r="W66" s="847"/>
      <c r="X66" s="847"/>
      <c r="Y66" s="847"/>
      <c r="Z66" s="847"/>
      <c r="AA66" s="847"/>
      <c r="AB66" s="847"/>
      <c r="AC66" s="847"/>
      <c r="AD66" s="847"/>
      <c r="AE66" s="847"/>
      <c r="AF66" s="847"/>
      <c r="AG66" s="847"/>
      <c r="AH66" s="847"/>
      <c r="AI66" s="847"/>
      <c r="AJ66" s="847"/>
      <c r="AK66" s="847"/>
      <c r="AL66" s="847"/>
      <c r="AM66" s="847"/>
      <c r="AN66" s="847"/>
      <c r="AO66" s="847"/>
      <c r="AP66" s="847"/>
      <c r="AQ66" s="847"/>
      <c r="AR66" s="847"/>
      <c r="AS66" s="847"/>
      <c r="AT66" s="847"/>
      <c r="AU66" s="847"/>
    </row>
    <row r="67" spans="1:47" ht="15.75" hidden="1" customHeight="1">
      <c r="B67" s="1868" t="s">
        <v>761</v>
      </c>
      <c r="C67" s="1869"/>
      <c r="D67" s="978" t="e">
        <f>((D60*F60)/G60)*E60</f>
        <v>#REF!</v>
      </c>
      <c r="E67" s="1109"/>
      <c r="F67" s="1109"/>
      <c r="G67" s="1109"/>
      <c r="H67" s="1109"/>
      <c r="I67" s="1082"/>
      <c r="J67" s="1106"/>
      <c r="K67" s="1106"/>
      <c r="L67" s="1666"/>
      <c r="M67" s="1666"/>
      <c r="N67" s="1666"/>
      <c r="O67" s="1666"/>
      <c r="P67" s="1666"/>
      <c r="Q67" s="1666"/>
      <c r="R67" s="1666"/>
      <c r="S67" s="1666"/>
      <c r="T67" s="847"/>
      <c r="U67" s="847"/>
      <c r="V67" s="847"/>
      <c r="W67" s="847"/>
      <c r="X67" s="847"/>
      <c r="Y67" s="847"/>
      <c r="Z67" s="847"/>
      <c r="AA67" s="847"/>
      <c r="AB67" s="847"/>
      <c r="AC67" s="847"/>
      <c r="AD67" s="847"/>
      <c r="AE67" s="847"/>
      <c r="AF67" s="847"/>
      <c r="AG67" s="847"/>
      <c r="AH67" s="847"/>
      <c r="AI67" s="847"/>
      <c r="AJ67" s="847"/>
      <c r="AK67" s="847"/>
      <c r="AL67" s="847"/>
      <c r="AM67" s="847"/>
      <c r="AN67" s="847"/>
      <c r="AO67" s="847"/>
      <c r="AP67" s="847"/>
      <c r="AQ67" s="847"/>
      <c r="AR67" s="847"/>
      <c r="AS67" s="847"/>
      <c r="AT67" s="847"/>
      <c r="AU67" s="847"/>
    </row>
    <row r="68" spans="1:47" ht="15.75" hidden="1">
      <c r="B68" s="1868" t="s">
        <v>762</v>
      </c>
      <c r="C68" s="1869"/>
      <c r="D68" s="978" t="e">
        <f>((D61*F61)/G61)*E61</f>
        <v>#REF!</v>
      </c>
      <c r="E68" s="1109"/>
      <c r="F68" s="1109"/>
      <c r="G68" s="1109"/>
      <c r="H68" s="1109"/>
      <c r="I68" s="1082"/>
      <c r="J68" s="1106"/>
      <c r="K68" s="1106"/>
      <c r="L68" s="1666"/>
      <c r="M68" s="1666"/>
      <c r="N68" s="1666"/>
      <c r="O68" s="1666"/>
      <c r="P68" s="1666"/>
      <c r="Q68" s="1666"/>
      <c r="R68" s="1666"/>
      <c r="S68" s="1666"/>
      <c r="T68" s="847"/>
      <c r="U68" s="847"/>
      <c r="V68" s="847"/>
      <c r="W68" s="847"/>
      <c r="X68" s="847"/>
      <c r="Y68" s="847"/>
      <c r="Z68" s="847"/>
      <c r="AA68" s="847"/>
      <c r="AB68" s="847"/>
      <c r="AC68" s="847"/>
      <c r="AD68" s="847"/>
      <c r="AE68" s="847"/>
      <c r="AF68" s="847"/>
      <c r="AG68" s="847"/>
      <c r="AH68" s="847"/>
      <c r="AI68" s="847"/>
      <c r="AJ68" s="847"/>
      <c r="AK68" s="847"/>
      <c r="AL68" s="847"/>
      <c r="AM68" s="847"/>
      <c r="AN68" s="847"/>
      <c r="AO68" s="847"/>
      <c r="AP68" s="847"/>
      <c r="AQ68" s="847"/>
      <c r="AR68" s="847"/>
      <c r="AS68" s="847"/>
      <c r="AT68" s="847"/>
      <c r="AU68" s="847"/>
    </row>
    <row r="69" spans="1:47" ht="15.75" hidden="1">
      <c r="B69" s="1868" t="s">
        <v>764</v>
      </c>
      <c r="C69" s="1869"/>
      <c r="D69" s="978" t="e">
        <f>(((D62*F62)/G62)*E62) + (((D63*F63)/G63)*E63)</f>
        <v>#REF!</v>
      </c>
      <c r="E69" s="1109"/>
      <c r="F69" s="1109"/>
      <c r="G69" s="1109"/>
      <c r="H69" s="1109"/>
      <c r="I69" s="1082"/>
      <c r="J69" s="1106"/>
      <c r="K69" s="1106"/>
      <c r="L69" s="1666"/>
      <c r="M69" s="1666"/>
      <c r="N69" s="1666"/>
      <c r="O69" s="1666"/>
      <c r="P69" s="1666"/>
      <c r="Q69" s="1666"/>
      <c r="R69" s="1666"/>
      <c r="S69" s="1666"/>
      <c r="T69" s="847"/>
      <c r="U69" s="847"/>
      <c r="V69" s="847"/>
      <c r="W69" s="847"/>
      <c r="X69" s="847"/>
      <c r="Y69" s="847"/>
      <c r="Z69" s="847"/>
      <c r="AA69" s="847"/>
      <c r="AB69" s="847"/>
      <c r="AC69" s="847"/>
      <c r="AD69" s="847"/>
      <c r="AE69" s="847"/>
      <c r="AF69" s="847"/>
      <c r="AG69" s="847"/>
      <c r="AH69" s="847"/>
      <c r="AI69" s="847"/>
      <c r="AJ69" s="847"/>
      <c r="AK69" s="847"/>
      <c r="AL69" s="847"/>
      <c r="AM69" s="847"/>
      <c r="AN69" s="847"/>
      <c r="AO69" s="847"/>
      <c r="AP69" s="847"/>
      <c r="AQ69" s="847"/>
      <c r="AR69" s="847"/>
      <c r="AS69" s="847"/>
      <c r="AT69" s="847"/>
      <c r="AU69" s="847"/>
    </row>
    <row r="70" spans="1:47" ht="15.75" hidden="1">
      <c r="B70" s="1877" t="s">
        <v>763</v>
      </c>
      <c r="C70" s="1869"/>
      <c r="D70" s="979" t="e">
        <f>SUM(D66:D69)</f>
        <v>#REF!</v>
      </c>
      <c r="E70" s="393"/>
      <c r="F70" s="1109"/>
      <c r="G70" s="1109"/>
      <c r="H70" s="1109"/>
      <c r="I70" s="1082"/>
      <c r="J70" s="1106"/>
      <c r="K70" s="1106"/>
      <c r="L70" s="1666"/>
      <c r="M70" s="1666"/>
      <c r="N70" s="1666"/>
      <c r="O70" s="1666"/>
      <c r="P70" s="1666"/>
      <c r="Q70" s="1666"/>
      <c r="R70" s="1666"/>
      <c r="S70" s="1666"/>
      <c r="T70" s="847"/>
      <c r="U70" s="847"/>
      <c r="V70" s="847"/>
      <c r="W70" s="847"/>
      <c r="X70" s="847"/>
      <c r="Y70" s="847"/>
      <c r="Z70" s="847"/>
      <c r="AA70" s="847"/>
      <c r="AB70" s="847"/>
      <c r="AC70" s="847"/>
      <c r="AD70" s="847"/>
      <c r="AE70" s="847"/>
      <c r="AF70" s="847"/>
      <c r="AG70" s="847"/>
      <c r="AH70" s="847"/>
      <c r="AI70" s="847"/>
      <c r="AJ70" s="847"/>
      <c r="AK70" s="847"/>
      <c r="AL70" s="847"/>
      <c r="AM70" s="847"/>
      <c r="AN70" s="847"/>
      <c r="AO70" s="847"/>
      <c r="AP70" s="847"/>
      <c r="AQ70" s="847"/>
      <c r="AR70" s="847"/>
      <c r="AS70" s="847"/>
      <c r="AT70" s="847"/>
      <c r="AU70" s="847"/>
    </row>
    <row r="71" spans="1:47" hidden="1">
      <c r="B71" s="980"/>
      <c r="C71" s="980"/>
      <c r="D71" s="980"/>
      <c r="E71" s="1082"/>
      <c r="F71" s="1082"/>
      <c r="G71" s="1082"/>
      <c r="H71" s="1082"/>
      <c r="I71" s="1082"/>
      <c r="J71" s="1106"/>
      <c r="K71" s="1106"/>
      <c r="L71" s="1666"/>
      <c r="M71" s="1666"/>
      <c r="N71" s="1666"/>
      <c r="O71" s="1666"/>
      <c r="P71" s="1666"/>
      <c r="Q71" s="1666"/>
      <c r="R71" s="1666"/>
      <c r="S71" s="1666"/>
      <c r="T71" s="847"/>
      <c r="U71" s="847"/>
      <c r="V71" s="847"/>
      <c r="W71" s="847"/>
      <c r="X71" s="847"/>
      <c r="Y71" s="847"/>
      <c r="Z71" s="847"/>
      <c r="AA71" s="847"/>
      <c r="AB71" s="847"/>
      <c r="AC71" s="847"/>
      <c r="AD71" s="847"/>
      <c r="AE71" s="847"/>
      <c r="AF71" s="847"/>
      <c r="AG71" s="847"/>
      <c r="AH71" s="847"/>
      <c r="AI71" s="847"/>
      <c r="AJ71" s="847"/>
      <c r="AK71" s="847"/>
      <c r="AL71" s="847"/>
      <c r="AM71" s="847"/>
      <c r="AN71" s="847"/>
      <c r="AO71" s="847"/>
      <c r="AP71" s="847"/>
      <c r="AQ71" s="847"/>
      <c r="AR71" s="847"/>
      <c r="AS71" s="847"/>
      <c r="AT71" s="847"/>
      <c r="AU71" s="847"/>
    </row>
    <row r="72" spans="1:47" ht="22.5" hidden="1" customHeight="1">
      <c r="B72" s="1864" t="s">
        <v>773</v>
      </c>
      <c r="C72" s="1865"/>
      <c r="D72" s="981" t="e">
        <f>D70*1/960</f>
        <v>#REF!</v>
      </c>
      <c r="E72" s="1082"/>
      <c r="F72" s="1082"/>
      <c r="G72" s="1082"/>
      <c r="H72" s="1082"/>
      <c r="I72" s="1082"/>
      <c r="J72" s="1106"/>
      <c r="K72" s="1106"/>
      <c r="L72" s="1666"/>
      <c r="M72" s="1666"/>
      <c r="N72" s="1666"/>
      <c r="O72" s="1666"/>
      <c r="P72" s="1666"/>
      <c r="Q72" s="1666"/>
      <c r="R72" s="1666"/>
      <c r="S72" s="1666"/>
      <c r="T72" s="847"/>
      <c r="U72" s="847"/>
      <c r="V72" s="847"/>
      <c r="W72" s="847"/>
      <c r="X72" s="847"/>
      <c r="Y72" s="847"/>
      <c r="Z72" s="847"/>
      <c r="AA72" s="847"/>
      <c r="AB72" s="847"/>
      <c r="AC72" s="847"/>
      <c r="AD72" s="847"/>
      <c r="AE72" s="847"/>
      <c r="AF72" s="847"/>
      <c r="AG72" s="847"/>
      <c r="AH72" s="847"/>
      <c r="AI72" s="847"/>
      <c r="AJ72" s="847"/>
      <c r="AK72" s="847"/>
      <c r="AL72" s="847"/>
      <c r="AM72" s="847"/>
      <c r="AN72" s="847"/>
      <c r="AO72" s="847"/>
      <c r="AP72" s="847"/>
      <c r="AQ72" s="847"/>
      <c r="AR72" s="847"/>
      <c r="AS72" s="847"/>
      <c r="AT72" s="847"/>
      <c r="AU72" s="847"/>
    </row>
    <row r="73" spans="1:47">
      <c r="E73" s="1082"/>
      <c r="F73" s="1082"/>
      <c r="G73" s="1082"/>
      <c r="H73" s="1082"/>
      <c r="I73" s="1082"/>
      <c r="J73" s="1106"/>
      <c r="K73" s="1106"/>
      <c r="L73" s="1666"/>
      <c r="M73" s="1666"/>
      <c r="N73" s="1666"/>
      <c r="O73" s="1666"/>
      <c r="P73" s="1666"/>
      <c r="Q73" s="1666"/>
      <c r="R73" s="1666"/>
      <c r="S73" s="1666"/>
      <c r="T73" s="847"/>
      <c r="U73" s="847"/>
      <c r="V73" s="847"/>
      <c r="W73" s="847"/>
      <c r="X73" s="847"/>
      <c r="Y73" s="847"/>
      <c r="Z73" s="847"/>
      <c r="AA73" s="847"/>
      <c r="AB73" s="847"/>
      <c r="AC73" s="847"/>
      <c r="AD73" s="847"/>
      <c r="AE73" s="847"/>
      <c r="AF73" s="847"/>
      <c r="AG73" s="847"/>
      <c r="AH73" s="847"/>
      <c r="AI73" s="847"/>
      <c r="AJ73" s="847"/>
      <c r="AK73" s="847"/>
      <c r="AL73" s="847"/>
      <c r="AM73" s="847"/>
      <c r="AN73" s="847"/>
      <c r="AO73" s="847"/>
      <c r="AP73" s="847"/>
      <c r="AQ73" s="847"/>
      <c r="AR73" s="847"/>
      <c r="AS73" s="847"/>
      <c r="AT73" s="847"/>
      <c r="AU73" s="847"/>
    </row>
    <row r="74" spans="1:47">
      <c r="A74" s="1106"/>
      <c r="B74" s="1106"/>
      <c r="C74" s="1106"/>
      <c r="D74" s="1106"/>
      <c r="E74" s="1106"/>
      <c r="F74" s="1106"/>
      <c r="G74" s="1106"/>
      <c r="H74" s="1106"/>
      <c r="I74" s="1106"/>
      <c r="J74" s="1106"/>
      <c r="K74" s="1106"/>
      <c r="L74" s="1666"/>
      <c r="M74" s="1666"/>
      <c r="N74" s="1666"/>
      <c r="O74" s="1666"/>
      <c r="P74" s="1666"/>
      <c r="Q74" s="1666"/>
      <c r="R74" s="1666"/>
      <c r="S74" s="1666"/>
      <c r="T74" s="847"/>
      <c r="U74" s="847"/>
      <c r="V74" s="847"/>
      <c r="W74" s="847"/>
      <c r="X74" s="847"/>
      <c r="Y74" s="847"/>
      <c r="Z74" s="847"/>
      <c r="AA74" s="847"/>
      <c r="AB74" s="847"/>
      <c r="AC74" s="847"/>
      <c r="AD74" s="847"/>
      <c r="AE74" s="847"/>
      <c r="AF74" s="847"/>
      <c r="AG74" s="847"/>
      <c r="AH74" s="847"/>
      <c r="AI74" s="847"/>
      <c r="AJ74" s="847"/>
      <c r="AK74" s="847"/>
      <c r="AL74" s="847"/>
      <c r="AM74" s="847"/>
      <c r="AN74" s="847"/>
      <c r="AO74" s="847"/>
      <c r="AP74" s="847"/>
      <c r="AQ74" s="847"/>
      <c r="AR74" s="847"/>
      <c r="AS74" s="847"/>
      <c r="AT74" s="847"/>
      <c r="AU74" s="847"/>
    </row>
    <row r="75" spans="1:47">
      <c r="A75" s="1106"/>
      <c r="B75" s="1106"/>
      <c r="C75" s="1106"/>
      <c r="D75" s="1106"/>
      <c r="E75" s="1106"/>
      <c r="F75" s="1106"/>
      <c r="G75" s="1106"/>
      <c r="H75" s="1106"/>
      <c r="I75" s="1106"/>
      <c r="J75" s="1106"/>
      <c r="K75" s="1106"/>
      <c r="L75" s="1666"/>
      <c r="M75" s="1666"/>
      <c r="N75" s="1666"/>
      <c r="O75" s="1666"/>
      <c r="P75" s="1666"/>
      <c r="Q75" s="1666"/>
      <c r="R75" s="1666"/>
      <c r="S75" s="1666"/>
      <c r="T75" s="847"/>
      <c r="U75" s="847"/>
      <c r="V75" s="847"/>
      <c r="W75" s="847"/>
      <c r="X75" s="847"/>
      <c r="Y75" s="847"/>
      <c r="Z75" s="847"/>
      <c r="AA75" s="847"/>
      <c r="AB75" s="847"/>
      <c r="AC75" s="847"/>
      <c r="AD75" s="847"/>
      <c r="AE75" s="847"/>
      <c r="AF75" s="847"/>
      <c r="AG75" s="847"/>
      <c r="AH75" s="847"/>
      <c r="AI75" s="847"/>
      <c r="AJ75" s="847"/>
      <c r="AK75" s="847"/>
      <c r="AL75" s="847"/>
      <c r="AM75" s="847"/>
      <c r="AN75" s="847"/>
      <c r="AO75" s="847"/>
      <c r="AP75" s="847"/>
      <c r="AQ75" s="847"/>
      <c r="AR75" s="847"/>
      <c r="AS75" s="847"/>
      <c r="AT75" s="847"/>
      <c r="AU75" s="847"/>
    </row>
    <row r="76" spans="1:47">
      <c r="A76" s="1106"/>
      <c r="B76" s="1106"/>
      <c r="C76" s="1106"/>
      <c r="D76" s="1106"/>
      <c r="E76" s="1106"/>
      <c r="F76" s="1106"/>
      <c r="G76" s="1106"/>
      <c r="H76" s="1106"/>
      <c r="I76" s="1106"/>
      <c r="J76" s="1106"/>
      <c r="K76" s="1106"/>
      <c r="L76" s="1666"/>
      <c r="M76" s="1666"/>
      <c r="N76" s="1666"/>
      <c r="O76" s="1666"/>
      <c r="P76" s="1666"/>
      <c r="Q76" s="1666"/>
      <c r="R76" s="1666"/>
      <c r="S76" s="1666"/>
      <c r="T76" s="847"/>
      <c r="U76" s="847"/>
      <c r="V76" s="847"/>
      <c r="W76" s="847"/>
      <c r="X76" s="847"/>
      <c r="Y76" s="847"/>
      <c r="Z76" s="847"/>
      <c r="AA76" s="847"/>
      <c r="AB76" s="847"/>
      <c r="AC76" s="847"/>
      <c r="AD76" s="847"/>
      <c r="AE76" s="847"/>
      <c r="AF76" s="847"/>
      <c r="AG76" s="847"/>
      <c r="AH76" s="847"/>
      <c r="AI76" s="847"/>
      <c r="AJ76" s="847"/>
      <c r="AK76" s="847"/>
      <c r="AL76" s="847"/>
      <c r="AM76" s="847"/>
      <c r="AN76" s="847"/>
      <c r="AO76" s="847"/>
      <c r="AP76" s="847"/>
      <c r="AQ76" s="847"/>
      <c r="AR76" s="847"/>
      <c r="AS76" s="847"/>
      <c r="AT76" s="847"/>
      <c r="AU76" s="847"/>
    </row>
    <row r="77" spans="1:47">
      <c r="A77" s="1106"/>
      <c r="B77" s="1106"/>
      <c r="C77" s="1106"/>
      <c r="D77" s="1106"/>
      <c r="E77" s="1106"/>
      <c r="F77" s="1106"/>
      <c r="G77" s="1106"/>
      <c r="H77" s="1106"/>
      <c r="I77" s="1106"/>
      <c r="J77" s="1106"/>
      <c r="K77" s="1106"/>
      <c r="L77" s="1666"/>
      <c r="M77" s="1666"/>
      <c r="N77" s="1666"/>
      <c r="O77" s="1666"/>
      <c r="P77" s="1666"/>
      <c r="Q77" s="1666"/>
      <c r="R77" s="1666"/>
      <c r="S77" s="1666"/>
      <c r="T77" s="847"/>
      <c r="U77" s="847"/>
      <c r="V77" s="847"/>
      <c r="W77" s="847"/>
      <c r="X77" s="847"/>
      <c r="Y77" s="847"/>
      <c r="Z77" s="847"/>
      <c r="AA77" s="847"/>
      <c r="AB77" s="847"/>
      <c r="AC77" s="847"/>
      <c r="AD77" s="847"/>
      <c r="AE77" s="847"/>
      <c r="AF77" s="847"/>
      <c r="AG77" s="847"/>
      <c r="AH77" s="847"/>
      <c r="AI77" s="847"/>
      <c r="AJ77" s="847"/>
      <c r="AK77" s="847"/>
      <c r="AL77" s="847"/>
      <c r="AM77" s="847"/>
      <c r="AN77" s="847"/>
      <c r="AO77" s="847"/>
      <c r="AP77" s="847"/>
      <c r="AQ77" s="847"/>
      <c r="AR77" s="847"/>
      <c r="AS77" s="847"/>
      <c r="AT77" s="847"/>
      <c r="AU77" s="847"/>
    </row>
    <row r="78" spans="1:47" hidden="1">
      <c r="I78" s="847"/>
      <c r="J78" s="847"/>
      <c r="K78" s="847"/>
      <c r="L78" s="1666"/>
      <c r="M78" s="1666"/>
      <c r="N78" s="1666"/>
      <c r="O78" s="1666"/>
      <c r="P78" s="1666"/>
      <c r="Q78" s="1666"/>
      <c r="R78" s="1666"/>
      <c r="S78" s="1666"/>
      <c r="T78" s="847"/>
      <c r="U78" s="847"/>
      <c r="V78" s="847"/>
      <c r="W78" s="847"/>
      <c r="X78" s="847"/>
      <c r="Y78" s="847"/>
      <c r="Z78" s="847"/>
      <c r="AA78" s="847"/>
      <c r="AB78" s="847"/>
      <c r="AC78" s="847"/>
      <c r="AD78" s="847"/>
      <c r="AE78" s="847"/>
      <c r="AF78" s="847"/>
      <c r="AG78" s="847"/>
      <c r="AH78" s="847"/>
      <c r="AI78" s="847"/>
      <c r="AJ78" s="847"/>
      <c r="AK78" s="847"/>
      <c r="AL78" s="847"/>
      <c r="AM78" s="847"/>
      <c r="AN78" s="847"/>
      <c r="AO78" s="847"/>
      <c r="AP78" s="847"/>
      <c r="AQ78" s="847"/>
      <c r="AR78" s="847"/>
      <c r="AS78" s="847"/>
      <c r="AT78" s="847"/>
      <c r="AU78" s="847"/>
    </row>
    <row r="79" spans="1:47" hidden="1">
      <c r="I79" s="847"/>
      <c r="J79" s="847"/>
      <c r="K79" s="847"/>
      <c r="L79" s="1666"/>
      <c r="M79" s="1666"/>
      <c r="N79" s="1666"/>
      <c r="O79" s="1666"/>
      <c r="P79" s="1666"/>
      <c r="Q79" s="1666"/>
      <c r="R79" s="1666"/>
      <c r="S79" s="1666"/>
      <c r="T79" s="847"/>
      <c r="U79" s="847"/>
      <c r="V79" s="847"/>
      <c r="W79" s="847"/>
      <c r="X79" s="847"/>
      <c r="Y79" s="847"/>
      <c r="Z79" s="847"/>
      <c r="AA79" s="847"/>
      <c r="AB79" s="847"/>
      <c r="AC79" s="847"/>
      <c r="AD79" s="847"/>
      <c r="AE79" s="847"/>
      <c r="AF79" s="847"/>
      <c r="AG79" s="847"/>
      <c r="AH79" s="847"/>
      <c r="AI79" s="847"/>
      <c r="AJ79" s="847"/>
      <c r="AK79" s="847"/>
      <c r="AL79" s="847"/>
      <c r="AM79" s="847"/>
      <c r="AN79" s="847"/>
      <c r="AO79" s="847"/>
      <c r="AP79" s="847"/>
      <c r="AQ79" s="847"/>
      <c r="AR79" s="847"/>
      <c r="AS79" s="847"/>
      <c r="AT79" s="847"/>
      <c r="AU79" s="847"/>
    </row>
  </sheetData>
  <sheetProtection algorithmName="SHA-512" hashValue="q9PkadY9PeBGmQF9cCtM3NNQKUHcMxdsaskMpQG7qNiHbDEWkuc1O/dL9ijIeoGW2o8NBlh1q7kjuQ/nGuUXXQ==" saltValue="b7RM448hHGgf3uReHijNSw==" spinCount="100000" sheet="1" objects="1" scenarios="1" selectLockedCells="1"/>
  <mergeCells count="19">
    <mergeCell ref="D14:D15"/>
    <mergeCell ref="D30:F30"/>
    <mergeCell ref="D49:F49"/>
    <mergeCell ref="B70:C70"/>
    <mergeCell ref="B59:C59"/>
    <mergeCell ref="B60:C60"/>
    <mergeCell ref="B61:C61"/>
    <mergeCell ref="B72:C72"/>
    <mergeCell ref="B62:C62"/>
    <mergeCell ref="B66:C66"/>
    <mergeCell ref="B67:C67"/>
    <mergeCell ref="B68:C68"/>
    <mergeCell ref="B69:C69"/>
    <mergeCell ref="B63:C63"/>
    <mergeCell ref="B3:C3"/>
    <mergeCell ref="E3:G3"/>
    <mergeCell ref="E7:F7"/>
    <mergeCell ref="A1:I1"/>
    <mergeCell ref="B2:I2"/>
  </mergeCells>
  <phoneticPr fontId="29" type="noConversion"/>
  <dataValidations count="1">
    <dataValidation type="list" allowBlank="1" showInputMessage="1" showErrorMessage="1" sqref="C13" xr:uid="{00000000-0002-0000-0F00-000000000000}">
      <formula1>$T$20:$U$20</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published="0" codeName="Foglio17"/>
  <dimension ref="A1:S50"/>
  <sheetViews>
    <sheetView showGridLines="0" zoomScaleNormal="100" zoomScalePageLayoutView="75" workbookViewId="0">
      <selection activeCell="C3" sqref="C3"/>
    </sheetView>
  </sheetViews>
  <sheetFormatPr defaultColWidth="0" defaultRowHeight="11.25"/>
  <cols>
    <col min="1" max="1" width="20" customWidth="1"/>
    <col min="2" max="2" width="36.5" bestFit="1" customWidth="1"/>
    <col min="3" max="3" width="20" customWidth="1"/>
    <col min="4" max="4" width="59.1640625" customWidth="1"/>
    <col min="5" max="5" width="14.1640625" customWidth="1"/>
    <col min="6" max="6" width="12.1640625" style="156" bestFit="1" customWidth="1"/>
    <col min="7" max="7" width="19.6640625" bestFit="1" customWidth="1"/>
    <col min="8" max="8" width="59.6640625" customWidth="1"/>
    <col min="9" max="9" width="20" customWidth="1"/>
    <col min="10" max="10" width="31.1640625" customWidth="1"/>
    <col min="11" max="19" width="20" style="1642" customWidth="1"/>
    <col min="20" max="16384" width="20" hidden="1"/>
  </cols>
  <sheetData>
    <row r="1" spans="1:12" ht="42" customHeight="1">
      <c r="A1" s="1847" t="s">
        <v>1177</v>
      </c>
      <c r="B1" s="1847"/>
      <c r="C1" s="1847"/>
      <c r="D1" s="1847"/>
      <c r="E1" s="1847"/>
      <c r="F1" s="1847"/>
      <c r="G1" s="1847"/>
      <c r="H1" s="1847"/>
      <c r="I1" s="1847"/>
      <c r="J1" s="1151"/>
    </row>
    <row r="2" spans="1:12">
      <c r="J2" s="1151"/>
    </row>
    <row r="3" spans="1:12" ht="12.75">
      <c r="B3" s="357" t="s">
        <v>1178</v>
      </c>
      <c r="C3" s="996">
        <v>1</v>
      </c>
      <c r="J3" s="1151"/>
    </row>
    <row r="4" spans="1:12" ht="12.75">
      <c r="B4" s="357" t="s">
        <v>821</v>
      </c>
      <c r="C4" s="1007">
        <v>1</v>
      </c>
      <c r="J4" s="1151"/>
    </row>
    <row r="5" spans="1:12" ht="12.75">
      <c r="B5" s="357" t="s">
        <v>617</v>
      </c>
      <c r="C5" s="996">
        <v>1</v>
      </c>
      <c r="J5" s="1151"/>
    </row>
    <row r="6" spans="1:12">
      <c r="J6" s="1151"/>
    </row>
    <row r="7" spans="1:12" ht="18">
      <c r="B7" s="169" t="s">
        <v>556</v>
      </c>
      <c r="J7" s="1151"/>
    </row>
    <row r="8" spans="1:12">
      <c r="B8" s="381"/>
      <c r="J8" s="1151"/>
    </row>
    <row r="9" spans="1:12" ht="25.5">
      <c r="B9" s="200" t="s">
        <v>614</v>
      </c>
      <c r="C9" s="201" t="s">
        <v>114</v>
      </c>
      <c r="D9" s="202" t="s">
        <v>923</v>
      </c>
      <c r="E9" s="203" t="s">
        <v>1179</v>
      </c>
      <c r="F9" s="204" t="s">
        <v>1180</v>
      </c>
      <c r="G9" s="205" t="s">
        <v>1393</v>
      </c>
      <c r="H9" s="203" t="s">
        <v>96</v>
      </c>
      <c r="J9" s="1151"/>
    </row>
    <row r="10" spans="1:12" ht="20.100000000000001" customHeight="1">
      <c r="B10" s="138">
        <v>106376</v>
      </c>
      <c r="C10" s="140" t="s">
        <v>426</v>
      </c>
      <c r="D10" s="140" t="s">
        <v>83</v>
      </c>
      <c r="E10" s="139">
        <v>1</v>
      </c>
      <c r="F10" s="170">
        <f>ROUNDUP(Months/2/E10,0)</f>
        <v>0</v>
      </c>
      <c r="G10" s="139">
        <v>8.5500000000000007</v>
      </c>
      <c r="H10" s="179" t="s">
        <v>577</v>
      </c>
      <c r="J10" s="1151"/>
    </row>
    <row r="11" spans="1:12" ht="20.100000000000001" customHeight="1">
      <c r="B11" s="138">
        <v>106444</v>
      </c>
      <c r="C11" s="140" t="s">
        <v>426</v>
      </c>
      <c r="D11" s="213" t="s">
        <v>1181</v>
      </c>
      <c r="E11" s="141">
        <v>200</v>
      </c>
      <c r="F11" s="170">
        <f>ROUNDUP(Months*110/E11,0)</f>
        <v>0</v>
      </c>
      <c r="G11" s="141">
        <v>98.6</v>
      </c>
      <c r="H11" s="214" t="s">
        <v>1188</v>
      </c>
      <c r="J11" s="1151"/>
    </row>
    <row r="12" spans="1:12" ht="12.75">
      <c r="B12" s="138">
        <v>106348</v>
      </c>
      <c r="C12" s="140" t="s">
        <v>426</v>
      </c>
      <c r="D12" s="180" t="s">
        <v>1182</v>
      </c>
      <c r="E12" s="139">
        <v>1000</v>
      </c>
      <c r="F12" s="170">
        <f>ROUNDUP(Months*22*3/E12,0)</f>
        <v>0</v>
      </c>
      <c r="G12" s="139">
        <v>107.05</v>
      </c>
      <c r="H12" s="139" t="s">
        <v>75</v>
      </c>
      <c r="J12" s="1151"/>
    </row>
    <row r="13" spans="1:12" ht="20.100000000000001" customHeight="1">
      <c r="B13" s="138">
        <v>106755</v>
      </c>
      <c r="C13" s="140" t="s">
        <v>426</v>
      </c>
      <c r="D13" s="180" t="s">
        <v>1183</v>
      </c>
      <c r="E13" s="139">
        <v>1</v>
      </c>
      <c r="F13" s="170">
        <f>ROUNDUP(Months/2/E13,0)</f>
        <v>0</v>
      </c>
      <c r="G13" s="139">
        <v>1.45</v>
      </c>
      <c r="H13" s="179" t="s">
        <v>578</v>
      </c>
      <c r="J13" s="1151"/>
    </row>
    <row r="14" spans="1:12" ht="20.100000000000001" customHeight="1">
      <c r="B14" s="138">
        <v>106359</v>
      </c>
      <c r="C14" s="140" t="s">
        <v>426</v>
      </c>
      <c r="D14" s="140" t="s">
        <v>86</v>
      </c>
      <c r="E14" s="139">
        <v>1</v>
      </c>
      <c r="F14" s="170">
        <f>ROUNDUP(Months/3*2/E14,0)</f>
        <v>0</v>
      </c>
      <c r="G14" s="139">
        <v>2.15</v>
      </c>
      <c r="H14" s="139" t="s">
        <v>73</v>
      </c>
      <c r="J14" s="1151"/>
    </row>
    <row r="15" spans="1:12" ht="20.100000000000001" customHeight="1">
      <c r="B15" s="138">
        <v>106358</v>
      </c>
      <c r="C15" s="140" t="s">
        <v>426</v>
      </c>
      <c r="D15" s="180" t="s">
        <v>1184</v>
      </c>
      <c r="E15" s="139">
        <v>1</v>
      </c>
      <c r="F15" s="170">
        <f>ROUNDUP(Months/3*2/E15,0)</f>
        <v>0</v>
      </c>
      <c r="G15" s="139">
        <v>14.25</v>
      </c>
      <c r="H15" s="139" t="s">
        <v>73</v>
      </c>
      <c r="J15" s="1151"/>
    </row>
    <row r="16" spans="1:12" ht="20.100000000000001" customHeight="1">
      <c r="B16" s="138">
        <v>106377</v>
      </c>
      <c r="C16" s="140" t="s">
        <v>426</v>
      </c>
      <c r="D16" s="1255" t="s">
        <v>863</v>
      </c>
      <c r="E16" s="139">
        <v>50</v>
      </c>
      <c r="F16" s="170">
        <f>ROUNDUP(Months*22*BSC/E16,0)</f>
        <v>0</v>
      </c>
      <c r="G16" s="139">
        <v>30.8</v>
      </c>
      <c r="H16" s="139" t="s">
        <v>9</v>
      </c>
      <c r="J16" s="1151"/>
      <c r="L16" s="1643">
        <f>Months</f>
        <v>0</v>
      </c>
    </row>
    <row r="17" spans="2:10" ht="20.100000000000001" customHeight="1">
      <c r="B17" s="138">
        <v>106363</v>
      </c>
      <c r="C17" s="140" t="s">
        <v>426</v>
      </c>
      <c r="D17" s="140" t="s">
        <v>85</v>
      </c>
      <c r="E17" s="139">
        <v>5</v>
      </c>
      <c r="F17" s="170">
        <f>ROUNDUP('Processing&amp;solid-liquid culture'!F21/500/E17,0)</f>
        <v>0</v>
      </c>
      <c r="G17" s="139">
        <v>8.9499999999999993</v>
      </c>
      <c r="H17" s="179" t="s">
        <v>1189</v>
      </c>
      <c r="J17" s="1151"/>
    </row>
    <row r="18" spans="2:10" ht="20.100000000000001" customHeight="1">
      <c r="B18" s="138">
        <v>106371</v>
      </c>
      <c r="C18" s="140" t="s">
        <v>426</v>
      </c>
      <c r="D18" s="180" t="s">
        <v>1185</v>
      </c>
      <c r="E18" s="139">
        <v>1</v>
      </c>
      <c r="F18" s="170">
        <f>ROUNDUP(Months/3*BSC/E18,0)</f>
        <v>0</v>
      </c>
      <c r="G18" s="139">
        <v>35.200000000000003</v>
      </c>
      <c r="H18" s="139" t="s">
        <v>70</v>
      </c>
      <c r="J18" s="1151"/>
    </row>
    <row r="19" spans="2:10" ht="20.100000000000001" customHeight="1">
      <c r="B19" s="142">
        <v>106294</v>
      </c>
      <c r="C19" s="140" t="s">
        <v>426</v>
      </c>
      <c r="D19" s="213" t="s">
        <v>119</v>
      </c>
      <c r="E19" s="139">
        <v>1</v>
      </c>
      <c r="F19" s="170">
        <f>ROUNDUP(Months/3*BSC/E19,0)</f>
        <v>0</v>
      </c>
      <c r="G19" s="139">
        <v>46.55</v>
      </c>
      <c r="H19" s="139" t="s">
        <v>70</v>
      </c>
      <c r="J19" s="1151"/>
    </row>
    <row r="20" spans="2:10" ht="20.100000000000001" customHeight="1">
      <c r="B20" s="138">
        <v>106370</v>
      </c>
      <c r="C20" s="140" t="s">
        <v>426</v>
      </c>
      <c r="D20" s="140" t="s">
        <v>120</v>
      </c>
      <c r="E20" s="139">
        <v>1</v>
      </c>
      <c r="F20" s="170">
        <f>ROUNDUP(Months/3/E20,0)</f>
        <v>0</v>
      </c>
      <c r="G20" s="139">
        <v>17</v>
      </c>
      <c r="H20" s="179" t="s">
        <v>579</v>
      </c>
      <c r="J20" s="1151"/>
    </row>
    <row r="21" spans="2:10" ht="20.100000000000001" customHeight="1">
      <c r="B21" s="138">
        <v>106374</v>
      </c>
      <c r="C21" s="140" t="s">
        <v>426</v>
      </c>
      <c r="D21" s="180" t="s">
        <v>1186</v>
      </c>
      <c r="E21" s="139">
        <v>1</v>
      </c>
      <c r="F21" s="170">
        <f>ROUNDUP(Months/0.5/E21,0)</f>
        <v>0</v>
      </c>
      <c r="G21" s="139">
        <v>8.1999999999999993</v>
      </c>
      <c r="H21" s="179" t="s">
        <v>580</v>
      </c>
      <c r="J21" s="1151"/>
    </row>
    <row r="22" spans="2:10" ht="20.100000000000001" customHeight="1">
      <c r="B22" s="138">
        <v>106333</v>
      </c>
      <c r="C22" s="140" t="s">
        <v>425</v>
      </c>
      <c r="D22" s="180" t="s">
        <v>1034</v>
      </c>
      <c r="E22" s="139">
        <v>1</v>
      </c>
      <c r="F22" s="170">
        <f>ROUNDUP(Months/1.5/E22,0)</f>
        <v>0</v>
      </c>
      <c r="G22" s="139">
        <v>32.15</v>
      </c>
      <c r="H22" s="179" t="s">
        <v>1190</v>
      </c>
      <c r="J22" s="1151"/>
    </row>
    <row r="23" spans="2:10" ht="20.100000000000001" customHeight="1">
      <c r="B23" s="138">
        <v>106331</v>
      </c>
      <c r="C23" s="140" t="s">
        <v>425</v>
      </c>
      <c r="D23" s="180" t="s">
        <v>1187</v>
      </c>
      <c r="E23" s="139">
        <v>1</v>
      </c>
      <c r="F23" s="170">
        <f>ROUNDUP(Months*22*0.025/E23,0)</f>
        <v>0</v>
      </c>
      <c r="G23" s="139">
        <v>63.2</v>
      </c>
      <c r="H23" s="179" t="s">
        <v>1191</v>
      </c>
      <c r="J23" s="1151"/>
    </row>
    <row r="24" spans="2:10" ht="20.100000000000001" customHeight="1">
      <c r="B24" s="1264">
        <v>106373</v>
      </c>
      <c r="C24" s="1265" t="s">
        <v>426</v>
      </c>
      <c r="D24" s="1265" t="s">
        <v>121</v>
      </c>
      <c r="E24" s="1266">
        <v>1</v>
      </c>
      <c r="F24" s="1267">
        <f>ROUNDUP(Months/0.33/E24,0)</f>
        <v>0</v>
      </c>
      <c r="G24" s="1266">
        <v>3.9</v>
      </c>
      <c r="H24" s="1268" t="s">
        <v>581</v>
      </c>
      <c r="J24" s="1151"/>
    </row>
    <row r="25" spans="2:10">
      <c r="J25" s="1151"/>
    </row>
    <row r="26" spans="2:10" ht="24.75" customHeight="1">
      <c r="B26" s="169" t="s">
        <v>604</v>
      </c>
      <c r="D26" s="1008" t="s">
        <v>1192</v>
      </c>
      <c r="J26" s="1151"/>
    </row>
    <row r="27" spans="2:10" ht="20.100000000000001" customHeight="1">
      <c r="B27" s="138">
        <v>106727</v>
      </c>
      <c r="C27" s="140" t="s">
        <v>426</v>
      </c>
      <c r="D27" s="1314" t="s">
        <v>1193</v>
      </c>
      <c r="E27" s="141">
        <v>1000</v>
      </c>
      <c r="F27" s="170">
        <f>ROUNDUP(staff3*Months*22/E27,0)</f>
        <v>0</v>
      </c>
      <c r="G27" s="141">
        <v>61.45</v>
      </c>
      <c r="H27" s="141" t="s">
        <v>71</v>
      </c>
      <c r="J27" s="1151"/>
    </row>
    <row r="28" spans="2:10" ht="20.100000000000001" customHeight="1">
      <c r="B28" s="138">
        <v>106726</v>
      </c>
      <c r="C28" s="140" t="s">
        <v>426</v>
      </c>
      <c r="D28" s="215" t="s">
        <v>84</v>
      </c>
      <c r="E28" s="141">
        <v>2000</v>
      </c>
      <c r="F28" s="170">
        <f>ROUNDUP(staff3*Months*22*4/E28,0)</f>
        <v>0</v>
      </c>
      <c r="G28" s="141">
        <v>213.25</v>
      </c>
      <c r="H28" s="141" t="s">
        <v>72</v>
      </c>
      <c r="J28" s="1151"/>
    </row>
    <row r="29" spans="2:10" ht="20.100000000000001" customHeight="1">
      <c r="B29" s="138">
        <v>106725</v>
      </c>
      <c r="C29" s="140" t="s">
        <v>426</v>
      </c>
      <c r="D29" s="1256" t="s">
        <v>1194</v>
      </c>
      <c r="E29" s="139">
        <v>60</v>
      </c>
      <c r="F29" s="170">
        <f>ROUNDUP(staff3*Months*4.33*0.66/E29,0)</f>
        <v>0</v>
      </c>
      <c r="G29" s="139">
        <v>501.25</v>
      </c>
      <c r="H29" s="179" t="s">
        <v>665</v>
      </c>
      <c r="J29" s="1151"/>
    </row>
    <row r="30" spans="2:10" ht="20.100000000000001" customHeight="1">
      <c r="B30" s="138">
        <v>106724</v>
      </c>
      <c r="C30" s="140" t="s">
        <v>426</v>
      </c>
      <c r="D30" s="1256" t="s">
        <v>1195</v>
      </c>
      <c r="E30" s="139">
        <v>60</v>
      </c>
      <c r="F30" s="170">
        <f>ROUNDUP(staff3*Months*4.33*1.32/E30,0)</f>
        <v>0</v>
      </c>
      <c r="G30" s="139">
        <v>501.25</v>
      </c>
      <c r="H30" s="179" t="s">
        <v>666</v>
      </c>
      <c r="J30" s="1151"/>
    </row>
    <row r="31" spans="2:10" ht="20.100000000000001" customHeight="1">
      <c r="B31" s="138">
        <v>106723</v>
      </c>
      <c r="C31" s="140" t="s">
        <v>426</v>
      </c>
      <c r="D31" s="1256" t="s">
        <v>1196</v>
      </c>
      <c r="E31" s="139">
        <v>60</v>
      </c>
      <c r="F31" s="170">
        <f>ROUNDUP(staff3*Months*4.33*0.33/E31,0)</f>
        <v>0</v>
      </c>
      <c r="G31" s="139">
        <v>501.25</v>
      </c>
      <c r="H31" s="179" t="s">
        <v>665</v>
      </c>
      <c r="J31" s="1151"/>
    </row>
    <row r="32" spans="2:10" ht="20.100000000000001" customHeight="1">
      <c r="B32" s="138">
        <v>106820</v>
      </c>
      <c r="C32" s="140" t="s">
        <v>426</v>
      </c>
      <c r="D32" s="216" t="s">
        <v>82</v>
      </c>
      <c r="E32" s="139">
        <v>100</v>
      </c>
      <c r="F32" s="170">
        <f>ROUNDUP(staff3*Months*22*10*0.33/E32,0)</f>
        <v>0</v>
      </c>
      <c r="G32" s="139">
        <v>19.649999999999999</v>
      </c>
      <c r="H32" s="179" t="s">
        <v>582</v>
      </c>
      <c r="J32" s="1151"/>
    </row>
    <row r="33" spans="1:10" ht="20.100000000000001" customHeight="1">
      <c r="B33" s="138">
        <v>106819</v>
      </c>
      <c r="C33" s="140" t="s">
        <v>426</v>
      </c>
      <c r="D33" s="216" t="s">
        <v>81</v>
      </c>
      <c r="E33" s="139">
        <v>100</v>
      </c>
      <c r="F33" s="170">
        <f>ROUNDUP(staff3*Months*22*10*0.66/E33,0)</f>
        <v>0</v>
      </c>
      <c r="G33" s="139">
        <v>19.649999999999999</v>
      </c>
      <c r="H33" s="179" t="s">
        <v>583</v>
      </c>
      <c r="J33" s="1151"/>
    </row>
    <row r="34" spans="1:10" ht="20.100000000000001" customHeight="1">
      <c r="B34" s="138">
        <v>106818</v>
      </c>
      <c r="C34" s="140" t="s">
        <v>426</v>
      </c>
      <c r="D34" s="216" t="s">
        <v>80</v>
      </c>
      <c r="E34" s="139">
        <v>100</v>
      </c>
      <c r="F34" s="170">
        <f>ROUNDUP(staff3*Months*22*10*0.33/E34,0)</f>
        <v>0</v>
      </c>
      <c r="G34" s="139">
        <v>19.649999999999999</v>
      </c>
      <c r="H34" s="179" t="s">
        <v>584</v>
      </c>
      <c r="J34" s="1151"/>
    </row>
    <row r="35" spans="1:10" ht="20.100000000000001" customHeight="1">
      <c r="B35" s="138">
        <v>106829</v>
      </c>
      <c r="C35" s="140" t="s">
        <v>426</v>
      </c>
      <c r="D35" s="1256" t="s">
        <v>864</v>
      </c>
      <c r="E35" s="139">
        <v>20</v>
      </c>
      <c r="F35" s="170">
        <f>ROUNDUP(staff3*Months*4.33/E35,0)</f>
        <v>0</v>
      </c>
      <c r="G35" s="139">
        <v>40.1</v>
      </c>
      <c r="H35" s="139" t="s">
        <v>10</v>
      </c>
      <c r="J35" s="1151"/>
    </row>
    <row r="36" spans="1:10" ht="20.100000000000001" customHeight="1">
      <c r="B36" s="138">
        <v>106502</v>
      </c>
      <c r="C36" s="140" t="s">
        <v>426</v>
      </c>
      <c r="D36" s="1315" t="s">
        <v>1197</v>
      </c>
      <c r="E36" s="139">
        <v>1</v>
      </c>
      <c r="F36" s="170">
        <f>ROUNDUP(Months*4.33*BSC/E36,0)</f>
        <v>0</v>
      </c>
      <c r="G36" s="139">
        <v>18.899999999999999</v>
      </c>
      <c r="H36" s="139" t="s">
        <v>74</v>
      </c>
      <c r="J36" s="1151"/>
    </row>
    <row r="37" spans="1:10" ht="20.100000000000001" customHeight="1">
      <c r="B37" s="138">
        <v>106501</v>
      </c>
      <c r="C37" s="140" t="s">
        <v>426</v>
      </c>
      <c r="D37" s="1315" t="s">
        <v>1198</v>
      </c>
      <c r="E37" s="139">
        <v>1</v>
      </c>
      <c r="F37" s="170">
        <f>ROUNDUP(Months*4.33*BSC/E37,0)</f>
        <v>0</v>
      </c>
      <c r="G37" s="139">
        <v>18.899999999999999</v>
      </c>
      <c r="H37" s="139" t="s">
        <v>74</v>
      </c>
      <c r="J37" s="1151"/>
    </row>
    <row r="38" spans="1:10" ht="20.100000000000001" customHeight="1">
      <c r="B38" s="138">
        <v>106500</v>
      </c>
      <c r="C38" s="140" t="s">
        <v>426</v>
      </c>
      <c r="D38" s="1315" t="s">
        <v>1199</v>
      </c>
      <c r="E38" s="139">
        <v>1</v>
      </c>
      <c r="F38" s="170">
        <f>ROUNDUP(Months*4.33*BSC/E38,0)</f>
        <v>0</v>
      </c>
      <c r="G38" s="139">
        <v>18.899999999999999</v>
      </c>
      <c r="H38" s="139" t="s">
        <v>74</v>
      </c>
      <c r="J38" s="1151"/>
    </row>
    <row r="39" spans="1:10" ht="20.100000000000001" customHeight="1">
      <c r="B39" s="138">
        <v>106094</v>
      </c>
      <c r="C39" s="180" t="s">
        <v>426</v>
      </c>
      <c r="D39" s="1315" t="s">
        <v>1200</v>
      </c>
      <c r="E39" s="179">
        <v>1</v>
      </c>
      <c r="F39" s="1685">
        <v>0</v>
      </c>
      <c r="G39" s="179">
        <v>248.85</v>
      </c>
      <c r="H39" s="179" t="s">
        <v>467</v>
      </c>
      <c r="J39" s="1151"/>
    </row>
    <row r="40" spans="1:10" ht="20.100000000000001" customHeight="1">
      <c r="B40" s="187"/>
      <c r="C40" s="184"/>
      <c r="D40" s="185"/>
      <c r="E40" s="186"/>
      <c r="F40" s="181"/>
      <c r="G40" s="186"/>
      <c r="H40" s="186"/>
      <c r="J40" s="1151"/>
    </row>
    <row r="41" spans="1:10" ht="20.100000000000001" customHeight="1" thickBot="1">
      <c r="B41" s="187"/>
      <c r="C41" s="184"/>
      <c r="D41" s="185"/>
      <c r="E41" s="186"/>
      <c r="F41" s="181"/>
      <c r="G41" s="186"/>
      <c r="H41" s="186"/>
      <c r="J41" s="1151"/>
    </row>
    <row r="42" spans="1:10" ht="15.75">
      <c r="B42" s="35"/>
      <c r="C42" s="189"/>
      <c r="D42" s="968" t="s">
        <v>506</v>
      </c>
      <c r="E42" s="1003"/>
      <c r="F42" s="1004"/>
      <c r="G42" s="969" t="s">
        <v>931</v>
      </c>
      <c r="J42" s="1151"/>
    </row>
    <row r="43" spans="1:10" ht="15">
      <c r="B43" s="35"/>
      <c r="C43" s="189"/>
      <c r="D43" s="190" t="s">
        <v>1201</v>
      </c>
      <c r="E43" s="194"/>
      <c r="F43" s="195"/>
      <c r="G43" s="196">
        <f>SUMPRODUCT(F10:F24,G10:G24)</f>
        <v>0</v>
      </c>
      <c r="J43" s="1151"/>
    </row>
    <row r="44" spans="1:10" ht="15.75" thickBot="1">
      <c r="B44" s="35"/>
      <c r="C44" s="189"/>
      <c r="D44" s="211" t="s">
        <v>1202</v>
      </c>
      <c r="E44" s="197"/>
      <c r="F44" s="198"/>
      <c r="G44" s="199">
        <f>SUMPRODUCT(F27:F39,G27:G39)</f>
        <v>0</v>
      </c>
      <c r="J44" s="1151"/>
    </row>
    <row r="45" spans="1:10" ht="20.25" customHeight="1" thickBot="1">
      <c r="B45" s="35"/>
      <c r="C45" s="35"/>
      <c r="D45" s="1006" t="s">
        <v>1203</v>
      </c>
      <c r="E45" s="191"/>
      <c r="F45" s="192"/>
      <c r="G45" s="193">
        <f>G43+G44</f>
        <v>0</v>
      </c>
      <c r="J45" s="1151"/>
    </row>
    <row r="46" spans="1:10">
      <c r="B46" s="35"/>
      <c r="C46" s="35"/>
      <c r="J46" s="1151"/>
    </row>
    <row r="47" spans="1:10">
      <c r="A47" s="1151"/>
      <c r="B47" s="1152"/>
      <c r="C47" s="1152"/>
      <c r="D47" s="1151"/>
      <c r="E47" s="1151"/>
      <c r="F47" s="1153"/>
      <c r="G47" s="1151"/>
      <c r="H47" s="1151"/>
      <c r="I47" s="1151"/>
      <c r="J47" s="1151"/>
    </row>
    <row r="48" spans="1:10">
      <c r="A48" s="1151"/>
      <c r="B48" s="1151"/>
      <c r="C48" s="1151"/>
      <c r="D48" s="1151"/>
      <c r="E48" s="1151"/>
      <c r="F48" s="1153"/>
      <c r="G48" s="1151"/>
      <c r="H48" s="1151"/>
      <c r="I48" s="1151"/>
      <c r="J48" s="1151"/>
    </row>
    <row r="49" spans="1:10">
      <c r="A49" s="1151"/>
      <c r="B49" s="1151"/>
      <c r="C49" s="1151"/>
      <c r="D49" s="1151"/>
      <c r="E49" s="1151"/>
      <c r="F49" s="1153"/>
      <c r="G49" s="1151"/>
      <c r="H49" s="1151"/>
      <c r="I49" s="1151"/>
      <c r="J49" s="1151"/>
    </row>
    <row r="50" spans="1:10">
      <c r="B50" s="1005"/>
      <c r="C50" s="1005"/>
    </row>
  </sheetData>
  <sheetProtection algorithmName="SHA-512" hashValue="545n83OBG2ZwBEppJSoLQuCi7Djh3yy6qVJVZziizFgowu9N7bHhLhoFgXU9iFRRn8gCj5DweQlMXXWs8S4aGg==" saltValue="JC1cB/N0sfUMNimatASRLQ==" spinCount="100000" sheet="1" objects="1" scenarios="1" selectLockedCells="1"/>
  <sortState xmlns:xlrd2="http://schemas.microsoft.com/office/spreadsheetml/2017/richdata2" ref="B15:K62">
    <sortCondition ref="D15:D62"/>
  </sortState>
  <mergeCells count="1">
    <mergeCell ref="A1:I1"/>
  </mergeCells>
  <phoneticPr fontId="67" type="noConversion"/>
  <dataValidations count="1">
    <dataValidation type="whole" operator="greaterThan" allowBlank="1" showInputMessage="1" showErrorMessage="1" error="Please enter only whole number" sqref="C3:C5" xr:uid="{00000000-0002-0000-1000-000000000000}">
      <formula1>0</formula1>
    </dataValidation>
  </dataValidations>
  <pageMargins left="0.7" right="0.7" top="0.75" bottom="0.75" header="0.3" footer="0.3"/>
  <pageSetup paperSize="9" orientation="portrait" horizontalDpi="4294967292" verticalDpi="4294967292"/>
  <ignoredErrors>
    <ignoredError sqref="F33" formula="1"/>
  </ignoredErrors>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oglio18"/>
  <dimension ref="A1:AP202"/>
  <sheetViews>
    <sheetView showGridLines="0" zoomScaleNormal="55" zoomScalePageLayoutView="75" workbookViewId="0">
      <selection activeCell="E2" sqref="E2"/>
    </sheetView>
  </sheetViews>
  <sheetFormatPr defaultColWidth="0" defaultRowHeight="12.75" zeroHeight="1"/>
  <cols>
    <col min="1" max="1" width="18.5" style="219" customWidth="1"/>
    <col min="2" max="2" width="49.1640625" style="217" customWidth="1"/>
    <col min="3" max="3" width="15.1640625" style="218" customWidth="1"/>
    <col min="4" max="4" width="31" style="218" customWidth="1"/>
    <col min="5" max="5" width="21.1640625" style="221" customWidth="1"/>
    <col min="6" max="6" width="132.6640625" style="221" customWidth="1"/>
    <col min="7" max="9" width="11" style="217" customWidth="1"/>
    <col min="10" max="10" width="11" style="1667" customWidth="1"/>
    <col min="11" max="11" width="13.6640625" style="1667" bestFit="1" customWidth="1"/>
    <col min="12" max="19" width="11" style="1667" customWidth="1"/>
    <col min="20" max="42" width="0" style="217" hidden="1" customWidth="1"/>
    <col min="43" max="16384" width="11" style="219" hidden="1"/>
  </cols>
  <sheetData>
    <row r="1" spans="1:42" s="217" customFormat="1" ht="48" customHeight="1">
      <c r="A1" s="1878" t="s">
        <v>1125</v>
      </c>
      <c r="B1" s="1879"/>
      <c r="C1" s="1879"/>
      <c r="D1" s="1879"/>
      <c r="E1" s="1879"/>
      <c r="F1" s="1879"/>
      <c r="G1" s="1879"/>
      <c r="H1" s="1156"/>
      <c r="I1" s="1154"/>
      <c r="J1" s="1667"/>
      <c r="K1" s="1667"/>
      <c r="L1" s="1667"/>
      <c r="M1" s="1667"/>
      <c r="N1" s="1667"/>
      <c r="O1" s="1667"/>
      <c r="P1" s="1667"/>
      <c r="Q1" s="1667"/>
      <c r="R1" s="1667"/>
      <c r="S1" s="1667"/>
    </row>
    <row r="2" spans="1:42" s="217" customFormat="1" ht="15.75">
      <c r="B2" s="245"/>
      <c r="C2" s="1274" t="s">
        <v>1204</v>
      </c>
      <c r="D2" s="1275">
        <v>1</v>
      </c>
      <c r="E2" s="1656">
        <v>0</v>
      </c>
      <c r="F2" s="374"/>
      <c r="H2" s="1154"/>
      <c r="I2" s="1154"/>
      <c r="J2" s="1667"/>
      <c r="K2" s="1667"/>
      <c r="L2" s="1667"/>
      <c r="M2" s="1667"/>
      <c r="N2" s="1667"/>
      <c r="O2" s="1667"/>
      <c r="P2" s="1667"/>
      <c r="Q2" s="1667"/>
      <c r="R2" s="1667"/>
      <c r="S2" s="1667"/>
    </row>
    <row r="3" spans="1:42" s="217" customFormat="1" ht="15.75">
      <c r="B3" s="245"/>
      <c r="C3" s="420"/>
      <c r="D3" s="374"/>
      <c r="E3" s="374"/>
      <c r="F3" s="374"/>
      <c r="H3" s="1154"/>
      <c r="I3" s="1154"/>
      <c r="J3" s="1667"/>
      <c r="K3" s="1667"/>
      <c r="L3" s="1667"/>
      <c r="M3" s="1667"/>
      <c r="N3" s="1667"/>
      <c r="O3" s="1667"/>
      <c r="P3" s="1667"/>
      <c r="Q3" s="1667"/>
      <c r="R3" s="1667"/>
      <c r="S3" s="1667"/>
    </row>
    <row r="4" spans="1:42" ht="16.5" thickBot="1">
      <c r="B4" s="220" t="s">
        <v>1205</v>
      </c>
      <c r="C4" s="374"/>
      <c r="D4" s="374"/>
      <c r="E4" s="421"/>
      <c r="F4" s="421"/>
      <c r="H4" s="1154"/>
      <c r="I4" s="1154"/>
    </row>
    <row r="5" spans="1:42" s="224" customFormat="1" ht="47.25">
      <c r="A5" s="222"/>
      <c r="B5" s="422" t="s">
        <v>424</v>
      </c>
      <c r="C5" s="422" t="s">
        <v>468</v>
      </c>
      <c r="D5" s="422" t="s">
        <v>433</v>
      </c>
      <c r="E5" s="423" t="s">
        <v>1206</v>
      </c>
      <c r="F5" s="424" t="s">
        <v>585</v>
      </c>
      <c r="G5" s="223"/>
      <c r="H5" s="1157"/>
      <c r="I5" s="1157"/>
      <c r="J5" s="1668"/>
      <c r="K5" s="1668"/>
      <c r="L5" s="1668"/>
      <c r="M5" s="1668"/>
      <c r="N5" s="1668"/>
      <c r="O5" s="1668"/>
      <c r="P5" s="1668"/>
      <c r="Q5" s="1668"/>
      <c r="R5" s="1668"/>
      <c r="S5" s="1668"/>
      <c r="T5" s="223"/>
      <c r="U5" s="223"/>
      <c r="V5" s="223"/>
      <c r="W5" s="223"/>
      <c r="X5" s="223"/>
      <c r="Y5" s="223"/>
      <c r="Z5" s="223"/>
      <c r="AA5" s="223"/>
      <c r="AB5" s="223"/>
      <c r="AC5" s="223"/>
      <c r="AD5" s="223"/>
      <c r="AE5" s="223"/>
      <c r="AF5" s="223"/>
      <c r="AG5" s="223"/>
      <c r="AH5" s="223"/>
      <c r="AI5" s="223"/>
      <c r="AJ5" s="223"/>
      <c r="AK5" s="223"/>
      <c r="AL5" s="223"/>
      <c r="AM5" s="223"/>
      <c r="AN5" s="223"/>
      <c r="AO5" s="223"/>
      <c r="AP5" s="223"/>
    </row>
    <row r="6" spans="1:42" s="228" customFormat="1" ht="15.75">
      <c r="A6" s="225"/>
      <c r="B6" s="425" t="s">
        <v>616</v>
      </c>
      <c r="C6" s="1653">
        <v>0</v>
      </c>
      <c r="D6" s="989"/>
      <c r="E6" s="985"/>
      <c r="F6" s="984"/>
      <c r="G6" s="217"/>
      <c r="H6" s="1154"/>
      <c r="I6" s="1154"/>
      <c r="J6" s="1667"/>
      <c r="K6" s="1667"/>
      <c r="L6" s="1667"/>
      <c r="M6" s="1667"/>
      <c r="N6" s="1667"/>
      <c r="O6" s="1667"/>
      <c r="P6" s="1667"/>
      <c r="Q6" s="1667"/>
      <c r="R6" s="1667"/>
      <c r="S6" s="1667"/>
      <c r="T6" s="217"/>
      <c r="U6" s="217"/>
      <c r="V6" s="217"/>
      <c r="W6" s="217"/>
      <c r="X6" s="217"/>
      <c r="Y6" s="217"/>
      <c r="Z6" s="217"/>
      <c r="AA6" s="217"/>
      <c r="AB6" s="217"/>
      <c r="AC6" s="217"/>
      <c r="AD6" s="217"/>
      <c r="AE6" s="217"/>
      <c r="AF6" s="217"/>
      <c r="AG6" s="217"/>
      <c r="AH6" s="217"/>
      <c r="AI6" s="217"/>
      <c r="AJ6" s="217"/>
      <c r="AK6" s="217"/>
      <c r="AL6" s="217"/>
      <c r="AM6" s="217"/>
      <c r="AN6" s="217"/>
      <c r="AO6" s="217"/>
      <c r="AP6" s="217"/>
    </row>
    <row r="7" spans="1:42" ht="15">
      <c r="A7" s="229"/>
      <c r="B7" s="428" t="s">
        <v>1207</v>
      </c>
      <c r="C7" s="1653">
        <v>0</v>
      </c>
      <c r="D7" s="1653">
        <v>0</v>
      </c>
      <c r="E7" s="365">
        <f>D7*C7</f>
        <v>0</v>
      </c>
      <c r="F7" s="429"/>
      <c r="H7" s="1154"/>
      <c r="I7" s="1154"/>
    </row>
    <row r="8" spans="1:42" ht="15">
      <c r="A8" s="229"/>
      <c r="B8" s="428" t="s">
        <v>469</v>
      </c>
      <c r="C8" s="1653">
        <v>0</v>
      </c>
      <c r="D8" s="1653">
        <v>0</v>
      </c>
      <c r="E8" s="365">
        <f>D8*C8</f>
        <v>0</v>
      </c>
      <c r="F8" s="429"/>
      <c r="H8" s="1154"/>
      <c r="I8" s="1154"/>
    </row>
    <row r="9" spans="1:42" ht="30">
      <c r="A9" s="229"/>
      <c r="B9" s="428" t="s">
        <v>1208</v>
      </c>
      <c r="C9" s="1653">
        <v>0</v>
      </c>
      <c r="D9" s="1653">
        <v>0</v>
      </c>
      <c r="E9" s="365">
        <f>D9*C9</f>
        <v>0</v>
      </c>
      <c r="F9" s="429"/>
      <c r="H9" s="1154"/>
      <c r="I9" s="1154"/>
    </row>
    <row r="10" spans="1:42" ht="15.75">
      <c r="A10" s="229"/>
      <c r="B10" s="430" t="s">
        <v>1209</v>
      </c>
      <c r="C10" s="431"/>
      <c r="D10" s="431"/>
      <c r="E10" s="420">
        <f>SUM(E7:E9)</f>
        <v>0</v>
      </c>
      <c r="F10" s="432"/>
      <c r="H10" s="1154"/>
      <c r="I10" s="1154"/>
    </row>
    <row r="11" spans="1:42" ht="15.75">
      <c r="A11" s="225"/>
      <c r="B11" s="425" t="s">
        <v>601</v>
      </c>
      <c r="C11" s="1653">
        <v>0</v>
      </c>
      <c r="D11" s="990"/>
      <c r="E11" s="426"/>
      <c r="F11" s="427"/>
      <c r="H11" s="1154"/>
      <c r="I11" s="1154"/>
    </row>
    <row r="12" spans="1:42" ht="15">
      <c r="A12" s="229"/>
      <c r="B12" s="428" t="s">
        <v>1207</v>
      </c>
      <c r="C12" s="1653">
        <v>0</v>
      </c>
      <c r="D12" s="1653">
        <v>0</v>
      </c>
      <c r="E12" s="433">
        <v>0</v>
      </c>
      <c r="F12" s="429"/>
      <c r="H12" s="1154"/>
      <c r="I12" s="1154"/>
    </row>
    <row r="13" spans="1:42" ht="15">
      <c r="A13" s="229"/>
      <c r="B13" s="428" t="s">
        <v>469</v>
      </c>
      <c r="C13" s="1653">
        <v>0</v>
      </c>
      <c r="D13" s="1653">
        <v>0</v>
      </c>
      <c r="E13" s="365">
        <f>D13*C13</f>
        <v>0</v>
      </c>
      <c r="F13" s="429"/>
      <c r="H13" s="1154"/>
      <c r="I13" s="1154"/>
    </row>
    <row r="14" spans="1:42" ht="30">
      <c r="A14" s="229"/>
      <c r="B14" s="428" t="s">
        <v>1208</v>
      </c>
      <c r="C14" s="1653">
        <v>0</v>
      </c>
      <c r="D14" s="1653">
        <v>0</v>
      </c>
      <c r="E14" s="365">
        <f>D14*C14</f>
        <v>0</v>
      </c>
      <c r="F14" s="429"/>
      <c r="H14" s="1154"/>
      <c r="I14" s="1154"/>
    </row>
    <row r="15" spans="1:42" ht="15.75">
      <c r="A15" s="229"/>
      <c r="B15" s="430" t="s">
        <v>1209</v>
      </c>
      <c r="C15" s="431"/>
      <c r="D15" s="431"/>
      <c r="E15" s="434">
        <f>SUM(E12:E14)</f>
        <v>0</v>
      </c>
      <c r="F15" s="432"/>
      <c r="H15" s="1154"/>
      <c r="I15" s="1154"/>
    </row>
    <row r="16" spans="1:42" ht="15.75">
      <c r="A16" s="229"/>
      <c r="B16" s="430"/>
      <c r="C16" s="431"/>
      <c r="D16" s="431"/>
      <c r="E16" s="420"/>
      <c r="F16" s="432"/>
      <c r="H16" s="1154"/>
      <c r="I16" s="1154"/>
    </row>
    <row r="17" spans="1:42" s="233" customFormat="1" ht="15.75">
      <c r="A17" s="225"/>
      <c r="B17" s="425" t="s">
        <v>280</v>
      </c>
      <c r="C17" s="1653">
        <v>0</v>
      </c>
      <c r="D17" s="990"/>
      <c r="E17" s="426"/>
      <c r="F17" s="427"/>
      <c r="G17" s="232"/>
      <c r="H17" s="1158"/>
      <c r="I17" s="1158"/>
      <c r="J17" s="1669"/>
      <c r="K17" s="1669"/>
      <c r="L17" s="1669"/>
      <c r="M17" s="1669"/>
      <c r="N17" s="1669"/>
      <c r="O17" s="1669"/>
      <c r="P17" s="1669"/>
      <c r="Q17" s="1669"/>
      <c r="R17" s="1669"/>
      <c r="S17" s="1669"/>
      <c r="T17" s="232"/>
      <c r="U17" s="232"/>
      <c r="V17" s="232"/>
      <c r="W17" s="232"/>
      <c r="X17" s="232"/>
      <c r="Y17" s="232"/>
      <c r="Z17" s="232"/>
      <c r="AA17" s="232"/>
      <c r="AB17" s="232"/>
      <c r="AC17" s="232"/>
      <c r="AD17" s="232"/>
      <c r="AE17" s="232"/>
      <c r="AF17" s="232"/>
      <c r="AG17" s="232"/>
      <c r="AH17" s="232"/>
      <c r="AI17" s="232"/>
      <c r="AJ17" s="232"/>
      <c r="AK17" s="232"/>
      <c r="AL17" s="232"/>
      <c r="AM17" s="232"/>
      <c r="AN17" s="232"/>
      <c r="AO17" s="232"/>
      <c r="AP17" s="232"/>
    </row>
    <row r="18" spans="1:42" ht="15">
      <c r="A18" s="229"/>
      <c r="B18" s="428" t="s">
        <v>1207</v>
      </c>
      <c r="C18" s="1653">
        <v>0</v>
      </c>
      <c r="D18" s="1653">
        <v>0</v>
      </c>
      <c r="E18" s="365">
        <f>D18*C18</f>
        <v>0</v>
      </c>
      <c r="F18" s="429"/>
      <c r="H18" s="1154"/>
      <c r="I18" s="1154"/>
    </row>
    <row r="19" spans="1:42" ht="15">
      <c r="A19" s="229"/>
      <c r="B19" s="428" t="s">
        <v>469</v>
      </c>
      <c r="C19" s="1653">
        <v>0</v>
      </c>
      <c r="D19" s="1653">
        <v>0</v>
      </c>
      <c r="E19" s="365">
        <f>D19*C19</f>
        <v>0</v>
      </c>
      <c r="F19" s="429"/>
      <c r="H19" s="1154"/>
      <c r="I19" s="1154"/>
    </row>
    <row r="20" spans="1:42" ht="30">
      <c r="A20" s="229"/>
      <c r="B20" s="428" t="s">
        <v>1208</v>
      </c>
      <c r="C20" s="1653">
        <v>0</v>
      </c>
      <c r="D20" s="1653">
        <v>0</v>
      </c>
      <c r="E20" s="365">
        <f>D20*C20</f>
        <v>0</v>
      </c>
      <c r="F20" s="429"/>
      <c r="H20" s="1154"/>
      <c r="I20" s="1154"/>
    </row>
    <row r="21" spans="1:42" ht="15.75">
      <c r="A21" s="229"/>
      <c r="B21" s="430" t="s">
        <v>1209</v>
      </c>
      <c r="C21" s="435"/>
      <c r="D21" s="435"/>
      <c r="E21" s="434">
        <f>SUM(E18:E20)</f>
        <v>0</v>
      </c>
      <c r="F21" s="432"/>
      <c r="H21" s="1154"/>
      <c r="I21" s="1154"/>
    </row>
    <row r="22" spans="1:42" ht="15.75">
      <c r="A22" s="229"/>
      <c r="B22" s="430"/>
      <c r="C22" s="431"/>
      <c r="D22" s="431"/>
      <c r="E22" s="420"/>
      <c r="F22" s="432"/>
      <c r="H22" s="1154"/>
      <c r="I22" s="1154"/>
    </row>
    <row r="23" spans="1:42" s="233" customFormat="1" ht="15.75">
      <c r="A23" s="225"/>
      <c r="B23" s="425" t="s">
        <v>1210</v>
      </c>
      <c r="C23" s="1653">
        <v>0</v>
      </c>
      <c r="D23" s="990"/>
      <c r="E23" s="985"/>
      <c r="F23" s="427"/>
      <c r="G23" s="232"/>
      <c r="H23" s="1158"/>
      <c r="I23" s="1158"/>
      <c r="J23" s="1669"/>
      <c r="K23" s="1669"/>
      <c r="L23" s="1669"/>
      <c r="M23" s="1669"/>
      <c r="N23" s="1669"/>
      <c r="O23" s="1669"/>
      <c r="P23" s="1669"/>
      <c r="Q23" s="1669"/>
      <c r="R23" s="1669"/>
      <c r="S23" s="1669"/>
      <c r="T23" s="232"/>
      <c r="U23" s="232"/>
      <c r="V23" s="232"/>
      <c r="W23" s="232"/>
      <c r="X23" s="232"/>
      <c r="Y23" s="232"/>
      <c r="Z23" s="232"/>
      <c r="AA23" s="232"/>
      <c r="AB23" s="232"/>
      <c r="AC23" s="232"/>
      <c r="AD23" s="232"/>
      <c r="AE23" s="232"/>
      <c r="AF23" s="232"/>
      <c r="AG23" s="232"/>
      <c r="AH23" s="232"/>
      <c r="AI23" s="232"/>
      <c r="AJ23" s="232"/>
      <c r="AK23" s="232"/>
      <c r="AL23" s="232"/>
      <c r="AM23" s="232"/>
      <c r="AN23" s="232"/>
      <c r="AO23" s="232"/>
      <c r="AP23" s="232"/>
    </row>
    <row r="24" spans="1:42" ht="15">
      <c r="A24" s="229"/>
      <c r="B24" s="428" t="s">
        <v>1207</v>
      </c>
      <c r="C24" s="1653">
        <v>0</v>
      </c>
      <c r="D24" s="1653">
        <v>0</v>
      </c>
      <c r="E24" s="365">
        <f>D24*C24</f>
        <v>0</v>
      </c>
      <c r="F24" s="429"/>
      <c r="H24" s="1154"/>
      <c r="I24" s="1154"/>
    </row>
    <row r="25" spans="1:42" ht="15">
      <c r="A25" s="229"/>
      <c r="B25" s="428" t="s">
        <v>469</v>
      </c>
      <c r="C25" s="1653">
        <v>0</v>
      </c>
      <c r="D25" s="1653">
        <v>0</v>
      </c>
      <c r="E25" s="365">
        <f>D25*C25</f>
        <v>0</v>
      </c>
      <c r="F25" s="429"/>
      <c r="H25" s="1154"/>
      <c r="I25" s="1154"/>
    </row>
    <row r="26" spans="1:42" ht="30">
      <c r="A26" s="229"/>
      <c r="B26" s="428" t="s">
        <v>1208</v>
      </c>
      <c r="C26" s="1653">
        <v>0</v>
      </c>
      <c r="D26" s="1653">
        <v>0</v>
      </c>
      <c r="E26" s="365">
        <f>D26*C26</f>
        <v>0</v>
      </c>
      <c r="F26" s="429"/>
      <c r="H26" s="1154"/>
      <c r="I26" s="1154"/>
    </row>
    <row r="27" spans="1:42" ht="15.75">
      <c r="A27" s="229"/>
      <c r="B27" s="430" t="s">
        <v>1209</v>
      </c>
      <c r="C27" s="431"/>
      <c r="D27" s="431"/>
      <c r="E27" s="434">
        <f>SUM(E24:E26)</f>
        <v>0</v>
      </c>
      <c r="F27" s="432"/>
      <c r="H27" s="1154"/>
      <c r="I27" s="1154"/>
    </row>
    <row r="28" spans="1:42" ht="15.75">
      <c r="A28" s="229"/>
      <c r="B28" s="430"/>
      <c r="C28" s="431"/>
      <c r="D28" s="431"/>
      <c r="E28" s="434"/>
      <c r="F28" s="432"/>
      <c r="H28" s="1154"/>
      <c r="I28" s="1154"/>
    </row>
    <row r="29" spans="1:42" s="228" customFormat="1" ht="15.75">
      <c r="A29" s="225"/>
      <c r="B29" s="436" t="s">
        <v>394</v>
      </c>
      <c r="C29" s="1653">
        <v>0</v>
      </c>
      <c r="D29" s="991"/>
      <c r="E29" s="985"/>
      <c r="F29" s="427"/>
      <c r="G29" s="217"/>
      <c r="H29" s="1154"/>
      <c r="I29" s="1154"/>
      <c r="J29" s="1667"/>
      <c r="K29" s="1667"/>
      <c r="L29" s="1667"/>
      <c r="M29" s="1667"/>
      <c r="N29" s="1667"/>
      <c r="O29" s="1667"/>
      <c r="P29" s="1667"/>
      <c r="Q29" s="1667"/>
      <c r="R29" s="1667"/>
      <c r="S29" s="1667"/>
      <c r="T29" s="217"/>
      <c r="U29" s="217"/>
      <c r="V29" s="217"/>
      <c r="W29" s="217"/>
      <c r="X29" s="217"/>
      <c r="Y29" s="217"/>
      <c r="Z29" s="217"/>
      <c r="AA29" s="217"/>
      <c r="AB29" s="217"/>
      <c r="AC29" s="217"/>
      <c r="AD29" s="217"/>
      <c r="AE29" s="217"/>
      <c r="AF29" s="217"/>
      <c r="AG29" s="217"/>
      <c r="AH29" s="217"/>
      <c r="AI29" s="217"/>
      <c r="AJ29" s="217"/>
      <c r="AK29" s="217"/>
      <c r="AL29" s="217"/>
      <c r="AM29" s="217"/>
      <c r="AN29" s="217"/>
      <c r="AO29" s="217"/>
      <c r="AP29" s="217"/>
    </row>
    <row r="30" spans="1:42" ht="15">
      <c r="A30" s="229"/>
      <c r="B30" s="428" t="s">
        <v>1207</v>
      </c>
      <c r="C30" s="1653">
        <v>0</v>
      </c>
      <c r="D30" s="1653">
        <v>0</v>
      </c>
      <c r="E30" s="365">
        <f>D30*C30</f>
        <v>0</v>
      </c>
      <c r="F30" s="429"/>
      <c r="H30" s="1154"/>
      <c r="I30" s="1154"/>
    </row>
    <row r="31" spans="1:42" ht="15">
      <c r="A31" s="229"/>
      <c r="B31" s="428" t="s">
        <v>469</v>
      </c>
      <c r="C31" s="1653">
        <v>0</v>
      </c>
      <c r="D31" s="1653">
        <v>0</v>
      </c>
      <c r="E31" s="365">
        <f>D31*C31</f>
        <v>0</v>
      </c>
      <c r="F31" s="429"/>
      <c r="H31" s="1154"/>
      <c r="I31" s="1154"/>
    </row>
    <row r="32" spans="1:42" ht="30">
      <c r="A32" s="229"/>
      <c r="B32" s="428" t="s">
        <v>1208</v>
      </c>
      <c r="C32" s="1653">
        <v>0</v>
      </c>
      <c r="D32" s="1653">
        <v>0</v>
      </c>
      <c r="E32" s="365">
        <f>D32*C32</f>
        <v>0</v>
      </c>
      <c r="F32" s="429"/>
      <c r="H32" s="1154"/>
      <c r="I32" s="1154"/>
    </row>
    <row r="33" spans="1:42" ht="15.75">
      <c r="A33" s="229"/>
      <c r="B33" s="430" t="s">
        <v>1209</v>
      </c>
      <c r="C33" s="431"/>
      <c r="D33" s="431"/>
      <c r="E33" s="434">
        <f>SUM(E30:E32)</f>
        <v>0</v>
      </c>
      <c r="F33" s="432"/>
      <c r="H33" s="1154"/>
      <c r="I33" s="1154"/>
    </row>
    <row r="34" spans="1:42" ht="15.75">
      <c r="A34" s="229"/>
      <c r="B34" s="430"/>
      <c r="C34" s="431"/>
      <c r="D34" s="431"/>
      <c r="E34" s="434"/>
      <c r="F34" s="432"/>
      <c r="H34" s="1154"/>
      <c r="I34" s="1154"/>
    </row>
    <row r="35" spans="1:42" s="228" customFormat="1" ht="15.75">
      <c r="A35" s="225"/>
      <c r="B35" s="436" t="s">
        <v>470</v>
      </c>
      <c r="C35" s="1655">
        <v>0</v>
      </c>
      <c r="D35" s="991"/>
      <c r="E35" s="985"/>
      <c r="F35" s="427"/>
      <c r="G35" s="217"/>
      <c r="H35" s="1154"/>
      <c r="I35" s="1154"/>
      <c r="J35" s="1667"/>
      <c r="K35" s="1667"/>
      <c r="L35" s="1667"/>
      <c r="M35" s="1667"/>
      <c r="N35" s="1667"/>
      <c r="O35" s="1667"/>
      <c r="P35" s="1667"/>
      <c r="Q35" s="1667"/>
      <c r="R35" s="1667"/>
      <c r="S35" s="1667"/>
      <c r="T35" s="217"/>
      <c r="U35" s="217"/>
      <c r="V35" s="217"/>
      <c r="W35" s="217"/>
      <c r="X35" s="217"/>
      <c r="Y35" s="217"/>
      <c r="Z35" s="217"/>
      <c r="AA35" s="217"/>
      <c r="AB35" s="217"/>
      <c r="AC35" s="217"/>
      <c r="AD35" s="217"/>
      <c r="AE35" s="217"/>
      <c r="AF35" s="217"/>
      <c r="AG35" s="217"/>
      <c r="AH35" s="217"/>
      <c r="AI35" s="217"/>
      <c r="AJ35" s="217"/>
      <c r="AK35" s="217"/>
      <c r="AL35" s="217"/>
      <c r="AM35" s="217"/>
      <c r="AN35" s="217"/>
      <c r="AO35" s="217"/>
      <c r="AP35" s="217"/>
    </row>
    <row r="36" spans="1:42" ht="15.75">
      <c r="A36" s="229"/>
      <c r="B36" s="668" t="s">
        <v>1207</v>
      </c>
      <c r="C36" s="1653">
        <v>0</v>
      </c>
      <c r="D36" s="1653">
        <v>0</v>
      </c>
      <c r="E36" s="365">
        <f>D36*C36</f>
        <v>0</v>
      </c>
      <c r="F36" s="429" t="s">
        <v>586</v>
      </c>
      <c r="H36" s="1154"/>
      <c r="I36" s="1154"/>
    </row>
    <row r="37" spans="1:42" ht="15.75">
      <c r="A37" s="229"/>
      <c r="B37" s="668" t="s">
        <v>1208</v>
      </c>
      <c r="C37" s="1653">
        <v>0</v>
      </c>
      <c r="D37" s="1653">
        <v>0</v>
      </c>
      <c r="E37" s="365">
        <f>D37*C37</f>
        <v>0</v>
      </c>
      <c r="F37" s="429" t="s">
        <v>613</v>
      </c>
      <c r="H37" s="1154"/>
      <c r="I37" s="1154"/>
    </row>
    <row r="38" spans="1:42" ht="15.75">
      <c r="A38" s="229"/>
      <c r="B38" s="1322" t="s">
        <v>1211</v>
      </c>
      <c r="C38" s="1653">
        <v>0</v>
      </c>
      <c r="D38" s="1653">
        <v>0</v>
      </c>
      <c r="E38" s="365">
        <f>D38*C38</f>
        <v>0</v>
      </c>
      <c r="F38" s="429"/>
      <c r="H38" s="1154"/>
      <c r="I38" s="1154"/>
    </row>
    <row r="39" spans="1:42" ht="15.75">
      <c r="A39" s="229"/>
      <c r="B39" s="1322" t="s">
        <v>1212</v>
      </c>
      <c r="C39" s="1646">
        <v>0</v>
      </c>
      <c r="D39" s="1653">
        <v>0</v>
      </c>
      <c r="E39" s="365">
        <f>D39*C39</f>
        <v>0</v>
      </c>
      <c r="F39" s="429"/>
      <c r="H39" s="1154"/>
      <c r="I39" s="1154"/>
    </row>
    <row r="40" spans="1:42" ht="15.75">
      <c r="A40" s="229"/>
      <c r="B40" s="430" t="s">
        <v>1209</v>
      </c>
      <c r="C40" s="431"/>
      <c r="D40" s="437"/>
      <c r="E40" s="434">
        <f>SUM(E36:E39)</f>
        <v>0</v>
      </c>
      <c r="F40" s="432"/>
      <c r="H40" s="1154"/>
      <c r="I40" s="1154"/>
    </row>
    <row r="41" spans="1:42" ht="15.75">
      <c r="A41" s="229"/>
      <c r="B41" s="430"/>
      <c r="C41" s="431"/>
      <c r="D41" s="437"/>
      <c r="E41" s="434"/>
      <c r="F41" s="432"/>
      <c r="H41" s="1154"/>
      <c r="I41" s="1154"/>
    </row>
    <row r="42" spans="1:42" ht="15.75">
      <c r="A42" s="229"/>
      <c r="B42" s="430"/>
      <c r="C42" s="431"/>
      <c r="D42" s="437"/>
      <c r="E42" s="434"/>
      <c r="F42" s="432"/>
      <c r="H42" s="1154"/>
      <c r="I42" s="1154"/>
    </row>
    <row r="43" spans="1:42" ht="15.75">
      <c r="A43" s="225"/>
      <c r="B43" s="436" t="s">
        <v>846</v>
      </c>
      <c r="C43" s="1655">
        <v>0</v>
      </c>
      <c r="D43" s="991"/>
      <c r="E43" s="985"/>
      <c r="F43" s="427"/>
      <c r="H43" s="1154"/>
      <c r="I43" s="1154"/>
    </row>
    <row r="44" spans="1:42" ht="15.75">
      <c r="A44" s="229"/>
      <c r="B44" s="668"/>
      <c r="C44" s="1653">
        <v>0</v>
      </c>
      <c r="D44" s="1653">
        <v>0</v>
      </c>
      <c r="E44" s="365">
        <f>D44*C44</f>
        <v>0</v>
      </c>
      <c r="F44" s="429"/>
      <c r="H44" s="1154"/>
      <c r="I44" s="1154"/>
    </row>
    <row r="45" spans="1:42" ht="15.75">
      <c r="A45" s="229"/>
      <c r="B45" s="668"/>
      <c r="C45" s="1653">
        <v>0</v>
      </c>
      <c r="D45" s="1653">
        <v>0</v>
      </c>
      <c r="E45" s="365">
        <f>D45*C45</f>
        <v>0</v>
      </c>
      <c r="F45" s="429"/>
      <c r="H45" s="1154"/>
      <c r="I45" s="1154"/>
    </row>
    <row r="46" spans="1:42" ht="15.75">
      <c r="A46" s="229"/>
      <c r="B46" s="430" t="s">
        <v>1209</v>
      </c>
      <c r="C46" s="431"/>
      <c r="D46" s="437"/>
      <c r="E46" s="434">
        <f>SUM(E44:E45)</f>
        <v>0</v>
      </c>
      <c r="F46" s="432"/>
      <c r="H46" s="1154"/>
      <c r="I46" s="1154"/>
    </row>
    <row r="47" spans="1:42" ht="15.75">
      <c r="A47" s="229"/>
      <c r="B47" s="430"/>
      <c r="C47" s="431"/>
      <c r="D47" s="437"/>
      <c r="E47" s="434"/>
      <c r="F47" s="432"/>
      <c r="H47" s="1154"/>
      <c r="I47" s="1154"/>
    </row>
    <row r="48" spans="1:42" ht="15.75">
      <c r="A48" s="225"/>
      <c r="B48" s="436" t="s">
        <v>843</v>
      </c>
      <c r="C48" s="1655">
        <v>0</v>
      </c>
      <c r="D48" s="991"/>
      <c r="E48" s="985"/>
      <c r="F48" s="427"/>
      <c r="H48" s="1154"/>
      <c r="I48" s="1154"/>
    </row>
    <row r="49" spans="1:42" ht="15.75">
      <c r="A49" s="229"/>
      <c r="B49" s="668"/>
      <c r="C49" s="1653">
        <v>0</v>
      </c>
      <c r="D49" s="1653">
        <v>0</v>
      </c>
      <c r="E49" s="365">
        <f>D49*C49</f>
        <v>0</v>
      </c>
      <c r="F49" s="429"/>
      <c r="H49" s="1154"/>
      <c r="I49" s="1154"/>
    </row>
    <row r="50" spans="1:42" ht="15.75">
      <c r="A50" s="229"/>
      <c r="B50" s="668"/>
      <c r="C50" s="1653">
        <v>0</v>
      </c>
      <c r="D50" s="1653">
        <v>0</v>
      </c>
      <c r="E50" s="365">
        <f>D50*C50</f>
        <v>0</v>
      </c>
      <c r="F50" s="429"/>
      <c r="H50" s="1154"/>
      <c r="I50" s="1154"/>
    </row>
    <row r="51" spans="1:42" ht="15.75">
      <c r="A51" s="229"/>
      <c r="B51" s="430" t="s">
        <v>1209</v>
      </c>
      <c r="C51" s="431"/>
      <c r="D51" s="437"/>
      <c r="E51" s="434">
        <f>SUM(E49:E50)</f>
        <v>0</v>
      </c>
      <c r="F51" s="432"/>
      <c r="H51" s="1154"/>
      <c r="I51" s="1154"/>
    </row>
    <row r="52" spans="1:42" ht="15.75">
      <c r="A52" s="229"/>
      <c r="B52" s="430"/>
      <c r="C52" s="431"/>
      <c r="D52" s="437"/>
      <c r="E52" s="434"/>
      <c r="F52" s="432"/>
      <c r="H52" s="1154"/>
      <c r="I52" s="1154"/>
    </row>
    <row r="53" spans="1:42" ht="15.75">
      <c r="A53" s="225"/>
      <c r="B53" s="436" t="s">
        <v>1394</v>
      </c>
      <c r="C53" s="1655">
        <v>0</v>
      </c>
      <c r="D53" s="991"/>
      <c r="E53" s="985"/>
      <c r="F53" s="427"/>
      <c r="H53" s="1154"/>
      <c r="I53" s="1154"/>
    </row>
    <row r="54" spans="1:42" ht="15.75">
      <c r="A54" s="229"/>
      <c r="B54" s="668"/>
      <c r="C54" s="1653">
        <v>0</v>
      </c>
      <c r="D54" s="1653">
        <v>0</v>
      </c>
      <c r="E54" s="365">
        <f>D54*C54</f>
        <v>0</v>
      </c>
      <c r="F54" s="429"/>
      <c r="H54" s="1154"/>
      <c r="I54" s="1154"/>
    </row>
    <row r="55" spans="1:42" ht="15.75">
      <c r="A55" s="229"/>
      <c r="B55" s="668"/>
      <c r="C55" s="1653">
        <v>0</v>
      </c>
      <c r="D55" s="1653">
        <v>0</v>
      </c>
      <c r="E55" s="365">
        <f>D55*C55</f>
        <v>0</v>
      </c>
      <c r="F55" s="429"/>
      <c r="H55" s="1154"/>
      <c r="I55" s="1154"/>
    </row>
    <row r="56" spans="1:42" ht="15.75">
      <c r="A56" s="229"/>
      <c r="B56" s="430" t="s">
        <v>1209</v>
      </c>
      <c r="C56" s="431"/>
      <c r="D56" s="437"/>
      <c r="E56" s="434">
        <f>SUM(E54:E55)</f>
        <v>0</v>
      </c>
      <c r="F56" s="432"/>
      <c r="H56" s="1154"/>
      <c r="I56" s="1154"/>
    </row>
    <row r="57" spans="1:42" ht="15.75">
      <c r="A57" s="229"/>
      <c r="B57" s="430"/>
      <c r="C57" s="431"/>
      <c r="D57" s="437"/>
      <c r="E57" s="434"/>
      <c r="F57" s="432"/>
      <c r="H57" s="1154"/>
      <c r="I57" s="1154"/>
    </row>
    <row r="58" spans="1:42" ht="15.75">
      <c r="A58" s="225"/>
      <c r="B58" s="436" t="s">
        <v>1213</v>
      </c>
      <c r="C58" s="1655">
        <v>0</v>
      </c>
      <c r="D58" s="991"/>
      <c r="E58" s="985"/>
      <c r="F58" s="427"/>
      <c r="H58" s="1154"/>
      <c r="I58" s="1154"/>
    </row>
    <row r="59" spans="1:42" ht="15.75">
      <c r="A59" s="229"/>
      <c r="B59" s="668"/>
      <c r="C59" s="1653">
        <v>0</v>
      </c>
      <c r="D59" s="1653">
        <v>0</v>
      </c>
      <c r="E59" s="365">
        <f>D59*C59</f>
        <v>0</v>
      </c>
      <c r="F59" s="429"/>
      <c r="H59" s="1154"/>
      <c r="I59" s="1154"/>
    </row>
    <row r="60" spans="1:42" ht="15.75">
      <c r="A60" s="229"/>
      <c r="B60" s="668"/>
      <c r="C60" s="1653">
        <v>0</v>
      </c>
      <c r="D60" s="1653">
        <v>0</v>
      </c>
      <c r="E60" s="365">
        <f>D60*C60</f>
        <v>0</v>
      </c>
      <c r="F60" s="429"/>
      <c r="H60" s="1154"/>
      <c r="I60" s="1154"/>
    </row>
    <row r="61" spans="1:42" ht="15.75">
      <c r="A61" s="229"/>
      <c r="B61" s="430" t="s">
        <v>1209</v>
      </c>
      <c r="C61" s="431"/>
      <c r="D61" s="437"/>
      <c r="E61" s="434">
        <f>SUM(E59:E60)</f>
        <v>0</v>
      </c>
      <c r="F61" s="432"/>
      <c r="H61" s="1154"/>
      <c r="I61" s="1154"/>
    </row>
    <row r="62" spans="1:42" ht="15.75">
      <c r="A62" s="229"/>
      <c r="B62" s="430"/>
      <c r="C62" s="431"/>
      <c r="D62" s="437"/>
      <c r="E62" s="434"/>
      <c r="F62" s="432"/>
      <c r="H62" s="1154"/>
      <c r="I62" s="1154"/>
    </row>
    <row r="63" spans="1:42" s="228" customFormat="1" ht="31.5">
      <c r="A63" s="1257" t="s">
        <v>614</v>
      </c>
      <c r="B63" s="1257" t="s">
        <v>471</v>
      </c>
      <c r="C63" s="1647">
        <v>0</v>
      </c>
      <c r="D63" s="992" t="s">
        <v>1214</v>
      </c>
      <c r="E63" s="985"/>
      <c r="F63" s="984"/>
      <c r="G63" s="217"/>
      <c r="H63" s="1154"/>
      <c r="I63" s="1154"/>
      <c r="J63" s="1667"/>
      <c r="K63" s="1667"/>
      <c r="L63" s="1667"/>
      <c r="M63" s="1667"/>
      <c r="N63" s="1667"/>
      <c r="O63" s="1667"/>
      <c r="P63" s="1667"/>
      <c r="Q63" s="1667"/>
      <c r="R63" s="1667"/>
      <c r="S63" s="1667"/>
      <c r="T63" s="217"/>
      <c r="U63" s="217"/>
      <c r="V63" s="217"/>
      <c r="W63" s="217"/>
      <c r="X63" s="217"/>
      <c r="Y63" s="217"/>
      <c r="Z63" s="217"/>
      <c r="AA63" s="217"/>
      <c r="AB63" s="217"/>
      <c r="AC63" s="217"/>
      <c r="AD63" s="217"/>
      <c r="AE63" s="217"/>
      <c r="AF63" s="217"/>
      <c r="AG63" s="217"/>
      <c r="AH63" s="217"/>
      <c r="AI63" s="217"/>
      <c r="AJ63" s="217"/>
      <c r="AK63" s="217"/>
      <c r="AL63" s="217"/>
      <c r="AM63" s="217"/>
      <c r="AN63" s="217"/>
      <c r="AO63" s="217"/>
      <c r="AP63" s="217"/>
    </row>
    <row r="64" spans="1:42" ht="15.75">
      <c r="A64" s="1258" t="s">
        <v>865</v>
      </c>
      <c r="B64" s="566" t="s">
        <v>668</v>
      </c>
      <c r="C64" s="1651">
        <v>0</v>
      </c>
      <c r="D64" s="993">
        <v>2898</v>
      </c>
      <c r="E64" s="414">
        <f>D64*C64</f>
        <v>0</v>
      </c>
      <c r="F64" s="440" t="s">
        <v>1215</v>
      </c>
      <c r="H64" s="1154"/>
      <c r="I64" s="1154"/>
    </row>
    <row r="65" spans="1:9" ht="30">
      <c r="A65" s="1258" t="s">
        <v>866</v>
      </c>
      <c r="B65" s="1323" t="s">
        <v>1216</v>
      </c>
      <c r="C65" s="1651">
        <v>0</v>
      </c>
      <c r="D65" s="994">
        <v>7902</v>
      </c>
      <c r="E65" s="414">
        <f>D65*C65</f>
        <v>0</v>
      </c>
      <c r="F65" s="440" t="s">
        <v>1217</v>
      </c>
      <c r="H65" s="1154"/>
      <c r="I65" s="1154"/>
    </row>
    <row r="66" spans="1:9" ht="29.1" customHeight="1">
      <c r="A66" s="1258" t="s">
        <v>867</v>
      </c>
      <c r="B66" s="1323" t="s">
        <v>1395</v>
      </c>
      <c r="C66" s="1651">
        <v>0</v>
      </c>
      <c r="D66" s="994">
        <v>6840</v>
      </c>
      <c r="E66" s="414">
        <f t="shared" ref="E66:E70" si="0">D66*C66</f>
        <v>0</v>
      </c>
      <c r="F66" s="440" t="s">
        <v>1217</v>
      </c>
      <c r="H66" s="1154"/>
      <c r="I66" s="1154"/>
    </row>
    <row r="67" spans="1:9" ht="31.5">
      <c r="A67" s="1258" t="s">
        <v>868</v>
      </c>
      <c r="B67" s="1323" t="s">
        <v>1219</v>
      </c>
      <c r="C67" s="1651">
        <v>0</v>
      </c>
      <c r="D67" s="994">
        <v>450</v>
      </c>
      <c r="E67" s="414">
        <f t="shared" si="0"/>
        <v>0</v>
      </c>
      <c r="F67" s="440" t="s">
        <v>1218</v>
      </c>
      <c r="H67" s="1154"/>
      <c r="I67" s="1154"/>
    </row>
    <row r="68" spans="1:9" ht="30">
      <c r="A68" s="1258" t="s">
        <v>869</v>
      </c>
      <c r="B68" s="1323" t="s">
        <v>1220</v>
      </c>
      <c r="C68" s="1651">
        <v>0</v>
      </c>
      <c r="D68" s="994">
        <v>350</v>
      </c>
      <c r="E68" s="414">
        <f t="shared" si="0"/>
        <v>0</v>
      </c>
      <c r="F68" s="1324" t="s">
        <v>1222</v>
      </c>
      <c r="H68" s="1154"/>
      <c r="I68" s="1154"/>
    </row>
    <row r="69" spans="1:9" ht="31.5">
      <c r="A69" s="1258" t="s">
        <v>870</v>
      </c>
      <c r="B69" s="1323" t="s">
        <v>1221</v>
      </c>
      <c r="C69" s="1651">
        <v>0</v>
      </c>
      <c r="D69" s="994">
        <v>3360</v>
      </c>
      <c r="E69" s="414">
        <f t="shared" si="0"/>
        <v>0</v>
      </c>
      <c r="F69" s="415"/>
      <c r="H69" s="1154"/>
      <c r="I69" s="1154"/>
    </row>
    <row r="70" spans="1:9" ht="15.75">
      <c r="A70" s="1258" t="s">
        <v>871</v>
      </c>
      <c r="B70" s="1323" t="s">
        <v>1223</v>
      </c>
      <c r="C70" s="1651">
        <v>0</v>
      </c>
      <c r="D70" s="994">
        <v>900</v>
      </c>
      <c r="E70" s="414">
        <f t="shared" si="0"/>
        <v>0</v>
      </c>
      <c r="F70" s="415"/>
      <c r="H70" s="1154"/>
      <c r="I70" s="1154"/>
    </row>
    <row r="71" spans="1:9" ht="15.75">
      <c r="A71" s="1258"/>
      <c r="B71" s="1325" t="s">
        <v>1224</v>
      </c>
      <c r="C71" s="1651">
        <v>0</v>
      </c>
      <c r="D71" s="1654">
        <v>0</v>
      </c>
      <c r="E71" s="1278">
        <f>D71*C71</f>
        <v>0</v>
      </c>
      <c r="F71" s="1279"/>
      <c r="H71" s="1154"/>
      <c r="I71" s="1154"/>
    </row>
    <row r="72" spans="1:9" ht="15.75">
      <c r="A72" s="566"/>
      <c r="B72" s="668" t="s">
        <v>1225</v>
      </c>
      <c r="C72" s="1651">
        <v>0</v>
      </c>
      <c r="D72" s="1653">
        <v>0</v>
      </c>
      <c r="E72" s="414">
        <f>D72*C72</f>
        <v>0</v>
      </c>
      <c r="F72" s="414"/>
      <c r="H72" s="1154"/>
      <c r="I72" s="1154"/>
    </row>
    <row r="73" spans="1:9" ht="15.75">
      <c r="A73" s="229"/>
      <c r="B73" s="430" t="s">
        <v>1209</v>
      </c>
      <c r="C73" s="431"/>
      <c r="D73" s="437"/>
      <c r="E73" s="434">
        <f>SUM(E64:E72)</f>
        <v>0</v>
      </c>
      <c r="F73" s="432"/>
      <c r="H73" s="1154"/>
      <c r="I73" s="1154"/>
    </row>
    <row r="74" spans="1:9" ht="15.75">
      <c r="A74" s="229"/>
      <c r="B74" s="430"/>
      <c r="C74" s="431"/>
      <c r="D74" s="437"/>
      <c r="E74" s="434"/>
      <c r="F74" s="432"/>
      <c r="H74" s="1154"/>
      <c r="I74" s="1154"/>
    </row>
    <row r="75" spans="1:9" ht="31.5">
      <c r="A75" s="1257" t="s">
        <v>614</v>
      </c>
      <c r="B75" s="438" t="s">
        <v>667</v>
      </c>
      <c r="C75" s="1647">
        <v>0</v>
      </c>
      <c r="D75" s="986" t="s">
        <v>1214</v>
      </c>
      <c r="E75" s="985"/>
      <c r="F75" s="427"/>
      <c r="H75" s="1154"/>
      <c r="I75" s="1154"/>
    </row>
    <row r="76" spans="1:9" ht="15.75">
      <c r="A76" s="439" t="s">
        <v>872</v>
      </c>
      <c r="B76" s="439" t="s">
        <v>668</v>
      </c>
      <c r="C76" s="1651">
        <v>0</v>
      </c>
      <c r="D76" s="982">
        <v>1896</v>
      </c>
      <c r="E76" s="414">
        <f>D76*C76</f>
        <v>0</v>
      </c>
      <c r="F76" s="440" t="s">
        <v>1226</v>
      </c>
      <c r="H76" s="1154"/>
      <c r="I76" s="1154"/>
    </row>
    <row r="77" spans="1:9" ht="30">
      <c r="A77" s="439" t="s">
        <v>873</v>
      </c>
      <c r="B77" s="1323" t="s">
        <v>1216</v>
      </c>
      <c r="C77" s="1651">
        <v>0</v>
      </c>
      <c r="D77" s="983">
        <v>5184</v>
      </c>
      <c r="E77" s="414">
        <f>D77*C77</f>
        <v>0</v>
      </c>
      <c r="F77" s="440" t="s">
        <v>1227</v>
      </c>
      <c r="H77" s="1154"/>
      <c r="I77" s="1154"/>
    </row>
    <row r="78" spans="1:9" ht="31.5">
      <c r="A78" s="439" t="s">
        <v>874</v>
      </c>
      <c r="B78" s="397" t="s">
        <v>1228</v>
      </c>
      <c r="C78" s="1651">
        <v>0</v>
      </c>
      <c r="D78" s="983">
        <v>4500</v>
      </c>
      <c r="E78" s="414">
        <f t="shared" ref="E78:E82" si="1">D78*C78</f>
        <v>0</v>
      </c>
      <c r="F78" s="440" t="s">
        <v>1227</v>
      </c>
      <c r="H78" s="1154"/>
      <c r="I78" s="1154"/>
    </row>
    <row r="79" spans="1:9" ht="31.5">
      <c r="A79" s="1258" t="s">
        <v>868</v>
      </c>
      <c r="B79" s="397" t="s">
        <v>1219</v>
      </c>
      <c r="C79" s="1651">
        <v>0</v>
      </c>
      <c r="D79" s="983">
        <v>450</v>
      </c>
      <c r="E79" s="414">
        <f t="shared" si="1"/>
        <v>0</v>
      </c>
      <c r="F79" s="440" t="s">
        <v>1218</v>
      </c>
      <c r="H79" s="1154"/>
      <c r="I79" s="1154"/>
    </row>
    <row r="80" spans="1:9" ht="30">
      <c r="A80" s="1258" t="s">
        <v>869</v>
      </c>
      <c r="B80" s="397" t="s">
        <v>1220</v>
      </c>
      <c r="C80" s="1651">
        <v>0</v>
      </c>
      <c r="D80" s="983">
        <v>350</v>
      </c>
      <c r="E80" s="414">
        <f t="shared" si="1"/>
        <v>0</v>
      </c>
      <c r="F80" s="1324" t="s">
        <v>1222</v>
      </c>
      <c r="H80" s="1154"/>
      <c r="I80" s="1154"/>
    </row>
    <row r="81" spans="1:42" ht="31.5">
      <c r="A81" s="1258" t="s">
        <v>870</v>
      </c>
      <c r="B81" s="397" t="s">
        <v>1229</v>
      </c>
      <c r="C81" s="1651">
        <v>0</v>
      </c>
      <c r="D81" s="983">
        <v>3360</v>
      </c>
      <c r="E81" s="414">
        <f t="shared" si="1"/>
        <v>0</v>
      </c>
      <c r="F81" s="415"/>
      <c r="H81" s="1154"/>
      <c r="I81" s="1154"/>
    </row>
    <row r="82" spans="1:42" ht="15.75">
      <c r="A82" s="1258" t="s">
        <v>871</v>
      </c>
      <c r="B82" s="398" t="s">
        <v>670</v>
      </c>
      <c r="C82" s="1651">
        <v>0</v>
      </c>
      <c r="D82" s="983">
        <v>900</v>
      </c>
      <c r="E82" s="414">
        <f t="shared" si="1"/>
        <v>0</v>
      </c>
      <c r="F82" s="415"/>
      <c r="H82" s="1154"/>
      <c r="I82" s="1154"/>
    </row>
    <row r="83" spans="1:42" ht="15.75">
      <c r="A83" s="1258"/>
      <c r="B83" s="1325" t="s">
        <v>1224</v>
      </c>
      <c r="C83" s="1651">
        <v>0</v>
      </c>
      <c r="D83" s="1654">
        <v>0</v>
      </c>
      <c r="E83" s="1278">
        <f>D83*C83</f>
        <v>0</v>
      </c>
      <c r="F83" s="414"/>
      <c r="H83" s="1154"/>
      <c r="I83" s="1154"/>
    </row>
    <row r="84" spans="1:42" ht="15.75">
      <c r="A84" s="229"/>
      <c r="B84" s="668" t="s">
        <v>1225</v>
      </c>
      <c r="C84" s="1651">
        <v>0</v>
      </c>
      <c r="D84" s="1653">
        <v>0</v>
      </c>
      <c r="E84" s="414">
        <f>D84*C84</f>
        <v>0</v>
      </c>
      <c r="F84" s="432"/>
      <c r="H84" s="1154"/>
      <c r="I84" s="1154"/>
    </row>
    <row r="85" spans="1:42" ht="15.75">
      <c r="A85" s="229"/>
      <c r="B85" s="430" t="s">
        <v>1209</v>
      </c>
      <c r="C85" s="431"/>
      <c r="D85" s="437"/>
      <c r="E85" s="434">
        <f>SUM(E76:E84)</f>
        <v>0</v>
      </c>
      <c r="F85" s="432"/>
      <c r="H85" s="1154"/>
      <c r="I85" s="1154"/>
    </row>
    <row r="86" spans="1:42" s="228" customFormat="1" ht="15.75">
      <c r="A86" s="229"/>
      <c r="B86" s="441"/>
      <c r="C86" s="442"/>
      <c r="D86" s="441"/>
      <c r="E86" s="421"/>
      <c r="F86" s="427"/>
      <c r="G86" s="217"/>
      <c r="H86" s="1154"/>
      <c r="I86" s="1154"/>
      <c r="J86" s="1667"/>
      <c r="K86" s="1667"/>
      <c r="L86" s="1667"/>
      <c r="M86" s="1667"/>
      <c r="N86" s="1667"/>
      <c r="O86" s="1667"/>
      <c r="P86" s="1667"/>
      <c r="Q86" s="1667"/>
      <c r="R86" s="1667"/>
      <c r="S86" s="1667"/>
      <c r="T86" s="217"/>
      <c r="U86" s="217"/>
      <c r="V86" s="217"/>
      <c r="W86" s="217"/>
      <c r="X86" s="217"/>
      <c r="Y86" s="217"/>
      <c r="Z86" s="217"/>
      <c r="AA86" s="217"/>
      <c r="AB86" s="217"/>
      <c r="AC86" s="217"/>
      <c r="AD86" s="217"/>
      <c r="AE86" s="217"/>
      <c r="AF86" s="217"/>
      <c r="AG86" s="217"/>
      <c r="AH86" s="217"/>
      <c r="AI86" s="217"/>
      <c r="AJ86" s="217"/>
      <c r="AK86" s="217"/>
      <c r="AL86" s="217"/>
      <c r="AM86" s="217"/>
      <c r="AN86" s="217"/>
      <c r="AO86" s="217"/>
      <c r="AP86" s="217"/>
    </row>
    <row r="87" spans="1:42" ht="31.5">
      <c r="A87" s="1257" t="s">
        <v>614</v>
      </c>
      <c r="B87" s="438" t="s">
        <v>669</v>
      </c>
      <c r="C87" s="1647">
        <v>0</v>
      </c>
      <c r="D87" s="986" t="s">
        <v>1214</v>
      </c>
      <c r="E87" s="985"/>
      <c r="F87" s="440" t="s">
        <v>1226</v>
      </c>
      <c r="H87" s="1154"/>
      <c r="I87" s="1154"/>
    </row>
    <row r="88" spans="1:42" ht="30">
      <c r="A88" s="439" t="s">
        <v>875</v>
      </c>
      <c r="B88" s="439" t="s">
        <v>668</v>
      </c>
      <c r="C88" s="1651">
        <v>0</v>
      </c>
      <c r="D88" s="982">
        <v>7800</v>
      </c>
      <c r="E88" s="414">
        <f>D88*C88</f>
        <v>0</v>
      </c>
      <c r="F88" s="440" t="s">
        <v>1227</v>
      </c>
      <c r="H88" s="1154"/>
      <c r="I88" s="1154"/>
    </row>
    <row r="89" spans="1:42" ht="30">
      <c r="A89" s="1259" t="s">
        <v>876</v>
      </c>
      <c r="B89" s="1323" t="s">
        <v>1216</v>
      </c>
      <c r="C89" s="1651">
        <v>0</v>
      </c>
      <c r="D89" s="983">
        <v>20898</v>
      </c>
      <c r="E89" s="414">
        <f>D89*C89</f>
        <v>0</v>
      </c>
      <c r="F89" s="440" t="s">
        <v>1227</v>
      </c>
      <c r="H89" s="1154"/>
      <c r="I89" s="1154"/>
    </row>
    <row r="90" spans="1:42" ht="31.5">
      <c r="A90" s="1259" t="s">
        <v>877</v>
      </c>
      <c r="B90" s="397" t="s">
        <v>1230</v>
      </c>
      <c r="C90" s="1651">
        <v>0</v>
      </c>
      <c r="D90" s="983">
        <v>18504</v>
      </c>
      <c r="E90" s="414">
        <f t="shared" ref="E90:E94" si="2">D90*C90</f>
        <v>0</v>
      </c>
      <c r="F90" s="440" t="s">
        <v>1218</v>
      </c>
      <c r="H90" s="1154"/>
      <c r="I90" s="1154"/>
    </row>
    <row r="91" spans="1:42" ht="31.5">
      <c r="A91" s="439" t="s">
        <v>868</v>
      </c>
      <c r="B91" s="397" t="s">
        <v>1219</v>
      </c>
      <c r="C91" s="1651">
        <v>0</v>
      </c>
      <c r="D91" s="983">
        <v>450</v>
      </c>
      <c r="E91" s="414">
        <f t="shared" si="2"/>
        <v>0</v>
      </c>
      <c r="F91" s="1324" t="s">
        <v>1222</v>
      </c>
      <c r="H91" s="1154"/>
      <c r="I91" s="1154"/>
    </row>
    <row r="92" spans="1:42" ht="15.75">
      <c r="A92" s="439" t="s">
        <v>869</v>
      </c>
      <c r="B92" s="397" t="s">
        <v>1220</v>
      </c>
      <c r="C92" s="1651">
        <v>0</v>
      </c>
      <c r="D92" s="983">
        <v>350</v>
      </c>
      <c r="E92" s="414">
        <f t="shared" si="2"/>
        <v>0</v>
      </c>
      <c r="F92" s="414"/>
      <c r="H92" s="1154"/>
      <c r="I92" s="1154"/>
    </row>
    <row r="93" spans="1:42" ht="31.5">
      <c r="A93" s="439" t="s">
        <v>870</v>
      </c>
      <c r="B93" s="397" t="s">
        <v>1221</v>
      </c>
      <c r="C93" s="1651">
        <v>0</v>
      </c>
      <c r="D93" s="983">
        <v>3360</v>
      </c>
      <c r="E93" s="414">
        <f t="shared" si="2"/>
        <v>0</v>
      </c>
      <c r="F93" s="415"/>
      <c r="H93" s="1154"/>
      <c r="I93" s="1154"/>
    </row>
    <row r="94" spans="1:42" ht="15.75">
      <c r="A94" s="1258" t="s">
        <v>871</v>
      </c>
      <c r="B94" s="398" t="s">
        <v>1223</v>
      </c>
      <c r="C94" s="1651">
        <v>0</v>
      </c>
      <c r="D94" s="983">
        <v>900</v>
      </c>
      <c r="E94" s="414">
        <f t="shared" si="2"/>
        <v>0</v>
      </c>
      <c r="F94" s="414"/>
      <c r="H94" s="1154"/>
      <c r="I94" s="1154"/>
    </row>
    <row r="95" spans="1:42" ht="15.75">
      <c r="A95" s="1301"/>
      <c r="B95" s="1300" t="s">
        <v>1224</v>
      </c>
      <c r="C95" s="1652">
        <v>0</v>
      </c>
      <c r="D95" s="1652">
        <v>0</v>
      </c>
      <c r="E95" s="1302">
        <v>0</v>
      </c>
      <c r="F95" s="421"/>
      <c r="H95" s="1154"/>
      <c r="I95" s="1154"/>
    </row>
    <row r="96" spans="1:42" ht="15.75">
      <c r="A96" s="229"/>
      <c r="B96" s="668" t="s">
        <v>1225</v>
      </c>
      <c r="C96" s="1651">
        <v>0</v>
      </c>
      <c r="D96" s="1653">
        <v>0</v>
      </c>
      <c r="E96" s="414">
        <f>D96*C96</f>
        <v>0</v>
      </c>
      <c r="F96" s="432"/>
      <c r="H96" s="1154"/>
      <c r="I96" s="1154"/>
    </row>
    <row r="97" spans="1:9" ht="15.75">
      <c r="A97" s="229"/>
      <c r="B97" s="430" t="s">
        <v>1209</v>
      </c>
      <c r="C97" s="431"/>
      <c r="D97" s="437"/>
      <c r="E97" s="434">
        <f>SUM(E88:E96)</f>
        <v>0</v>
      </c>
      <c r="F97" s="432"/>
      <c r="H97" s="1154"/>
      <c r="I97" s="1154"/>
    </row>
    <row r="98" spans="1:9" ht="15.75">
      <c r="A98" s="229"/>
      <c r="B98" s="430"/>
      <c r="C98" s="431"/>
      <c r="D98" s="437"/>
      <c r="E98" s="434"/>
      <c r="F98" s="984"/>
      <c r="H98" s="1154"/>
      <c r="I98" s="1154"/>
    </row>
    <row r="99" spans="1:9" ht="75">
      <c r="A99" s="1257" t="s">
        <v>614</v>
      </c>
      <c r="B99" s="1207" t="s">
        <v>817</v>
      </c>
      <c r="C99" s="1649">
        <v>0</v>
      </c>
      <c r="D99" s="1208" t="s">
        <v>1214</v>
      </c>
      <c r="E99" s="1209"/>
      <c r="F99" s="1206" t="s">
        <v>1396</v>
      </c>
      <c r="H99" s="1154"/>
      <c r="I99" s="1154"/>
    </row>
    <row r="100" spans="1:9" ht="90">
      <c r="A100" s="1203">
        <v>106702</v>
      </c>
      <c r="B100" s="1326" t="s">
        <v>1231</v>
      </c>
      <c r="C100" s="1650">
        <v>0</v>
      </c>
      <c r="D100" s="1204">
        <v>1220</v>
      </c>
      <c r="E100" s="1205">
        <f>D100*C100</f>
        <v>0</v>
      </c>
      <c r="F100" s="1206" t="s">
        <v>1397</v>
      </c>
      <c r="H100" s="1154"/>
      <c r="I100" s="1154"/>
    </row>
    <row r="101" spans="1:9" ht="75">
      <c r="A101" s="1203">
        <v>106703</v>
      </c>
      <c r="B101" s="1326" t="s">
        <v>1232</v>
      </c>
      <c r="C101" s="1650">
        <v>0</v>
      </c>
      <c r="D101" s="1204">
        <v>2240</v>
      </c>
      <c r="E101" s="1205">
        <f t="shared" ref="E101:E104" si="3">D101*C101</f>
        <v>0</v>
      </c>
      <c r="F101" s="1206" t="s">
        <v>1396</v>
      </c>
      <c r="H101" s="1154"/>
      <c r="I101" s="1154"/>
    </row>
    <row r="102" spans="1:9" ht="75">
      <c r="A102" s="1203">
        <v>106704</v>
      </c>
      <c r="B102" s="1326" t="s">
        <v>1233</v>
      </c>
      <c r="C102" s="1650">
        <v>0</v>
      </c>
      <c r="D102" s="1204">
        <v>3360</v>
      </c>
      <c r="E102" s="1205">
        <f t="shared" si="3"/>
        <v>0</v>
      </c>
      <c r="F102" s="1206" t="s">
        <v>1396</v>
      </c>
      <c r="H102" s="1154"/>
      <c r="I102" s="1154"/>
    </row>
    <row r="103" spans="1:9" ht="75">
      <c r="A103" s="1203">
        <v>106705</v>
      </c>
      <c r="B103" s="1326" t="s">
        <v>1234</v>
      </c>
      <c r="C103" s="1650">
        <v>0</v>
      </c>
      <c r="D103" s="1204">
        <v>4480</v>
      </c>
      <c r="E103" s="1205">
        <f t="shared" si="3"/>
        <v>0</v>
      </c>
      <c r="F103" s="1206" t="s">
        <v>1396</v>
      </c>
      <c r="H103" s="1154"/>
      <c r="I103" s="1154"/>
    </row>
    <row r="104" spans="1:9" ht="31.5">
      <c r="A104" s="1203">
        <v>106706</v>
      </c>
      <c r="B104" s="1326" t="s">
        <v>1235</v>
      </c>
      <c r="C104" s="1650">
        <v>0</v>
      </c>
      <c r="D104" s="1204">
        <v>5600</v>
      </c>
      <c r="E104" s="1205">
        <f t="shared" si="3"/>
        <v>0</v>
      </c>
      <c r="F104" s="432"/>
      <c r="H104" s="1154"/>
      <c r="I104" s="1154"/>
    </row>
    <row r="105" spans="1:9" ht="15.75">
      <c r="A105" s="229"/>
      <c r="B105" s="430" t="s">
        <v>1209</v>
      </c>
      <c r="C105" s="431"/>
      <c r="D105" s="437"/>
      <c r="E105" s="434">
        <f>SUM(E100:E104)</f>
        <v>0</v>
      </c>
      <c r="F105" s="432"/>
      <c r="H105" s="1154"/>
      <c r="I105" s="1154"/>
    </row>
    <row r="106" spans="1:9" ht="15.75">
      <c r="A106" s="229"/>
      <c r="B106" s="441"/>
      <c r="C106" s="442"/>
      <c r="D106" s="441"/>
      <c r="E106" s="421"/>
      <c r="F106" s="984"/>
      <c r="H106" s="1154"/>
      <c r="I106" s="1154"/>
    </row>
    <row r="107" spans="1:9" ht="150">
      <c r="A107" s="1257" t="s">
        <v>614</v>
      </c>
      <c r="B107" s="438" t="s">
        <v>652</v>
      </c>
      <c r="C107" s="1647">
        <v>0</v>
      </c>
      <c r="D107" s="987" t="s">
        <v>1214</v>
      </c>
      <c r="E107" s="985"/>
      <c r="F107" s="445" t="s">
        <v>1398</v>
      </c>
      <c r="H107" s="1154"/>
      <c r="I107" s="1154"/>
    </row>
    <row r="108" spans="1:9" ht="165">
      <c r="A108" s="1203">
        <v>106639</v>
      </c>
      <c r="B108" s="397" t="s">
        <v>1236</v>
      </c>
      <c r="C108" s="1648">
        <v>0</v>
      </c>
      <c r="D108" s="443">
        <v>1358.5</v>
      </c>
      <c r="E108" s="444">
        <f>D108*C108</f>
        <v>0</v>
      </c>
      <c r="F108" s="445" t="s">
        <v>1399</v>
      </c>
      <c r="H108" s="1154"/>
      <c r="I108" s="1154"/>
    </row>
    <row r="109" spans="1:9" ht="31.5">
      <c r="A109" s="1203">
        <v>106640</v>
      </c>
      <c r="B109" s="439" t="s">
        <v>671</v>
      </c>
      <c r="C109" s="1648">
        <v>0</v>
      </c>
      <c r="D109" s="446">
        <v>1842.5</v>
      </c>
      <c r="E109" s="444">
        <f>D109*C109</f>
        <v>0</v>
      </c>
      <c r="F109" s="432"/>
      <c r="H109" s="1154"/>
      <c r="I109" s="1154"/>
    </row>
    <row r="110" spans="1:9" ht="15.75">
      <c r="A110" s="229"/>
      <c r="B110" s="430" t="s">
        <v>1209</v>
      </c>
      <c r="C110" s="442"/>
      <c r="D110" s="442"/>
      <c r="E110" s="434">
        <f>SUM(E108:E109)</f>
        <v>0</v>
      </c>
      <c r="F110" s="432"/>
      <c r="H110" s="1154"/>
      <c r="I110" s="1154"/>
    </row>
    <row r="111" spans="1:9" ht="15">
      <c r="A111" s="229"/>
      <c r="B111" s="441"/>
      <c r="C111" s="442"/>
      <c r="D111" s="442"/>
      <c r="E111" s="421"/>
      <c r="F111" s="432"/>
      <c r="H111" s="1154"/>
      <c r="I111" s="1154"/>
    </row>
    <row r="112" spans="1:9" ht="15.75">
      <c r="A112" s="229"/>
      <c r="B112" s="441"/>
      <c r="C112" s="442"/>
      <c r="D112" s="442"/>
      <c r="E112" s="421"/>
      <c r="F112" s="427"/>
      <c r="H112" s="1154"/>
      <c r="I112" s="1154"/>
    </row>
    <row r="113" spans="1:42" s="228" customFormat="1" ht="15.75">
      <c r="A113" s="229"/>
      <c r="B113" s="447" t="s">
        <v>638</v>
      </c>
      <c r="C113" s="1646">
        <v>0</v>
      </c>
      <c r="D113" s="988"/>
      <c r="E113" s="985"/>
      <c r="F113" s="429"/>
      <c r="G113" s="217"/>
      <c r="H113" s="1154"/>
      <c r="I113" s="1154"/>
      <c r="J113" s="1667"/>
      <c r="K113" s="1667"/>
      <c r="L113" s="1667"/>
      <c r="M113" s="1667"/>
      <c r="N113" s="1667"/>
      <c r="O113" s="1667"/>
      <c r="P113" s="1667"/>
      <c r="Q113" s="1667"/>
      <c r="R113" s="1667"/>
      <c r="S113" s="1667"/>
      <c r="T113" s="217"/>
      <c r="U113" s="217"/>
      <c r="V113" s="217"/>
      <c r="W113" s="217"/>
      <c r="X113" s="217"/>
      <c r="Y113" s="217"/>
      <c r="Z113" s="217"/>
      <c r="AA113" s="217"/>
      <c r="AB113" s="217"/>
      <c r="AC113" s="217"/>
      <c r="AD113" s="217"/>
      <c r="AE113" s="217"/>
      <c r="AF113" s="217"/>
      <c r="AG113" s="217"/>
      <c r="AH113" s="217"/>
      <c r="AI113" s="217"/>
      <c r="AJ113" s="217"/>
      <c r="AK113" s="217"/>
      <c r="AL113" s="217"/>
      <c r="AM113" s="217"/>
      <c r="AN113" s="217"/>
      <c r="AO113" s="217"/>
      <c r="AP113" s="217"/>
    </row>
    <row r="114" spans="1:42" ht="15">
      <c r="A114" s="229"/>
      <c r="B114" s="428" t="s">
        <v>1207</v>
      </c>
      <c r="C114" s="1646">
        <v>0</v>
      </c>
      <c r="D114" s="1646">
        <v>0</v>
      </c>
      <c r="E114" s="365">
        <f>D114*C114</f>
        <v>0</v>
      </c>
      <c r="F114" s="429"/>
      <c r="H114" s="1154"/>
      <c r="I114" s="1154"/>
    </row>
    <row r="115" spans="1:42" ht="15">
      <c r="A115" s="229"/>
      <c r="B115" s="428" t="s">
        <v>1225</v>
      </c>
      <c r="C115" s="1646">
        <v>0</v>
      </c>
      <c r="D115" s="1646">
        <v>0</v>
      </c>
      <c r="E115" s="365">
        <f>D115*C115</f>
        <v>0</v>
      </c>
      <c r="F115" s="432"/>
      <c r="H115" s="1154"/>
      <c r="I115" s="1154"/>
    </row>
    <row r="116" spans="1:42" ht="15.75">
      <c r="A116" s="229"/>
      <c r="B116" s="430" t="s">
        <v>1209</v>
      </c>
      <c r="C116" s="431"/>
      <c r="D116" s="431"/>
      <c r="E116" s="434">
        <f>SUM(E93:E115)</f>
        <v>0</v>
      </c>
      <c r="F116" s="432"/>
      <c r="H116" s="1154"/>
      <c r="I116" s="1154"/>
    </row>
    <row r="117" spans="1:42" ht="15.75">
      <c r="A117" s="229"/>
      <c r="B117" s="430"/>
      <c r="C117" s="431"/>
      <c r="D117" s="431"/>
      <c r="E117" s="434"/>
      <c r="F117" s="432"/>
      <c r="H117" s="1154"/>
      <c r="I117" s="1154"/>
    </row>
    <row r="118" spans="1:42" ht="15.75">
      <c r="A118" s="229"/>
      <c r="B118" s="430"/>
      <c r="C118" s="431"/>
      <c r="D118" s="431"/>
      <c r="E118" s="434"/>
      <c r="F118" s="984"/>
      <c r="G118" s="219"/>
      <c r="H118" s="1154"/>
      <c r="I118" s="1154"/>
      <c r="J118" s="1670"/>
      <c r="K118" s="1670"/>
      <c r="L118" s="1670"/>
      <c r="M118" s="1670"/>
      <c r="N118" s="1670"/>
      <c r="O118" s="1670"/>
      <c r="P118" s="1670"/>
      <c r="Q118" s="1670"/>
      <c r="R118" s="1670"/>
      <c r="S118" s="1670"/>
      <c r="T118" s="219"/>
      <c r="U118" s="219"/>
      <c r="V118" s="219"/>
      <c r="W118" s="219"/>
      <c r="X118" s="219"/>
      <c r="Y118" s="219"/>
      <c r="Z118" s="219"/>
      <c r="AA118" s="219"/>
      <c r="AB118" s="219"/>
      <c r="AC118" s="219"/>
      <c r="AD118" s="219"/>
      <c r="AE118" s="219"/>
      <c r="AF118" s="219"/>
      <c r="AG118" s="219"/>
      <c r="AH118" s="219"/>
      <c r="AI118" s="219"/>
      <c r="AJ118" s="219"/>
      <c r="AK118" s="219"/>
      <c r="AL118" s="219"/>
      <c r="AM118" s="219"/>
      <c r="AN118" s="219"/>
      <c r="AO118" s="219"/>
      <c r="AP118" s="219"/>
    </row>
    <row r="119" spans="1:42" ht="15.75">
      <c r="A119" s="225"/>
      <c r="B119" s="447" t="s">
        <v>1237</v>
      </c>
      <c r="C119" s="1645">
        <v>0</v>
      </c>
      <c r="D119" s="995"/>
      <c r="E119" s="985"/>
      <c r="F119" s="429"/>
      <c r="G119" s="219"/>
      <c r="H119" s="1154"/>
      <c r="I119" s="1154"/>
      <c r="J119" s="1670"/>
      <c r="K119" s="1670"/>
      <c r="L119" s="1670"/>
      <c r="M119" s="1670"/>
      <c r="N119" s="1670"/>
      <c r="O119" s="1670"/>
      <c r="P119" s="1670"/>
      <c r="Q119" s="1670"/>
      <c r="R119" s="1670"/>
      <c r="S119" s="1670"/>
      <c r="T119" s="219"/>
      <c r="U119" s="219"/>
      <c r="V119" s="219"/>
      <c r="W119" s="219"/>
      <c r="X119" s="219"/>
      <c r="Y119" s="219"/>
      <c r="Z119" s="219"/>
      <c r="AA119" s="219"/>
      <c r="AB119" s="219"/>
      <c r="AC119" s="219"/>
      <c r="AD119" s="219"/>
      <c r="AE119" s="219"/>
      <c r="AF119" s="219"/>
      <c r="AG119" s="219"/>
      <c r="AH119" s="219"/>
      <c r="AI119" s="219"/>
      <c r="AJ119" s="219"/>
      <c r="AK119" s="219"/>
      <c r="AL119" s="219"/>
      <c r="AM119" s="219"/>
      <c r="AN119" s="219"/>
      <c r="AO119" s="219"/>
      <c r="AP119" s="219"/>
    </row>
    <row r="120" spans="1:42" ht="15">
      <c r="A120" s="229"/>
      <c r="B120" s="428" t="s">
        <v>1207</v>
      </c>
      <c r="C120" s="1646">
        <v>0</v>
      </c>
      <c r="D120" s="1646">
        <v>0</v>
      </c>
      <c r="E120" s="365">
        <f>D120*C120</f>
        <v>0</v>
      </c>
      <c r="F120" s="429"/>
      <c r="H120" s="1154"/>
      <c r="I120" s="1154"/>
    </row>
    <row r="121" spans="1:42" ht="15">
      <c r="A121" s="229"/>
      <c r="B121" s="428" t="s">
        <v>469</v>
      </c>
      <c r="C121" s="1646">
        <v>0</v>
      </c>
      <c r="D121" s="1646">
        <v>0</v>
      </c>
      <c r="E121" s="365">
        <f>D121*C121</f>
        <v>0</v>
      </c>
      <c r="F121" s="429"/>
      <c r="H121" s="1154"/>
      <c r="I121" s="1154"/>
    </row>
    <row r="122" spans="1:42" ht="15">
      <c r="A122" s="229"/>
      <c r="B122" s="428" t="s">
        <v>1225</v>
      </c>
      <c r="C122" s="1646">
        <v>0</v>
      </c>
      <c r="D122" s="1646">
        <v>0</v>
      </c>
      <c r="E122" s="365">
        <f>D122*C122</f>
        <v>0</v>
      </c>
      <c r="F122" s="432"/>
      <c r="H122" s="1154"/>
      <c r="I122" s="1154"/>
    </row>
    <row r="123" spans="1:42" ht="15.75">
      <c r="A123" s="229"/>
      <c r="B123" s="430" t="s">
        <v>1209</v>
      </c>
      <c r="C123" s="374"/>
      <c r="D123" s="374"/>
      <c r="E123" s="434">
        <f>SUM(E120:E122)</f>
        <v>0</v>
      </c>
      <c r="F123" s="432"/>
      <c r="G123" s="219"/>
      <c r="H123" s="1154"/>
      <c r="I123" s="1154"/>
      <c r="J123" s="1670"/>
      <c r="K123" s="1670"/>
      <c r="L123" s="1670"/>
      <c r="M123" s="1670"/>
      <c r="N123" s="1670"/>
      <c r="O123" s="1670"/>
      <c r="P123" s="1670"/>
      <c r="Q123" s="1670"/>
      <c r="R123" s="1670"/>
      <c r="S123" s="1670"/>
      <c r="T123" s="219"/>
      <c r="U123" s="219"/>
      <c r="V123" s="219"/>
      <c r="W123" s="219"/>
      <c r="X123" s="219"/>
      <c r="Y123" s="219"/>
      <c r="Z123" s="219"/>
      <c r="AA123" s="219"/>
      <c r="AB123" s="219"/>
      <c r="AC123" s="219"/>
      <c r="AD123" s="219"/>
      <c r="AE123" s="219"/>
      <c r="AF123" s="219"/>
      <c r="AG123" s="219"/>
      <c r="AH123" s="219"/>
      <c r="AI123" s="219"/>
      <c r="AJ123" s="219"/>
      <c r="AK123" s="219"/>
      <c r="AL123" s="219"/>
      <c r="AM123" s="219"/>
      <c r="AN123" s="219"/>
      <c r="AO123" s="219"/>
      <c r="AP123" s="219"/>
    </row>
    <row r="124" spans="1:42" ht="16.5" thickBot="1">
      <c r="A124" s="229"/>
      <c r="B124" s="430"/>
      <c r="C124" s="374"/>
      <c r="D124" s="374"/>
      <c r="E124" s="434"/>
      <c r="F124" s="451"/>
      <c r="G124" s="219"/>
      <c r="H124" s="1154"/>
      <c r="I124" s="1154"/>
      <c r="J124" s="1670"/>
      <c r="K124" s="1670"/>
      <c r="L124" s="1670"/>
      <c r="M124" s="1670"/>
      <c r="N124" s="1670"/>
      <c r="O124" s="1670"/>
      <c r="P124" s="1670"/>
      <c r="Q124" s="1670"/>
      <c r="R124" s="1670"/>
      <c r="S124" s="1670"/>
      <c r="T124" s="219"/>
      <c r="U124" s="219"/>
      <c r="V124" s="219"/>
      <c r="W124" s="219"/>
      <c r="X124" s="219"/>
      <c r="Y124" s="219"/>
      <c r="Z124" s="219"/>
      <c r="AA124" s="219"/>
      <c r="AB124" s="219"/>
      <c r="AC124" s="219"/>
      <c r="AD124" s="219"/>
      <c r="AE124" s="219"/>
      <c r="AF124" s="219"/>
      <c r="AG124" s="219"/>
      <c r="AH124" s="219"/>
      <c r="AI124" s="219"/>
      <c r="AJ124" s="219"/>
      <c r="AK124" s="219"/>
      <c r="AL124" s="219"/>
      <c r="AM124" s="219"/>
      <c r="AN124" s="219"/>
      <c r="AO124" s="219"/>
      <c r="AP124" s="219"/>
    </row>
    <row r="125" spans="1:42" ht="16.5" thickBot="1">
      <c r="A125" s="235"/>
      <c r="B125" s="448" t="s">
        <v>1238</v>
      </c>
      <c r="C125" s="449"/>
      <c r="D125" s="449"/>
      <c r="E125" s="450">
        <f>E10+E27+E33+E40+E46+E51+E56+E61+E73+E85+E97+E105+E110+E116+E123+E15+E21</f>
        <v>0</v>
      </c>
      <c r="F125" s="421"/>
      <c r="G125" s="219"/>
      <c r="H125" s="1154"/>
      <c r="I125" s="1154"/>
      <c r="J125" s="1670"/>
      <c r="K125" s="1670"/>
      <c r="L125" s="1670"/>
      <c r="M125" s="1670"/>
      <c r="N125" s="1670"/>
      <c r="O125" s="1670"/>
      <c r="P125" s="1670"/>
      <c r="Q125" s="1670"/>
      <c r="R125" s="1670"/>
      <c r="S125" s="1670"/>
      <c r="T125" s="219"/>
      <c r="U125" s="219"/>
      <c r="V125" s="219"/>
      <c r="W125" s="219"/>
      <c r="X125" s="219"/>
      <c r="Y125" s="219"/>
      <c r="Z125" s="219"/>
      <c r="AA125" s="219"/>
      <c r="AB125" s="219"/>
      <c r="AC125" s="219"/>
      <c r="AD125" s="219"/>
      <c r="AE125" s="219"/>
      <c r="AF125" s="219"/>
      <c r="AG125" s="219"/>
      <c r="AH125" s="219"/>
      <c r="AI125" s="219"/>
      <c r="AJ125" s="219"/>
      <c r="AK125" s="219"/>
      <c r="AL125" s="219"/>
      <c r="AM125" s="219"/>
      <c r="AN125" s="219"/>
      <c r="AO125" s="219"/>
      <c r="AP125" s="219"/>
    </row>
    <row r="126" spans="1:42" ht="15">
      <c r="B126" s="245"/>
      <c r="C126" s="374"/>
      <c r="D126" s="374"/>
      <c r="E126" s="421"/>
      <c r="F126" s="421"/>
      <c r="G126" s="219"/>
      <c r="H126" s="1154"/>
      <c r="I126" s="1154"/>
      <c r="J126" s="1670"/>
      <c r="K126" s="1670"/>
      <c r="L126" s="1670"/>
      <c r="M126" s="1670"/>
      <c r="N126" s="1670"/>
      <c r="O126" s="1670"/>
      <c r="P126" s="1670"/>
      <c r="Q126" s="1670"/>
      <c r="R126" s="1670"/>
      <c r="S126" s="1670"/>
      <c r="T126" s="219"/>
      <c r="U126" s="219"/>
      <c r="V126" s="219"/>
      <c r="W126" s="219"/>
      <c r="X126" s="219"/>
      <c r="Y126" s="219"/>
      <c r="Z126" s="219"/>
      <c r="AA126" s="219"/>
      <c r="AB126" s="219"/>
      <c r="AC126" s="219"/>
      <c r="AD126" s="219"/>
      <c r="AE126" s="219"/>
      <c r="AF126" s="219"/>
      <c r="AG126" s="219"/>
      <c r="AH126" s="219"/>
      <c r="AI126" s="219"/>
      <c r="AJ126" s="219"/>
      <c r="AK126" s="219"/>
      <c r="AL126" s="219"/>
      <c r="AM126" s="219"/>
      <c r="AN126" s="219"/>
      <c r="AO126" s="219"/>
      <c r="AP126" s="219"/>
    </row>
    <row r="127" spans="1:42" ht="15">
      <c r="B127" s="245"/>
      <c r="C127" s="374"/>
      <c r="D127" s="374"/>
      <c r="E127" s="421"/>
      <c r="F127" s="421"/>
      <c r="G127" s="219"/>
      <c r="H127" s="1154"/>
      <c r="I127" s="1154"/>
      <c r="J127" s="1670"/>
      <c r="K127" s="1670"/>
      <c r="L127" s="1670"/>
      <c r="M127" s="1670"/>
      <c r="N127" s="1670"/>
      <c r="O127" s="1670"/>
      <c r="P127" s="1670"/>
      <c r="Q127" s="1670"/>
      <c r="R127" s="1670"/>
      <c r="S127" s="1670"/>
      <c r="T127" s="219"/>
      <c r="U127" s="219"/>
      <c r="V127" s="219"/>
      <c r="W127" s="219"/>
      <c r="X127" s="219"/>
      <c r="Y127" s="219"/>
      <c r="Z127" s="219"/>
      <c r="AA127" s="219"/>
      <c r="AB127" s="219"/>
      <c r="AC127" s="219"/>
      <c r="AD127" s="219"/>
      <c r="AE127" s="219"/>
      <c r="AF127" s="219"/>
      <c r="AG127" s="219"/>
      <c r="AH127" s="219"/>
      <c r="AI127" s="219"/>
      <c r="AJ127" s="219"/>
      <c r="AK127" s="219"/>
      <c r="AL127" s="219"/>
      <c r="AM127" s="219"/>
      <c r="AN127" s="219"/>
      <c r="AO127" s="219"/>
      <c r="AP127" s="219"/>
    </row>
    <row r="128" spans="1:42" ht="31.5" customHeight="1" thickBot="1">
      <c r="B128" s="245"/>
      <c r="C128" s="374"/>
      <c r="D128" s="374"/>
      <c r="E128" s="421"/>
      <c r="F128" s="421"/>
      <c r="G128" s="219"/>
      <c r="H128" s="1154"/>
      <c r="I128" s="1154"/>
      <c r="J128" s="1670"/>
      <c r="K128" s="1670"/>
      <c r="L128" s="1670"/>
      <c r="M128" s="1670"/>
      <c r="N128" s="1670"/>
      <c r="O128" s="1670"/>
      <c r="P128" s="1670"/>
      <c r="Q128" s="1670"/>
      <c r="R128" s="1670"/>
      <c r="S128" s="1670"/>
      <c r="T128" s="219"/>
      <c r="U128" s="219"/>
      <c r="V128" s="219"/>
      <c r="W128" s="219"/>
      <c r="X128" s="219"/>
      <c r="Y128" s="219"/>
      <c r="Z128" s="219"/>
      <c r="AA128" s="219"/>
      <c r="AB128" s="219"/>
      <c r="AC128" s="219"/>
      <c r="AD128" s="219"/>
      <c r="AE128" s="219"/>
      <c r="AF128" s="219"/>
      <c r="AG128" s="219"/>
      <c r="AH128" s="219"/>
      <c r="AI128" s="219"/>
      <c r="AJ128" s="219"/>
      <c r="AK128" s="219"/>
      <c r="AL128" s="219"/>
      <c r="AM128" s="219"/>
      <c r="AN128" s="219"/>
      <c r="AO128" s="219"/>
      <c r="AP128" s="219"/>
    </row>
    <row r="129" spans="1:42" ht="16.5" thickBot="1">
      <c r="B129" s="1263" t="s">
        <v>1239</v>
      </c>
      <c r="C129" s="374"/>
      <c r="D129" s="374"/>
      <c r="E129" s="421"/>
      <c r="F129" s="452" t="s">
        <v>1241</v>
      </c>
      <c r="G129" s="219"/>
      <c r="H129" s="1154"/>
      <c r="I129" s="1154"/>
      <c r="J129" s="1670"/>
      <c r="K129" s="1670"/>
      <c r="L129" s="1670"/>
      <c r="M129" s="1670"/>
      <c r="N129" s="1670"/>
      <c r="O129" s="1670"/>
      <c r="P129" s="1670"/>
      <c r="Q129" s="1670"/>
      <c r="R129" s="1670"/>
      <c r="S129" s="1670"/>
      <c r="T129" s="219"/>
      <c r="U129" s="219"/>
      <c r="V129" s="219"/>
      <c r="W129" s="219"/>
      <c r="X129" s="219"/>
      <c r="Y129" s="219"/>
      <c r="Z129" s="219"/>
      <c r="AA129" s="219"/>
      <c r="AB129" s="219"/>
      <c r="AC129" s="219"/>
      <c r="AD129" s="219"/>
      <c r="AE129" s="219"/>
      <c r="AF129" s="219"/>
      <c r="AG129" s="219"/>
      <c r="AH129" s="219"/>
      <c r="AI129" s="219"/>
      <c r="AJ129" s="219"/>
      <c r="AK129" s="219"/>
      <c r="AL129" s="219"/>
      <c r="AM129" s="219"/>
      <c r="AN129" s="219"/>
      <c r="AO129" s="219"/>
      <c r="AP129" s="219"/>
    </row>
    <row r="130" spans="1:42" ht="47.25">
      <c r="A130" s="1261" t="s">
        <v>614</v>
      </c>
      <c r="B130" s="422" t="s">
        <v>424</v>
      </c>
      <c r="C130" s="422" t="s">
        <v>468</v>
      </c>
      <c r="D130" s="422" t="s">
        <v>1214</v>
      </c>
      <c r="E130" s="423" t="s">
        <v>1240</v>
      </c>
      <c r="F130" s="414">
        <f t="shared" ref="F130:F152" si="4">E131*10%</f>
        <v>0</v>
      </c>
      <c r="G130" s="219"/>
      <c r="H130" s="1154"/>
      <c r="I130" s="1154"/>
      <c r="J130" s="1670"/>
      <c r="K130" s="1670"/>
      <c r="L130" s="1670"/>
      <c r="M130" s="1670"/>
      <c r="N130" s="1670"/>
      <c r="O130" s="1670"/>
      <c r="P130" s="1670"/>
      <c r="Q130" s="1670"/>
      <c r="R130" s="1670"/>
      <c r="S130" s="1670"/>
      <c r="T130" s="219"/>
      <c r="U130" s="219"/>
      <c r="V130" s="219"/>
      <c r="W130" s="219"/>
      <c r="X130" s="219"/>
      <c r="Y130" s="219"/>
      <c r="Z130" s="219"/>
      <c r="AA130" s="219"/>
      <c r="AB130" s="219"/>
      <c r="AC130" s="219"/>
      <c r="AD130" s="219"/>
      <c r="AE130" s="219"/>
      <c r="AF130" s="219"/>
      <c r="AG130" s="219"/>
      <c r="AH130" s="219"/>
      <c r="AI130" s="219"/>
      <c r="AJ130" s="219"/>
      <c r="AK130" s="219"/>
      <c r="AL130" s="219"/>
      <c r="AM130" s="219"/>
      <c r="AN130" s="219"/>
      <c r="AO130" s="219"/>
      <c r="AP130" s="219"/>
    </row>
    <row r="131" spans="1:42" ht="15.75">
      <c r="A131" s="401">
        <v>106535</v>
      </c>
      <c r="B131" s="401" t="s">
        <v>674</v>
      </c>
      <c r="C131" s="1644">
        <v>0</v>
      </c>
      <c r="D131" s="1260">
        <v>921.09</v>
      </c>
      <c r="E131" s="414">
        <f t="shared" ref="E131:E153" si="5">C131*D131</f>
        <v>0</v>
      </c>
      <c r="F131" s="414">
        <f t="shared" si="4"/>
        <v>0</v>
      </c>
      <c r="G131" s="219"/>
      <c r="H131" s="1154"/>
      <c r="I131" s="1154"/>
      <c r="J131" s="1670"/>
      <c r="K131" s="1670"/>
      <c r="L131" s="1670"/>
      <c r="M131" s="1670"/>
      <c r="N131" s="1670"/>
      <c r="O131" s="1670"/>
      <c r="P131" s="1670"/>
      <c r="Q131" s="1670"/>
      <c r="R131" s="1670"/>
      <c r="S131" s="1670"/>
      <c r="T131" s="219"/>
      <c r="U131" s="219"/>
      <c r="V131" s="219"/>
      <c r="W131" s="219"/>
      <c r="X131" s="219"/>
      <c r="Y131" s="219"/>
      <c r="Z131" s="219"/>
      <c r="AA131" s="219"/>
      <c r="AB131" s="219"/>
      <c r="AC131" s="219"/>
      <c r="AD131" s="219"/>
      <c r="AE131" s="219"/>
      <c r="AF131" s="219"/>
      <c r="AG131" s="219"/>
      <c r="AH131" s="219"/>
      <c r="AI131" s="219"/>
      <c r="AJ131" s="219"/>
      <c r="AK131" s="219"/>
      <c r="AL131" s="219"/>
      <c r="AM131" s="219"/>
      <c r="AN131" s="219"/>
      <c r="AO131" s="219"/>
      <c r="AP131" s="219"/>
    </row>
    <row r="132" spans="1:42" ht="31.5">
      <c r="A132" s="401">
        <v>106629</v>
      </c>
      <c r="B132" s="401" t="s">
        <v>878</v>
      </c>
      <c r="C132" s="1644">
        <v>0</v>
      </c>
      <c r="D132" s="1260">
        <v>12.82</v>
      </c>
      <c r="E132" s="414">
        <f t="shared" si="5"/>
        <v>0</v>
      </c>
      <c r="F132" s="414">
        <f t="shared" si="4"/>
        <v>0</v>
      </c>
      <c r="G132" s="219"/>
      <c r="H132" s="1154"/>
      <c r="I132" s="1154"/>
      <c r="J132" s="1670"/>
      <c r="K132" s="1670"/>
      <c r="L132" s="1670"/>
      <c r="M132" s="1670"/>
      <c r="N132" s="1670"/>
      <c r="O132" s="1670"/>
      <c r="P132" s="1670"/>
      <c r="Q132" s="1670"/>
      <c r="R132" s="1670"/>
      <c r="S132" s="1670"/>
      <c r="T132" s="219"/>
      <c r="U132" s="219"/>
      <c r="V132" s="219"/>
      <c r="W132" s="219"/>
      <c r="X132" s="219"/>
      <c r="Y132" s="219"/>
      <c r="Z132" s="219"/>
      <c r="AA132" s="219"/>
      <c r="AB132" s="219"/>
      <c r="AC132" s="219"/>
      <c r="AD132" s="219"/>
      <c r="AE132" s="219"/>
      <c r="AF132" s="219"/>
      <c r="AG132" s="219"/>
      <c r="AH132" s="219"/>
      <c r="AI132" s="219"/>
      <c r="AJ132" s="219"/>
      <c r="AK132" s="219"/>
      <c r="AL132" s="219"/>
      <c r="AM132" s="219"/>
      <c r="AN132" s="219"/>
      <c r="AO132" s="219"/>
      <c r="AP132" s="219"/>
    </row>
    <row r="133" spans="1:42" ht="15.75">
      <c r="A133" s="401">
        <v>106533</v>
      </c>
      <c r="B133" s="401" t="s">
        <v>675</v>
      </c>
      <c r="C133" s="1644">
        <v>0</v>
      </c>
      <c r="D133" s="1260">
        <v>94.11</v>
      </c>
      <c r="E133" s="414">
        <f t="shared" si="5"/>
        <v>0</v>
      </c>
      <c r="F133" s="414">
        <f t="shared" si="4"/>
        <v>0</v>
      </c>
      <c r="G133" s="219"/>
      <c r="H133" s="1154"/>
      <c r="I133" s="1154"/>
      <c r="J133" s="1670"/>
      <c r="K133" s="1670"/>
      <c r="L133" s="1670"/>
      <c r="M133" s="1670"/>
      <c r="N133" s="1670"/>
      <c r="O133" s="1670"/>
      <c r="P133" s="1670"/>
      <c r="Q133" s="1670"/>
      <c r="R133" s="1670"/>
      <c r="S133" s="1670"/>
      <c r="T133" s="219"/>
      <c r="U133" s="219"/>
      <c r="V133" s="219"/>
      <c r="W133" s="219"/>
      <c r="X133" s="219"/>
      <c r="Y133" s="219"/>
      <c r="Z133" s="219"/>
      <c r="AA133" s="219"/>
      <c r="AB133" s="219"/>
      <c r="AC133" s="219"/>
      <c r="AD133" s="219"/>
      <c r="AE133" s="219"/>
      <c r="AF133" s="219"/>
      <c r="AG133" s="219"/>
      <c r="AH133" s="219"/>
      <c r="AI133" s="219"/>
      <c r="AJ133" s="219"/>
      <c r="AK133" s="219"/>
      <c r="AL133" s="219"/>
      <c r="AM133" s="219"/>
      <c r="AN133" s="219"/>
      <c r="AO133" s="219"/>
      <c r="AP133" s="219"/>
    </row>
    <row r="134" spans="1:42" ht="15.75">
      <c r="A134" s="401">
        <v>106531</v>
      </c>
      <c r="B134" s="1323" t="s">
        <v>1242</v>
      </c>
      <c r="C134" s="1644">
        <v>0</v>
      </c>
      <c r="D134" s="1260">
        <v>1503.8</v>
      </c>
      <c r="E134" s="414">
        <f t="shared" si="5"/>
        <v>0</v>
      </c>
      <c r="F134" s="414">
        <f t="shared" si="4"/>
        <v>0</v>
      </c>
      <c r="G134" s="219"/>
      <c r="H134" s="1154"/>
      <c r="I134" s="1154"/>
      <c r="J134" s="1670"/>
      <c r="K134" s="1670"/>
      <c r="L134" s="1670"/>
      <c r="M134" s="1670"/>
      <c r="N134" s="1670"/>
      <c r="O134" s="1670"/>
      <c r="P134" s="1670"/>
      <c r="Q134" s="1670"/>
      <c r="R134" s="1670"/>
      <c r="S134" s="1670"/>
      <c r="T134" s="219"/>
      <c r="U134" s="219"/>
      <c r="V134" s="219"/>
      <c r="W134" s="219"/>
      <c r="X134" s="219"/>
      <c r="Y134" s="219"/>
      <c r="Z134" s="219"/>
      <c r="AA134" s="219"/>
      <c r="AB134" s="219"/>
      <c r="AC134" s="219"/>
      <c r="AD134" s="219"/>
      <c r="AE134" s="219"/>
      <c r="AF134" s="219"/>
      <c r="AG134" s="219"/>
      <c r="AH134" s="219"/>
      <c r="AI134" s="219"/>
      <c r="AJ134" s="219"/>
      <c r="AK134" s="219"/>
      <c r="AL134" s="219"/>
      <c r="AM134" s="219"/>
      <c r="AN134" s="219"/>
      <c r="AO134" s="219"/>
      <c r="AP134" s="219"/>
    </row>
    <row r="135" spans="1:42" ht="15.75">
      <c r="A135" s="401">
        <v>106532</v>
      </c>
      <c r="B135" s="439" t="s">
        <v>676</v>
      </c>
      <c r="C135" s="1644">
        <v>0</v>
      </c>
      <c r="D135" s="1260">
        <v>24</v>
      </c>
      <c r="E135" s="414">
        <f t="shared" si="5"/>
        <v>0</v>
      </c>
      <c r="F135" s="414">
        <f t="shared" si="4"/>
        <v>0</v>
      </c>
      <c r="G135" s="219"/>
      <c r="H135" s="1154"/>
      <c r="I135" s="1154"/>
      <c r="J135" s="1670"/>
      <c r="K135" s="1670"/>
      <c r="L135" s="1670"/>
      <c r="M135" s="1670"/>
      <c r="N135" s="1670"/>
      <c r="O135" s="1670"/>
      <c r="P135" s="1670"/>
      <c r="Q135" s="1670"/>
      <c r="R135" s="1670"/>
      <c r="S135" s="1670"/>
      <c r="T135" s="219"/>
      <c r="U135" s="219"/>
      <c r="V135" s="219"/>
      <c r="W135" s="219"/>
      <c r="X135" s="219"/>
      <c r="Y135" s="219"/>
      <c r="Z135" s="219"/>
      <c r="AA135" s="219"/>
      <c r="AB135" s="219"/>
      <c r="AC135" s="219"/>
      <c r="AD135" s="219"/>
      <c r="AE135" s="219"/>
      <c r="AF135" s="219"/>
      <c r="AG135" s="219"/>
      <c r="AH135" s="219"/>
      <c r="AI135" s="219"/>
      <c r="AJ135" s="219"/>
      <c r="AK135" s="219"/>
      <c r="AL135" s="219"/>
      <c r="AM135" s="219"/>
      <c r="AN135" s="219"/>
      <c r="AO135" s="219"/>
      <c r="AP135" s="219"/>
    </row>
    <row r="136" spans="1:42" ht="15.75">
      <c r="A136" s="401">
        <v>106475</v>
      </c>
      <c r="B136" s="439" t="s">
        <v>679</v>
      </c>
      <c r="C136" s="1644">
        <v>0</v>
      </c>
      <c r="D136" s="1260">
        <v>1056.75</v>
      </c>
      <c r="E136" s="414">
        <f t="shared" si="5"/>
        <v>0</v>
      </c>
      <c r="F136" s="414">
        <f t="shared" si="4"/>
        <v>0</v>
      </c>
      <c r="G136" s="219"/>
      <c r="H136" s="1154"/>
      <c r="I136" s="1154"/>
      <c r="J136" s="1670"/>
      <c r="K136" s="1670"/>
      <c r="L136" s="1670"/>
      <c r="M136" s="1670"/>
      <c r="N136" s="1670"/>
      <c r="O136" s="1670"/>
      <c r="P136" s="1670"/>
      <c r="Q136" s="1670"/>
      <c r="R136" s="1670"/>
      <c r="S136" s="1670"/>
      <c r="T136" s="219"/>
      <c r="U136" s="219"/>
      <c r="V136" s="219"/>
      <c r="W136" s="219"/>
      <c r="X136" s="219"/>
      <c r="Y136" s="219"/>
      <c r="Z136" s="219"/>
      <c r="AA136" s="219"/>
      <c r="AB136" s="219"/>
      <c r="AC136" s="219"/>
      <c r="AD136" s="219"/>
      <c r="AE136" s="219"/>
      <c r="AF136" s="219"/>
      <c r="AG136" s="219"/>
      <c r="AH136" s="219"/>
      <c r="AI136" s="219"/>
      <c r="AJ136" s="219"/>
      <c r="AK136" s="219"/>
      <c r="AL136" s="219"/>
      <c r="AM136" s="219"/>
      <c r="AN136" s="219"/>
      <c r="AO136" s="219"/>
      <c r="AP136" s="219"/>
    </row>
    <row r="137" spans="1:42" ht="15.75">
      <c r="A137" s="401">
        <v>106709</v>
      </c>
      <c r="B137" s="394" t="s">
        <v>1243</v>
      </c>
      <c r="C137" s="1644">
        <v>0</v>
      </c>
      <c r="D137" s="1260">
        <v>1933.5</v>
      </c>
      <c r="E137" s="414">
        <f t="shared" si="5"/>
        <v>0</v>
      </c>
      <c r="F137" s="414">
        <f t="shared" si="4"/>
        <v>0</v>
      </c>
      <c r="G137" s="219"/>
      <c r="H137" s="1154"/>
      <c r="I137" s="1154"/>
      <c r="J137" s="1670"/>
      <c r="K137" s="1670"/>
      <c r="L137" s="1670"/>
      <c r="M137" s="1670"/>
      <c r="N137" s="1670"/>
      <c r="O137" s="1670"/>
      <c r="P137" s="1670"/>
      <c r="Q137" s="1670"/>
      <c r="R137" s="1670"/>
      <c r="S137" s="1670"/>
      <c r="T137" s="219"/>
      <c r="U137" s="219"/>
      <c r="V137" s="219"/>
      <c r="W137" s="219"/>
      <c r="X137" s="219"/>
      <c r="Y137" s="219"/>
      <c r="Z137" s="219"/>
      <c r="AA137" s="219"/>
      <c r="AB137" s="219"/>
      <c r="AC137" s="219"/>
      <c r="AD137" s="219"/>
      <c r="AE137" s="219"/>
      <c r="AF137" s="219"/>
      <c r="AG137" s="219"/>
      <c r="AH137" s="219"/>
      <c r="AI137" s="219"/>
      <c r="AJ137" s="219"/>
      <c r="AK137" s="219"/>
      <c r="AL137" s="219"/>
      <c r="AM137" s="219"/>
      <c r="AN137" s="219"/>
      <c r="AO137" s="219"/>
      <c r="AP137" s="219"/>
    </row>
    <row r="138" spans="1:42" ht="15.75">
      <c r="A138" s="401">
        <v>106710</v>
      </c>
      <c r="B138" s="394" t="s">
        <v>1244</v>
      </c>
      <c r="C138" s="1644">
        <v>0</v>
      </c>
      <c r="D138" s="1260">
        <v>2364.8000000000002</v>
      </c>
      <c r="E138" s="414">
        <f t="shared" si="5"/>
        <v>0</v>
      </c>
      <c r="F138" s="414">
        <f t="shared" si="4"/>
        <v>0</v>
      </c>
      <c r="G138" s="219"/>
      <c r="H138" s="1154"/>
      <c r="I138" s="1154"/>
      <c r="J138" s="1670"/>
      <c r="K138" s="1670"/>
      <c r="L138" s="1670"/>
      <c r="M138" s="1670"/>
      <c r="N138" s="1670"/>
      <c r="O138" s="1670"/>
      <c r="P138" s="1670"/>
      <c r="Q138" s="1670"/>
      <c r="R138" s="1670"/>
      <c r="S138" s="1670"/>
      <c r="T138" s="219"/>
      <c r="U138" s="219"/>
      <c r="V138" s="219"/>
      <c r="W138" s="219"/>
      <c r="X138" s="219"/>
      <c r="Y138" s="219"/>
      <c r="Z138" s="219"/>
      <c r="AA138" s="219"/>
      <c r="AB138" s="219"/>
      <c r="AC138" s="219"/>
      <c r="AD138" s="219"/>
      <c r="AE138" s="219"/>
      <c r="AF138" s="219"/>
      <c r="AG138" s="219"/>
      <c r="AH138" s="219"/>
      <c r="AI138" s="219"/>
      <c r="AJ138" s="219"/>
      <c r="AK138" s="219"/>
      <c r="AL138" s="219"/>
      <c r="AM138" s="219"/>
      <c r="AN138" s="219"/>
      <c r="AO138" s="219"/>
      <c r="AP138" s="219"/>
    </row>
    <row r="139" spans="1:42" ht="15.75">
      <c r="A139" s="401">
        <v>106016</v>
      </c>
      <c r="B139" s="394" t="s">
        <v>680</v>
      </c>
      <c r="C139" s="1644">
        <v>0</v>
      </c>
      <c r="D139" s="1260">
        <v>532</v>
      </c>
      <c r="E139" s="414"/>
      <c r="F139" s="414">
        <f t="shared" si="4"/>
        <v>0</v>
      </c>
      <c r="G139" s="219"/>
      <c r="H139" s="1154"/>
      <c r="I139" s="1154"/>
      <c r="J139" s="1670"/>
      <c r="K139" s="1670"/>
      <c r="L139" s="1670"/>
      <c r="M139" s="1670"/>
      <c r="N139" s="1670"/>
      <c r="O139" s="1670"/>
      <c r="P139" s="1670"/>
      <c r="Q139" s="1670"/>
      <c r="R139" s="1670"/>
      <c r="S139" s="1670"/>
      <c r="T139" s="219"/>
      <c r="U139" s="219"/>
      <c r="V139" s="219"/>
      <c r="W139" s="219"/>
      <c r="X139" s="219"/>
      <c r="Y139" s="219"/>
      <c r="Z139" s="219"/>
      <c r="AA139" s="219"/>
      <c r="AB139" s="219"/>
      <c r="AC139" s="219"/>
      <c r="AD139" s="219"/>
      <c r="AE139" s="219"/>
      <c r="AF139" s="219"/>
      <c r="AG139" s="219"/>
      <c r="AH139" s="219"/>
      <c r="AI139" s="219"/>
      <c r="AJ139" s="219"/>
      <c r="AK139" s="219"/>
      <c r="AL139" s="219"/>
      <c r="AM139" s="219"/>
      <c r="AN139" s="219"/>
      <c r="AO139" s="219"/>
      <c r="AP139" s="219"/>
    </row>
    <row r="140" spans="1:42" ht="15.75">
      <c r="A140" s="401">
        <v>106248</v>
      </c>
      <c r="B140" s="1323" t="s">
        <v>1245</v>
      </c>
      <c r="C140" s="1644">
        <v>0</v>
      </c>
      <c r="D140" s="1260">
        <v>183</v>
      </c>
      <c r="E140" s="414"/>
      <c r="F140" s="414">
        <f t="shared" si="4"/>
        <v>0</v>
      </c>
      <c r="G140" s="219"/>
      <c r="H140" s="1154"/>
      <c r="I140" s="1154"/>
      <c r="J140" s="1670"/>
      <c r="K140" s="1670"/>
      <c r="L140" s="1670"/>
      <c r="M140" s="1670"/>
      <c r="N140" s="1670"/>
      <c r="O140" s="1670"/>
      <c r="P140" s="1670"/>
      <c r="Q140" s="1670"/>
      <c r="R140" s="1670"/>
      <c r="S140" s="1670"/>
      <c r="T140" s="219"/>
      <c r="U140" s="219"/>
      <c r="V140" s="219"/>
      <c r="W140" s="219"/>
      <c r="X140" s="219"/>
      <c r="Y140" s="219"/>
      <c r="Z140" s="219"/>
      <c r="AA140" s="219"/>
      <c r="AB140" s="219"/>
      <c r="AC140" s="219"/>
      <c r="AD140" s="219"/>
      <c r="AE140" s="219"/>
      <c r="AF140" s="219"/>
      <c r="AG140" s="219"/>
      <c r="AH140" s="219"/>
      <c r="AI140" s="219"/>
      <c r="AJ140" s="219"/>
      <c r="AK140" s="219"/>
      <c r="AL140" s="219"/>
      <c r="AM140" s="219"/>
      <c r="AN140" s="219"/>
      <c r="AO140" s="219"/>
      <c r="AP140" s="219"/>
    </row>
    <row r="141" spans="1:42" ht="15.75">
      <c r="A141" s="401">
        <v>106451</v>
      </c>
      <c r="B141" s="439" t="s">
        <v>673</v>
      </c>
      <c r="C141" s="1644">
        <v>0</v>
      </c>
      <c r="D141" s="1260">
        <v>699.05</v>
      </c>
      <c r="E141" s="414">
        <f t="shared" si="5"/>
        <v>0</v>
      </c>
      <c r="F141" s="414">
        <f t="shared" si="4"/>
        <v>0</v>
      </c>
      <c r="G141" s="219"/>
      <c r="H141" s="1154"/>
      <c r="I141" s="1154"/>
      <c r="J141" s="1670"/>
      <c r="K141" s="1670"/>
      <c r="L141" s="1670"/>
      <c r="M141" s="1670"/>
      <c r="N141" s="1670"/>
      <c r="O141" s="1670"/>
      <c r="P141" s="1670"/>
      <c r="Q141" s="1670"/>
      <c r="R141" s="1670"/>
      <c r="S141" s="1670"/>
      <c r="T141" s="219"/>
      <c r="U141" s="219"/>
      <c r="V141" s="219"/>
      <c r="W141" s="219"/>
      <c r="X141" s="219"/>
      <c r="Y141" s="219"/>
      <c r="Z141" s="219"/>
      <c r="AA141" s="219"/>
      <c r="AB141" s="219"/>
      <c r="AC141" s="219"/>
      <c r="AD141" s="219"/>
      <c r="AE141" s="219"/>
      <c r="AF141" s="219"/>
      <c r="AG141" s="219"/>
      <c r="AH141" s="219"/>
      <c r="AI141" s="219"/>
      <c r="AJ141" s="219"/>
      <c r="AK141" s="219"/>
      <c r="AL141" s="219"/>
      <c r="AM141" s="219"/>
      <c r="AN141" s="219"/>
      <c r="AO141" s="219"/>
      <c r="AP141" s="219"/>
    </row>
    <row r="142" spans="1:42" ht="14.1" customHeight="1">
      <c r="A142" s="401">
        <v>106729</v>
      </c>
      <c r="B142" s="439" t="s">
        <v>678</v>
      </c>
      <c r="C142" s="1644">
        <v>0</v>
      </c>
      <c r="D142" s="1260">
        <v>853.6</v>
      </c>
      <c r="E142" s="414">
        <f t="shared" si="5"/>
        <v>0</v>
      </c>
      <c r="F142" s="414">
        <f t="shared" si="4"/>
        <v>0</v>
      </c>
      <c r="G142" s="219"/>
      <c r="H142" s="1154"/>
      <c r="I142" s="1154"/>
      <c r="J142" s="1670"/>
      <c r="K142" s="1670"/>
      <c r="L142" s="1670"/>
      <c r="M142" s="1670"/>
      <c r="N142" s="1670"/>
      <c r="O142" s="1670"/>
      <c r="P142" s="1670"/>
      <c r="Q142" s="1670"/>
      <c r="R142" s="1670"/>
      <c r="S142" s="1670"/>
      <c r="T142" s="219"/>
      <c r="U142" s="219"/>
      <c r="V142" s="219"/>
      <c r="W142" s="219"/>
      <c r="X142" s="219"/>
      <c r="Y142" s="219"/>
      <c r="Z142" s="219"/>
      <c r="AA142" s="219"/>
      <c r="AB142" s="219"/>
      <c r="AC142" s="219"/>
      <c r="AD142" s="219"/>
      <c r="AE142" s="219"/>
      <c r="AF142" s="219"/>
      <c r="AG142" s="219"/>
      <c r="AH142" s="219"/>
      <c r="AI142" s="219"/>
      <c r="AJ142" s="219"/>
      <c r="AK142" s="219"/>
      <c r="AL142" s="219"/>
      <c r="AM142" s="219"/>
      <c r="AN142" s="219"/>
      <c r="AO142" s="219"/>
      <c r="AP142" s="219"/>
    </row>
    <row r="143" spans="1:42" ht="15.75">
      <c r="A143" s="401">
        <v>106220</v>
      </c>
      <c r="B143" s="439" t="s">
        <v>677</v>
      </c>
      <c r="C143" s="1644">
        <v>0</v>
      </c>
      <c r="D143" s="1260">
        <v>1891.55</v>
      </c>
      <c r="E143" s="414">
        <f t="shared" si="5"/>
        <v>0</v>
      </c>
      <c r="F143" s="414">
        <f t="shared" si="4"/>
        <v>0</v>
      </c>
      <c r="G143" s="219"/>
      <c r="H143" s="1154"/>
      <c r="I143" s="1154"/>
      <c r="J143" s="1670"/>
      <c r="K143" s="1670"/>
      <c r="L143" s="1670"/>
      <c r="M143" s="1670"/>
      <c r="N143" s="1670"/>
      <c r="O143" s="1670"/>
      <c r="P143" s="1670"/>
      <c r="Q143" s="1670"/>
      <c r="R143" s="1670"/>
      <c r="S143" s="1670"/>
      <c r="T143" s="219"/>
      <c r="U143" s="219"/>
      <c r="V143" s="219"/>
      <c r="W143" s="219"/>
      <c r="X143" s="219"/>
      <c r="Y143" s="219"/>
      <c r="Z143" s="219"/>
      <c r="AA143" s="219"/>
      <c r="AB143" s="219"/>
      <c r="AC143" s="219"/>
      <c r="AD143" s="219"/>
      <c r="AE143" s="219"/>
      <c r="AF143" s="219"/>
      <c r="AG143" s="219"/>
      <c r="AH143" s="219"/>
      <c r="AI143" s="219"/>
      <c r="AJ143" s="219"/>
      <c r="AK143" s="219"/>
      <c r="AL143" s="219"/>
      <c r="AM143" s="219"/>
      <c r="AN143" s="219"/>
      <c r="AO143" s="219"/>
      <c r="AP143" s="219"/>
    </row>
    <row r="144" spans="1:42" ht="15.75">
      <c r="A144" s="401">
        <v>106048</v>
      </c>
      <c r="B144" s="1323" t="s">
        <v>1246</v>
      </c>
      <c r="C144" s="1644">
        <v>0</v>
      </c>
      <c r="D144" s="1260">
        <v>2034.75</v>
      </c>
      <c r="E144" s="414">
        <f t="shared" si="5"/>
        <v>0</v>
      </c>
      <c r="F144" s="414">
        <f t="shared" si="4"/>
        <v>0</v>
      </c>
      <c r="G144" s="219"/>
      <c r="H144" s="1154"/>
      <c r="I144" s="1154"/>
      <c r="J144" s="1670"/>
      <c r="K144" s="1670"/>
      <c r="L144" s="1670"/>
      <c r="M144" s="1670"/>
      <c r="N144" s="1670"/>
      <c r="O144" s="1670"/>
      <c r="P144" s="1670"/>
      <c r="Q144" s="1670"/>
      <c r="R144" s="1670"/>
      <c r="S144" s="1670"/>
      <c r="T144" s="219"/>
      <c r="U144" s="219"/>
      <c r="V144" s="219"/>
      <c r="W144" s="219"/>
      <c r="X144" s="219"/>
      <c r="Y144" s="219"/>
      <c r="Z144" s="219"/>
      <c r="AA144" s="219"/>
      <c r="AB144" s="219"/>
      <c r="AC144" s="219"/>
      <c r="AD144" s="219"/>
      <c r="AE144" s="219"/>
      <c r="AF144" s="219"/>
      <c r="AG144" s="219"/>
      <c r="AH144" s="219"/>
      <c r="AI144" s="219"/>
      <c r="AJ144" s="219"/>
      <c r="AK144" s="219"/>
      <c r="AL144" s="219"/>
      <c r="AM144" s="219"/>
      <c r="AN144" s="219"/>
      <c r="AO144" s="219"/>
      <c r="AP144" s="219"/>
    </row>
    <row r="145" spans="1:42" ht="15.75">
      <c r="A145" s="401">
        <v>106729</v>
      </c>
      <c r="B145" s="394" t="s">
        <v>879</v>
      </c>
      <c r="C145" s="1644">
        <v>0</v>
      </c>
      <c r="D145" s="1260">
        <v>853.6</v>
      </c>
      <c r="E145" s="414">
        <f t="shared" si="5"/>
        <v>0</v>
      </c>
      <c r="F145" s="414">
        <f t="shared" si="4"/>
        <v>0</v>
      </c>
      <c r="G145" s="219"/>
      <c r="H145" s="1154"/>
      <c r="I145" s="1154"/>
      <c r="J145" s="1670"/>
      <c r="K145" s="1670"/>
      <c r="L145" s="1670"/>
      <c r="M145" s="1670"/>
      <c r="N145" s="1670"/>
      <c r="O145" s="1670"/>
      <c r="P145" s="1670"/>
      <c r="Q145" s="1670"/>
      <c r="R145" s="1670"/>
      <c r="S145" s="1670"/>
      <c r="T145" s="219"/>
      <c r="U145" s="219"/>
      <c r="V145" s="219"/>
      <c r="W145" s="219"/>
      <c r="X145" s="219"/>
      <c r="Y145" s="219"/>
      <c r="Z145" s="219"/>
      <c r="AA145" s="219"/>
      <c r="AB145" s="219"/>
      <c r="AC145" s="219"/>
      <c r="AD145" s="219"/>
      <c r="AE145" s="219"/>
      <c r="AF145" s="219"/>
      <c r="AG145" s="219"/>
      <c r="AH145" s="219"/>
      <c r="AI145" s="219"/>
      <c r="AJ145" s="219"/>
      <c r="AK145" s="219"/>
      <c r="AL145" s="219"/>
      <c r="AM145" s="219"/>
      <c r="AN145" s="219"/>
      <c r="AO145" s="219"/>
      <c r="AP145" s="219"/>
    </row>
    <row r="146" spans="1:42" ht="15.75">
      <c r="A146" s="401">
        <v>106257</v>
      </c>
      <c r="B146" s="394" t="s">
        <v>1247</v>
      </c>
      <c r="C146" s="1644">
        <v>0</v>
      </c>
      <c r="D146" s="1260">
        <v>1306.55</v>
      </c>
      <c r="E146" s="414">
        <f t="shared" si="5"/>
        <v>0</v>
      </c>
      <c r="F146" s="414">
        <f t="shared" si="4"/>
        <v>0</v>
      </c>
      <c r="G146" s="219"/>
      <c r="H146" s="1154"/>
      <c r="I146" s="1154"/>
      <c r="J146" s="1670"/>
      <c r="K146" s="1670"/>
      <c r="L146" s="1670"/>
      <c r="M146" s="1670"/>
      <c r="N146" s="1670"/>
      <c r="O146" s="1670"/>
      <c r="P146" s="1670"/>
      <c r="Q146" s="1670"/>
      <c r="R146" s="1670"/>
      <c r="S146" s="1670"/>
      <c r="T146" s="219"/>
      <c r="U146" s="219"/>
      <c r="V146" s="219"/>
      <c r="W146" s="219"/>
      <c r="X146" s="219"/>
      <c r="Y146" s="219"/>
      <c r="Z146" s="219"/>
      <c r="AA146" s="219"/>
      <c r="AB146" s="219"/>
      <c r="AC146" s="219"/>
      <c r="AD146" s="219"/>
      <c r="AE146" s="219"/>
      <c r="AF146" s="219"/>
      <c r="AG146" s="219"/>
      <c r="AH146" s="219"/>
      <c r="AI146" s="219"/>
      <c r="AJ146" s="219"/>
      <c r="AK146" s="219"/>
      <c r="AL146" s="219"/>
      <c r="AM146" s="219"/>
      <c r="AN146" s="219"/>
      <c r="AO146" s="219"/>
      <c r="AP146" s="219"/>
    </row>
    <row r="147" spans="1:42" ht="15.75">
      <c r="A147" s="401">
        <v>106224</v>
      </c>
      <c r="B147" s="1323" t="s">
        <v>1248</v>
      </c>
      <c r="C147" s="1644">
        <v>0</v>
      </c>
      <c r="D147" s="1260">
        <v>6060.3</v>
      </c>
      <c r="E147" s="414">
        <f t="shared" si="5"/>
        <v>0</v>
      </c>
      <c r="F147" s="414">
        <f t="shared" si="4"/>
        <v>0</v>
      </c>
      <c r="G147" s="219"/>
      <c r="H147" s="1154"/>
      <c r="I147" s="1154"/>
      <c r="J147" s="1670"/>
      <c r="K147" s="1670"/>
      <c r="L147" s="1670"/>
      <c r="M147" s="1670"/>
      <c r="N147" s="1670"/>
      <c r="O147" s="1670"/>
      <c r="P147" s="1670"/>
      <c r="Q147" s="1670"/>
      <c r="R147" s="1670"/>
      <c r="S147" s="1670"/>
      <c r="T147" s="219"/>
      <c r="U147" s="219"/>
      <c r="V147" s="219"/>
      <c r="W147" s="219"/>
      <c r="X147" s="219"/>
      <c r="Y147" s="219"/>
      <c r="Z147" s="219"/>
      <c r="AA147" s="219"/>
      <c r="AB147" s="219"/>
      <c r="AC147" s="219"/>
      <c r="AD147" s="219"/>
      <c r="AE147" s="219"/>
      <c r="AF147" s="219"/>
      <c r="AG147" s="219"/>
      <c r="AH147" s="219"/>
      <c r="AI147" s="219"/>
      <c r="AJ147" s="219"/>
      <c r="AK147" s="219"/>
      <c r="AL147" s="219"/>
      <c r="AM147" s="219"/>
      <c r="AN147" s="219"/>
      <c r="AO147" s="219"/>
      <c r="AP147" s="219"/>
    </row>
    <row r="148" spans="1:42" ht="15.75">
      <c r="A148" s="401">
        <v>106225</v>
      </c>
      <c r="B148" s="1323" t="s">
        <v>1249</v>
      </c>
      <c r="C148" s="1644">
        <v>0</v>
      </c>
      <c r="D148" s="1260">
        <v>948.7</v>
      </c>
      <c r="E148" s="414">
        <f t="shared" si="5"/>
        <v>0</v>
      </c>
      <c r="F148" s="414">
        <f t="shared" si="4"/>
        <v>0</v>
      </c>
      <c r="G148" s="219"/>
      <c r="H148" s="1154"/>
      <c r="I148" s="1154"/>
      <c r="J148" s="1670"/>
      <c r="K148" s="1670"/>
      <c r="L148" s="1670"/>
      <c r="M148" s="1670"/>
      <c r="N148" s="1670"/>
      <c r="O148" s="1670"/>
      <c r="P148" s="1670"/>
      <c r="Q148" s="1670"/>
      <c r="R148" s="1670"/>
      <c r="S148" s="1670"/>
      <c r="T148" s="219"/>
      <c r="U148" s="219"/>
      <c r="V148" s="219"/>
      <c r="W148" s="219"/>
      <c r="X148" s="219"/>
      <c r="Y148" s="219"/>
      <c r="Z148" s="219"/>
      <c r="AA148" s="219"/>
      <c r="AB148" s="219"/>
      <c r="AC148" s="219"/>
      <c r="AD148" s="219"/>
      <c r="AE148" s="219"/>
      <c r="AF148" s="219"/>
      <c r="AG148" s="219"/>
      <c r="AH148" s="219"/>
      <c r="AI148" s="219"/>
      <c r="AJ148" s="219"/>
      <c r="AK148" s="219"/>
      <c r="AL148" s="219"/>
      <c r="AM148" s="219"/>
      <c r="AN148" s="219"/>
      <c r="AO148" s="219"/>
      <c r="AP148" s="219"/>
    </row>
    <row r="149" spans="1:42" ht="15.75">
      <c r="A149" s="401">
        <v>106226</v>
      </c>
      <c r="B149" s="439" t="s">
        <v>681</v>
      </c>
      <c r="C149" s="1644">
        <v>0</v>
      </c>
      <c r="D149" s="1260">
        <v>589.25</v>
      </c>
      <c r="E149" s="414">
        <f t="shared" si="5"/>
        <v>0</v>
      </c>
      <c r="F149" s="414">
        <f t="shared" si="4"/>
        <v>0</v>
      </c>
      <c r="G149" s="219"/>
      <c r="H149" s="1154"/>
      <c r="I149" s="1154"/>
      <c r="J149" s="1670"/>
      <c r="K149" s="1670"/>
      <c r="L149" s="1670"/>
      <c r="M149" s="1670"/>
      <c r="N149" s="1670"/>
      <c r="O149" s="1670"/>
      <c r="P149" s="1670"/>
      <c r="Q149" s="1670"/>
      <c r="R149" s="1670"/>
      <c r="S149" s="1670"/>
      <c r="T149" s="219"/>
      <c r="U149" s="219"/>
      <c r="V149" s="219"/>
      <c r="W149" s="219"/>
      <c r="X149" s="219"/>
      <c r="Y149" s="219"/>
      <c r="Z149" s="219"/>
      <c r="AA149" s="219"/>
      <c r="AB149" s="219"/>
      <c r="AC149" s="219"/>
      <c r="AD149" s="219"/>
      <c r="AE149" s="219"/>
      <c r="AF149" s="219"/>
      <c r="AG149" s="219"/>
      <c r="AH149" s="219"/>
      <c r="AI149" s="219"/>
      <c r="AJ149" s="219"/>
      <c r="AK149" s="219"/>
      <c r="AL149" s="219"/>
      <c r="AM149" s="219"/>
      <c r="AN149" s="219"/>
      <c r="AO149" s="219"/>
      <c r="AP149" s="219"/>
    </row>
    <row r="150" spans="1:42" ht="15.75">
      <c r="A150" s="401">
        <v>106227</v>
      </c>
      <c r="B150" s="439" t="s">
        <v>391</v>
      </c>
      <c r="C150" s="1644">
        <v>0</v>
      </c>
      <c r="D150" s="1260">
        <v>174.2</v>
      </c>
      <c r="E150" s="414">
        <f t="shared" si="5"/>
        <v>0</v>
      </c>
      <c r="F150" s="414">
        <f t="shared" si="4"/>
        <v>0</v>
      </c>
      <c r="G150" s="219"/>
      <c r="H150" s="1154"/>
      <c r="I150" s="1154"/>
      <c r="J150" s="1670"/>
      <c r="K150" s="1670"/>
      <c r="L150" s="1670"/>
      <c r="M150" s="1670"/>
      <c r="N150" s="1670"/>
      <c r="O150" s="1670"/>
      <c r="P150" s="1670"/>
      <c r="Q150" s="1670"/>
      <c r="R150" s="1670"/>
      <c r="S150" s="1670"/>
      <c r="T150" s="219"/>
      <c r="U150" s="219"/>
      <c r="V150" s="219"/>
      <c r="W150" s="219"/>
      <c r="X150" s="219"/>
      <c r="Y150" s="219"/>
      <c r="Z150" s="219"/>
      <c r="AA150" s="219"/>
      <c r="AB150" s="219"/>
      <c r="AC150" s="219"/>
      <c r="AD150" s="219"/>
      <c r="AE150" s="219"/>
      <c r="AF150" s="219"/>
      <c r="AG150" s="219"/>
      <c r="AH150" s="219"/>
      <c r="AI150" s="219"/>
      <c r="AJ150" s="219"/>
      <c r="AK150" s="219"/>
      <c r="AL150" s="219"/>
      <c r="AM150" s="219"/>
      <c r="AN150" s="219"/>
      <c r="AO150" s="219"/>
      <c r="AP150" s="219"/>
    </row>
    <row r="151" spans="1:42" ht="15.75">
      <c r="A151" s="401">
        <v>106228</v>
      </c>
      <c r="B151" s="1323" t="s">
        <v>1250</v>
      </c>
      <c r="C151" s="1644">
        <v>0</v>
      </c>
      <c r="D151" s="1260">
        <v>327.14999999999998</v>
      </c>
      <c r="E151" s="414">
        <f t="shared" si="5"/>
        <v>0</v>
      </c>
      <c r="F151" s="414">
        <f t="shared" si="4"/>
        <v>0</v>
      </c>
      <c r="H151" s="1154"/>
      <c r="I151" s="1154"/>
    </row>
    <row r="152" spans="1:42" ht="15.75">
      <c r="A152" s="401">
        <v>106229</v>
      </c>
      <c r="B152" s="1323" t="s">
        <v>1251</v>
      </c>
      <c r="C152" s="1644">
        <v>0</v>
      </c>
      <c r="D152" s="1260">
        <v>327.14999999999998</v>
      </c>
      <c r="E152" s="414">
        <f t="shared" si="5"/>
        <v>0</v>
      </c>
      <c r="F152" s="414">
        <f t="shared" si="4"/>
        <v>0</v>
      </c>
      <c r="H152" s="1154"/>
      <c r="I152" s="1154"/>
    </row>
    <row r="153" spans="1:42" ht="15.75">
      <c r="A153" s="401">
        <v>106732</v>
      </c>
      <c r="B153" s="1323" t="s">
        <v>1252</v>
      </c>
      <c r="C153" s="1644">
        <v>0</v>
      </c>
      <c r="D153" s="1276">
        <v>1489.45</v>
      </c>
      <c r="E153" s="414">
        <f t="shared" si="5"/>
        <v>0</v>
      </c>
      <c r="F153" s="414">
        <f t="shared" ref="F153:F185" si="6">E154*10%</f>
        <v>0</v>
      </c>
      <c r="H153" s="1154"/>
      <c r="I153" s="1154"/>
    </row>
    <row r="154" spans="1:42" ht="15.75">
      <c r="A154" s="401">
        <v>106064</v>
      </c>
      <c r="B154" s="1323" t="s">
        <v>1253</v>
      </c>
      <c r="C154" s="1644">
        <v>0</v>
      </c>
      <c r="D154" s="1277">
        <f>14352*E2</f>
        <v>0</v>
      </c>
      <c r="E154" s="414">
        <f t="shared" ref="E154:E186" si="7">C154*D154</f>
        <v>0</v>
      </c>
      <c r="F154" s="414">
        <f t="shared" si="6"/>
        <v>0</v>
      </c>
      <c r="H154" s="1154"/>
      <c r="I154" s="1154"/>
    </row>
    <row r="155" spans="1:42" ht="15.75">
      <c r="A155" s="401">
        <v>106438</v>
      </c>
      <c r="B155" s="1323" t="s">
        <v>1254</v>
      </c>
      <c r="C155" s="1644">
        <v>0</v>
      </c>
      <c r="D155" s="1277">
        <f>2.9*E2</f>
        <v>0</v>
      </c>
      <c r="E155" s="414">
        <f t="shared" si="7"/>
        <v>0</v>
      </c>
      <c r="F155" s="414">
        <f t="shared" si="6"/>
        <v>0</v>
      </c>
      <c r="H155" s="1154"/>
      <c r="I155" s="1154"/>
    </row>
    <row r="156" spans="1:42" ht="15.75">
      <c r="A156" s="401">
        <v>106613</v>
      </c>
      <c r="B156" s="453" t="s">
        <v>682</v>
      </c>
      <c r="C156" s="1644">
        <v>0</v>
      </c>
      <c r="D156" s="1277">
        <f>4595*E2</f>
        <v>0</v>
      </c>
      <c r="E156" s="414">
        <f t="shared" si="7"/>
        <v>0</v>
      </c>
      <c r="F156" s="414">
        <f t="shared" si="6"/>
        <v>0</v>
      </c>
      <c r="H156" s="1154"/>
      <c r="I156" s="1154"/>
    </row>
    <row r="157" spans="1:42" ht="15.75">
      <c r="A157" s="401">
        <v>106707</v>
      </c>
      <c r="B157" s="402" t="s">
        <v>880</v>
      </c>
      <c r="C157" s="1644">
        <v>0</v>
      </c>
      <c r="D157" s="1276">
        <v>761.15</v>
      </c>
      <c r="E157" s="414">
        <f t="shared" si="7"/>
        <v>0</v>
      </c>
      <c r="F157" s="414">
        <f t="shared" si="6"/>
        <v>0</v>
      </c>
      <c r="H157" s="1154"/>
      <c r="I157" s="1154"/>
    </row>
    <row r="158" spans="1:42" ht="15.75">
      <c r="A158" s="401">
        <v>106708</v>
      </c>
      <c r="B158" s="402" t="s">
        <v>1255</v>
      </c>
      <c r="C158" s="1644">
        <v>0</v>
      </c>
      <c r="D158" s="1260">
        <v>1749.3</v>
      </c>
      <c r="E158" s="414">
        <f t="shared" si="7"/>
        <v>0</v>
      </c>
      <c r="F158" s="414">
        <f t="shared" si="6"/>
        <v>0</v>
      </c>
      <c r="H158" s="1154"/>
      <c r="I158" s="1154"/>
    </row>
    <row r="159" spans="1:42" ht="15.75">
      <c r="A159" s="401">
        <v>106595</v>
      </c>
      <c r="B159" s="1327" t="s">
        <v>1256</v>
      </c>
      <c r="C159" s="1644">
        <v>0</v>
      </c>
      <c r="D159" s="1260">
        <v>255.95</v>
      </c>
      <c r="E159" s="414">
        <f t="shared" si="7"/>
        <v>0</v>
      </c>
      <c r="F159" s="414">
        <f t="shared" si="6"/>
        <v>0</v>
      </c>
      <c r="H159" s="1154"/>
      <c r="I159" s="1154"/>
    </row>
    <row r="160" spans="1:42" ht="15.75">
      <c r="A160" s="401">
        <v>106099</v>
      </c>
      <c r="B160" s="1327" t="s">
        <v>1257</v>
      </c>
      <c r="C160" s="1644">
        <v>0</v>
      </c>
      <c r="D160" s="1260">
        <v>3530.65</v>
      </c>
      <c r="E160" s="414">
        <f t="shared" si="7"/>
        <v>0</v>
      </c>
      <c r="F160" s="414">
        <f t="shared" si="6"/>
        <v>0</v>
      </c>
      <c r="H160" s="1154"/>
      <c r="I160" s="1154"/>
    </row>
    <row r="161" spans="1:9" ht="15.75">
      <c r="A161" s="401">
        <v>106100</v>
      </c>
      <c r="B161" s="1327" t="s">
        <v>1258</v>
      </c>
      <c r="C161" s="1644">
        <v>0</v>
      </c>
      <c r="D161" s="1260">
        <v>111</v>
      </c>
      <c r="E161" s="414">
        <f t="shared" si="7"/>
        <v>0</v>
      </c>
      <c r="F161" s="414">
        <f t="shared" si="6"/>
        <v>0</v>
      </c>
      <c r="H161" s="1154"/>
      <c r="I161" s="1154"/>
    </row>
    <row r="162" spans="1:9" ht="15.75">
      <c r="A162" s="401">
        <v>106101</v>
      </c>
      <c r="B162" s="1323" t="s">
        <v>1400</v>
      </c>
      <c r="C162" s="1644">
        <v>0</v>
      </c>
      <c r="D162" s="1260">
        <v>7984.9</v>
      </c>
      <c r="E162" s="414">
        <f t="shared" si="7"/>
        <v>0</v>
      </c>
      <c r="F162" s="414">
        <f t="shared" si="6"/>
        <v>0</v>
      </c>
      <c r="H162" s="1154"/>
      <c r="I162" s="1154"/>
    </row>
    <row r="163" spans="1:9" ht="15.75">
      <c r="A163" s="401">
        <v>106102</v>
      </c>
      <c r="B163" s="1323" t="s">
        <v>1401</v>
      </c>
      <c r="C163" s="1644">
        <v>0</v>
      </c>
      <c r="D163" s="1260">
        <v>2014.25</v>
      </c>
      <c r="E163" s="414">
        <f t="shared" si="7"/>
        <v>0</v>
      </c>
      <c r="F163" s="414">
        <f t="shared" si="6"/>
        <v>0</v>
      </c>
      <c r="H163" s="1154"/>
      <c r="I163" s="1154"/>
    </row>
    <row r="164" spans="1:9" ht="15.75">
      <c r="A164" s="401">
        <v>106103</v>
      </c>
      <c r="B164" s="1323" t="s">
        <v>1402</v>
      </c>
      <c r="C164" s="1644">
        <v>0</v>
      </c>
      <c r="D164" s="1260">
        <v>432</v>
      </c>
      <c r="E164" s="414">
        <f t="shared" si="7"/>
        <v>0</v>
      </c>
      <c r="F164" s="414">
        <f t="shared" si="6"/>
        <v>0</v>
      </c>
      <c r="H164" s="1154"/>
      <c r="I164" s="1154"/>
    </row>
    <row r="165" spans="1:9" ht="15.75">
      <c r="A165" s="401">
        <v>106104</v>
      </c>
      <c r="B165" s="1323" t="s">
        <v>1259</v>
      </c>
      <c r="C165" s="1644">
        <v>0</v>
      </c>
      <c r="D165" s="1260">
        <v>1537</v>
      </c>
      <c r="E165" s="414">
        <f t="shared" si="7"/>
        <v>0</v>
      </c>
      <c r="F165" s="414">
        <f t="shared" si="6"/>
        <v>0</v>
      </c>
      <c r="H165" s="1154"/>
      <c r="I165" s="1154"/>
    </row>
    <row r="166" spans="1:9" ht="15.75">
      <c r="A166" s="401">
        <v>106105</v>
      </c>
      <c r="B166" s="1323" t="s">
        <v>1260</v>
      </c>
      <c r="C166" s="1644">
        <v>0</v>
      </c>
      <c r="D166" s="1260">
        <v>393</v>
      </c>
      <c r="E166" s="414">
        <f t="shared" si="7"/>
        <v>0</v>
      </c>
      <c r="F166" s="414">
        <f t="shared" si="6"/>
        <v>0</v>
      </c>
      <c r="H166" s="1154"/>
      <c r="I166" s="1154"/>
    </row>
    <row r="167" spans="1:9" ht="31.5">
      <c r="A167" s="401">
        <v>106138</v>
      </c>
      <c r="B167" s="439" t="s">
        <v>370</v>
      </c>
      <c r="C167" s="1644">
        <v>0</v>
      </c>
      <c r="D167" s="1276">
        <v>4663.1499999999996</v>
      </c>
      <c r="E167" s="414">
        <f t="shared" si="7"/>
        <v>0</v>
      </c>
      <c r="F167" s="414">
        <f t="shared" si="6"/>
        <v>0</v>
      </c>
      <c r="H167" s="1154"/>
      <c r="I167" s="1154"/>
    </row>
    <row r="168" spans="1:9" ht="15.75">
      <c r="A168" s="401">
        <v>106127</v>
      </c>
      <c r="B168" s="394" t="s">
        <v>1261</v>
      </c>
      <c r="C168" s="1644">
        <v>0</v>
      </c>
      <c r="D168" s="1260">
        <v>1914.45</v>
      </c>
      <c r="E168" s="414">
        <f t="shared" si="7"/>
        <v>0</v>
      </c>
      <c r="F168" s="414">
        <f t="shared" si="6"/>
        <v>0</v>
      </c>
      <c r="H168" s="1154"/>
      <c r="I168" s="1154"/>
    </row>
    <row r="169" spans="1:9" ht="15.75">
      <c r="A169" s="401">
        <v>106137</v>
      </c>
      <c r="B169" s="1259" t="s">
        <v>881</v>
      </c>
      <c r="C169" s="1644">
        <v>0</v>
      </c>
      <c r="D169" s="1260">
        <v>48.35</v>
      </c>
      <c r="E169" s="414">
        <f t="shared" si="7"/>
        <v>0</v>
      </c>
      <c r="F169" s="414">
        <f t="shared" si="6"/>
        <v>0</v>
      </c>
      <c r="H169" s="1154"/>
      <c r="I169" s="1154"/>
    </row>
    <row r="170" spans="1:9" ht="31.5">
      <c r="A170" s="401">
        <v>106140</v>
      </c>
      <c r="B170" s="394" t="s">
        <v>1262</v>
      </c>
      <c r="C170" s="1644">
        <v>0</v>
      </c>
      <c r="D170" s="1260">
        <v>1539.4</v>
      </c>
      <c r="E170" s="414">
        <f t="shared" si="7"/>
        <v>0</v>
      </c>
      <c r="F170" s="414">
        <f t="shared" si="6"/>
        <v>0</v>
      </c>
      <c r="H170" s="1154"/>
      <c r="I170" s="1154"/>
    </row>
    <row r="171" spans="1:9" ht="15.75">
      <c r="A171" s="401">
        <v>106424</v>
      </c>
      <c r="B171" s="394" t="s">
        <v>1263</v>
      </c>
      <c r="C171" s="1644">
        <v>0</v>
      </c>
      <c r="D171" s="1260">
        <v>1483.1</v>
      </c>
      <c r="E171" s="414">
        <f t="shared" si="7"/>
        <v>0</v>
      </c>
      <c r="F171" s="414">
        <f t="shared" si="6"/>
        <v>0</v>
      </c>
      <c r="H171" s="1154"/>
      <c r="I171" s="1154"/>
    </row>
    <row r="172" spans="1:9" ht="15.75">
      <c r="A172" s="401">
        <v>106142</v>
      </c>
      <c r="B172" s="1323" t="s">
        <v>1264</v>
      </c>
      <c r="C172" s="1644">
        <v>0</v>
      </c>
      <c r="D172" s="1260">
        <v>9940.1</v>
      </c>
      <c r="E172" s="414">
        <f t="shared" si="7"/>
        <v>0</v>
      </c>
      <c r="F172" s="414">
        <f t="shared" si="6"/>
        <v>0</v>
      </c>
      <c r="H172" s="1154"/>
      <c r="I172" s="1154"/>
    </row>
    <row r="173" spans="1:9" ht="15.75">
      <c r="A173" s="401">
        <v>106130</v>
      </c>
      <c r="B173" s="394" t="s">
        <v>683</v>
      </c>
      <c r="C173" s="1644">
        <v>0</v>
      </c>
      <c r="D173" s="1276">
        <v>458.25</v>
      </c>
      <c r="E173" s="414">
        <f t="shared" si="7"/>
        <v>0</v>
      </c>
      <c r="F173" s="414">
        <f t="shared" si="6"/>
        <v>0</v>
      </c>
      <c r="H173" s="1154"/>
      <c r="I173" s="1154"/>
    </row>
    <row r="174" spans="1:9" ht="15.75">
      <c r="A174" s="401">
        <v>106132</v>
      </c>
      <c r="B174" s="394" t="s">
        <v>684</v>
      </c>
      <c r="C174" s="1644">
        <v>0</v>
      </c>
      <c r="D174" s="1260">
        <v>1224.55</v>
      </c>
      <c r="E174" s="414">
        <f t="shared" si="7"/>
        <v>0</v>
      </c>
      <c r="F174" s="414">
        <f t="shared" si="6"/>
        <v>0</v>
      </c>
      <c r="H174" s="1154"/>
      <c r="I174" s="1154"/>
    </row>
    <row r="175" spans="1:9" ht="15.75">
      <c r="A175" s="401">
        <v>106720</v>
      </c>
      <c r="B175" s="1323" t="s">
        <v>1265</v>
      </c>
      <c r="C175" s="1644">
        <v>0</v>
      </c>
      <c r="D175" s="1260">
        <v>86.35</v>
      </c>
      <c r="E175" s="414">
        <f t="shared" si="7"/>
        <v>0</v>
      </c>
      <c r="F175" s="414">
        <f t="shared" si="6"/>
        <v>0</v>
      </c>
      <c r="H175" s="1154"/>
      <c r="I175" s="1154"/>
    </row>
    <row r="176" spans="1:9" ht="15.75">
      <c r="A176" s="401">
        <v>106733</v>
      </c>
      <c r="B176" s="1323" t="s">
        <v>1266</v>
      </c>
      <c r="C176" s="1644">
        <v>0</v>
      </c>
      <c r="D176" s="1260">
        <v>1270.95</v>
      </c>
      <c r="E176" s="414">
        <f t="shared" si="7"/>
        <v>0</v>
      </c>
      <c r="F176" s="414">
        <f t="shared" si="6"/>
        <v>0</v>
      </c>
      <c r="H176" s="1154"/>
      <c r="I176" s="1154"/>
    </row>
    <row r="177" spans="1:9" ht="15.75">
      <c r="A177" s="401">
        <v>106734</v>
      </c>
      <c r="B177" s="1259" t="s">
        <v>882</v>
      </c>
      <c r="C177" s="1644">
        <v>0</v>
      </c>
      <c r="D177" s="1260">
        <v>189.95</v>
      </c>
      <c r="E177" s="414">
        <f t="shared" si="7"/>
        <v>0</v>
      </c>
      <c r="F177" s="414">
        <f t="shared" si="6"/>
        <v>0</v>
      </c>
      <c r="H177" s="1154"/>
      <c r="I177" s="1154"/>
    </row>
    <row r="178" spans="1:9" ht="15.75">
      <c r="A178" s="401">
        <v>106128</v>
      </c>
      <c r="B178" s="394" t="s">
        <v>685</v>
      </c>
      <c r="C178" s="1644">
        <v>0</v>
      </c>
      <c r="D178" s="1260">
        <v>2007.8</v>
      </c>
      <c r="E178" s="414">
        <f t="shared" si="7"/>
        <v>0</v>
      </c>
      <c r="F178" s="414">
        <f t="shared" si="6"/>
        <v>0</v>
      </c>
      <c r="H178" s="1154"/>
      <c r="I178" s="1154"/>
    </row>
    <row r="179" spans="1:9" ht="15.75">
      <c r="A179" s="401">
        <v>106129</v>
      </c>
      <c r="B179" s="394" t="s">
        <v>672</v>
      </c>
      <c r="C179" s="1644">
        <v>0</v>
      </c>
      <c r="D179" s="1260">
        <v>285.60000000000002</v>
      </c>
      <c r="E179" s="414">
        <f t="shared" si="7"/>
        <v>0</v>
      </c>
      <c r="F179" s="414">
        <f t="shared" si="6"/>
        <v>0</v>
      </c>
      <c r="H179" s="1154"/>
      <c r="I179" s="1154"/>
    </row>
    <row r="180" spans="1:9" ht="15.75">
      <c r="A180" s="401">
        <v>106142</v>
      </c>
      <c r="B180" s="1323" t="s">
        <v>1403</v>
      </c>
      <c r="C180" s="1644">
        <v>0</v>
      </c>
      <c r="D180" s="1260">
        <v>15422.4</v>
      </c>
      <c r="E180" s="414">
        <f t="shared" si="7"/>
        <v>0</v>
      </c>
      <c r="F180" s="414">
        <f t="shared" si="6"/>
        <v>0</v>
      </c>
      <c r="H180" s="1154"/>
      <c r="I180" s="1154"/>
    </row>
    <row r="181" spans="1:9" ht="15.75">
      <c r="A181" s="401">
        <v>106719</v>
      </c>
      <c r="B181" s="1323" t="s">
        <v>1404</v>
      </c>
      <c r="C181" s="1644">
        <v>0</v>
      </c>
      <c r="D181" s="1260">
        <v>3764.25</v>
      </c>
      <c r="E181" s="414">
        <f t="shared" si="7"/>
        <v>0</v>
      </c>
      <c r="F181" s="414">
        <f t="shared" si="6"/>
        <v>0</v>
      </c>
      <c r="H181" s="1154"/>
      <c r="I181" s="1154"/>
    </row>
    <row r="182" spans="1:9" ht="15.75">
      <c r="A182" s="401">
        <v>106594</v>
      </c>
      <c r="B182" s="1323" t="s">
        <v>1267</v>
      </c>
      <c r="C182" s="1644">
        <v>0</v>
      </c>
      <c r="D182" s="1260">
        <v>143.4</v>
      </c>
      <c r="E182" s="414">
        <f t="shared" si="7"/>
        <v>0</v>
      </c>
      <c r="F182" s="414">
        <f t="shared" si="6"/>
        <v>0</v>
      </c>
      <c r="H182" s="1154"/>
      <c r="I182" s="1154"/>
    </row>
    <row r="183" spans="1:9" ht="15.75">
      <c r="A183" s="1269">
        <v>106053</v>
      </c>
      <c r="B183" s="397" t="s">
        <v>1268</v>
      </c>
      <c r="C183" s="1644">
        <v>0</v>
      </c>
      <c r="D183" s="1260">
        <v>204.25</v>
      </c>
      <c r="E183" s="414">
        <f t="shared" si="7"/>
        <v>0</v>
      </c>
      <c r="F183" s="414">
        <f t="shared" si="6"/>
        <v>0</v>
      </c>
      <c r="H183" s="1154"/>
      <c r="I183" s="1154"/>
    </row>
    <row r="184" spans="1:9" ht="31.5">
      <c r="A184" s="1269">
        <v>106054</v>
      </c>
      <c r="B184" s="416" t="s">
        <v>1269</v>
      </c>
      <c r="C184" s="1644">
        <v>0</v>
      </c>
      <c r="D184" s="1260">
        <v>204.25</v>
      </c>
      <c r="E184" s="414">
        <f t="shared" si="7"/>
        <v>0</v>
      </c>
      <c r="F184" s="414">
        <f t="shared" si="6"/>
        <v>0</v>
      </c>
      <c r="H184" s="1154"/>
      <c r="I184" s="1154"/>
    </row>
    <row r="185" spans="1:9" ht="31.5">
      <c r="A185" s="1269">
        <v>106055</v>
      </c>
      <c r="B185" s="416" t="s">
        <v>1270</v>
      </c>
      <c r="C185" s="1644">
        <v>0</v>
      </c>
      <c r="D185" s="1260">
        <v>204.25</v>
      </c>
      <c r="E185" s="414">
        <f t="shared" si="7"/>
        <v>0</v>
      </c>
      <c r="F185" s="414">
        <f t="shared" si="6"/>
        <v>0</v>
      </c>
      <c r="H185" s="1154"/>
      <c r="I185" s="1154"/>
    </row>
    <row r="186" spans="1:9" ht="31.5">
      <c r="A186" s="1269">
        <v>106056</v>
      </c>
      <c r="B186" s="416" t="s">
        <v>1271</v>
      </c>
      <c r="C186" s="1644">
        <v>0</v>
      </c>
      <c r="D186" s="1260">
        <v>204.25</v>
      </c>
      <c r="E186" s="414">
        <f t="shared" si="7"/>
        <v>0</v>
      </c>
      <c r="F186" s="401"/>
      <c r="H186" s="1154"/>
      <c r="I186" s="1154"/>
    </row>
    <row r="187" spans="1:9" ht="15.75">
      <c r="A187" s="401"/>
      <c r="B187" s="401"/>
      <c r="C187" s="401"/>
      <c r="D187" s="401"/>
      <c r="E187" s="401"/>
      <c r="F187" s="401"/>
      <c r="H187" s="1154"/>
      <c r="I187" s="1154"/>
    </row>
    <row r="188" spans="1:9" ht="15.75">
      <c r="A188" s="401"/>
      <c r="B188" s="401"/>
      <c r="C188" s="401"/>
      <c r="D188" s="401"/>
      <c r="E188" s="401"/>
      <c r="F188" s="1262"/>
      <c r="H188" s="1154"/>
      <c r="I188" s="1154"/>
    </row>
    <row r="189" spans="1:9" ht="15.75">
      <c r="A189" s="1262"/>
      <c r="B189" s="1262"/>
      <c r="C189" s="1262"/>
      <c r="D189" s="1262"/>
      <c r="E189" s="1262"/>
      <c r="F189" s="1262"/>
      <c r="H189" s="1154"/>
      <c r="I189" s="1154"/>
    </row>
    <row r="190" spans="1:9" ht="15.75">
      <c r="A190" s="1262"/>
      <c r="B190" s="1262"/>
      <c r="C190" s="1262"/>
      <c r="D190" s="1262"/>
      <c r="E190" s="1262"/>
      <c r="F190" s="1262"/>
      <c r="H190" s="1154"/>
      <c r="I190" s="1154"/>
    </row>
    <row r="191" spans="1:9" ht="15.75">
      <c r="A191" s="1262"/>
      <c r="B191" s="1262"/>
      <c r="C191" s="1262"/>
      <c r="D191" s="1262"/>
      <c r="E191" s="1262"/>
      <c r="F191" s="401"/>
      <c r="H191" s="1154"/>
      <c r="I191" s="1154"/>
    </row>
    <row r="192" spans="1:9" ht="15.75">
      <c r="A192" s="401"/>
      <c r="B192" s="401"/>
      <c r="C192" s="401"/>
      <c r="D192" s="401"/>
      <c r="E192" s="401"/>
      <c r="F192" s="401"/>
      <c r="H192" s="1154"/>
      <c r="I192" s="1154"/>
    </row>
    <row r="193" spans="1:9" ht="15.75">
      <c r="A193" s="401"/>
      <c r="B193" s="401"/>
      <c r="C193" s="401"/>
      <c r="D193" s="401"/>
      <c r="E193" s="401"/>
      <c r="F193" s="401"/>
      <c r="H193" s="1154"/>
      <c r="I193" s="1154"/>
    </row>
    <row r="194" spans="1:9" ht="16.5" thickBot="1">
      <c r="A194" s="401"/>
      <c r="B194" s="401"/>
      <c r="C194" s="401"/>
      <c r="D194" s="401"/>
      <c r="E194" s="401"/>
      <c r="F194" s="454">
        <f>SUM(F130:F193)</f>
        <v>0</v>
      </c>
      <c r="H194" s="1154"/>
      <c r="I194" s="1154"/>
    </row>
    <row r="195" spans="1:9" ht="16.5" thickBot="1">
      <c r="A195" s="235"/>
      <c r="B195" s="448" t="s">
        <v>1238</v>
      </c>
      <c r="C195" s="449"/>
      <c r="D195" s="449"/>
      <c r="E195" s="450">
        <f>SUM(E131:E194)</f>
        <v>0</v>
      </c>
      <c r="H195" s="1154"/>
      <c r="I195" s="1154"/>
    </row>
    <row r="196" spans="1:9">
      <c r="B196" s="400"/>
      <c r="H196" s="1154"/>
      <c r="I196" s="1154"/>
    </row>
    <row r="197" spans="1:9">
      <c r="B197" s="400"/>
      <c r="H197" s="1154"/>
      <c r="I197" s="1154"/>
    </row>
    <row r="198" spans="1:9">
      <c r="B198" s="400"/>
      <c r="F198" s="1155"/>
      <c r="G198" s="1154"/>
      <c r="H198" s="1154"/>
      <c r="I198" s="1154"/>
    </row>
    <row r="199" spans="1:9">
      <c r="A199" s="1154"/>
      <c r="B199" s="1154"/>
      <c r="C199" s="1155"/>
      <c r="D199" s="1155"/>
      <c r="E199" s="1155"/>
      <c r="F199" s="1155"/>
      <c r="G199" s="1154"/>
      <c r="H199" s="1154"/>
      <c r="I199" s="1154"/>
    </row>
    <row r="200" spans="1:9">
      <c r="A200" s="1154"/>
      <c r="B200" s="1154"/>
      <c r="C200" s="1155"/>
      <c r="D200" s="1155"/>
      <c r="E200" s="1155"/>
      <c r="F200" s="1155"/>
      <c r="G200" s="1154"/>
      <c r="H200" s="1154"/>
      <c r="I200" s="1154"/>
    </row>
    <row r="201" spans="1:9">
      <c r="A201" s="1154"/>
      <c r="B201" s="1154"/>
      <c r="C201" s="1155"/>
      <c r="D201" s="1155"/>
      <c r="E201" s="1155"/>
      <c r="F201" s="1155"/>
      <c r="G201" s="1154"/>
      <c r="H201" s="1154"/>
      <c r="I201" s="1154"/>
    </row>
    <row r="202" spans="1:9" hidden="1">
      <c r="A202" s="1154"/>
      <c r="B202" s="1154"/>
      <c r="C202" s="1155"/>
      <c r="D202" s="1155"/>
      <c r="E202" s="1155"/>
    </row>
  </sheetData>
  <sheetProtection sheet="1" objects="1" scenarios="1" selectLockedCells="1"/>
  <mergeCells count="1">
    <mergeCell ref="A1:G1"/>
  </mergeCells>
  <pageMargins left="0.75" right="0.75" top="1" bottom="1" header="0.5" footer="0.5"/>
  <pageSetup paperSize="9" orientation="portrait" horizontalDpi="4294967292" verticalDpi="4294967292"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oglio19"/>
  <dimension ref="B1:I214"/>
  <sheetViews>
    <sheetView showGridLines="0" zoomScale="75" zoomScaleNormal="75" zoomScalePageLayoutView="75" workbookViewId="0">
      <selection activeCell="G21" sqref="G21"/>
    </sheetView>
  </sheetViews>
  <sheetFormatPr defaultColWidth="11" defaultRowHeight="12.75"/>
  <cols>
    <col min="1" max="1" width="4.1640625" style="260" customWidth="1"/>
    <col min="2" max="2" width="11" style="260"/>
    <col min="3" max="3" width="55.1640625" style="260" customWidth="1"/>
    <col min="4" max="4" width="39.6640625" style="260" customWidth="1"/>
    <col min="5" max="6" width="24.1640625" style="260" customWidth="1"/>
    <col min="7" max="7" width="27.1640625" style="260" customWidth="1"/>
    <col min="8" max="8" width="24" style="260" customWidth="1"/>
    <col min="9" max="16384" width="11" style="260"/>
  </cols>
  <sheetData>
    <row r="1" spans="2:9" ht="18.75" thickBot="1">
      <c r="B1" s="313"/>
      <c r="C1" s="334" t="s">
        <v>472</v>
      </c>
      <c r="D1" s="335"/>
      <c r="E1" s="313"/>
      <c r="F1" s="313"/>
      <c r="G1" s="335"/>
      <c r="H1" s="335"/>
    </row>
    <row r="3" spans="2:9" ht="13.5" thickBot="1"/>
    <row r="4" spans="2:9" ht="15.75">
      <c r="B4" s="239"/>
      <c r="C4" s="336" t="s">
        <v>473</v>
      </c>
      <c r="D4" s="337"/>
      <c r="E4" s="337"/>
      <c r="F4" s="337"/>
      <c r="G4" s="337"/>
      <c r="H4" s="338"/>
    </row>
    <row r="5" spans="2:9" s="219" customFormat="1" ht="38.25">
      <c r="B5" s="309"/>
      <c r="C5" s="339"/>
      <c r="D5" s="340" t="s">
        <v>741</v>
      </c>
      <c r="E5" s="341" t="s">
        <v>595</v>
      </c>
      <c r="F5" s="341" t="s">
        <v>563</v>
      </c>
      <c r="G5" s="341" t="s">
        <v>742</v>
      </c>
      <c r="H5" s="669" t="s">
        <v>474</v>
      </c>
      <c r="I5" s="217"/>
    </row>
    <row r="6" spans="2:9">
      <c r="B6" s="229"/>
      <c r="C6" s="342" t="s">
        <v>475</v>
      </c>
      <c r="D6" s="419">
        <v>0</v>
      </c>
      <c r="E6" s="419">
        <v>0</v>
      </c>
      <c r="F6" s="419">
        <v>0</v>
      </c>
      <c r="G6" s="419">
        <v>0</v>
      </c>
      <c r="H6" s="230">
        <f>(D6*E6*F6)+(G6*D6)</f>
        <v>0</v>
      </c>
    </row>
    <row r="7" spans="2:9">
      <c r="B7" s="229"/>
      <c r="C7" s="342" t="s">
        <v>606</v>
      </c>
      <c r="D7" s="419">
        <v>0</v>
      </c>
      <c r="E7" s="419">
        <v>0</v>
      </c>
      <c r="F7" s="419">
        <v>0</v>
      </c>
      <c r="G7" s="419">
        <v>0</v>
      </c>
      <c r="H7" s="230">
        <f t="shared" ref="H7:H12" si="0">(D7*E7*F7)+(G7*D7)</f>
        <v>0</v>
      </c>
    </row>
    <row r="8" spans="2:9">
      <c r="B8" s="229"/>
      <c r="C8" s="342" t="s">
        <v>605</v>
      </c>
      <c r="D8" s="419">
        <v>0</v>
      </c>
      <c r="E8" s="419">
        <v>0</v>
      </c>
      <c r="F8" s="419">
        <v>0</v>
      </c>
      <c r="G8" s="419">
        <v>0</v>
      </c>
      <c r="H8" s="230">
        <f t="shared" si="0"/>
        <v>0</v>
      </c>
    </row>
    <row r="9" spans="2:9">
      <c r="B9" s="229"/>
      <c r="C9" s="342" t="s">
        <v>743</v>
      </c>
      <c r="D9" s="419">
        <v>0</v>
      </c>
      <c r="E9" s="419">
        <v>0</v>
      </c>
      <c r="F9" s="419">
        <v>0</v>
      </c>
      <c r="G9" s="419">
        <v>0</v>
      </c>
      <c r="H9" s="230">
        <f t="shared" si="0"/>
        <v>0</v>
      </c>
    </row>
    <row r="10" spans="2:9">
      <c r="B10" s="229"/>
      <c r="C10" s="343" t="s">
        <v>596</v>
      </c>
      <c r="D10" s="455">
        <v>0</v>
      </c>
      <c r="E10" s="419">
        <v>0</v>
      </c>
      <c r="F10" s="419">
        <v>0</v>
      </c>
      <c r="G10" s="419">
        <v>0</v>
      </c>
      <c r="H10" s="230">
        <f t="shared" si="0"/>
        <v>0</v>
      </c>
    </row>
    <row r="11" spans="2:9">
      <c r="B11" s="229"/>
      <c r="C11" s="343" t="s">
        <v>565</v>
      </c>
      <c r="D11" s="455">
        <v>0</v>
      </c>
      <c r="E11" s="419">
        <v>0</v>
      </c>
      <c r="F11" s="419">
        <v>0</v>
      </c>
      <c r="G11" s="419">
        <v>0</v>
      </c>
      <c r="H11" s="230">
        <f t="shared" si="0"/>
        <v>0</v>
      </c>
    </row>
    <row r="12" spans="2:9">
      <c r="B12" s="229"/>
      <c r="C12" s="344" t="s">
        <v>587</v>
      </c>
      <c r="D12" s="455">
        <v>0</v>
      </c>
      <c r="E12" s="419">
        <v>0</v>
      </c>
      <c r="F12" s="419">
        <v>0</v>
      </c>
      <c r="G12" s="419">
        <v>0</v>
      </c>
      <c r="H12" s="230">
        <f t="shared" si="0"/>
        <v>0</v>
      </c>
    </row>
    <row r="13" spans="2:9" ht="13.5" thickBot="1">
      <c r="B13" s="241"/>
      <c r="C13" s="236" t="s">
        <v>476</v>
      </c>
      <c r="D13" s="345"/>
      <c r="E13" s="345"/>
      <c r="F13" s="345"/>
      <c r="G13" s="345"/>
      <c r="H13" s="243">
        <f>SUM(H6:H12)</f>
        <v>0</v>
      </c>
    </row>
    <row r="15" spans="2:9" ht="13.5" thickBot="1"/>
    <row r="16" spans="2:9" ht="15.75">
      <c r="B16" s="239"/>
      <c r="C16" s="346" t="s">
        <v>708</v>
      </c>
      <c r="D16" s="338"/>
      <c r="E16" s="232"/>
      <c r="F16" s="418"/>
      <c r="G16" s="217"/>
      <c r="H16" s="217"/>
    </row>
    <row r="17" spans="2:8">
      <c r="B17" s="229"/>
      <c r="C17" s="325" t="s">
        <v>477</v>
      </c>
      <c r="D17" s="456">
        <v>0</v>
      </c>
      <c r="E17" s="219"/>
      <c r="F17" s="219"/>
      <c r="H17" s="219"/>
    </row>
    <row r="18" spans="2:8">
      <c r="B18" s="229"/>
      <c r="C18" s="325" t="s">
        <v>478</v>
      </c>
      <c r="D18" s="456">
        <v>0</v>
      </c>
      <c r="E18" s="219"/>
      <c r="F18" s="219"/>
      <c r="H18" s="219"/>
    </row>
    <row r="19" spans="2:8">
      <c r="B19" s="229"/>
      <c r="C19" s="325" t="s">
        <v>479</v>
      </c>
      <c r="D19" s="456">
        <v>0</v>
      </c>
      <c r="E19" s="219"/>
      <c r="F19" s="219"/>
      <c r="H19" s="219"/>
    </row>
    <row r="20" spans="2:8">
      <c r="B20" s="229"/>
      <c r="C20" s="325" t="s">
        <v>480</v>
      </c>
      <c r="D20" s="456">
        <v>0</v>
      </c>
      <c r="E20" s="219"/>
      <c r="F20" s="219"/>
      <c r="H20" s="219"/>
    </row>
    <row r="21" spans="2:8">
      <c r="B21" s="229"/>
      <c r="C21" s="347" t="s">
        <v>481</v>
      </c>
      <c r="D21" s="456">
        <v>0</v>
      </c>
      <c r="E21" s="219"/>
      <c r="F21" s="219"/>
      <c r="H21" s="219"/>
    </row>
    <row r="22" spans="2:8">
      <c r="B22" s="229"/>
      <c r="C22" s="347" t="s">
        <v>482</v>
      </c>
      <c r="D22" s="456">
        <v>0</v>
      </c>
      <c r="E22" s="219"/>
      <c r="F22" s="219"/>
      <c r="H22" s="219"/>
    </row>
    <row r="23" spans="2:8">
      <c r="B23" s="229"/>
      <c r="C23" s="217"/>
      <c r="D23" s="301"/>
      <c r="E23" s="219"/>
      <c r="F23" s="219"/>
      <c r="H23" s="219"/>
    </row>
    <row r="24" spans="2:8">
      <c r="B24" s="229"/>
      <c r="C24" s="287" t="s">
        <v>483</v>
      </c>
      <c r="D24" s="348"/>
      <c r="E24" s="267" t="s">
        <v>562</v>
      </c>
      <c r="F24" s="219"/>
      <c r="H24" s="219"/>
    </row>
    <row r="25" spans="2:8">
      <c r="B25" s="229"/>
      <c r="C25" s="325" t="s">
        <v>484</v>
      </c>
      <c r="D25" s="230" t="e">
        <f>D17*D18*D20*#REF!</f>
        <v>#REF!</v>
      </c>
      <c r="F25" s="267"/>
      <c r="H25" s="219"/>
    </row>
    <row r="26" spans="2:8">
      <c r="B26" s="229"/>
      <c r="C26" s="349" t="s">
        <v>485</v>
      </c>
      <c r="D26" s="230" t="e">
        <f>D19*D17*#REF!</f>
        <v>#REF!</v>
      </c>
      <c r="E26" s="219"/>
      <c r="F26" s="219"/>
      <c r="H26" s="219"/>
    </row>
    <row r="27" spans="2:8">
      <c r="B27" s="229"/>
      <c r="C27" s="325" t="s">
        <v>486</v>
      </c>
      <c r="D27" s="230" t="e">
        <f>D20*D18*D17*#REF!</f>
        <v>#REF!</v>
      </c>
      <c r="E27" s="219"/>
      <c r="F27" s="219"/>
      <c r="H27" s="219"/>
    </row>
    <row r="28" spans="2:8">
      <c r="B28" s="229"/>
      <c r="C28" s="287" t="s">
        <v>487</v>
      </c>
      <c r="D28" s="350"/>
      <c r="E28" s="219"/>
      <c r="F28" s="219"/>
      <c r="H28" s="219"/>
    </row>
    <row r="29" spans="2:8">
      <c r="B29" s="229"/>
      <c r="C29" s="349" t="s">
        <v>488</v>
      </c>
      <c r="D29" s="230" t="e">
        <f>D21*D17*D18*#REF!</f>
        <v>#REF!</v>
      </c>
      <c r="E29" s="219"/>
      <c r="F29" s="219"/>
      <c r="H29" s="219"/>
    </row>
    <row r="30" spans="2:8">
      <c r="B30" s="229"/>
      <c r="C30" s="349" t="s">
        <v>485</v>
      </c>
      <c r="D30" s="230" t="e">
        <f>D17*D21*#REF!</f>
        <v>#REF!</v>
      </c>
      <c r="E30" s="219"/>
      <c r="F30" s="219"/>
      <c r="H30" s="219"/>
    </row>
    <row r="31" spans="2:8">
      <c r="B31" s="229"/>
      <c r="C31" s="325" t="s">
        <v>486</v>
      </c>
      <c r="D31" s="230" t="e">
        <f>D21*D18*D17*#REF!</f>
        <v>#REF!</v>
      </c>
      <c r="E31" s="219"/>
      <c r="F31" s="219"/>
      <c r="H31" s="219"/>
    </row>
    <row r="32" spans="2:8">
      <c r="B32" s="229"/>
      <c r="C32" s="287" t="s">
        <v>489</v>
      </c>
      <c r="D32" s="350"/>
      <c r="E32" s="219"/>
      <c r="F32" s="219"/>
      <c r="H32" s="219"/>
    </row>
    <row r="33" spans="2:8">
      <c r="B33" s="229"/>
      <c r="C33" s="349" t="s">
        <v>490</v>
      </c>
      <c r="D33" s="230" t="e">
        <f>D22*D17*D18*#REF!</f>
        <v>#REF!</v>
      </c>
      <c r="E33" s="219"/>
      <c r="F33" s="219"/>
      <c r="H33" s="219"/>
    </row>
    <row r="34" spans="2:8">
      <c r="B34" s="229"/>
      <c r="C34" s="349" t="s">
        <v>491</v>
      </c>
      <c r="D34" s="230" t="e">
        <f>D22*D18*D17*#REF!</f>
        <v>#REF!</v>
      </c>
      <c r="E34" s="219"/>
      <c r="F34" s="219"/>
      <c r="H34" s="219"/>
    </row>
    <row r="35" spans="2:8">
      <c r="B35" s="229"/>
      <c r="C35" s="349" t="s">
        <v>492</v>
      </c>
      <c r="D35" s="230" t="e">
        <f>D22*D17*#REF!</f>
        <v>#REF!</v>
      </c>
      <c r="E35" s="219"/>
      <c r="F35" s="219"/>
      <c r="H35" s="219"/>
    </row>
    <row r="36" spans="2:8">
      <c r="B36" s="229"/>
      <c r="C36" s="349" t="s">
        <v>493</v>
      </c>
      <c r="D36" s="230" t="e">
        <f>D22*D17*#REF!</f>
        <v>#REF!</v>
      </c>
      <c r="E36" s="219"/>
      <c r="F36" s="219"/>
      <c r="H36" s="219"/>
    </row>
    <row r="37" spans="2:8">
      <c r="B37" s="229"/>
      <c r="C37" s="287" t="s">
        <v>494</v>
      </c>
      <c r="D37" s="350"/>
      <c r="E37" s="219"/>
      <c r="F37" s="219"/>
      <c r="H37" s="219"/>
    </row>
    <row r="38" spans="2:8">
      <c r="B38" s="229"/>
      <c r="C38" s="325" t="s">
        <v>495</v>
      </c>
      <c r="D38" s="230" t="e">
        <f>(D19+D21+D22)*D18*D17*#REF!</f>
        <v>#REF!</v>
      </c>
      <c r="E38" s="219"/>
      <c r="F38" s="219"/>
      <c r="H38" s="219"/>
    </row>
    <row r="39" spans="2:8">
      <c r="B39" s="229"/>
      <c r="C39" s="349" t="s">
        <v>496</v>
      </c>
      <c r="D39" s="456">
        <v>0</v>
      </c>
      <c r="E39" s="219"/>
      <c r="F39" s="219"/>
      <c r="H39" s="219"/>
    </row>
    <row r="40" spans="2:8">
      <c r="B40" s="229"/>
      <c r="C40" s="349" t="s">
        <v>497</v>
      </c>
      <c r="D40" s="230" t="e">
        <f>D17*D19*#REF!</f>
        <v>#REF!</v>
      </c>
      <c r="E40" s="219"/>
      <c r="F40" s="219"/>
      <c r="H40" s="219"/>
    </row>
    <row r="41" spans="2:8">
      <c r="B41" s="229"/>
      <c r="C41" s="351" t="s">
        <v>498</v>
      </c>
      <c r="D41" s="456">
        <v>0</v>
      </c>
      <c r="E41" s="219"/>
      <c r="F41" s="219"/>
      <c r="H41" s="219"/>
    </row>
    <row r="42" spans="2:8" ht="13.5" thickBot="1">
      <c r="B42" s="241"/>
      <c r="C42" s="242" t="s">
        <v>499</v>
      </c>
      <c r="D42" s="243" t="e">
        <f>SUM(D25:D41)</f>
        <v>#REF!</v>
      </c>
    </row>
    <row r="43" spans="2:8" ht="13.5" thickBot="1">
      <c r="D43" s="352"/>
    </row>
    <row r="44" spans="2:8" ht="15.75">
      <c r="B44" s="239"/>
      <c r="C44" s="346" t="s">
        <v>686</v>
      </c>
      <c r="D44" s="338"/>
    </row>
    <row r="45" spans="2:8">
      <c r="B45" s="229"/>
      <c r="C45" s="325" t="s">
        <v>477</v>
      </c>
      <c r="D45" s="456">
        <v>0</v>
      </c>
    </row>
    <row r="46" spans="2:8">
      <c r="B46" s="229"/>
      <c r="C46" s="325" t="s">
        <v>478</v>
      </c>
      <c r="D46" s="456">
        <v>0</v>
      </c>
    </row>
    <row r="47" spans="2:8">
      <c r="B47" s="229"/>
      <c r="C47" s="325" t="s">
        <v>479</v>
      </c>
      <c r="D47" s="456">
        <v>0</v>
      </c>
    </row>
    <row r="48" spans="2:8">
      <c r="B48" s="229"/>
      <c r="C48" s="325" t="s">
        <v>480</v>
      </c>
      <c r="D48" s="456">
        <v>0</v>
      </c>
    </row>
    <row r="49" spans="2:5">
      <c r="B49" s="229"/>
      <c r="C49" s="347" t="s">
        <v>481</v>
      </c>
      <c r="D49" s="456">
        <v>0</v>
      </c>
    </row>
    <row r="50" spans="2:5">
      <c r="B50" s="229"/>
      <c r="C50" s="347" t="s">
        <v>482</v>
      </c>
      <c r="D50" s="456">
        <v>0</v>
      </c>
    </row>
    <row r="51" spans="2:5">
      <c r="B51" s="229"/>
      <c r="C51" s="217"/>
      <c r="D51" s="301"/>
    </row>
    <row r="52" spans="2:5">
      <c r="B52" s="229"/>
      <c r="C52" s="287" t="s">
        <v>483</v>
      </c>
      <c r="D52" s="348"/>
      <c r="E52" s="267" t="s">
        <v>562</v>
      </c>
    </row>
    <row r="53" spans="2:5">
      <c r="B53" s="229"/>
      <c r="C53" s="325" t="s">
        <v>484</v>
      </c>
      <c r="D53" s="230" t="e">
        <f>D48*D46*D45*#REF!</f>
        <v>#REF!</v>
      </c>
    </row>
    <row r="54" spans="2:5">
      <c r="B54" s="229"/>
      <c r="C54" s="349" t="s">
        <v>485</v>
      </c>
      <c r="D54" s="230" t="e">
        <f>D47*D45*#REF!</f>
        <v>#REF!</v>
      </c>
    </row>
    <row r="55" spans="2:5">
      <c r="B55" s="229"/>
      <c r="C55" s="325" t="s">
        <v>486</v>
      </c>
      <c r="D55" s="230" t="e">
        <f>D48*D46*D45*#REF!</f>
        <v>#REF!</v>
      </c>
    </row>
    <row r="56" spans="2:5">
      <c r="B56" s="229"/>
      <c r="C56" s="287" t="s">
        <v>487</v>
      </c>
      <c r="D56" s="350"/>
    </row>
    <row r="57" spans="2:5">
      <c r="B57" s="229"/>
      <c r="C57" s="349" t="s">
        <v>488</v>
      </c>
      <c r="D57" s="230" t="e">
        <f>D49*D45*D46*#REF!</f>
        <v>#REF!</v>
      </c>
    </row>
    <row r="58" spans="2:5">
      <c r="B58" s="229"/>
      <c r="C58" s="349" t="s">
        <v>485</v>
      </c>
      <c r="D58" s="230" t="e">
        <f>D49*D45*#REF!</f>
        <v>#REF!</v>
      </c>
    </row>
    <row r="59" spans="2:5">
      <c r="B59" s="229"/>
      <c r="C59" s="325" t="s">
        <v>486</v>
      </c>
      <c r="D59" s="230" t="e">
        <f>D49*D46*D45*#REF!</f>
        <v>#REF!</v>
      </c>
    </row>
    <row r="60" spans="2:5">
      <c r="B60" s="229"/>
      <c r="C60" s="287" t="s">
        <v>489</v>
      </c>
      <c r="D60" s="350"/>
    </row>
    <row r="61" spans="2:5">
      <c r="B61" s="229"/>
      <c r="C61" s="349" t="s">
        <v>490</v>
      </c>
      <c r="D61" s="230" t="e">
        <f>D50*D45*D46*#REF!</f>
        <v>#REF!</v>
      </c>
    </row>
    <row r="62" spans="2:5">
      <c r="B62" s="229"/>
      <c r="C62" s="349" t="s">
        <v>491</v>
      </c>
      <c r="D62" s="230" t="e">
        <f>D50*D46*D45*#REF!</f>
        <v>#REF!</v>
      </c>
    </row>
    <row r="63" spans="2:5">
      <c r="B63" s="229"/>
      <c r="C63" s="349" t="s">
        <v>492</v>
      </c>
      <c r="D63" s="230" t="e">
        <f>D50*D45*#REF!</f>
        <v>#REF!</v>
      </c>
    </row>
    <row r="64" spans="2:5">
      <c r="B64" s="229"/>
      <c r="C64" s="349" t="s">
        <v>493</v>
      </c>
      <c r="D64" s="230" t="e">
        <f>D50*D45*#REF!</f>
        <v>#REF!</v>
      </c>
    </row>
    <row r="65" spans="2:4">
      <c r="B65" s="229"/>
      <c r="C65" s="287" t="s">
        <v>494</v>
      </c>
      <c r="D65" s="350"/>
    </row>
    <row r="66" spans="2:4">
      <c r="B66" s="229"/>
      <c r="C66" s="325" t="s">
        <v>495</v>
      </c>
      <c r="D66" s="230" t="e">
        <f>(D47+D49+D50)*D46*D45*#REF!</f>
        <v>#REF!</v>
      </c>
    </row>
    <row r="67" spans="2:4">
      <c r="B67" s="229"/>
      <c r="C67" s="349" t="s">
        <v>496</v>
      </c>
      <c r="D67" s="456">
        <v>0</v>
      </c>
    </row>
    <row r="68" spans="2:4">
      <c r="B68" s="229"/>
      <c r="C68" s="349" t="s">
        <v>497</v>
      </c>
      <c r="D68" s="230" t="e">
        <f>D45*D47*#REF!</f>
        <v>#REF!</v>
      </c>
    </row>
    <row r="69" spans="2:4">
      <c r="B69" s="229"/>
      <c r="C69" s="351" t="s">
        <v>498</v>
      </c>
      <c r="D69" s="456">
        <v>0</v>
      </c>
    </row>
    <row r="70" spans="2:4" ht="13.5" thickBot="1">
      <c r="B70" s="241"/>
      <c r="C70" s="242" t="s">
        <v>500</v>
      </c>
      <c r="D70" s="243" t="e">
        <f>SUM(D53:D69)</f>
        <v>#REF!</v>
      </c>
    </row>
    <row r="71" spans="2:4">
      <c r="B71" s="219"/>
      <c r="C71" s="328"/>
      <c r="D71" s="226"/>
    </row>
    <row r="72" spans="2:4" ht="13.5" thickBot="1">
      <c r="B72" s="219"/>
      <c r="C72" s="328"/>
      <c r="D72" s="226"/>
    </row>
    <row r="73" spans="2:4" ht="15.75">
      <c r="B73" s="239"/>
      <c r="C73" s="346" t="s">
        <v>710</v>
      </c>
      <c r="D73" s="338"/>
    </row>
    <row r="74" spans="2:4">
      <c r="B74" s="229"/>
      <c r="C74" s="325" t="s">
        <v>477</v>
      </c>
      <c r="D74" s="456">
        <v>0</v>
      </c>
    </row>
    <row r="75" spans="2:4">
      <c r="B75" s="229"/>
      <c r="C75" s="325" t="s">
        <v>478</v>
      </c>
      <c r="D75" s="456">
        <v>0</v>
      </c>
    </row>
    <row r="76" spans="2:4">
      <c r="B76" s="229"/>
      <c r="C76" s="325" t="s">
        <v>479</v>
      </c>
      <c r="D76" s="456">
        <v>0</v>
      </c>
    </row>
    <row r="77" spans="2:4">
      <c r="B77" s="229"/>
      <c r="C77" s="325" t="s">
        <v>480</v>
      </c>
      <c r="D77" s="456">
        <v>0</v>
      </c>
    </row>
    <row r="78" spans="2:4">
      <c r="B78" s="229"/>
      <c r="C78" s="347" t="s">
        <v>481</v>
      </c>
      <c r="D78" s="456">
        <v>0</v>
      </c>
    </row>
    <row r="79" spans="2:4">
      <c r="B79" s="229"/>
      <c r="C79" s="347" t="s">
        <v>482</v>
      </c>
      <c r="D79" s="456">
        <v>0</v>
      </c>
    </row>
    <row r="80" spans="2:4">
      <c r="B80" s="229"/>
      <c r="C80" s="217"/>
      <c r="D80" s="301"/>
    </row>
    <row r="81" spans="2:5">
      <c r="B81" s="229"/>
      <c r="C81" s="287" t="s">
        <v>483</v>
      </c>
      <c r="D81" s="348"/>
      <c r="E81" s="267" t="s">
        <v>562</v>
      </c>
    </row>
    <row r="82" spans="2:5">
      <c r="B82" s="229"/>
      <c r="C82" s="325" t="s">
        <v>484</v>
      </c>
      <c r="D82" s="230" t="e">
        <f>D77*D75*D74*#REF!</f>
        <v>#REF!</v>
      </c>
    </row>
    <row r="83" spans="2:5">
      <c r="B83" s="229"/>
      <c r="C83" s="349" t="s">
        <v>485</v>
      </c>
      <c r="D83" s="230" t="e">
        <f>D76*D74*#REF!</f>
        <v>#REF!</v>
      </c>
    </row>
    <row r="84" spans="2:5">
      <c r="B84" s="229"/>
      <c r="C84" s="325" t="s">
        <v>486</v>
      </c>
      <c r="D84" s="230" t="e">
        <f>D77*D75*D74*#REF!</f>
        <v>#REF!</v>
      </c>
    </row>
    <row r="85" spans="2:5">
      <c r="B85" s="229"/>
      <c r="C85" s="287" t="s">
        <v>487</v>
      </c>
      <c r="D85" s="350"/>
    </row>
    <row r="86" spans="2:5">
      <c r="B86" s="229"/>
      <c r="C86" s="349" t="s">
        <v>488</v>
      </c>
      <c r="D86" s="230" t="e">
        <f>D78*D74*D75*#REF!</f>
        <v>#REF!</v>
      </c>
    </row>
    <row r="87" spans="2:5">
      <c r="B87" s="229"/>
      <c r="C87" s="349" t="s">
        <v>485</v>
      </c>
      <c r="D87" s="230" t="e">
        <f>D78*D74*#REF!</f>
        <v>#REF!</v>
      </c>
    </row>
    <row r="88" spans="2:5">
      <c r="B88" s="229"/>
      <c r="C88" s="325" t="s">
        <v>486</v>
      </c>
      <c r="D88" s="230" t="e">
        <f>D78*D75*D74*#REF!</f>
        <v>#REF!</v>
      </c>
    </row>
    <row r="89" spans="2:5">
      <c r="B89" s="229"/>
      <c r="C89" s="287" t="s">
        <v>489</v>
      </c>
      <c r="D89" s="350"/>
    </row>
    <row r="90" spans="2:5">
      <c r="B90" s="229"/>
      <c r="C90" s="349" t="s">
        <v>490</v>
      </c>
      <c r="D90" s="230" t="e">
        <f>D79*D74*D75*#REF!</f>
        <v>#REF!</v>
      </c>
    </row>
    <row r="91" spans="2:5">
      <c r="B91" s="229"/>
      <c r="C91" s="349" t="s">
        <v>491</v>
      </c>
      <c r="D91" s="230" t="e">
        <f>D79*D75*D74*#REF!</f>
        <v>#REF!</v>
      </c>
    </row>
    <row r="92" spans="2:5">
      <c r="B92" s="229"/>
      <c r="C92" s="349" t="s">
        <v>492</v>
      </c>
      <c r="D92" s="230" t="e">
        <f>D79*D74*#REF!</f>
        <v>#REF!</v>
      </c>
    </row>
    <row r="93" spans="2:5">
      <c r="B93" s="229"/>
      <c r="C93" s="349" t="s">
        <v>493</v>
      </c>
      <c r="D93" s="230" t="e">
        <f>D79*D74*#REF!</f>
        <v>#REF!</v>
      </c>
    </row>
    <row r="94" spans="2:5">
      <c r="B94" s="229"/>
      <c r="C94" s="287" t="s">
        <v>494</v>
      </c>
      <c r="D94" s="350"/>
    </row>
    <row r="95" spans="2:5">
      <c r="B95" s="229"/>
      <c r="C95" s="325" t="s">
        <v>495</v>
      </c>
      <c r="D95" s="230" t="e">
        <f>(D76+D78+D79)*D75*D74*#REF!</f>
        <v>#REF!</v>
      </c>
    </row>
    <row r="96" spans="2:5">
      <c r="B96" s="229"/>
      <c r="C96" s="349" t="s">
        <v>496</v>
      </c>
      <c r="D96" s="456">
        <v>0</v>
      </c>
    </row>
    <row r="97" spans="2:5">
      <c r="B97" s="229"/>
      <c r="C97" s="349" t="s">
        <v>497</v>
      </c>
      <c r="D97" s="230" t="e">
        <f>D74*D76*#REF!</f>
        <v>#REF!</v>
      </c>
    </row>
    <row r="98" spans="2:5">
      <c r="B98" s="229"/>
      <c r="C98" s="351" t="s">
        <v>498</v>
      </c>
      <c r="D98" s="456">
        <v>0</v>
      </c>
    </row>
    <row r="99" spans="2:5" ht="13.5" thickBot="1">
      <c r="B99" s="241"/>
      <c r="C99" s="242" t="s">
        <v>501</v>
      </c>
      <c r="D99" s="238" t="e">
        <f>SUM(D82:D98)</f>
        <v>#REF!</v>
      </c>
    </row>
    <row r="100" spans="2:5">
      <c r="B100" s="219"/>
      <c r="C100" s="328"/>
      <c r="D100" s="457"/>
    </row>
    <row r="101" spans="2:5" ht="13.5" thickBot="1">
      <c r="B101" s="219"/>
      <c r="C101" s="328"/>
      <c r="D101" s="457"/>
    </row>
    <row r="102" spans="2:5" ht="15.75">
      <c r="B102" s="458"/>
      <c r="C102" s="404" t="s">
        <v>711</v>
      </c>
      <c r="D102" s="459"/>
    </row>
    <row r="103" spans="2:5">
      <c r="B103" s="229"/>
      <c r="C103" s="412" t="s">
        <v>477</v>
      </c>
      <c r="D103" s="460">
        <v>0</v>
      </c>
    </row>
    <row r="104" spans="2:5">
      <c r="B104" s="229"/>
      <c r="C104" s="461" t="s">
        <v>478</v>
      </c>
      <c r="D104" s="462">
        <v>0</v>
      </c>
    </row>
    <row r="105" spans="2:5">
      <c r="B105" s="229"/>
      <c r="C105" s="461" t="s">
        <v>479</v>
      </c>
      <c r="D105" s="462">
        <v>0</v>
      </c>
    </row>
    <row r="106" spans="2:5">
      <c r="B106" s="229"/>
      <c r="C106" s="461" t="s">
        <v>480</v>
      </c>
      <c r="D106" s="462">
        <v>0</v>
      </c>
    </row>
    <row r="107" spans="2:5">
      <c r="B107" s="229"/>
      <c r="C107" s="461" t="s">
        <v>481</v>
      </c>
      <c r="D107" s="462">
        <v>0</v>
      </c>
    </row>
    <row r="108" spans="2:5">
      <c r="B108" s="229"/>
      <c r="C108" s="461" t="s">
        <v>482</v>
      </c>
      <c r="D108" s="462">
        <v>0</v>
      </c>
    </row>
    <row r="109" spans="2:5">
      <c r="B109" s="229"/>
      <c r="D109" s="231"/>
    </row>
    <row r="110" spans="2:5">
      <c r="B110" s="229"/>
      <c r="C110" s="463" t="s">
        <v>483</v>
      </c>
      <c r="D110" s="464"/>
      <c r="E110" s="267" t="s">
        <v>562</v>
      </c>
    </row>
    <row r="111" spans="2:5">
      <c r="B111" s="229"/>
      <c r="C111" s="412" t="s">
        <v>484</v>
      </c>
      <c r="D111" s="230" t="e">
        <f>D106*D104*D103*#REF!</f>
        <v>#REF!</v>
      </c>
    </row>
    <row r="112" spans="2:5">
      <c r="B112" s="229"/>
      <c r="C112" s="465" t="s">
        <v>485</v>
      </c>
      <c r="D112" s="230" t="e">
        <f>D105*D103*#REF!</f>
        <v>#REF!</v>
      </c>
    </row>
    <row r="113" spans="2:4">
      <c r="B113" s="229"/>
      <c r="C113" s="461" t="s">
        <v>486</v>
      </c>
      <c r="D113" s="230" t="e">
        <f>D106*D104*D103*#REF!</f>
        <v>#REF!</v>
      </c>
    </row>
    <row r="114" spans="2:4">
      <c r="B114" s="229"/>
      <c r="C114" s="463" t="s">
        <v>487</v>
      </c>
      <c r="D114" s="350"/>
    </row>
    <row r="115" spans="2:4">
      <c r="B115" s="229"/>
      <c r="C115" s="466" t="s">
        <v>488</v>
      </c>
      <c r="D115" s="230" t="e">
        <f>D107*D103*D104*#REF!</f>
        <v>#REF!</v>
      </c>
    </row>
    <row r="116" spans="2:4">
      <c r="B116" s="229"/>
      <c r="C116" s="465" t="s">
        <v>485</v>
      </c>
      <c r="D116" s="230" t="e">
        <f>D107*D103*#REF!</f>
        <v>#REF!</v>
      </c>
    </row>
    <row r="117" spans="2:4">
      <c r="B117" s="229"/>
      <c r="C117" s="461" t="s">
        <v>486</v>
      </c>
      <c r="D117" s="230" t="e">
        <f>D107*D104*D103*#REF!</f>
        <v>#REF!</v>
      </c>
    </row>
    <row r="118" spans="2:4">
      <c r="B118" s="229"/>
      <c r="C118" s="463" t="s">
        <v>489</v>
      </c>
      <c r="D118" s="350"/>
    </row>
    <row r="119" spans="2:4">
      <c r="B119" s="229"/>
      <c r="C119" s="466" t="s">
        <v>490</v>
      </c>
      <c r="D119" s="230" t="e">
        <f>D108*D103*D104*#REF!</f>
        <v>#REF!</v>
      </c>
    </row>
    <row r="120" spans="2:4">
      <c r="B120" s="229"/>
      <c r="C120" s="465" t="s">
        <v>491</v>
      </c>
      <c r="D120" s="230" t="e">
        <f>D108*D104*D103*#REF!</f>
        <v>#REF!</v>
      </c>
    </row>
    <row r="121" spans="2:4">
      <c r="B121" s="229"/>
      <c r="C121" s="465" t="s">
        <v>492</v>
      </c>
      <c r="D121" s="230" t="e">
        <f>D108*D103*#REF!</f>
        <v>#REF!</v>
      </c>
    </row>
    <row r="122" spans="2:4">
      <c r="B122" s="229"/>
      <c r="C122" s="465" t="s">
        <v>493</v>
      </c>
      <c r="D122" s="230" t="e">
        <f>D108*D103*#REF!</f>
        <v>#REF!</v>
      </c>
    </row>
    <row r="123" spans="2:4">
      <c r="B123" s="229"/>
      <c r="C123" s="463" t="s">
        <v>494</v>
      </c>
      <c r="D123" s="350"/>
    </row>
    <row r="124" spans="2:4">
      <c r="B124" s="229"/>
      <c r="C124" s="412" t="s">
        <v>495</v>
      </c>
      <c r="D124" s="230" t="e">
        <f>(D105+D107+D108)*D104*D103*#REF!</f>
        <v>#REF!</v>
      </c>
    </row>
    <row r="125" spans="2:4">
      <c r="B125" s="229"/>
      <c r="C125" s="465" t="s">
        <v>496</v>
      </c>
      <c r="D125" s="456">
        <v>0</v>
      </c>
    </row>
    <row r="126" spans="2:4">
      <c r="B126" s="229"/>
      <c r="C126" s="465" t="s">
        <v>497</v>
      </c>
      <c r="D126" s="230" t="e">
        <f>D103*D105*#REF!</f>
        <v>#REF!</v>
      </c>
    </row>
    <row r="127" spans="2:4">
      <c r="B127" s="229"/>
      <c r="C127" s="467" t="s">
        <v>498</v>
      </c>
      <c r="D127" s="456">
        <v>0</v>
      </c>
    </row>
    <row r="128" spans="2:4" ht="13.5" thickBot="1">
      <c r="B128" s="241"/>
      <c r="C128" s="408" t="s">
        <v>709</v>
      </c>
      <c r="D128" s="238" t="e">
        <f>SUM(D111:D127)</f>
        <v>#REF!</v>
      </c>
    </row>
    <row r="129" spans="2:5">
      <c r="D129" s="352"/>
    </row>
    <row r="130" spans="2:5" ht="13.5" thickBot="1">
      <c r="D130" s="352"/>
    </row>
    <row r="131" spans="2:5" ht="15.75">
      <c r="B131" s="239"/>
      <c r="C131" s="346" t="s">
        <v>713</v>
      </c>
      <c r="D131" s="338"/>
    </row>
    <row r="132" spans="2:5">
      <c r="B132" s="229"/>
      <c r="C132" s="325" t="s">
        <v>477</v>
      </c>
      <c r="D132" s="456">
        <v>0</v>
      </c>
    </row>
    <row r="133" spans="2:5">
      <c r="B133" s="229"/>
      <c r="C133" s="325" t="s">
        <v>478</v>
      </c>
      <c r="D133" s="456">
        <v>0</v>
      </c>
    </row>
    <row r="134" spans="2:5">
      <c r="B134" s="229"/>
      <c r="C134" s="325" t="s">
        <v>479</v>
      </c>
      <c r="D134" s="456">
        <v>0</v>
      </c>
    </row>
    <row r="135" spans="2:5">
      <c r="B135" s="229"/>
      <c r="C135" s="325" t="s">
        <v>480</v>
      </c>
      <c r="D135" s="456">
        <v>0</v>
      </c>
    </row>
    <row r="136" spans="2:5">
      <c r="B136" s="229"/>
      <c r="C136" s="347" t="s">
        <v>481</v>
      </c>
      <c r="D136" s="456">
        <v>0</v>
      </c>
    </row>
    <row r="137" spans="2:5">
      <c r="B137" s="229"/>
      <c r="C137" s="347" t="s">
        <v>482</v>
      </c>
      <c r="D137" s="456">
        <v>0</v>
      </c>
    </row>
    <row r="138" spans="2:5">
      <c r="B138" s="229"/>
      <c r="C138" s="217"/>
      <c r="D138" s="301"/>
    </row>
    <row r="139" spans="2:5">
      <c r="B139" s="229"/>
      <c r="C139" s="287" t="s">
        <v>483</v>
      </c>
      <c r="D139" s="348"/>
      <c r="E139" s="267" t="s">
        <v>562</v>
      </c>
    </row>
    <row r="140" spans="2:5">
      <c r="B140" s="229"/>
      <c r="C140" s="325" t="s">
        <v>484</v>
      </c>
      <c r="D140" s="230" t="e">
        <f>D135*D133*D132*#REF!</f>
        <v>#REF!</v>
      </c>
    </row>
    <row r="141" spans="2:5">
      <c r="B141" s="229"/>
      <c r="C141" s="349" t="s">
        <v>485</v>
      </c>
      <c r="D141" s="230" t="e">
        <f>D134*D132*#REF!</f>
        <v>#REF!</v>
      </c>
    </row>
    <row r="142" spans="2:5">
      <c r="B142" s="229"/>
      <c r="C142" s="325" t="s">
        <v>486</v>
      </c>
      <c r="D142" s="230" t="e">
        <f>D135*D133*D132*#REF!</f>
        <v>#REF!</v>
      </c>
    </row>
    <row r="143" spans="2:5">
      <c r="B143" s="229"/>
      <c r="C143" s="287" t="s">
        <v>487</v>
      </c>
      <c r="D143" s="350"/>
    </row>
    <row r="144" spans="2:5">
      <c r="B144" s="229"/>
      <c r="C144" s="349" t="s">
        <v>488</v>
      </c>
      <c r="D144" s="230" t="e">
        <f>D136*D132*D133*#REF!</f>
        <v>#REF!</v>
      </c>
    </row>
    <row r="145" spans="2:4">
      <c r="B145" s="229"/>
      <c r="C145" s="349" t="s">
        <v>485</v>
      </c>
      <c r="D145" s="230" t="e">
        <f>D136*D132*#REF!</f>
        <v>#REF!</v>
      </c>
    </row>
    <row r="146" spans="2:4">
      <c r="B146" s="229"/>
      <c r="C146" s="325" t="s">
        <v>486</v>
      </c>
      <c r="D146" s="230" t="e">
        <f>D136*D133*D132*#REF!</f>
        <v>#REF!</v>
      </c>
    </row>
    <row r="147" spans="2:4">
      <c r="B147" s="229"/>
      <c r="C147" s="287" t="s">
        <v>489</v>
      </c>
      <c r="D147" s="350"/>
    </row>
    <row r="148" spans="2:4">
      <c r="B148" s="229"/>
      <c r="C148" s="349" t="s">
        <v>490</v>
      </c>
      <c r="D148" s="230" t="e">
        <f>D137*D132*D133*#REF!</f>
        <v>#REF!</v>
      </c>
    </row>
    <row r="149" spans="2:4">
      <c r="B149" s="229"/>
      <c r="C149" s="349" t="s">
        <v>491</v>
      </c>
      <c r="D149" s="230" t="e">
        <f>D137*D133*D132*#REF!</f>
        <v>#REF!</v>
      </c>
    </row>
    <row r="150" spans="2:4">
      <c r="B150" s="229"/>
      <c r="C150" s="349" t="s">
        <v>492</v>
      </c>
      <c r="D150" s="230" t="e">
        <f>D137*D132*#REF!</f>
        <v>#REF!</v>
      </c>
    </row>
    <row r="151" spans="2:4">
      <c r="B151" s="229"/>
      <c r="C151" s="349" t="s">
        <v>493</v>
      </c>
      <c r="D151" s="230" t="e">
        <f>D137*D132*#REF!</f>
        <v>#REF!</v>
      </c>
    </row>
    <row r="152" spans="2:4">
      <c r="B152" s="229"/>
      <c r="C152" s="287" t="s">
        <v>494</v>
      </c>
      <c r="D152" s="350"/>
    </row>
    <row r="153" spans="2:4">
      <c r="B153" s="229"/>
      <c r="C153" s="325" t="s">
        <v>495</v>
      </c>
      <c r="D153" s="230" t="e">
        <f>(D134+D136+D137)*D133*D132*#REF!</f>
        <v>#REF!</v>
      </c>
    </row>
    <row r="154" spans="2:4">
      <c r="B154" s="229"/>
      <c r="C154" s="349" t="s">
        <v>496</v>
      </c>
      <c r="D154" s="456">
        <v>0</v>
      </c>
    </row>
    <row r="155" spans="2:4">
      <c r="B155" s="229"/>
      <c r="C155" s="349" t="s">
        <v>497</v>
      </c>
      <c r="D155" s="230" t="e">
        <f>D132*D134*#REF!</f>
        <v>#REF!</v>
      </c>
    </row>
    <row r="156" spans="2:4">
      <c r="B156" s="229"/>
      <c r="C156" s="351" t="s">
        <v>498</v>
      </c>
      <c r="D156" s="456">
        <v>0</v>
      </c>
    </row>
    <row r="157" spans="2:4" ht="13.5" thickBot="1">
      <c r="B157" s="241"/>
      <c r="C157" s="242" t="s">
        <v>712</v>
      </c>
      <c r="D157" s="238" t="e">
        <f>SUM(D140:D156)</f>
        <v>#REF!</v>
      </c>
    </row>
    <row r="158" spans="2:4">
      <c r="D158" s="352"/>
    </row>
    <row r="159" spans="2:4" ht="13.5" thickBot="1">
      <c r="D159" s="352"/>
    </row>
    <row r="160" spans="2:4" ht="15.75">
      <c r="B160" s="239"/>
      <c r="C160" s="346" t="s">
        <v>714</v>
      </c>
      <c r="D160" s="338"/>
    </row>
    <row r="161" spans="2:6">
      <c r="B161" s="229"/>
      <c r="C161" s="325" t="s">
        <v>477</v>
      </c>
      <c r="D161" s="456">
        <v>0</v>
      </c>
    </row>
    <row r="162" spans="2:6">
      <c r="B162" s="229"/>
      <c r="C162" s="325" t="s">
        <v>478</v>
      </c>
      <c r="D162" s="456">
        <v>0</v>
      </c>
    </row>
    <row r="163" spans="2:6">
      <c r="B163" s="229"/>
      <c r="C163" s="325" t="s">
        <v>479</v>
      </c>
      <c r="D163" s="456">
        <v>0</v>
      </c>
    </row>
    <row r="164" spans="2:6">
      <c r="B164" s="229"/>
      <c r="C164" s="325" t="s">
        <v>480</v>
      </c>
      <c r="D164" s="456">
        <v>0</v>
      </c>
    </row>
    <row r="165" spans="2:6">
      <c r="B165" s="229"/>
      <c r="C165" s="347" t="s">
        <v>481</v>
      </c>
      <c r="D165" s="456">
        <v>0</v>
      </c>
    </row>
    <row r="166" spans="2:6">
      <c r="B166" s="229"/>
      <c r="C166" s="347" t="s">
        <v>482</v>
      </c>
      <c r="D166" s="456">
        <v>0</v>
      </c>
    </row>
    <row r="167" spans="2:6">
      <c r="B167" s="229"/>
      <c r="C167" s="217"/>
      <c r="D167" s="301"/>
    </row>
    <row r="168" spans="2:6">
      <c r="B168" s="229"/>
      <c r="C168" s="287" t="s">
        <v>483</v>
      </c>
      <c r="D168" s="348"/>
      <c r="E168" s="267" t="s">
        <v>562</v>
      </c>
      <c r="F168" s="267"/>
    </row>
    <row r="169" spans="2:6">
      <c r="B169" s="229"/>
      <c r="C169" s="325" t="s">
        <v>484</v>
      </c>
      <c r="D169" s="230" t="e">
        <f>D164*D162*D161*#REF!</f>
        <v>#REF!</v>
      </c>
    </row>
    <row r="170" spans="2:6">
      <c r="B170" s="229"/>
      <c r="C170" s="349" t="s">
        <v>485</v>
      </c>
      <c r="D170" s="230" t="e">
        <f>D163*D161*#REF!</f>
        <v>#REF!</v>
      </c>
    </row>
    <row r="171" spans="2:6">
      <c r="B171" s="229"/>
      <c r="C171" s="325" t="s">
        <v>486</v>
      </c>
      <c r="D171" s="230" t="e">
        <f>D164*D162*D161*#REF!</f>
        <v>#REF!</v>
      </c>
    </row>
    <row r="172" spans="2:6">
      <c r="B172" s="229"/>
      <c r="C172" s="287" t="s">
        <v>487</v>
      </c>
      <c r="D172" s="350"/>
    </row>
    <row r="173" spans="2:6">
      <c r="B173" s="229"/>
      <c r="C173" s="349" t="s">
        <v>488</v>
      </c>
      <c r="D173" s="230" t="e">
        <f>D165*D161*D162*#REF!</f>
        <v>#REF!</v>
      </c>
    </row>
    <row r="174" spans="2:6">
      <c r="B174" s="229"/>
      <c r="C174" s="349" t="s">
        <v>485</v>
      </c>
      <c r="D174" s="230" t="e">
        <f>D165*D161*#REF!</f>
        <v>#REF!</v>
      </c>
    </row>
    <row r="175" spans="2:6">
      <c r="B175" s="229"/>
      <c r="C175" s="325" t="s">
        <v>486</v>
      </c>
      <c r="D175" s="230" t="e">
        <f>D165*D162*D161*#REF!</f>
        <v>#REF!</v>
      </c>
    </row>
    <row r="176" spans="2:6">
      <c r="B176" s="229"/>
      <c r="C176" s="287" t="s">
        <v>489</v>
      </c>
      <c r="D176" s="350"/>
    </row>
    <row r="177" spans="2:8">
      <c r="B177" s="229"/>
      <c r="C177" s="349" t="s">
        <v>490</v>
      </c>
      <c r="D177" s="230" t="e">
        <f>D166*D161*D162*#REF!</f>
        <v>#REF!</v>
      </c>
    </row>
    <row r="178" spans="2:8">
      <c r="B178" s="229"/>
      <c r="C178" s="349" t="s">
        <v>491</v>
      </c>
      <c r="D178" s="230" t="e">
        <f>D166*D162*D161*#REF!</f>
        <v>#REF!</v>
      </c>
    </row>
    <row r="179" spans="2:8">
      <c r="B179" s="229"/>
      <c r="C179" s="349" t="s">
        <v>492</v>
      </c>
      <c r="D179" s="230" t="e">
        <f>D166*D161*#REF!</f>
        <v>#REF!</v>
      </c>
    </row>
    <row r="180" spans="2:8">
      <c r="B180" s="229"/>
      <c r="C180" s="349" t="s">
        <v>493</v>
      </c>
      <c r="D180" s="230" t="e">
        <f>D166*D161*#REF!</f>
        <v>#REF!</v>
      </c>
    </row>
    <row r="181" spans="2:8">
      <c r="B181" s="229"/>
      <c r="C181" s="287" t="s">
        <v>494</v>
      </c>
      <c r="D181" s="350"/>
    </row>
    <row r="182" spans="2:8">
      <c r="B182" s="229"/>
      <c r="C182" s="325" t="s">
        <v>495</v>
      </c>
      <c r="D182" s="230" t="e">
        <f>(D163+D165+D166)*D162*D161*#REF!</f>
        <v>#REF!</v>
      </c>
    </row>
    <row r="183" spans="2:8">
      <c r="B183" s="229"/>
      <c r="C183" s="349" t="s">
        <v>496</v>
      </c>
      <c r="D183" s="456">
        <v>0</v>
      </c>
    </row>
    <row r="184" spans="2:8">
      <c r="B184" s="229"/>
      <c r="C184" s="349" t="s">
        <v>497</v>
      </c>
      <c r="D184" s="230" t="e">
        <f>D161*D163*#REF!</f>
        <v>#REF!</v>
      </c>
    </row>
    <row r="185" spans="2:8">
      <c r="B185" s="229"/>
      <c r="C185" s="351" t="s">
        <v>498</v>
      </c>
      <c r="D185" s="456">
        <v>0</v>
      </c>
    </row>
    <row r="186" spans="2:8" ht="13.5" thickBot="1">
      <c r="B186" s="241"/>
      <c r="C186" s="242" t="s">
        <v>715</v>
      </c>
      <c r="D186" s="238" t="e">
        <f>SUM(D169:D185)</f>
        <v>#REF!</v>
      </c>
    </row>
    <row r="190" spans="2:8" ht="13.5" thickBot="1"/>
    <row r="191" spans="2:8" ht="15.75">
      <c r="B191" s="239"/>
      <c r="C191" s="346" t="s">
        <v>502</v>
      </c>
      <c r="D191" s="338"/>
      <c r="G191" s="353"/>
      <c r="H191" s="353"/>
    </row>
    <row r="192" spans="2:8">
      <c r="B192" s="229"/>
      <c r="C192" s="325" t="s">
        <v>477</v>
      </c>
      <c r="D192" s="456">
        <v>0</v>
      </c>
      <c r="G192" s="354"/>
      <c r="H192" s="354"/>
    </row>
    <row r="193" spans="2:8">
      <c r="B193" s="229"/>
      <c r="C193" s="325" t="s">
        <v>478</v>
      </c>
      <c r="D193" s="456">
        <v>0</v>
      </c>
      <c r="G193" s="354"/>
      <c r="H193" s="354"/>
    </row>
    <row r="194" spans="2:8">
      <c r="B194" s="229"/>
      <c r="C194" s="325" t="s">
        <v>503</v>
      </c>
      <c r="D194" s="456">
        <v>0</v>
      </c>
      <c r="G194" s="354"/>
      <c r="H194" s="354"/>
    </row>
    <row r="195" spans="2:8">
      <c r="B195" s="229"/>
      <c r="C195" s="217"/>
      <c r="D195" s="301"/>
      <c r="G195" s="354"/>
      <c r="H195" s="354"/>
    </row>
    <row r="196" spans="2:8">
      <c r="B196" s="229"/>
      <c r="C196" s="287" t="s">
        <v>483</v>
      </c>
      <c r="D196" s="348"/>
      <c r="G196" s="355"/>
      <c r="H196" s="355"/>
    </row>
    <row r="197" spans="2:8">
      <c r="B197" s="229"/>
      <c r="C197" s="325" t="s">
        <v>484</v>
      </c>
      <c r="D197" s="230">
        <f>D194*D193*D192</f>
        <v>0</v>
      </c>
      <c r="G197" s="219"/>
      <c r="H197" s="219"/>
    </row>
    <row r="198" spans="2:8">
      <c r="B198" s="229"/>
      <c r="C198" s="349" t="s">
        <v>504</v>
      </c>
      <c r="D198" s="230">
        <f>D194*D192</f>
        <v>0</v>
      </c>
      <c r="G198" s="219"/>
      <c r="H198" s="219"/>
    </row>
    <row r="199" spans="2:8">
      <c r="B199" s="229"/>
      <c r="C199" s="351" t="s">
        <v>558</v>
      </c>
      <c r="D199" s="456">
        <v>0</v>
      </c>
      <c r="G199" s="219"/>
      <c r="H199" s="219"/>
    </row>
    <row r="200" spans="2:8" ht="13.5" thickBot="1">
      <c r="B200" s="241"/>
      <c r="C200" s="242" t="s">
        <v>505</v>
      </c>
      <c r="D200" s="243">
        <f>SUM(D197:D199)</f>
        <v>0</v>
      </c>
    </row>
    <row r="201" spans="2:8">
      <c r="C201" s="217"/>
      <c r="D201" s="218"/>
    </row>
    <row r="202" spans="2:8">
      <c r="C202" s="217"/>
      <c r="D202" s="218"/>
    </row>
    <row r="203" spans="2:8" ht="13.5" thickBot="1">
      <c r="C203" s="232"/>
      <c r="D203" s="217"/>
    </row>
    <row r="204" spans="2:8">
      <c r="B204" s="244"/>
      <c r="C204" s="296"/>
      <c r="D204" s="297"/>
    </row>
    <row r="205" spans="2:8" ht="16.5">
      <c r="B205" s="298"/>
      <c r="C205" s="299" t="s">
        <v>506</v>
      </c>
      <c r="D205" s="300" t="s">
        <v>507</v>
      </c>
    </row>
    <row r="206" spans="2:8">
      <c r="B206" s="309"/>
      <c r="C206" s="217" t="str">
        <f>C13</f>
        <v>Total Salary &amp; Incentives</v>
      </c>
      <c r="D206" s="301">
        <f>H13</f>
        <v>0</v>
      </c>
    </row>
    <row r="207" spans="2:8">
      <c r="B207" s="309"/>
      <c r="C207" s="217" t="str">
        <f>C16</f>
        <v>Training 1: Refresher traning microscopy for ZN and LED</v>
      </c>
      <c r="D207" s="301" t="e">
        <f>D42</f>
        <v>#REF!</v>
      </c>
    </row>
    <row r="208" spans="2:8">
      <c r="B208" s="309"/>
      <c r="C208" s="217" t="str">
        <f>C44</f>
        <v>Training 2: Training for GX user (refresher and for new people)</v>
      </c>
      <c r="D208" s="301" t="e">
        <f>D186</f>
        <v>#REF!</v>
      </c>
    </row>
    <row r="209" spans="2:4">
      <c r="B209" s="309"/>
      <c r="C209" s="217" t="s">
        <v>710</v>
      </c>
      <c r="D209" s="301" t="e">
        <f>D99</f>
        <v>#REF!</v>
      </c>
    </row>
    <row r="210" spans="2:4">
      <c r="B210" s="309"/>
      <c r="C210" s="217" t="s">
        <v>711</v>
      </c>
      <c r="D210" s="301" t="e">
        <f>D128</f>
        <v>#REF!</v>
      </c>
    </row>
    <row r="211" spans="2:4">
      <c r="B211" s="309"/>
      <c r="C211" s="217" t="s">
        <v>713</v>
      </c>
      <c r="D211" s="301" t="e">
        <f>D157</f>
        <v>#REF!</v>
      </c>
    </row>
    <row r="212" spans="2:4">
      <c r="B212" s="309"/>
      <c r="C212" s="217" t="str">
        <f>C160</f>
        <v>Training 6: Culture/DST Training  (refresher and for new people)</v>
      </c>
      <c r="D212" s="301" t="e">
        <f>D186</f>
        <v>#REF!</v>
      </c>
    </row>
    <row r="213" spans="2:4" ht="13.5" thickBot="1">
      <c r="B213" s="309"/>
      <c r="C213" s="246" t="str">
        <f>C191</f>
        <v>International Training &lt;specify&gt;</v>
      </c>
      <c r="D213" s="247">
        <f>D200</f>
        <v>0</v>
      </c>
    </row>
    <row r="214" spans="2:4" ht="13.5" thickBot="1">
      <c r="B214" s="356"/>
      <c r="C214" s="302" t="s">
        <v>508</v>
      </c>
      <c r="D214" s="303" t="e">
        <f>SUM(D206:D213)</f>
        <v>#REF!</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oglio20">
    <tabColor rgb="FFFF0000"/>
  </sheetPr>
  <dimension ref="A2:U126"/>
  <sheetViews>
    <sheetView showGridLines="0" zoomScale="75" zoomScaleNormal="75" zoomScalePageLayoutView="75" workbookViewId="0">
      <selection activeCell="I58" sqref="I58"/>
    </sheetView>
  </sheetViews>
  <sheetFormatPr defaultColWidth="11.1640625" defaultRowHeight="12.75"/>
  <cols>
    <col min="1" max="1" width="5.1640625" style="251" customWidth="1"/>
    <col min="2" max="2" width="11.1640625" style="251"/>
    <col min="3" max="3" width="65.6640625" style="251" customWidth="1"/>
    <col min="4" max="4" width="27.6640625" style="256" customWidth="1"/>
    <col min="5" max="5" width="11.1640625" style="251"/>
    <col min="6" max="6" width="25" style="251" customWidth="1"/>
    <col min="7" max="8" width="11.1640625" style="251"/>
    <col min="9" max="9" width="11.1640625" style="252"/>
    <col min="10" max="10" width="11.1640625" style="217"/>
    <col min="11" max="11" width="41.1640625" style="252" customWidth="1"/>
    <col min="12" max="21" width="11.1640625" style="252"/>
    <col min="22" max="16384" width="11.1640625" style="251"/>
  </cols>
  <sheetData>
    <row r="2" spans="1:21" ht="15.75">
      <c r="A2" s="248"/>
      <c r="B2" s="248"/>
      <c r="C2" s="249" t="s">
        <v>544</v>
      </c>
      <c r="D2" s="250"/>
      <c r="E2" s="248"/>
    </row>
    <row r="3" spans="1:21" ht="15.75">
      <c r="A3" s="253"/>
      <c r="B3" s="253"/>
      <c r="C3" s="254"/>
      <c r="D3" s="255"/>
      <c r="E3" s="253"/>
    </row>
    <row r="4" spans="1:21" ht="15.75">
      <c r="A4" s="253"/>
      <c r="B4" s="253"/>
      <c r="C4" s="254"/>
      <c r="D4" s="255"/>
      <c r="E4" s="253"/>
    </row>
    <row r="5" spans="1:21" ht="12" thickBot="1">
      <c r="I5" s="251"/>
      <c r="J5" s="251"/>
      <c r="K5" s="251"/>
      <c r="L5" s="251"/>
      <c r="M5" s="251"/>
      <c r="N5" s="251"/>
      <c r="O5" s="251"/>
      <c r="P5" s="251"/>
      <c r="Q5" s="251"/>
      <c r="R5" s="251"/>
      <c r="S5" s="251"/>
      <c r="T5" s="251"/>
      <c r="U5" s="251"/>
    </row>
    <row r="6" spans="1:21" ht="15.75">
      <c r="B6" s="257"/>
      <c r="C6" s="258" t="s">
        <v>566</v>
      </c>
      <c r="D6" s="259"/>
      <c r="E6" s="260"/>
      <c r="I6" s="251"/>
      <c r="J6" s="251"/>
      <c r="K6" s="251"/>
      <c r="L6" s="251"/>
      <c r="M6" s="251"/>
      <c r="N6" s="251"/>
      <c r="O6" s="251"/>
      <c r="P6" s="251"/>
      <c r="Q6" s="251"/>
      <c r="R6" s="251"/>
      <c r="S6" s="251"/>
      <c r="T6" s="251"/>
      <c r="U6" s="251"/>
    </row>
    <row r="7" spans="1:21">
      <c r="B7" s="261"/>
      <c r="C7" s="262" t="s">
        <v>509</v>
      </c>
      <c r="D7" s="471">
        <v>0</v>
      </c>
      <c r="E7" s="263"/>
      <c r="I7" s="251"/>
      <c r="J7" s="251"/>
      <c r="K7" s="251"/>
      <c r="L7" s="251"/>
      <c r="M7" s="251"/>
      <c r="N7" s="251"/>
      <c r="O7" s="251"/>
      <c r="P7" s="251"/>
      <c r="Q7" s="251"/>
      <c r="R7" s="251"/>
      <c r="S7" s="251"/>
      <c r="T7" s="251"/>
      <c r="U7" s="251"/>
    </row>
    <row r="8" spans="1:21">
      <c r="B8" s="261"/>
      <c r="C8" s="262" t="s">
        <v>510</v>
      </c>
      <c r="D8" s="471">
        <v>0</v>
      </c>
      <c r="E8" s="263"/>
      <c r="I8" s="251"/>
      <c r="J8" s="251"/>
      <c r="K8" s="251"/>
      <c r="L8" s="251"/>
      <c r="M8" s="251"/>
      <c r="N8" s="251"/>
      <c r="O8" s="251"/>
      <c r="P8" s="251"/>
      <c r="Q8" s="251"/>
      <c r="R8" s="251"/>
      <c r="S8" s="251"/>
      <c r="T8" s="251"/>
      <c r="U8" s="251"/>
    </row>
    <row r="9" spans="1:21">
      <c r="B9" s="261"/>
      <c r="C9" s="262" t="s">
        <v>511</v>
      </c>
      <c r="D9" s="471">
        <v>0</v>
      </c>
      <c r="E9" s="263"/>
      <c r="I9" s="251"/>
      <c r="J9" s="251"/>
      <c r="K9" s="251"/>
      <c r="L9" s="251"/>
      <c r="M9" s="251"/>
      <c r="N9" s="251"/>
      <c r="O9" s="251"/>
      <c r="P9" s="251"/>
      <c r="Q9" s="251"/>
      <c r="R9" s="251"/>
      <c r="S9" s="251"/>
      <c r="T9" s="251"/>
      <c r="U9" s="251"/>
    </row>
    <row r="10" spans="1:21">
      <c r="B10" s="261"/>
      <c r="C10" s="262" t="s">
        <v>512</v>
      </c>
      <c r="D10" s="471">
        <v>0</v>
      </c>
      <c r="E10" s="263"/>
      <c r="I10" s="251"/>
      <c r="J10" s="251"/>
      <c r="K10" s="251"/>
      <c r="L10" s="251"/>
      <c r="M10" s="251"/>
      <c r="N10" s="251"/>
      <c r="O10" s="251"/>
      <c r="P10" s="251"/>
      <c r="Q10" s="251"/>
      <c r="R10" s="251"/>
      <c r="S10" s="251"/>
      <c r="T10" s="251"/>
      <c r="U10" s="251"/>
    </row>
    <row r="11" spans="1:21">
      <c r="B11" s="261"/>
      <c r="C11" s="262" t="s">
        <v>513</v>
      </c>
      <c r="D11" s="471">
        <v>0</v>
      </c>
      <c r="E11" s="264"/>
      <c r="I11" s="251"/>
      <c r="J11" s="251"/>
      <c r="K11" s="251"/>
      <c r="L11" s="251"/>
      <c r="M11" s="251"/>
      <c r="N11" s="251"/>
      <c r="O11" s="251"/>
      <c r="P11" s="251"/>
      <c r="Q11" s="251"/>
      <c r="R11" s="251"/>
      <c r="S11" s="251"/>
      <c r="T11" s="251"/>
      <c r="U11" s="251"/>
    </row>
    <row r="12" spans="1:21">
      <c r="B12" s="261"/>
      <c r="C12" s="262" t="s">
        <v>514</v>
      </c>
      <c r="D12" s="473">
        <v>0</v>
      </c>
      <c r="E12" s="264"/>
      <c r="I12" s="251"/>
      <c r="J12" s="251"/>
      <c r="K12" s="251"/>
      <c r="L12" s="251"/>
      <c r="M12" s="251"/>
      <c r="N12" s="251"/>
      <c r="O12" s="251"/>
      <c r="P12" s="251"/>
      <c r="Q12" s="251"/>
      <c r="R12" s="251"/>
      <c r="S12" s="251"/>
      <c r="T12" s="251"/>
      <c r="U12" s="251"/>
    </row>
    <row r="13" spans="1:21" ht="18">
      <c r="B13" s="261"/>
      <c r="C13" s="265" t="s">
        <v>515</v>
      </c>
      <c r="D13" s="266"/>
      <c r="E13" s="267"/>
      <c r="F13" s="468"/>
      <c r="I13" s="251"/>
      <c r="J13" s="251"/>
      <c r="K13" s="251"/>
      <c r="L13" s="251"/>
      <c r="M13" s="251"/>
      <c r="N13" s="251"/>
      <c r="O13" s="251"/>
      <c r="P13" s="251"/>
      <c r="Q13" s="251"/>
      <c r="R13" s="251"/>
      <c r="S13" s="251"/>
      <c r="T13" s="251"/>
      <c r="U13" s="251"/>
    </row>
    <row r="14" spans="1:21">
      <c r="B14" s="261"/>
      <c r="C14" s="262" t="s">
        <v>516</v>
      </c>
      <c r="D14" s="268">
        <f>D8*D7*D12</f>
        <v>0</v>
      </c>
      <c r="E14" s="267"/>
      <c r="I14" s="251"/>
      <c r="J14" s="251"/>
      <c r="K14" s="251"/>
      <c r="L14" s="251"/>
      <c r="M14" s="251"/>
      <c r="N14" s="251"/>
      <c r="O14" s="251"/>
      <c r="P14" s="251"/>
      <c r="Q14" s="251"/>
      <c r="R14" s="251"/>
      <c r="S14" s="251"/>
      <c r="T14" s="251"/>
      <c r="U14" s="251"/>
    </row>
    <row r="15" spans="1:21">
      <c r="B15" s="261"/>
      <c r="C15" s="269" t="s">
        <v>517</v>
      </c>
      <c r="D15" s="270" t="e">
        <f>D7*D8*D9*D10*#REF!</f>
        <v>#REF!</v>
      </c>
      <c r="E15" s="271"/>
      <c r="I15" s="251"/>
      <c r="J15" s="251"/>
      <c r="K15" s="251"/>
      <c r="L15" s="251"/>
      <c r="M15" s="251"/>
      <c r="N15" s="251"/>
      <c r="O15" s="251"/>
      <c r="P15" s="251"/>
      <c r="Q15" s="251"/>
      <c r="R15" s="251"/>
      <c r="S15" s="251"/>
      <c r="T15" s="251"/>
      <c r="U15" s="251"/>
    </row>
    <row r="16" spans="1:21">
      <c r="B16" s="261"/>
      <c r="C16" s="262" t="s">
        <v>518</v>
      </c>
      <c r="D16" s="268" t="e">
        <f>D7*D8*D9*D11*#REF!</f>
        <v>#REF!</v>
      </c>
      <c r="E16" s="271"/>
      <c r="I16" s="251"/>
      <c r="J16" s="251"/>
      <c r="K16" s="251"/>
      <c r="L16" s="251"/>
      <c r="M16" s="251"/>
      <c r="N16" s="251"/>
      <c r="O16" s="251"/>
      <c r="P16" s="251"/>
      <c r="Q16" s="251"/>
      <c r="R16" s="251"/>
      <c r="S16" s="251"/>
      <c r="T16" s="251"/>
      <c r="U16" s="251"/>
    </row>
    <row r="17" spans="2:21">
      <c r="B17" s="261"/>
      <c r="C17" s="262" t="s">
        <v>519</v>
      </c>
      <c r="D17" s="268" t="e">
        <f>(D11+D10)*D8*D7*D9*#REF!</f>
        <v>#REF!</v>
      </c>
      <c r="E17" s="271"/>
      <c r="I17" s="251"/>
      <c r="J17" s="251"/>
      <c r="K17" s="251"/>
      <c r="L17" s="251"/>
      <c r="M17" s="251"/>
      <c r="N17" s="251"/>
      <c r="O17" s="251"/>
      <c r="P17" s="251"/>
      <c r="Q17" s="251"/>
      <c r="R17" s="251"/>
      <c r="S17" s="251"/>
      <c r="T17" s="251"/>
      <c r="U17" s="251"/>
    </row>
    <row r="18" spans="2:21">
      <c r="B18" s="261"/>
      <c r="C18" s="272" t="s">
        <v>520</v>
      </c>
      <c r="D18" s="473">
        <v>0</v>
      </c>
      <c r="E18" s="274"/>
      <c r="I18" s="251"/>
      <c r="J18" s="251"/>
      <c r="K18" s="251"/>
      <c r="L18" s="251"/>
      <c r="M18" s="251"/>
      <c r="N18" s="251"/>
      <c r="O18" s="251"/>
      <c r="P18" s="251"/>
      <c r="Q18" s="251"/>
      <c r="R18" s="251"/>
      <c r="S18" s="251"/>
      <c r="T18" s="251"/>
      <c r="U18" s="251"/>
    </row>
    <row r="19" spans="2:21" ht="13.5" thickBot="1">
      <c r="B19" s="275"/>
      <c r="C19" s="276" t="s">
        <v>521</v>
      </c>
      <c r="D19" s="277" t="e">
        <f>SUM(D14:D18)</f>
        <v>#REF!</v>
      </c>
      <c r="E19" s="253"/>
      <c r="K19" s="217"/>
      <c r="L19" s="217"/>
      <c r="M19" s="251"/>
      <c r="N19" s="251"/>
      <c r="O19" s="251"/>
      <c r="P19" s="251"/>
      <c r="Q19" s="251"/>
      <c r="R19" s="251"/>
      <c r="S19" s="251"/>
      <c r="T19" s="251"/>
      <c r="U19" s="251"/>
    </row>
    <row r="20" spans="2:21" ht="13.5" thickBot="1">
      <c r="J20" s="278"/>
      <c r="K20" s="278"/>
      <c r="L20" s="217"/>
      <c r="M20" s="251"/>
      <c r="N20" s="251"/>
      <c r="O20" s="251"/>
      <c r="P20" s="251"/>
      <c r="Q20" s="251"/>
      <c r="R20" s="251"/>
      <c r="S20" s="251"/>
      <c r="T20" s="251"/>
      <c r="U20" s="251"/>
    </row>
    <row r="21" spans="2:21" ht="15.75">
      <c r="B21" s="257"/>
      <c r="C21" s="258" t="s">
        <v>607</v>
      </c>
      <c r="D21" s="259"/>
      <c r="E21" s="260"/>
      <c r="I21" s="251"/>
      <c r="J21" s="251"/>
      <c r="K21" s="251"/>
      <c r="L21" s="251"/>
      <c r="M21" s="251"/>
      <c r="N21" s="251"/>
      <c r="O21" s="251"/>
      <c r="P21" s="251"/>
      <c r="Q21" s="251"/>
      <c r="R21" s="251"/>
      <c r="S21" s="251"/>
      <c r="T21" s="251"/>
      <c r="U21" s="251"/>
    </row>
    <row r="22" spans="2:21">
      <c r="B22" s="261"/>
      <c r="C22" s="262" t="s">
        <v>509</v>
      </c>
      <c r="D22" s="471">
        <v>0</v>
      </c>
      <c r="E22" s="263"/>
      <c r="I22" s="251"/>
      <c r="J22" s="251"/>
      <c r="K22" s="251"/>
      <c r="L22" s="251"/>
      <c r="M22" s="251"/>
      <c r="N22" s="251"/>
      <c r="O22" s="251"/>
      <c r="P22" s="251"/>
      <c r="Q22" s="251"/>
      <c r="R22" s="251"/>
      <c r="S22" s="251"/>
      <c r="T22" s="251"/>
      <c r="U22" s="251"/>
    </row>
    <row r="23" spans="2:21">
      <c r="B23" s="261"/>
      <c r="C23" s="262" t="s">
        <v>510</v>
      </c>
      <c r="D23" s="471">
        <v>0</v>
      </c>
      <c r="E23" s="263"/>
      <c r="I23" s="251"/>
      <c r="J23" s="251"/>
      <c r="K23" s="251"/>
      <c r="L23" s="251"/>
      <c r="M23" s="251"/>
      <c r="N23" s="251"/>
      <c r="O23" s="251"/>
      <c r="P23" s="251"/>
      <c r="Q23" s="251"/>
      <c r="R23" s="251"/>
      <c r="S23" s="251"/>
      <c r="T23" s="251"/>
      <c r="U23" s="251"/>
    </row>
    <row r="24" spans="2:21">
      <c r="B24" s="261"/>
      <c r="C24" s="262" t="s">
        <v>511</v>
      </c>
      <c r="D24" s="471">
        <v>0</v>
      </c>
      <c r="E24" s="263"/>
      <c r="I24" s="251"/>
      <c r="J24" s="251"/>
      <c r="K24" s="251"/>
      <c r="L24" s="251"/>
      <c r="M24" s="251"/>
      <c r="N24" s="251"/>
      <c r="O24" s="251"/>
      <c r="P24" s="251"/>
      <c r="Q24" s="251"/>
      <c r="R24" s="251"/>
      <c r="S24" s="251"/>
      <c r="T24" s="251"/>
      <c r="U24" s="251"/>
    </row>
    <row r="25" spans="2:21">
      <c r="B25" s="261"/>
      <c r="C25" s="262" t="s">
        <v>512</v>
      </c>
      <c r="D25" s="471">
        <v>0</v>
      </c>
      <c r="E25" s="263"/>
      <c r="I25" s="251"/>
      <c r="J25" s="251"/>
      <c r="K25" s="251"/>
      <c r="L25" s="251"/>
      <c r="M25" s="251"/>
      <c r="N25" s="251"/>
      <c r="O25" s="251"/>
      <c r="P25" s="251"/>
      <c r="Q25" s="251"/>
      <c r="R25" s="251"/>
      <c r="S25" s="251"/>
      <c r="T25" s="251"/>
      <c r="U25" s="251"/>
    </row>
    <row r="26" spans="2:21">
      <c r="B26" s="261"/>
      <c r="C26" s="262" t="s">
        <v>513</v>
      </c>
      <c r="D26" s="471">
        <v>0</v>
      </c>
      <c r="E26" s="264"/>
      <c r="I26" s="251"/>
      <c r="J26" s="251"/>
      <c r="K26" s="251"/>
      <c r="L26" s="251"/>
      <c r="M26" s="251"/>
      <c r="N26" s="251"/>
      <c r="O26" s="251"/>
      <c r="P26" s="251"/>
      <c r="Q26" s="251"/>
      <c r="R26" s="251"/>
      <c r="S26" s="251"/>
      <c r="T26" s="251"/>
      <c r="U26" s="251"/>
    </row>
    <row r="27" spans="2:21">
      <c r="B27" s="261"/>
      <c r="C27" s="262" t="s">
        <v>514</v>
      </c>
      <c r="D27" s="473">
        <v>0</v>
      </c>
      <c r="E27" s="264"/>
      <c r="I27" s="251"/>
      <c r="J27" s="251"/>
      <c r="K27" s="251"/>
      <c r="L27" s="251"/>
      <c r="M27" s="251"/>
      <c r="N27" s="251"/>
      <c r="O27" s="251"/>
      <c r="P27" s="251"/>
      <c r="Q27" s="251"/>
      <c r="R27" s="251"/>
      <c r="S27" s="251"/>
      <c r="T27" s="251"/>
      <c r="U27" s="251"/>
    </row>
    <row r="28" spans="2:21">
      <c r="B28" s="261"/>
      <c r="C28" s="265" t="s">
        <v>515</v>
      </c>
      <c r="D28" s="266"/>
      <c r="E28" s="267"/>
      <c r="I28" s="251"/>
      <c r="J28" s="251"/>
      <c r="K28" s="251"/>
      <c r="L28" s="251"/>
      <c r="M28" s="251"/>
      <c r="N28" s="251"/>
      <c r="O28" s="251"/>
      <c r="P28" s="251"/>
      <c r="Q28" s="251"/>
      <c r="R28" s="251"/>
      <c r="S28" s="251"/>
      <c r="T28" s="251"/>
      <c r="U28" s="251"/>
    </row>
    <row r="29" spans="2:21">
      <c r="B29" s="261"/>
      <c r="C29" s="262" t="s">
        <v>516</v>
      </c>
      <c r="D29" s="268">
        <f>D23*D22*D27</f>
        <v>0</v>
      </c>
      <c r="E29" s="267"/>
      <c r="I29" s="251"/>
      <c r="J29" s="251"/>
      <c r="K29" s="251"/>
      <c r="L29" s="251"/>
      <c r="M29" s="251"/>
      <c r="N29" s="251"/>
      <c r="O29" s="251"/>
      <c r="P29" s="251"/>
      <c r="Q29" s="251"/>
      <c r="R29" s="251"/>
      <c r="S29" s="251"/>
      <c r="T29" s="251"/>
      <c r="U29" s="251"/>
    </row>
    <row r="30" spans="2:21">
      <c r="B30" s="261"/>
      <c r="C30" s="269" t="s">
        <v>517</v>
      </c>
      <c r="D30" s="270" t="e">
        <f>D23*D22*D24*#REF!</f>
        <v>#REF!</v>
      </c>
      <c r="E30" s="271"/>
      <c r="I30" s="251"/>
      <c r="J30" s="251"/>
      <c r="K30" s="251"/>
      <c r="L30" s="251"/>
      <c r="M30" s="251"/>
      <c r="N30" s="251"/>
      <c r="O30" s="251"/>
      <c r="P30" s="251"/>
      <c r="Q30" s="251"/>
      <c r="R30" s="251"/>
      <c r="S30" s="251"/>
      <c r="T30" s="251"/>
      <c r="U30" s="251"/>
    </row>
    <row r="31" spans="2:21">
      <c r="B31" s="261"/>
      <c r="C31" s="262" t="s">
        <v>518</v>
      </c>
      <c r="D31" s="270" t="e">
        <f>D22*D23*D26*D24*#REF!</f>
        <v>#REF!</v>
      </c>
      <c r="E31" s="271"/>
      <c r="I31" s="251"/>
      <c r="J31" s="251"/>
      <c r="K31" s="251"/>
      <c r="L31" s="251"/>
      <c r="M31" s="251"/>
      <c r="N31" s="251"/>
      <c r="O31" s="251"/>
      <c r="P31" s="251"/>
      <c r="Q31" s="251"/>
      <c r="R31" s="251"/>
      <c r="S31" s="251"/>
      <c r="T31" s="251"/>
      <c r="U31" s="251"/>
    </row>
    <row r="32" spans="2:21">
      <c r="B32" s="261"/>
      <c r="C32" s="262" t="s">
        <v>519</v>
      </c>
      <c r="D32" s="268" t="e">
        <f>(D26+D25)*D23*D22*D24*#REF!</f>
        <v>#REF!</v>
      </c>
      <c r="E32" s="271"/>
      <c r="I32" s="251"/>
      <c r="J32" s="251"/>
      <c r="K32" s="251"/>
      <c r="L32" s="251"/>
      <c r="M32" s="251"/>
      <c r="N32" s="251"/>
      <c r="O32" s="251"/>
      <c r="P32" s="251"/>
      <c r="Q32" s="251"/>
      <c r="R32" s="251"/>
      <c r="S32" s="251"/>
      <c r="T32" s="251"/>
      <c r="U32" s="251"/>
    </row>
    <row r="33" spans="2:21">
      <c r="B33" s="261"/>
      <c r="C33" s="272" t="s">
        <v>520</v>
      </c>
      <c r="D33" s="473">
        <v>0</v>
      </c>
      <c r="E33" s="274"/>
      <c r="I33" s="251"/>
      <c r="J33" s="251"/>
      <c r="K33" s="251"/>
      <c r="L33" s="251"/>
      <c r="M33" s="251"/>
      <c r="N33" s="251"/>
      <c r="O33" s="251"/>
      <c r="P33" s="251"/>
      <c r="Q33" s="251"/>
      <c r="R33" s="251"/>
      <c r="S33" s="251"/>
      <c r="T33" s="251"/>
      <c r="U33" s="251"/>
    </row>
    <row r="34" spans="2:21" ht="13.5" thickBot="1">
      <c r="B34" s="275"/>
      <c r="C34" s="276" t="s">
        <v>521</v>
      </c>
      <c r="D34" s="277" t="e">
        <f>SUM(D29:D33)</f>
        <v>#REF!</v>
      </c>
      <c r="E34" s="253"/>
      <c r="K34" s="217"/>
      <c r="L34" s="217"/>
      <c r="M34" s="251"/>
      <c r="N34" s="251"/>
      <c r="O34" s="251"/>
      <c r="P34" s="251"/>
      <c r="Q34" s="251"/>
      <c r="R34" s="251"/>
      <c r="S34" s="251"/>
      <c r="T34" s="251"/>
      <c r="U34" s="251"/>
    </row>
    <row r="35" spans="2:21">
      <c r="K35" s="217"/>
      <c r="L35" s="279"/>
      <c r="M35" s="251"/>
      <c r="N35" s="251"/>
      <c r="O35" s="251"/>
      <c r="P35" s="251"/>
      <c r="Q35" s="251"/>
      <c r="R35" s="251"/>
      <c r="S35" s="251"/>
      <c r="T35" s="251"/>
      <c r="U35" s="251"/>
    </row>
    <row r="36" spans="2:21" ht="13.5" thickBot="1">
      <c r="K36" s="217"/>
      <c r="L36" s="279"/>
      <c r="M36" s="251"/>
      <c r="N36" s="251"/>
      <c r="O36" s="251"/>
      <c r="P36" s="251"/>
      <c r="Q36" s="251"/>
      <c r="R36" s="251"/>
      <c r="S36" s="251"/>
      <c r="T36" s="251"/>
      <c r="U36" s="251"/>
    </row>
    <row r="37" spans="2:21" ht="15.75">
      <c r="B37" s="257"/>
      <c r="C37" s="258" t="s">
        <v>690</v>
      </c>
      <c r="D37" s="259"/>
      <c r="K37" s="217"/>
      <c r="L37" s="279"/>
      <c r="M37" s="251"/>
      <c r="N37" s="251"/>
      <c r="O37" s="251"/>
      <c r="P37" s="251"/>
      <c r="Q37" s="251"/>
      <c r="R37" s="251"/>
      <c r="S37" s="251"/>
      <c r="T37" s="251"/>
      <c r="U37" s="251"/>
    </row>
    <row r="38" spans="2:21">
      <c r="B38" s="261"/>
      <c r="C38" s="262" t="s">
        <v>509</v>
      </c>
      <c r="D38" s="471">
        <v>0</v>
      </c>
      <c r="K38" s="217"/>
      <c r="L38" s="271"/>
      <c r="M38" s="251"/>
      <c r="N38" s="251"/>
      <c r="O38" s="251"/>
      <c r="P38" s="251"/>
      <c r="Q38" s="251"/>
      <c r="R38" s="251"/>
      <c r="S38" s="251"/>
      <c r="T38" s="251"/>
      <c r="U38" s="251"/>
    </row>
    <row r="39" spans="2:21">
      <c r="B39" s="261"/>
      <c r="C39" s="262" t="s">
        <v>510</v>
      </c>
      <c r="D39" s="471">
        <v>0</v>
      </c>
      <c r="K39" s="217"/>
      <c r="L39" s="280"/>
      <c r="M39" s="251"/>
      <c r="N39" s="251"/>
      <c r="O39" s="251"/>
      <c r="P39" s="251"/>
      <c r="Q39" s="251"/>
      <c r="R39" s="251"/>
      <c r="S39" s="251"/>
      <c r="T39" s="251"/>
      <c r="U39" s="251"/>
    </row>
    <row r="40" spans="2:21">
      <c r="B40" s="261"/>
      <c r="C40" s="262" t="s">
        <v>511</v>
      </c>
      <c r="D40" s="471">
        <v>0</v>
      </c>
      <c r="E40" s="252"/>
      <c r="K40" s="217"/>
      <c r="L40" s="271"/>
      <c r="M40" s="251"/>
      <c r="N40" s="251"/>
      <c r="O40" s="251"/>
      <c r="P40" s="251"/>
      <c r="Q40" s="251"/>
      <c r="R40" s="251"/>
      <c r="S40" s="251"/>
      <c r="T40" s="251"/>
      <c r="U40" s="251"/>
    </row>
    <row r="41" spans="2:21">
      <c r="B41" s="261"/>
      <c r="C41" s="262" t="s">
        <v>512</v>
      </c>
      <c r="D41" s="471">
        <v>0</v>
      </c>
      <c r="E41" s="252"/>
      <c r="K41" s="217"/>
      <c r="L41" s="280"/>
      <c r="M41" s="251"/>
      <c r="N41" s="251"/>
      <c r="O41" s="251"/>
      <c r="P41" s="251"/>
      <c r="Q41" s="251"/>
      <c r="R41" s="251"/>
      <c r="S41" s="251"/>
      <c r="T41" s="251"/>
      <c r="U41" s="251"/>
    </row>
    <row r="42" spans="2:21">
      <c r="B42" s="261"/>
      <c r="C42" s="262" t="s">
        <v>513</v>
      </c>
      <c r="D42" s="471">
        <v>0</v>
      </c>
      <c r="E42" s="252"/>
      <c r="K42" s="217"/>
      <c r="L42" s="271"/>
      <c r="M42" s="251"/>
      <c r="N42" s="251"/>
      <c r="O42" s="251"/>
      <c r="P42" s="251"/>
      <c r="Q42" s="251"/>
      <c r="R42" s="251"/>
      <c r="S42" s="251"/>
      <c r="T42" s="251"/>
      <c r="U42" s="251"/>
    </row>
    <row r="43" spans="2:21">
      <c r="B43" s="261"/>
      <c r="C43" s="262" t="s">
        <v>514</v>
      </c>
      <c r="D43" s="473">
        <v>0</v>
      </c>
      <c r="E43" s="252"/>
      <c r="K43" s="217"/>
      <c r="L43" s="271"/>
      <c r="M43" s="251"/>
      <c r="N43" s="251"/>
      <c r="O43" s="251"/>
      <c r="P43" s="251"/>
      <c r="Q43" s="251"/>
      <c r="R43" s="251"/>
      <c r="S43" s="251"/>
      <c r="T43" s="251"/>
      <c r="U43" s="251"/>
    </row>
    <row r="44" spans="2:21">
      <c r="B44" s="261"/>
      <c r="C44" s="253"/>
      <c r="D44" s="281"/>
      <c r="E44" s="252"/>
      <c r="K44" s="217"/>
      <c r="L44" s="271"/>
      <c r="M44" s="251"/>
      <c r="N44" s="251"/>
      <c r="O44" s="251"/>
      <c r="P44" s="251"/>
      <c r="Q44" s="251"/>
      <c r="R44" s="251"/>
      <c r="S44" s="251"/>
      <c r="T44" s="251"/>
      <c r="U44" s="251"/>
    </row>
    <row r="45" spans="2:21">
      <c r="B45" s="261"/>
      <c r="C45" s="265" t="s">
        <v>515</v>
      </c>
      <c r="D45" s="266"/>
      <c r="E45" s="267"/>
      <c r="J45" s="282"/>
      <c r="K45" s="282"/>
      <c r="L45" s="274"/>
      <c r="M45" s="251"/>
      <c r="N45" s="251"/>
      <c r="O45" s="251"/>
      <c r="P45" s="251"/>
      <c r="Q45" s="251"/>
      <c r="R45" s="251"/>
      <c r="S45" s="251"/>
      <c r="T45" s="251"/>
      <c r="U45" s="251"/>
    </row>
    <row r="46" spans="2:21">
      <c r="B46" s="261"/>
      <c r="C46" s="262" t="s">
        <v>516</v>
      </c>
      <c r="D46" s="268">
        <f>D39*D38*D43</f>
        <v>0</v>
      </c>
      <c r="E46" s="252"/>
      <c r="K46" s="217"/>
      <c r="L46" s="217"/>
      <c r="M46" s="251"/>
      <c r="N46" s="251"/>
      <c r="O46" s="251"/>
      <c r="P46" s="251"/>
      <c r="Q46" s="251"/>
      <c r="R46" s="251"/>
      <c r="S46" s="251"/>
      <c r="T46" s="251"/>
      <c r="U46" s="251"/>
    </row>
    <row r="47" spans="2:21">
      <c r="B47" s="261"/>
      <c r="C47" s="269" t="s">
        <v>517</v>
      </c>
      <c r="D47" s="270" t="e">
        <f>D42*D40*D39*D41*#REF!</f>
        <v>#REF!</v>
      </c>
      <c r="E47" s="252"/>
      <c r="K47" s="278"/>
      <c r="L47" s="217"/>
      <c r="M47" s="251"/>
      <c r="N47" s="251"/>
      <c r="O47" s="251"/>
      <c r="P47" s="251"/>
      <c r="Q47" s="251"/>
      <c r="R47" s="251"/>
      <c r="S47" s="251"/>
      <c r="T47" s="251"/>
      <c r="U47" s="251"/>
    </row>
    <row r="48" spans="2:21">
      <c r="B48" s="261"/>
      <c r="C48" s="262" t="s">
        <v>518</v>
      </c>
      <c r="D48" s="268" t="e">
        <f>D43*D40*D39*D41*#REF!</f>
        <v>#REF!</v>
      </c>
      <c r="E48" s="252"/>
      <c r="K48" s="232"/>
      <c r="L48" s="232"/>
      <c r="M48" s="251"/>
      <c r="N48" s="251"/>
      <c r="O48" s="251"/>
      <c r="P48" s="251"/>
      <c r="Q48" s="251"/>
      <c r="R48" s="251"/>
      <c r="S48" s="251"/>
      <c r="T48" s="251"/>
      <c r="U48" s="251"/>
    </row>
    <row r="49" spans="2:21">
      <c r="B49" s="261"/>
      <c r="C49" s="262" t="s">
        <v>519</v>
      </c>
      <c r="D49" s="268" t="e">
        <f>(D43+D42)*D40*D39*D41*#REF!</f>
        <v>#REF!</v>
      </c>
      <c r="E49" s="252"/>
      <c r="K49" s="283"/>
      <c r="L49" s="284"/>
      <c r="M49" s="251"/>
      <c r="N49" s="251"/>
      <c r="O49" s="251"/>
      <c r="P49" s="251"/>
      <c r="Q49" s="251"/>
      <c r="R49" s="251"/>
      <c r="S49" s="251"/>
      <c r="T49" s="251"/>
      <c r="U49" s="251"/>
    </row>
    <row r="50" spans="2:21">
      <c r="B50" s="261"/>
      <c r="C50" s="272" t="s">
        <v>520</v>
      </c>
      <c r="D50" s="473">
        <v>0</v>
      </c>
      <c r="E50" s="252"/>
      <c r="K50" s="283"/>
      <c r="L50" s="284"/>
      <c r="M50" s="251"/>
      <c r="N50" s="251"/>
      <c r="O50" s="251"/>
      <c r="P50" s="251"/>
      <c r="Q50" s="251"/>
      <c r="R50" s="251"/>
      <c r="S50" s="251"/>
      <c r="T50" s="251"/>
      <c r="U50" s="251"/>
    </row>
    <row r="51" spans="2:21" ht="13.5" thickBot="1">
      <c r="B51" s="275"/>
      <c r="C51" s="276" t="s">
        <v>522</v>
      </c>
      <c r="D51" s="277" t="e">
        <f>SUM(D46:D50)</f>
        <v>#REF!</v>
      </c>
      <c r="E51" s="252"/>
      <c r="K51" s="285"/>
      <c r="L51" s="284"/>
      <c r="M51" s="251"/>
      <c r="N51" s="251"/>
      <c r="O51" s="251"/>
      <c r="P51" s="251"/>
      <c r="Q51" s="251"/>
      <c r="R51" s="251"/>
      <c r="S51" s="251"/>
      <c r="T51" s="251"/>
      <c r="U51" s="251"/>
    </row>
    <row r="52" spans="2:21">
      <c r="B52" s="217"/>
      <c r="C52" s="217"/>
      <c r="D52" s="240"/>
      <c r="E52" s="252"/>
      <c r="K52" s="285"/>
      <c r="L52" s="284"/>
      <c r="M52" s="251"/>
      <c r="N52" s="251"/>
      <c r="O52" s="251"/>
      <c r="P52" s="251"/>
      <c r="Q52" s="251"/>
      <c r="R52" s="251"/>
      <c r="S52" s="251"/>
      <c r="T52" s="251"/>
      <c r="U52" s="251"/>
    </row>
    <row r="53" spans="2:21" ht="13.5" thickBot="1">
      <c r="B53" s="217"/>
      <c r="C53" s="217"/>
      <c r="D53" s="240"/>
      <c r="E53" s="252"/>
      <c r="K53" s="285"/>
      <c r="L53" s="284"/>
      <c r="M53" s="251"/>
      <c r="N53" s="251"/>
      <c r="O53" s="251"/>
      <c r="P53" s="251"/>
      <c r="Q53" s="251"/>
      <c r="R53" s="251"/>
      <c r="S53" s="251"/>
      <c r="T53" s="251"/>
      <c r="U53" s="251"/>
    </row>
    <row r="54" spans="2:21" ht="15.75">
      <c r="B54" s="257"/>
      <c r="C54" s="258" t="s">
        <v>523</v>
      </c>
      <c r="D54" s="286"/>
      <c r="E54" s="252"/>
      <c r="F54" s="217"/>
      <c r="K54" s="282"/>
      <c r="L54" s="274"/>
      <c r="M54" s="251"/>
      <c r="N54" s="251"/>
      <c r="O54" s="251"/>
      <c r="P54" s="251"/>
      <c r="Q54" s="251"/>
      <c r="R54" s="251"/>
      <c r="S54" s="251"/>
      <c r="T54" s="251"/>
      <c r="U54" s="251"/>
    </row>
    <row r="55" spans="2:21">
      <c r="B55" s="261"/>
      <c r="C55" s="262" t="s">
        <v>509</v>
      </c>
      <c r="D55" s="471">
        <v>0</v>
      </c>
      <c r="E55" s="252"/>
      <c r="F55" s="217"/>
      <c r="K55" s="217"/>
      <c r="L55" s="217"/>
      <c r="M55" s="251"/>
      <c r="N55" s="251"/>
      <c r="O55" s="251"/>
      <c r="P55" s="251"/>
      <c r="Q55" s="251"/>
      <c r="R55" s="251"/>
      <c r="S55" s="251"/>
      <c r="T55" s="251"/>
      <c r="U55" s="251"/>
    </row>
    <row r="56" spans="2:21">
      <c r="B56" s="261"/>
      <c r="C56" s="262" t="s">
        <v>510</v>
      </c>
      <c r="D56" s="471">
        <v>0</v>
      </c>
      <c r="E56" s="252"/>
      <c r="F56" s="217"/>
      <c r="K56" s="278"/>
      <c r="L56" s="217"/>
      <c r="M56" s="251"/>
      <c r="N56" s="251"/>
      <c r="O56" s="251"/>
      <c r="P56" s="251"/>
      <c r="Q56" s="251"/>
      <c r="R56" s="251"/>
      <c r="S56" s="251"/>
      <c r="T56" s="251"/>
      <c r="U56" s="251"/>
    </row>
    <row r="57" spans="2:21">
      <c r="B57" s="261"/>
      <c r="C57" s="262" t="s">
        <v>599</v>
      </c>
      <c r="D57" s="471">
        <v>0</v>
      </c>
      <c r="E57" s="252"/>
      <c r="F57" s="217"/>
      <c r="K57" s="232"/>
      <c r="L57" s="232"/>
      <c r="M57" s="251"/>
      <c r="N57" s="251"/>
      <c r="O57" s="251"/>
      <c r="P57" s="251"/>
      <c r="Q57" s="251"/>
      <c r="R57" s="251"/>
      <c r="S57" s="251"/>
      <c r="T57" s="251"/>
      <c r="U57" s="251"/>
    </row>
    <row r="58" spans="2:21">
      <c r="B58" s="261"/>
      <c r="C58" s="262" t="s">
        <v>598</v>
      </c>
      <c r="D58" s="471">
        <v>0</v>
      </c>
      <c r="E58" s="252"/>
      <c r="F58" s="217"/>
      <c r="K58" s="232"/>
      <c r="L58" s="232"/>
      <c r="M58" s="251"/>
      <c r="N58" s="251"/>
      <c r="O58" s="251"/>
      <c r="P58" s="251"/>
      <c r="Q58" s="251"/>
      <c r="R58" s="251"/>
      <c r="S58" s="251"/>
      <c r="T58" s="251"/>
      <c r="U58" s="251"/>
    </row>
    <row r="59" spans="2:21">
      <c r="B59" s="261"/>
      <c r="C59" s="262" t="s">
        <v>512</v>
      </c>
      <c r="D59" s="471">
        <v>0</v>
      </c>
      <c r="E59" s="252"/>
      <c r="F59" s="217"/>
      <c r="K59" s="283"/>
      <c r="L59" s="284"/>
      <c r="M59" s="251"/>
      <c r="N59" s="251"/>
      <c r="O59" s="251"/>
      <c r="P59" s="251"/>
      <c r="Q59" s="251"/>
      <c r="R59" s="251"/>
      <c r="S59" s="251"/>
      <c r="T59" s="251"/>
      <c r="U59" s="251"/>
    </row>
    <row r="60" spans="2:21">
      <c r="B60" s="261"/>
      <c r="C60" s="262" t="s">
        <v>524</v>
      </c>
      <c r="D60" s="471">
        <v>0</v>
      </c>
      <c r="E60" s="252"/>
      <c r="F60" s="217"/>
      <c r="K60" s="283"/>
      <c r="L60" s="284"/>
      <c r="M60" s="251"/>
      <c r="N60" s="251"/>
      <c r="O60" s="251"/>
      <c r="P60" s="251"/>
      <c r="Q60" s="251"/>
      <c r="R60" s="251"/>
      <c r="S60" s="251"/>
      <c r="T60" s="251"/>
      <c r="U60" s="251"/>
    </row>
    <row r="61" spans="2:21">
      <c r="B61" s="261"/>
      <c r="C61" s="253"/>
      <c r="D61" s="268"/>
      <c r="E61" s="252"/>
      <c r="F61" s="232"/>
      <c r="K61" s="282"/>
      <c r="L61" s="274"/>
      <c r="M61" s="251"/>
      <c r="N61" s="251"/>
      <c r="O61" s="251"/>
      <c r="P61" s="251"/>
      <c r="Q61" s="251"/>
      <c r="R61" s="251"/>
      <c r="S61" s="251"/>
      <c r="T61" s="251"/>
      <c r="U61" s="251"/>
    </row>
    <row r="62" spans="2:21">
      <c r="B62" s="261"/>
      <c r="C62" s="287" t="s">
        <v>487</v>
      </c>
      <c r="D62" s="266"/>
      <c r="E62" s="267"/>
      <c r="F62" s="217"/>
      <c r="K62" s="217"/>
      <c r="L62" s="217"/>
      <c r="M62" s="251"/>
      <c r="N62" s="251"/>
      <c r="O62" s="251"/>
      <c r="P62" s="251"/>
      <c r="Q62" s="251"/>
      <c r="R62" s="251"/>
      <c r="S62" s="251"/>
      <c r="T62" s="251"/>
      <c r="U62" s="251"/>
    </row>
    <row r="63" spans="2:21">
      <c r="B63" s="261"/>
      <c r="C63" s="288" t="s">
        <v>488</v>
      </c>
      <c r="D63" s="471">
        <v>0</v>
      </c>
      <c r="E63" s="252"/>
      <c r="F63" s="217"/>
      <c r="K63" s="282"/>
      <c r="L63" s="274"/>
      <c r="M63" s="251"/>
      <c r="N63" s="251"/>
      <c r="O63" s="251"/>
      <c r="P63" s="251"/>
      <c r="Q63" s="251"/>
      <c r="R63" s="251"/>
      <c r="S63" s="251"/>
      <c r="T63" s="251"/>
      <c r="U63" s="251"/>
    </row>
    <row r="64" spans="2:21">
      <c r="B64" s="261"/>
      <c r="C64" s="288" t="s">
        <v>485</v>
      </c>
      <c r="D64" s="471">
        <v>0</v>
      </c>
      <c r="E64" s="252"/>
      <c r="F64" s="217"/>
      <c r="M64" s="251"/>
      <c r="N64" s="251"/>
      <c r="O64" s="251"/>
      <c r="P64" s="251"/>
      <c r="Q64" s="251"/>
      <c r="R64" s="251"/>
      <c r="S64" s="251"/>
      <c r="T64" s="251"/>
      <c r="U64" s="251"/>
    </row>
    <row r="65" spans="2:21">
      <c r="B65" s="261"/>
      <c r="C65" s="219" t="s">
        <v>486</v>
      </c>
      <c r="D65" s="471">
        <v>0</v>
      </c>
      <c r="E65" s="252"/>
      <c r="F65" s="232"/>
      <c r="M65" s="251"/>
      <c r="N65" s="251"/>
      <c r="O65" s="251"/>
      <c r="P65" s="251"/>
      <c r="Q65" s="251"/>
      <c r="R65" s="251"/>
      <c r="S65" s="251"/>
      <c r="T65" s="251"/>
      <c r="U65" s="251"/>
    </row>
    <row r="66" spans="2:21">
      <c r="B66" s="261"/>
      <c r="C66" s="287" t="s">
        <v>489</v>
      </c>
      <c r="D66" s="266"/>
      <c r="E66" s="252"/>
      <c r="F66" s="217"/>
      <c r="I66" s="251"/>
      <c r="J66" s="251"/>
      <c r="K66" s="251"/>
      <c r="L66" s="251"/>
      <c r="M66" s="251"/>
      <c r="N66" s="251"/>
      <c r="O66" s="251"/>
      <c r="P66" s="251"/>
      <c r="Q66" s="251"/>
      <c r="R66" s="251"/>
      <c r="S66" s="251"/>
      <c r="T66" s="251"/>
      <c r="U66" s="251"/>
    </row>
    <row r="67" spans="2:21">
      <c r="B67" s="261"/>
      <c r="C67" s="288" t="s">
        <v>490</v>
      </c>
      <c r="D67" s="268" t="e">
        <f>D60*D57*D56*D55*#REF!</f>
        <v>#REF!</v>
      </c>
      <c r="E67" s="252"/>
      <c r="F67" s="217"/>
      <c r="I67" s="251"/>
      <c r="J67" s="251"/>
      <c r="K67" s="251"/>
      <c r="L67" s="251"/>
      <c r="M67" s="251"/>
      <c r="N67" s="251"/>
      <c r="O67" s="251"/>
      <c r="P67" s="251"/>
      <c r="Q67" s="251"/>
      <c r="R67" s="251"/>
      <c r="S67" s="251"/>
      <c r="T67" s="251"/>
      <c r="U67" s="251"/>
    </row>
    <row r="68" spans="2:21">
      <c r="B68" s="261"/>
      <c r="C68" s="288" t="s">
        <v>491</v>
      </c>
      <c r="D68" s="273" t="e">
        <f>D60*D58*D56*D55*#REF!</f>
        <v>#REF!</v>
      </c>
      <c r="E68" s="252"/>
      <c r="F68" s="217"/>
      <c r="I68" s="251"/>
      <c r="J68" s="251"/>
      <c r="K68" s="251"/>
      <c r="L68" s="251"/>
      <c r="M68" s="251"/>
      <c r="N68" s="251"/>
      <c r="O68" s="251"/>
      <c r="P68" s="251"/>
      <c r="Q68" s="251"/>
      <c r="R68" s="251"/>
      <c r="S68" s="251"/>
      <c r="T68" s="251"/>
      <c r="U68" s="251"/>
    </row>
    <row r="69" spans="2:21">
      <c r="B69" s="261"/>
      <c r="C69" s="288" t="s">
        <v>492</v>
      </c>
      <c r="D69" s="289" t="e">
        <f>D60*D55*#REF!</f>
        <v>#REF!</v>
      </c>
      <c r="E69" s="252"/>
      <c r="F69" s="232"/>
      <c r="I69" s="251"/>
      <c r="J69" s="251"/>
      <c r="K69" s="251"/>
      <c r="L69" s="251"/>
      <c r="M69" s="251"/>
      <c r="N69" s="251"/>
      <c r="O69" s="251"/>
      <c r="P69" s="251"/>
      <c r="Q69" s="251"/>
      <c r="R69" s="251"/>
      <c r="S69" s="251"/>
      <c r="T69" s="251"/>
      <c r="U69" s="251"/>
    </row>
    <row r="70" spans="2:21">
      <c r="B70" s="290"/>
      <c r="C70" s="288" t="s">
        <v>493</v>
      </c>
      <c r="D70" s="289" t="e">
        <f>D60*D55*D56*#REF!</f>
        <v>#REF!</v>
      </c>
      <c r="E70" s="252"/>
      <c r="F70" s="217"/>
      <c r="I70" s="251"/>
      <c r="J70" s="251"/>
      <c r="K70" s="251"/>
      <c r="L70" s="251"/>
      <c r="M70" s="251"/>
      <c r="N70" s="251"/>
      <c r="O70" s="251"/>
      <c r="P70" s="251"/>
      <c r="Q70" s="251"/>
      <c r="R70" s="251"/>
      <c r="S70" s="251"/>
      <c r="T70" s="251"/>
      <c r="U70" s="251"/>
    </row>
    <row r="71" spans="2:21">
      <c r="B71" s="261"/>
      <c r="C71" s="287" t="s">
        <v>494</v>
      </c>
      <c r="D71" s="266"/>
      <c r="F71" s="232"/>
      <c r="I71" s="251"/>
      <c r="J71" s="251"/>
      <c r="K71" s="251"/>
      <c r="L71" s="251"/>
      <c r="M71" s="251"/>
      <c r="N71" s="251"/>
      <c r="O71" s="251"/>
      <c r="P71" s="251"/>
      <c r="Q71" s="251"/>
      <c r="R71" s="251"/>
      <c r="S71" s="251"/>
      <c r="T71" s="251"/>
      <c r="U71" s="251"/>
    </row>
    <row r="72" spans="2:21">
      <c r="B72" s="261"/>
      <c r="C72" s="272" t="s">
        <v>600</v>
      </c>
      <c r="D72" s="473">
        <v>0</v>
      </c>
      <c r="F72" s="217"/>
      <c r="I72" s="251"/>
      <c r="J72" s="251"/>
      <c r="K72" s="251"/>
      <c r="L72" s="251"/>
      <c r="M72" s="251"/>
      <c r="N72" s="251"/>
      <c r="O72" s="251"/>
      <c r="P72" s="251"/>
      <c r="Q72" s="251"/>
      <c r="R72" s="251"/>
      <c r="S72" s="251"/>
      <c r="T72" s="251"/>
      <c r="U72" s="251"/>
    </row>
    <row r="73" spans="2:21" ht="13.5" thickBot="1">
      <c r="B73" s="275"/>
      <c r="C73" s="276" t="s">
        <v>525</v>
      </c>
      <c r="D73" s="277" t="e">
        <f>SUM(D63:D70)</f>
        <v>#REF!</v>
      </c>
      <c r="F73" s="217"/>
      <c r="I73" s="251"/>
      <c r="J73" s="251"/>
      <c r="K73" s="251"/>
      <c r="L73" s="251"/>
      <c r="M73" s="251"/>
      <c r="N73" s="251"/>
      <c r="O73" s="251"/>
      <c r="P73" s="251"/>
      <c r="Q73" s="251"/>
      <c r="R73" s="251"/>
      <c r="S73" s="251"/>
      <c r="T73" s="251"/>
      <c r="U73" s="251"/>
    </row>
    <row r="74" spans="2:21">
      <c r="F74" s="291"/>
      <c r="I74" s="251"/>
      <c r="J74" s="251"/>
      <c r="K74" s="251"/>
      <c r="L74" s="251"/>
      <c r="M74" s="251"/>
      <c r="N74" s="251"/>
      <c r="O74" s="251"/>
      <c r="P74" s="251"/>
      <c r="Q74" s="251"/>
      <c r="R74" s="251"/>
      <c r="S74" s="251"/>
      <c r="T74" s="251"/>
      <c r="U74" s="251"/>
    </row>
    <row r="75" spans="2:21" ht="12" thickBot="1">
      <c r="I75" s="251"/>
      <c r="J75" s="251"/>
      <c r="K75" s="251"/>
      <c r="L75" s="251"/>
      <c r="M75" s="251"/>
      <c r="N75" s="251"/>
      <c r="O75" s="251"/>
      <c r="P75" s="251"/>
      <c r="Q75" s="251"/>
      <c r="R75" s="251"/>
      <c r="S75" s="251"/>
      <c r="T75" s="251"/>
      <c r="U75" s="251"/>
    </row>
    <row r="76" spans="2:21" ht="15.75">
      <c r="B76" s="257"/>
      <c r="C76" s="258" t="s">
        <v>603</v>
      </c>
      <c r="D76" s="286"/>
      <c r="E76" s="267"/>
      <c r="I76" s="251"/>
      <c r="J76" s="251"/>
      <c r="K76" s="251"/>
      <c r="L76" s="251"/>
      <c r="M76" s="251"/>
      <c r="N76" s="251"/>
      <c r="O76" s="251"/>
      <c r="P76" s="251"/>
      <c r="Q76" s="251"/>
      <c r="R76" s="251"/>
      <c r="S76" s="251"/>
      <c r="T76" s="251"/>
      <c r="U76" s="251"/>
    </row>
    <row r="77" spans="2:21">
      <c r="B77" s="261"/>
      <c r="C77" s="219" t="s">
        <v>526</v>
      </c>
      <c r="D77" s="471">
        <v>0</v>
      </c>
      <c r="I77" s="251"/>
      <c r="J77" s="251"/>
      <c r="K77" s="251"/>
      <c r="L77" s="251"/>
      <c r="M77" s="251"/>
      <c r="N77" s="251"/>
      <c r="O77" s="251"/>
      <c r="P77" s="251"/>
      <c r="Q77" s="251"/>
      <c r="R77" s="251"/>
      <c r="S77" s="251"/>
      <c r="T77" s="251"/>
      <c r="U77" s="251"/>
    </row>
    <row r="78" spans="2:21">
      <c r="B78" s="261"/>
      <c r="C78" s="292" t="s">
        <v>527</v>
      </c>
      <c r="D78" s="471">
        <v>0</v>
      </c>
      <c r="F78" s="293"/>
      <c r="I78" s="251"/>
      <c r="J78" s="251"/>
      <c r="K78" s="251"/>
      <c r="L78" s="251"/>
      <c r="M78" s="251"/>
      <c r="N78" s="251"/>
      <c r="O78" s="251"/>
      <c r="P78" s="251"/>
      <c r="Q78" s="251"/>
      <c r="R78" s="251"/>
      <c r="S78" s="251"/>
      <c r="T78" s="251"/>
      <c r="U78" s="251"/>
    </row>
    <row r="79" spans="2:21">
      <c r="B79" s="261"/>
      <c r="C79" s="292" t="s">
        <v>528</v>
      </c>
      <c r="D79" s="471">
        <v>0</v>
      </c>
      <c r="I79" s="251"/>
      <c r="J79" s="251"/>
      <c r="K79" s="251"/>
      <c r="L79" s="251"/>
      <c r="M79" s="251"/>
      <c r="N79" s="251"/>
      <c r="O79" s="251"/>
      <c r="P79" s="251"/>
      <c r="Q79" s="251"/>
      <c r="R79" s="251"/>
      <c r="S79" s="251"/>
      <c r="T79" s="251"/>
      <c r="U79" s="251"/>
    </row>
    <row r="80" spans="2:21">
      <c r="B80" s="261"/>
      <c r="C80" s="294" t="s">
        <v>533</v>
      </c>
      <c r="D80" s="471">
        <v>0</v>
      </c>
      <c r="E80" s="267"/>
      <c r="I80" s="251"/>
      <c r="J80" s="251"/>
      <c r="K80" s="251"/>
      <c r="L80" s="251"/>
      <c r="M80" s="251"/>
      <c r="N80" s="251"/>
      <c r="O80" s="251"/>
      <c r="P80" s="251"/>
      <c r="Q80" s="251"/>
      <c r="R80" s="251"/>
      <c r="S80" s="251"/>
      <c r="T80" s="251"/>
      <c r="U80" s="251"/>
    </row>
    <row r="81" spans="2:21">
      <c r="B81" s="261"/>
      <c r="C81" s="294" t="s">
        <v>532</v>
      </c>
      <c r="D81" s="473">
        <v>0</v>
      </c>
      <c r="E81" s="267"/>
      <c r="I81" s="251"/>
      <c r="J81" s="251"/>
      <c r="K81" s="251"/>
      <c r="L81" s="251"/>
      <c r="M81" s="251"/>
      <c r="N81" s="251"/>
      <c r="O81" s="251"/>
      <c r="P81" s="251"/>
      <c r="Q81" s="251"/>
      <c r="R81" s="251"/>
      <c r="S81" s="251"/>
      <c r="T81" s="251"/>
      <c r="U81" s="251"/>
    </row>
    <row r="82" spans="2:21">
      <c r="B82" s="261"/>
      <c r="C82" s="272" t="s">
        <v>520</v>
      </c>
      <c r="D82" s="473">
        <v>0</v>
      </c>
      <c r="E82" s="267"/>
      <c r="I82" s="251"/>
      <c r="J82" s="251"/>
      <c r="K82" s="251"/>
      <c r="L82" s="251"/>
      <c r="M82" s="251"/>
      <c r="N82" s="251"/>
      <c r="O82" s="251"/>
      <c r="P82" s="251"/>
      <c r="Q82" s="251"/>
      <c r="R82" s="251"/>
      <c r="S82" s="251"/>
      <c r="T82" s="251"/>
      <c r="U82" s="251"/>
    </row>
    <row r="83" spans="2:21" ht="13.5" thickBot="1">
      <c r="B83" s="275"/>
      <c r="C83" s="276" t="s">
        <v>529</v>
      </c>
      <c r="D83" s="277">
        <f>SUM(D77:D82)</f>
        <v>0</v>
      </c>
      <c r="E83" s="267"/>
      <c r="I83" s="251"/>
      <c r="J83" s="251"/>
      <c r="K83" s="251"/>
      <c r="L83" s="251"/>
      <c r="M83" s="251"/>
      <c r="N83" s="251"/>
      <c r="O83" s="251"/>
      <c r="P83" s="251"/>
      <c r="Q83" s="251"/>
      <c r="R83" s="251"/>
      <c r="S83" s="251"/>
      <c r="T83" s="251"/>
      <c r="U83" s="251"/>
    </row>
    <row r="84" spans="2:21">
      <c r="C84" s="295"/>
      <c r="E84" s="267"/>
      <c r="I84" s="251"/>
      <c r="J84" s="251"/>
      <c r="K84" s="251"/>
      <c r="L84" s="251"/>
      <c r="M84" s="251"/>
      <c r="N84" s="251"/>
      <c r="O84" s="251"/>
      <c r="P84" s="251"/>
      <c r="Q84" s="251"/>
      <c r="R84" s="251"/>
      <c r="S84" s="251"/>
      <c r="T84" s="251"/>
      <c r="U84" s="251"/>
    </row>
    <row r="85" spans="2:21" ht="13.5" thickBot="1">
      <c r="C85" s="295"/>
      <c r="E85" s="267"/>
      <c r="I85" s="251"/>
      <c r="J85" s="251"/>
      <c r="K85" s="251"/>
      <c r="L85" s="251"/>
      <c r="M85" s="251"/>
      <c r="N85" s="251"/>
      <c r="O85" s="251"/>
      <c r="P85" s="251"/>
      <c r="Q85" s="251"/>
      <c r="R85" s="251"/>
      <c r="S85" s="251"/>
      <c r="T85" s="251"/>
      <c r="U85" s="251"/>
    </row>
    <row r="86" spans="2:21" ht="15.75">
      <c r="B86" s="257"/>
      <c r="C86" s="258" t="s">
        <v>687</v>
      </c>
      <c r="D86" s="286"/>
      <c r="E86" s="267"/>
      <c r="I86" s="251"/>
      <c r="J86" s="251"/>
      <c r="K86" s="251"/>
      <c r="L86" s="251"/>
      <c r="M86" s="251"/>
      <c r="N86" s="251"/>
      <c r="O86" s="251"/>
      <c r="P86" s="251"/>
      <c r="Q86" s="251"/>
      <c r="R86" s="251"/>
      <c r="S86" s="251"/>
      <c r="T86" s="251"/>
      <c r="U86" s="251"/>
    </row>
    <row r="87" spans="2:21">
      <c r="B87" s="261"/>
      <c r="C87" s="219" t="s">
        <v>689</v>
      </c>
      <c r="D87" s="471">
        <v>0</v>
      </c>
      <c r="E87" s="267"/>
      <c r="I87" s="251"/>
      <c r="J87" s="251"/>
      <c r="K87" s="251"/>
      <c r="L87" s="251"/>
      <c r="M87" s="251"/>
      <c r="N87" s="251"/>
      <c r="O87" s="251"/>
      <c r="P87" s="251"/>
      <c r="Q87" s="251"/>
      <c r="R87" s="251"/>
      <c r="S87" s="251"/>
      <c r="T87" s="251"/>
      <c r="U87" s="251"/>
    </row>
    <row r="88" spans="2:21">
      <c r="B88" s="261"/>
      <c r="C88" s="292" t="s">
        <v>527</v>
      </c>
      <c r="D88" s="471">
        <v>0</v>
      </c>
      <c r="E88" s="267"/>
      <c r="I88" s="251"/>
      <c r="J88" s="251"/>
      <c r="K88" s="251"/>
      <c r="L88" s="251"/>
      <c r="M88" s="251"/>
      <c r="N88" s="251"/>
      <c r="O88" s="251"/>
      <c r="P88" s="251"/>
      <c r="Q88" s="251"/>
      <c r="R88" s="251"/>
      <c r="S88" s="251"/>
      <c r="T88" s="251"/>
      <c r="U88" s="251"/>
    </row>
    <row r="89" spans="2:21">
      <c r="B89" s="261"/>
      <c r="C89" s="292" t="s">
        <v>528</v>
      </c>
      <c r="D89" s="471">
        <v>0</v>
      </c>
      <c r="E89" s="267"/>
      <c r="I89" s="251"/>
      <c r="J89" s="251"/>
      <c r="K89" s="251"/>
      <c r="L89" s="251"/>
      <c r="M89" s="251"/>
      <c r="N89" s="251"/>
      <c r="O89" s="251"/>
      <c r="P89" s="251"/>
      <c r="Q89" s="251"/>
      <c r="R89" s="251"/>
      <c r="S89" s="251"/>
      <c r="T89" s="251"/>
      <c r="U89" s="251"/>
    </row>
    <row r="90" spans="2:21">
      <c r="B90" s="261"/>
      <c r="C90" s="294" t="s">
        <v>533</v>
      </c>
      <c r="D90" s="471">
        <v>0</v>
      </c>
      <c r="E90" s="267"/>
      <c r="I90" s="251"/>
      <c r="J90" s="251"/>
      <c r="K90" s="251"/>
      <c r="L90" s="251"/>
      <c r="M90" s="251"/>
      <c r="N90" s="251"/>
      <c r="O90" s="251"/>
      <c r="P90" s="251"/>
      <c r="Q90" s="251"/>
      <c r="R90" s="251"/>
      <c r="S90" s="251"/>
      <c r="T90" s="251"/>
      <c r="U90" s="251"/>
    </row>
    <row r="91" spans="2:21">
      <c r="B91" s="261"/>
      <c r="C91" s="294" t="s">
        <v>532</v>
      </c>
      <c r="D91" s="471">
        <v>0</v>
      </c>
      <c r="E91" s="267"/>
      <c r="I91" s="251"/>
      <c r="J91" s="251"/>
      <c r="K91" s="251"/>
      <c r="L91" s="251"/>
      <c r="M91" s="251"/>
      <c r="N91" s="251"/>
      <c r="O91" s="251"/>
      <c r="P91" s="251"/>
      <c r="Q91" s="251"/>
      <c r="R91" s="251"/>
      <c r="S91" s="251"/>
      <c r="T91" s="251"/>
      <c r="U91" s="251"/>
    </row>
    <row r="92" spans="2:21">
      <c r="B92" s="261"/>
      <c r="C92" s="272" t="s">
        <v>520</v>
      </c>
      <c r="D92" s="471">
        <v>0</v>
      </c>
      <c r="E92" s="267"/>
      <c r="I92" s="251"/>
      <c r="J92" s="251"/>
      <c r="K92" s="251"/>
      <c r="L92" s="251"/>
      <c r="M92" s="251"/>
      <c r="N92" s="251"/>
      <c r="O92" s="251"/>
      <c r="P92" s="251"/>
      <c r="Q92" s="251"/>
      <c r="R92" s="251"/>
      <c r="S92" s="251"/>
      <c r="T92" s="251"/>
      <c r="U92" s="251"/>
    </row>
    <row r="93" spans="2:21" ht="13.5" thickBot="1">
      <c r="B93" s="275"/>
      <c r="C93" s="276" t="s">
        <v>529</v>
      </c>
      <c r="D93" s="277">
        <f>SUM(D87:D92)</f>
        <v>0</v>
      </c>
      <c r="E93" s="267"/>
      <c r="I93" s="251"/>
      <c r="J93" s="251"/>
      <c r="K93" s="251"/>
      <c r="L93" s="251"/>
      <c r="M93" s="251"/>
      <c r="N93" s="251"/>
      <c r="O93" s="251"/>
      <c r="P93" s="251"/>
      <c r="Q93" s="251"/>
      <c r="R93" s="251"/>
      <c r="S93" s="251"/>
      <c r="T93" s="251"/>
      <c r="U93" s="251"/>
    </row>
    <row r="94" spans="2:21">
      <c r="C94" s="295"/>
      <c r="E94" s="267"/>
      <c r="I94" s="251"/>
      <c r="J94" s="251"/>
      <c r="K94" s="251"/>
      <c r="L94" s="251"/>
      <c r="M94" s="251"/>
      <c r="N94" s="251"/>
      <c r="O94" s="251"/>
      <c r="P94" s="251"/>
      <c r="Q94" s="251"/>
      <c r="R94" s="251"/>
      <c r="S94" s="251"/>
      <c r="T94" s="251"/>
      <c r="U94" s="251"/>
    </row>
    <row r="95" spans="2:21" ht="13.5" thickBot="1">
      <c r="C95" s="295"/>
      <c r="E95" s="267"/>
      <c r="I95" s="251"/>
      <c r="J95" s="251"/>
      <c r="K95" s="251"/>
      <c r="L95" s="251"/>
      <c r="M95" s="251"/>
      <c r="N95" s="251"/>
      <c r="O95" s="251"/>
      <c r="P95" s="251"/>
      <c r="Q95" s="251"/>
      <c r="R95" s="251"/>
      <c r="S95" s="251"/>
      <c r="T95" s="251"/>
      <c r="U95" s="251"/>
    </row>
    <row r="96" spans="2:21" ht="15.75">
      <c r="B96" s="403"/>
      <c r="C96" s="404" t="s">
        <v>688</v>
      </c>
      <c r="D96" s="405"/>
      <c r="E96" s="267"/>
      <c r="I96" s="251"/>
      <c r="J96" s="251"/>
      <c r="K96" s="251"/>
      <c r="L96" s="251"/>
      <c r="M96" s="251"/>
      <c r="N96" s="251"/>
      <c r="O96" s="251"/>
      <c r="P96" s="251"/>
      <c r="Q96" s="251"/>
      <c r="R96" s="251"/>
      <c r="S96" s="251"/>
      <c r="T96" s="251"/>
      <c r="U96" s="251"/>
    </row>
    <row r="97" spans="2:21">
      <c r="B97" s="261"/>
      <c r="C97" s="260" t="s">
        <v>689</v>
      </c>
      <c r="D97" s="472">
        <v>0</v>
      </c>
      <c r="E97" s="267"/>
      <c r="I97" s="251"/>
      <c r="J97" s="251"/>
      <c r="K97" s="251"/>
      <c r="L97" s="251"/>
      <c r="M97" s="251"/>
      <c r="N97" s="251"/>
      <c r="O97" s="251"/>
      <c r="P97" s="251"/>
      <c r="Q97" s="251"/>
      <c r="R97" s="251"/>
      <c r="S97" s="251"/>
      <c r="T97" s="251"/>
      <c r="U97" s="251"/>
    </row>
    <row r="98" spans="2:21">
      <c r="B98" s="261"/>
      <c r="C98" s="406" t="s">
        <v>527</v>
      </c>
      <c r="D98" s="472">
        <v>0</v>
      </c>
      <c r="E98" s="267"/>
      <c r="I98" s="251"/>
      <c r="J98" s="251"/>
      <c r="K98" s="251"/>
      <c r="L98" s="251"/>
      <c r="M98" s="251"/>
      <c r="N98" s="251"/>
      <c r="O98" s="251"/>
      <c r="P98" s="251"/>
      <c r="Q98" s="251"/>
      <c r="R98" s="251"/>
      <c r="S98" s="251"/>
      <c r="T98" s="251"/>
      <c r="U98" s="251"/>
    </row>
    <row r="99" spans="2:21">
      <c r="B99" s="261"/>
      <c r="C99" s="406" t="s">
        <v>528</v>
      </c>
      <c r="D99" s="472">
        <v>0</v>
      </c>
      <c r="E99" s="267"/>
      <c r="I99" s="251"/>
      <c r="J99" s="251"/>
      <c r="K99" s="251"/>
      <c r="L99" s="251"/>
      <c r="M99" s="251"/>
      <c r="N99" s="251"/>
      <c r="O99" s="251"/>
      <c r="P99" s="251"/>
      <c r="Q99" s="251"/>
      <c r="R99" s="251"/>
      <c r="S99" s="251"/>
      <c r="T99" s="251"/>
      <c r="U99" s="251"/>
    </row>
    <row r="100" spans="2:21">
      <c r="B100" s="261"/>
      <c r="C100" s="291" t="s">
        <v>533</v>
      </c>
      <c r="D100" s="472">
        <v>0</v>
      </c>
      <c r="E100" s="267"/>
      <c r="I100" s="251"/>
      <c r="J100" s="251"/>
      <c r="K100" s="251"/>
      <c r="L100" s="251"/>
      <c r="M100" s="251"/>
      <c r="N100" s="251"/>
      <c r="O100" s="251"/>
      <c r="P100" s="251"/>
      <c r="Q100" s="251"/>
      <c r="R100" s="251"/>
      <c r="S100" s="251"/>
      <c r="T100" s="251"/>
      <c r="U100" s="251"/>
    </row>
    <row r="101" spans="2:21">
      <c r="B101" s="261"/>
      <c r="C101" s="291" t="s">
        <v>532</v>
      </c>
      <c r="D101" s="471">
        <v>0</v>
      </c>
      <c r="E101" s="267"/>
      <c r="I101" s="251"/>
      <c r="J101" s="251"/>
      <c r="K101" s="251"/>
      <c r="L101" s="251"/>
      <c r="M101" s="251"/>
      <c r="N101" s="251"/>
      <c r="O101" s="251"/>
      <c r="P101" s="251"/>
      <c r="Q101" s="251"/>
      <c r="R101" s="251"/>
      <c r="S101" s="251"/>
      <c r="T101" s="251"/>
      <c r="U101" s="251"/>
    </row>
    <row r="102" spans="2:21">
      <c r="B102" s="261"/>
      <c r="C102" s="407" t="s">
        <v>520</v>
      </c>
      <c r="D102" s="471">
        <v>0</v>
      </c>
      <c r="E102" s="267"/>
      <c r="I102" s="251"/>
      <c r="J102" s="251"/>
      <c r="K102" s="251"/>
      <c r="L102" s="251"/>
      <c r="M102" s="251"/>
      <c r="N102" s="251"/>
      <c r="O102" s="251"/>
      <c r="P102" s="251"/>
      <c r="Q102" s="251"/>
      <c r="R102" s="251"/>
      <c r="S102" s="251"/>
      <c r="T102" s="251"/>
      <c r="U102" s="251"/>
    </row>
    <row r="103" spans="2:21" ht="13.5" thickBot="1">
      <c r="B103" s="275"/>
      <c r="C103" s="408" t="s">
        <v>529</v>
      </c>
      <c r="D103" s="409">
        <v>0</v>
      </c>
      <c r="E103" s="267"/>
      <c r="I103" s="251"/>
      <c r="J103" s="251"/>
      <c r="K103" s="251"/>
      <c r="L103" s="251"/>
      <c r="M103" s="251"/>
      <c r="N103" s="251"/>
      <c r="O103" s="251"/>
      <c r="P103" s="251"/>
      <c r="Q103" s="251"/>
      <c r="R103" s="251"/>
      <c r="S103" s="251"/>
      <c r="T103" s="251"/>
      <c r="U103" s="251"/>
    </row>
    <row r="104" spans="2:21" ht="13.5" thickBot="1">
      <c r="C104" s="295"/>
      <c r="E104" s="267"/>
      <c r="I104" s="251"/>
      <c r="J104" s="251"/>
      <c r="K104" s="251"/>
      <c r="L104" s="251"/>
      <c r="M104" s="251"/>
      <c r="N104" s="251"/>
      <c r="O104" s="251"/>
      <c r="P104" s="251"/>
      <c r="Q104" s="251"/>
      <c r="R104" s="251"/>
      <c r="S104" s="251"/>
      <c r="T104" s="251"/>
      <c r="U104" s="251"/>
    </row>
    <row r="105" spans="2:21" ht="15.75">
      <c r="B105" s="257"/>
      <c r="C105" s="258" t="s">
        <v>602</v>
      </c>
      <c r="D105" s="286"/>
      <c r="E105" s="267"/>
      <c r="F105" s="278"/>
      <c r="I105" s="251"/>
      <c r="J105" s="251"/>
      <c r="K105" s="251"/>
      <c r="L105" s="251"/>
      <c r="M105" s="251"/>
      <c r="N105" s="251"/>
      <c r="O105" s="251"/>
      <c r="P105" s="251"/>
      <c r="Q105" s="251"/>
      <c r="R105" s="251"/>
      <c r="S105" s="251"/>
      <c r="T105" s="251"/>
      <c r="U105" s="251"/>
    </row>
    <row r="106" spans="2:21">
      <c r="B106" s="261"/>
      <c r="C106" s="219" t="s">
        <v>689</v>
      </c>
      <c r="D106" s="471">
        <v>0</v>
      </c>
      <c r="E106" s="267"/>
      <c r="F106" s="232"/>
      <c r="I106" s="251"/>
      <c r="J106" s="251"/>
      <c r="K106" s="251"/>
      <c r="L106" s="251"/>
      <c r="M106" s="251"/>
      <c r="N106" s="251"/>
      <c r="O106" s="251"/>
      <c r="P106" s="251"/>
      <c r="Q106" s="251"/>
      <c r="R106" s="251"/>
      <c r="S106" s="251"/>
      <c r="T106" s="251"/>
      <c r="U106" s="251"/>
    </row>
    <row r="107" spans="2:21">
      <c r="B107" s="261"/>
      <c r="C107" s="292" t="s">
        <v>527</v>
      </c>
      <c r="D107" s="471">
        <v>0</v>
      </c>
      <c r="E107" s="267"/>
      <c r="F107" s="283"/>
      <c r="I107" s="251"/>
      <c r="J107" s="251"/>
      <c r="K107" s="251"/>
      <c r="L107" s="251"/>
      <c r="M107" s="251"/>
      <c r="N107" s="251"/>
      <c r="O107" s="251"/>
      <c r="P107" s="251"/>
      <c r="Q107" s="251"/>
      <c r="R107" s="251"/>
      <c r="S107" s="251"/>
      <c r="T107" s="251"/>
      <c r="U107" s="251"/>
    </row>
    <row r="108" spans="2:21">
      <c r="B108" s="261"/>
      <c r="C108" s="292" t="s">
        <v>528</v>
      </c>
      <c r="D108" s="471">
        <v>0</v>
      </c>
      <c r="E108" s="267"/>
      <c r="F108" s="283"/>
      <c r="I108" s="251"/>
      <c r="J108" s="251"/>
      <c r="K108" s="251"/>
      <c r="L108" s="251"/>
      <c r="M108" s="251"/>
      <c r="N108" s="251"/>
      <c r="O108" s="251"/>
      <c r="P108" s="251"/>
      <c r="Q108" s="251"/>
      <c r="R108" s="251"/>
      <c r="S108" s="251"/>
      <c r="T108" s="251"/>
      <c r="U108" s="251"/>
    </row>
    <row r="109" spans="2:21">
      <c r="B109" s="261"/>
      <c r="C109" s="293" t="s">
        <v>534</v>
      </c>
      <c r="D109" s="471">
        <v>0</v>
      </c>
      <c r="E109" s="267"/>
      <c r="F109" s="283"/>
      <c r="I109" s="251"/>
      <c r="J109" s="251"/>
      <c r="K109" s="251"/>
      <c r="L109" s="251"/>
      <c r="M109" s="251"/>
      <c r="N109" s="251"/>
      <c r="O109" s="251"/>
      <c r="P109" s="251"/>
      <c r="Q109" s="251"/>
      <c r="R109" s="251"/>
      <c r="S109" s="251"/>
      <c r="T109" s="251"/>
      <c r="U109" s="251"/>
    </row>
    <row r="110" spans="2:21">
      <c r="B110" s="261"/>
      <c r="C110" s="294" t="s">
        <v>532</v>
      </c>
      <c r="D110" s="471">
        <v>0</v>
      </c>
      <c r="E110" s="267"/>
      <c r="F110" s="283"/>
      <c r="I110" s="251"/>
      <c r="J110" s="251"/>
      <c r="K110" s="251"/>
      <c r="L110" s="251"/>
      <c r="M110" s="251"/>
      <c r="N110" s="251"/>
      <c r="O110" s="251"/>
      <c r="P110" s="251"/>
      <c r="Q110" s="251"/>
      <c r="R110" s="251"/>
      <c r="S110" s="251"/>
      <c r="T110" s="251"/>
      <c r="U110" s="251"/>
    </row>
    <row r="111" spans="2:21">
      <c r="B111" s="261"/>
      <c r="C111" s="272" t="s">
        <v>520</v>
      </c>
      <c r="D111" s="471">
        <v>0</v>
      </c>
      <c r="F111" s="283"/>
      <c r="I111" s="251"/>
      <c r="J111" s="251"/>
      <c r="K111" s="251"/>
      <c r="L111" s="251"/>
      <c r="M111" s="251"/>
      <c r="N111" s="251"/>
      <c r="O111" s="251"/>
      <c r="P111" s="251"/>
      <c r="Q111" s="251"/>
      <c r="R111" s="251"/>
      <c r="S111" s="251"/>
      <c r="T111" s="251"/>
      <c r="U111" s="251"/>
    </row>
    <row r="112" spans="2:21" ht="13.5" thickBot="1">
      <c r="B112" s="275"/>
      <c r="C112" s="276" t="s">
        <v>530</v>
      </c>
      <c r="D112" s="277">
        <f>SUM(D106:D111)</f>
        <v>0</v>
      </c>
      <c r="F112" s="252"/>
      <c r="I112" s="251"/>
      <c r="J112" s="251"/>
      <c r="K112" s="251"/>
      <c r="L112" s="251"/>
      <c r="M112" s="251"/>
      <c r="N112" s="251"/>
      <c r="O112" s="251"/>
      <c r="P112" s="251"/>
      <c r="Q112" s="251"/>
      <c r="R112" s="251"/>
      <c r="S112" s="251"/>
      <c r="T112" s="251"/>
      <c r="U112" s="251"/>
    </row>
    <row r="113" spans="2:21">
      <c r="F113" s="285"/>
      <c r="I113" s="251"/>
      <c r="J113" s="251"/>
      <c r="K113" s="251"/>
      <c r="L113" s="251"/>
      <c r="M113" s="251"/>
      <c r="N113" s="251"/>
      <c r="O113" s="251"/>
      <c r="P113" s="251"/>
      <c r="Q113" s="251"/>
      <c r="R113" s="251"/>
      <c r="S113" s="251"/>
      <c r="T113" s="251"/>
      <c r="U113" s="251"/>
    </row>
    <row r="114" spans="2:21">
      <c r="F114" s="282"/>
      <c r="I114" s="251"/>
      <c r="J114" s="251"/>
      <c r="K114" s="251"/>
      <c r="L114" s="251"/>
      <c r="M114" s="251"/>
      <c r="N114" s="251"/>
      <c r="O114" s="251"/>
      <c r="P114" s="251"/>
      <c r="Q114" s="251"/>
      <c r="R114" s="251"/>
      <c r="S114" s="251"/>
      <c r="T114" s="251"/>
      <c r="U114" s="251"/>
    </row>
    <row r="115" spans="2:21" ht="13.5" thickBot="1">
      <c r="F115" s="217"/>
      <c r="I115" s="251"/>
      <c r="J115" s="251"/>
      <c r="K115" s="251"/>
      <c r="L115" s="251"/>
      <c r="M115" s="251"/>
      <c r="N115" s="251"/>
      <c r="O115" s="251"/>
      <c r="P115" s="251"/>
      <c r="Q115" s="251"/>
      <c r="R115" s="251"/>
      <c r="S115" s="251"/>
      <c r="T115" s="251"/>
      <c r="U115" s="251"/>
    </row>
    <row r="116" spans="2:21">
      <c r="B116" s="244"/>
      <c r="C116" s="296"/>
      <c r="D116" s="297"/>
      <c r="F116" s="282"/>
      <c r="I116" s="251"/>
      <c r="J116" s="251"/>
      <c r="K116" s="251"/>
      <c r="L116" s="251"/>
      <c r="M116" s="251"/>
      <c r="N116" s="251"/>
      <c r="O116" s="251"/>
      <c r="P116" s="251"/>
      <c r="Q116" s="251"/>
      <c r="R116" s="251"/>
      <c r="S116" s="251"/>
      <c r="T116" s="251"/>
      <c r="U116" s="251"/>
    </row>
    <row r="117" spans="2:21" ht="16.5">
      <c r="B117" s="298"/>
      <c r="C117" s="299" t="s">
        <v>506</v>
      </c>
      <c r="D117" s="300" t="s">
        <v>507</v>
      </c>
      <c r="I117" s="251"/>
      <c r="J117" s="251"/>
      <c r="K117" s="251"/>
      <c r="L117" s="251"/>
      <c r="M117" s="251"/>
      <c r="N117" s="251"/>
      <c r="O117" s="251"/>
      <c r="P117" s="251"/>
      <c r="Q117" s="251"/>
      <c r="R117" s="251"/>
      <c r="S117" s="251"/>
      <c r="T117" s="251"/>
      <c r="U117" s="251"/>
    </row>
    <row r="118" spans="2:21">
      <c r="B118" s="229"/>
      <c r="C118" s="217" t="str">
        <f>C6</f>
        <v>Supervision visits for AFB laboratories periphery</v>
      </c>
      <c r="D118" s="301" t="e">
        <f>D19</f>
        <v>#REF!</v>
      </c>
      <c r="I118" s="251"/>
      <c r="J118" s="251"/>
      <c r="K118" s="251"/>
      <c r="L118" s="251"/>
      <c r="M118" s="251"/>
      <c r="N118" s="251"/>
      <c r="O118" s="251"/>
      <c r="P118" s="251"/>
      <c r="Q118" s="251"/>
      <c r="R118" s="251"/>
      <c r="S118" s="251"/>
      <c r="T118" s="251"/>
      <c r="U118" s="251"/>
    </row>
    <row r="119" spans="2:21">
      <c r="B119" s="229"/>
      <c r="C119" s="217" t="str">
        <f>C21</f>
        <v>Supervision visits for AFB laboratories regional</v>
      </c>
      <c r="D119" s="301" t="e">
        <f>D34</f>
        <v>#REF!</v>
      </c>
      <c r="I119" s="251"/>
      <c r="J119" s="251"/>
      <c r="K119" s="251"/>
      <c r="L119" s="251"/>
      <c r="M119" s="251"/>
      <c r="N119" s="251"/>
      <c r="O119" s="251"/>
      <c r="P119" s="251"/>
      <c r="Q119" s="251"/>
      <c r="R119" s="251"/>
      <c r="S119" s="251"/>
      <c r="T119" s="251"/>
      <c r="U119" s="251"/>
    </row>
    <row r="120" spans="2:21">
      <c r="B120" s="229"/>
      <c r="C120" s="217" t="str">
        <f>C37</f>
        <v>Supervision visits for culture/DST laboratories by NRL</v>
      </c>
      <c r="D120" s="301" t="e">
        <f>D51</f>
        <v>#REF!</v>
      </c>
      <c r="I120" s="251"/>
      <c r="J120" s="251"/>
      <c r="K120" s="251"/>
      <c r="L120" s="251"/>
      <c r="M120" s="251"/>
      <c r="N120" s="251"/>
      <c r="O120" s="251"/>
      <c r="P120" s="251"/>
      <c r="Q120" s="251"/>
      <c r="R120" s="251"/>
      <c r="S120" s="251"/>
      <c r="T120" s="251"/>
      <c r="U120" s="251"/>
    </row>
    <row r="121" spans="2:21">
      <c r="B121" s="229"/>
      <c r="C121" s="217" t="str">
        <f>C54</f>
        <v>Supervision visits for NRL(s) by SRL</v>
      </c>
      <c r="D121" s="301" t="e">
        <f>D73</f>
        <v>#REF!</v>
      </c>
      <c r="I121" s="251"/>
      <c r="J121" s="251"/>
      <c r="K121" s="251"/>
      <c r="L121" s="251"/>
      <c r="M121" s="251"/>
      <c r="N121" s="251"/>
      <c r="O121" s="251"/>
      <c r="P121" s="251"/>
      <c r="Q121" s="251"/>
      <c r="R121" s="251"/>
      <c r="S121" s="251"/>
      <c r="T121" s="251"/>
      <c r="U121" s="251"/>
    </row>
    <row r="122" spans="2:21">
      <c r="B122" s="229"/>
      <c r="C122" s="217" t="str">
        <f>C76</f>
        <v>Re-checking samples (NRL --&gt; SRL)</v>
      </c>
      <c r="D122" s="301">
        <f>D83</f>
        <v>0</v>
      </c>
      <c r="I122" s="251"/>
      <c r="J122" s="251"/>
      <c r="K122" s="251"/>
      <c r="L122" s="251"/>
      <c r="M122" s="251"/>
      <c r="N122" s="251"/>
      <c r="O122" s="251"/>
      <c r="P122" s="251"/>
      <c r="Q122" s="251"/>
      <c r="R122" s="251"/>
      <c r="S122" s="251"/>
      <c r="T122" s="251"/>
      <c r="U122" s="251"/>
    </row>
    <row r="123" spans="2:21">
      <c r="B123" s="229"/>
      <c r="C123" s="217" t="str">
        <f>C86</f>
        <v>Panel testing for GX test (NRL --&gt; GX laboratories)</v>
      </c>
      <c r="D123" s="301">
        <f>D93</f>
        <v>0</v>
      </c>
      <c r="I123" s="251"/>
      <c r="J123" s="251"/>
      <c r="K123" s="251"/>
      <c r="L123" s="251"/>
      <c r="M123" s="251"/>
      <c r="N123" s="251"/>
      <c r="O123" s="251"/>
      <c r="P123" s="251"/>
      <c r="Q123" s="251"/>
      <c r="R123" s="251"/>
      <c r="S123" s="251"/>
      <c r="T123" s="251"/>
      <c r="U123" s="251"/>
    </row>
    <row r="124" spans="2:21">
      <c r="B124" s="229"/>
      <c r="C124" s="217" t="str">
        <f>C96</f>
        <v>Panel testing culture/DST laboratories (NRL --&gt; Regional culture/DST laboratory)</v>
      </c>
      <c r="D124" s="301">
        <f>D103</f>
        <v>0</v>
      </c>
      <c r="I124" s="251"/>
      <c r="J124" s="251"/>
      <c r="K124" s="251"/>
      <c r="L124" s="251"/>
      <c r="M124" s="251"/>
      <c r="N124" s="251"/>
      <c r="O124" s="251"/>
      <c r="P124" s="251"/>
      <c r="Q124" s="251"/>
      <c r="R124" s="251"/>
      <c r="S124" s="251"/>
      <c r="T124" s="251"/>
      <c r="U124" s="251"/>
    </row>
    <row r="125" spans="2:21" ht="13.5" thickBot="1">
      <c r="B125" s="229"/>
      <c r="C125" s="246" t="str">
        <f>C105</f>
        <v>Panel testing (SRL --&gt; NRL)</v>
      </c>
      <c r="D125" s="247">
        <f>D112</f>
        <v>0</v>
      </c>
      <c r="I125" s="251"/>
      <c r="J125" s="251"/>
      <c r="K125" s="251"/>
      <c r="L125" s="251"/>
      <c r="M125" s="251"/>
      <c r="N125" s="251"/>
      <c r="O125" s="251"/>
      <c r="P125" s="251"/>
      <c r="Q125" s="251"/>
      <c r="R125" s="251"/>
      <c r="S125" s="251"/>
      <c r="T125" s="251"/>
      <c r="U125" s="251"/>
    </row>
    <row r="126" spans="2:21" ht="13.5" thickBot="1">
      <c r="B126" s="241"/>
      <c r="C126" s="302" t="s">
        <v>531</v>
      </c>
      <c r="D126" s="303" t="e">
        <f>SUM(D118:D125)</f>
        <v>#REF!</v>
      </c>
      <c r="I126" s="251"/>
      <c r="J126" s="251"/>
      <c r="K126" s="251"/>
      <c r="L126" s="251"/>
      <c r="M126" s="251"/>
      <c r="N126" s="251"/>
      <c r="O126" s="251"/>
      <c r="P126" s="251"/>
      <c r="Q126" s="251"/>
      <c r="R126" s="251"/>
      <c r="S126" s="251"/>
      <c r="T126" s="251"/>
      <c r="U126" s="251"/>
    </row>
  </sheetData>
  <dataValidations count="1">
    <dataValidation type="decimal" operator="greaterThanOrEqual" allowBlank="1" showInputMessage="1" showErrorMessage="1" errorTitle="Please enter a positive value" sqref="D12 D43 L35:L44 E15:E17 E7:E12 D27 E30:E32 E22:E27 D18 D33 D50 D72 D81:D82" xr:uid="{00000000-0002-0000-1300-000000000000}">
      <formula1>0</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oglio21">
    <tabColor rgb="FFFF0000"/>
  </sheetPr>
  <dimension ref="A2:L63"/>
  <sheetViews>
    <sheetView showGridLines="0" topLeftCell="A2" zoomScale="75" zoomScaleNormal="75" zoomScalePageLayoutView="75" workbookViewId="0">
      <selection activeCell="B7" sqref="B7"/>
    </sheetView>
  </sheetViews>
  <sheetFormatPr defaultColWidth="11" defaultRowHeight="12.75"/>
  <cols>
    <col min="1" max="1" width="11" style="219"/>
    <col min="2" max="2" width="70.6640625" style="219" customWidth="1"/>
    <col min="3" max="3" width="17.1640625" style="219" customWidth="1"/>
    <col min="4" max="4" width="15" style="219" customWidth="1"/>
    <col min="5" max="16384" width="11" style="219"/>
  </cols>
  <sheetData>
    <row r="2" spans="1:12" ht="15.75">
      <c r="A2" s="304"/>
      <c r="B2" s="249" t="s">
        <v>554</v>
      </c>
      <c r="C2" s="304"/>
      <c r="D2" s="304"/>
      <c r="E2" s="304"/>
    </row>
    <row r="3" spans="1:12" ht="13.5" thickBot="1"/>
    <row r="4" spans="1:12" ht="15.75">
      <c r="A4" s="305"/>
      <c r="B4" s="306" t="s">
        <v>564</v>
      </c>
      <c r="C4" s="307"/>
    </row>
    <row r="5" spans="1:12">
      <c r="A5" s="229"/>
      <c r="C5" s="308"/>
    </row>
    <row r="6" spans="1:12">
      <c r="A6" s="309"/>
      <c r="B6" s="310" t="s">
        <v>744</v>
      </c>
      <c r="C6" s="311"/>
    </row>
    <row r="7" spans="1:12">
      <c r="A7" s="229"/>
      <c r="B7" s="292" t="s">
        <v>691</v>
      </c>
      <c r="C7" s="471">
        <v>0</v>
      </c>
    </row>
    <row r="8" spans="1:12">
      <c r="A8" s="229"/>
      <c r="B8" s="294" t="s">
        <v>539</v>
      </c>
      <c r="C8" s="471">
        <v>0</v>
      </c>
      <c r="D8" s="312"/>
    </row>
    <row r="9" spans="1:12">
      <c r="A9" s="229"/>
      <c r="B9" s="294" t="s">
        <v>532</v>
      </c>
      <c r="C9" s="471">
        <v>0</v>
      </c>
    </row>
    <row r="10" spans="1:12">
      <c r="A10" s="229"/>
      <c r="B10" s="272" t="s">
        <v>520</v>
      </c>
      <c r="C10" s="471">
        <v>0</v>
      </c>
    </row>
    <row r="11" spans="1:12" ht="13.5" thickBot="1">
      <c r="A11" s="241"/>
      <c r="B11" s="276" t="s">
        <v>535</v>
      </c>
      <c r="C11" s="277">
        <f>SUM(C7:C10)</f>
        <v>0</v>
      </c>
    </row>
    <row r="13" spans="1:12" ht="13.5" thickBot="1">
      <c r="B13" s="313"/>
    </row>
    <row r="14" spans="1:12" ht="15.75">
      <c r="A14" s="305"/>
      <c r="B14" s="306" t="s">
        <v>716</v>
      </c>
      <c r="C14" s="314"/>
      <c r="D14" s="307"/>
    </row>
    <row r="15" spans="1:12">
      <c r="A15" s="229"/>
      <c r="D15" s="315"/>
      <c r="E15" s="316"/>
      <c r="L15" s="317"/>
    </row>
    <row r="16" spans="1:12">
      <c r="A16" s="229"/>
      <c r="B16" s="318" t="s">
        <v>541</v>
      </c>
      <c r="C16" s="419">
        <v>0</v>
      </c>
      <c r="D16" s="315"/>
      <c r="E16" s="316"/>
      <c r="L16" s="317"/>
    </row>
    <row r="17" spans="1:12">
      <c r="A17" s="229"/>
      <c r="B17" s="318" t="s">
        <v>588</v>
      </c>
      <c r="C17" s="419">
        <v>0</v>
      </c>
      <c r="D17" s="315"/>
      <c r="E17" s="316"/>
      <c r="L17" s="317"/>
    </row>
    <row r="18" spans="1:12">
      <c r="A18" s="229"/>
      <c r="B18" s="318" t="s">
        <v>591</v>
      </c>
      <c r="C18" s="419">
        <v>0</v>
      </c>
      <c r="D18" s="315"/>
      <c r="E18" s="316"/>
      <c r="L18" s="317"/>
    </row>
    <row r="19" spans="1:12" s="217" customFormat="1">
      <c r="A19" s="309"/>
      <c r="B19" s="319"/>
      <c r="C19" s="218"/>
      <c r="D19" s="315"/>
      <c r="E19" s="316"/>
      <c r="L19" s="317"/>
    </row>
    <row r="20" spans="1:12" ht="38.25">
      <c r="A20" s="309"/>
      <c r="B20" s="310" t="s">
        <v>540</v>
      </c>
      <c r="C20" s="320" t="s">
        <v>550</v>
      </c>
      <c r="D20" s="321" t="s">
        <v>549</v>
      </c>
    </row>
    <row r="21" spans="1:12">
      <c r="A21" s="309"/>
      <c r="B21" s="322" t="s">
        <v>694</v>
      </c>
      <c r="C21" s="469">
        <v>0</v>
      </c>
      <c r="D21" s="230">
        <f>C21*C16</f>
        <v>0</v>
      </c>
    </row>
    <row r="22" spans="1:12">
      <c r="A22" s="309"/>
      <c r="B22" s="410" t="s">
        <v>652</v>
      </c>
      <c r="C22" s="469">
        <v>0</v>
      </c>
      <c r="D22" s="230">
        <f>C22*C16</f>
        <v>0</v>
      </c>
    </row>
    <row r="23" spans="1:12">
      <c r="A23" s="309"/>
      <c r="B23" s="410" t="s">
        <v>635</v>
      </c>
      <c r="C23" s="469">
        <v>0</v>
      </c>
      <c r="D23" s="230">
        <f>C23*C16</f>
        <v>0</v>
      </c>
    </row>
    <row r="24" spans="1:12">
      <c r="A24" s="309"/>
      <c r="B24" s="322" t="s">
        <v>545</v>
      </c>
      <c r="C24" s="469">
        <v>0</v>
      </c>
      <c r="D24" s="230">
        <f>C24*C16</f>
        <v>0</v>
      </c>
    </row>
    <row r="25" spans="1:12">
      <c r="A25" s="229"/>
      <c r="B25" s="322" t="s">
        <v>692</v>
      </c>
      <c r="C25" s="469">
        <v>0</v>
      </c>
      <c r="D25" s="230">
        <f>C25*C16</f>
        <v>0</v>
      </c>
      <c r="F25" s="188"/>
    </row>
    <row r="26" spans="1:12">
      <c r="A26" s="229"/>
      <c r="B26" s="323" t="s">
        <v>693</v>
      </c>
      <c r="C26" s="469">
        <v>0</v>
      </c>
      <c r="D26" s="230">
        <f>C26*C16</f>
        <v>0</v>
      </c>
    </row>
    <row r="27" spans="1:12">
      <c r="A27" s="229"/>
      <c r="B27" s="323" t="s">
        <v>465</v>
      </c>
      <c r="C27" s="469">
        <v>0</v>
      </c>
      <c r="D27" s="230">
        <f>C27*C16</f>
        <v>0</v>
      </c>
    </row>
    <row r="28" spans="1:12">
      <c r="A28" s="229"/>
      <c r="B28" s="411" t="s">
        <v>695</v>
      </c>
      <c r="C28" s="469">
        <v>0</v>
      </c>
      <c r="D28" s="230">
        <f>C28*C16</f>
        <v>0</v>
      </c>
    </row>
    <row r="29" spans="1:12">
      <c r="A29" s="229"/>
      <c r="B29" s="324" t="s">
        <v>537</v>
      </c>
      <c r="C29" s="469">
        <v>0</v>
      </c>
      <c r="D29" s="230">
        <f>C29*C16</f>
        <v>0</v>
      </c>
      <c r="F29" s="294"/>
    </row>
    <row r="30" spans="1:12">
      <c r="A30" s="229"/>
      <c r="B30" s="325" t="s">
        <v>538</v>
      </c>
      <c r="C30" s="419">
        <v>0</v>
      </c>
      <c r="D30" s="230">
        <f>C30*C16</f>
        <v>0</v>
      </c>
    </row>
    <row r="31" spans="1:12">
      <c r="A31" s="229"/>
      <c r="B31" s="326" t="s">
        <v>547</v>
      </c>
      <c r="C31" s="470">
        <v>0</v>
      </c>
      <c r="D31" s="327">
        <f>C31*C16</f>
        <v>0</v>
      </c>
    </row>
    <row r="32" spans="1:12">
      <c r="A32" s="229"/>
      <c r="B32" s="328" t="s">
        <v>575</v>
      </c>
      <c r="C32" s="226"/>
      <c r="D32" s="227">
        <f>SUM(D24:D31)</f>
        <v>0</v>
      </c>
    </row>
    <row r="33" spans="1:4">
      <c r="A33" s="229"/>
      <c r="B33" s="328" t="s">
        <v>589</v>
      </c>
      <c r="C33" s="226">
        <f>C17*C18</f>
        <v>0</v>
      </c>
      <c r="D33" s="329"/>
    </row>
    <row r="34" spans="1:4">
      <c r="A34" s="229"/>
      <c r="D34" s="308"/>
    </row>
    <row r="35" spans="1:4">
      <c r="A35" s="229"/>
      <c r="B35" s="310" t="s">
        <v>551</v>
      </c>
      <c r="C35" s="320" t="s">
        <v>552</v>
      </c>
      <c r="D35" s="330"/>
    </row>
    <row r="36" spans="1:4">
      <c r="A36" s="229"/>
      <c r="B36" s="322" t="s">
        <v>694</v>
      </c>
      <c r="C36" s="469">
        <v>0</v>
      </c>
      <c r="D36" s="308"/>
    </row>
    <row r="37" spans="1:4">
      <c r="A37" s="229"/>
      <c r="B37" s="410" t="s">
        <v>652</v>
      </c>
      <c r="C37" s="469">
        <v>0</v>
      </c>
      <c r="D37" s="308"/>
    </row>
    <row r="38" spans="1:4">
      <c r="A38" s="229"/>
      <c r="B38" s="410" t="s">
        <v>635</v>
      </c>
      <c r="C38" s="469">
        <v>0</v>
      </c>
      <c r="D38" s="308"/>
    </row>
    <row r="39" spans="1:4">
      <c r="A39" s="229"/>
      <c r="B39" s="322" t="s">
        <v>545</v>
      </c>
      <c r="C39" s="469">
        <v>0</v>
      </c>
      <c r="D39" s="308"/>
    </row>
    <row r="40" spans="1:4">
      <c r="A40" s="229"/>
      <c r="B40" s="322" t="s">
        <v>692</v>
      </c>
      <c r="C40" s="469">
        <v>0</v>
      </c>
      <c r="D40" s="308"/>
    </row>
    <row r="41" spans="1:4">
      <c r="A41" s="229"/>
      <c r="B41" s="323" t="s">
        <v>693</v>
      </c>
      <c r="C41" s="469">
        <v>0</v>
      </c>
      <c r="D41" s="308"/>
    </row>
    <row r="42" spans="1:4">
      <c r="A42" s="229"/>
      <c r="B42" s="323" t="s">
        <v>465</v>
      </c>
      <c r="C42" s="469">
        <v>0</v>
      </c>
      <c r="D42" s="308"/>
    </row>
    <row r="43" spans="1:4">
      <c r="A43" s="229"/>
      <c r="B43" s="411" t="s">
        <v>695</v>
      </c>
      <c r="C43" s="469">
        <v>0</v>
      </c>
      <c r="D43" s="308"/>
    </row>
    <row r="44" spans="1:4">
      <c r="A44" s="229"/>
      <c r="B44" s="324" t="s">
        <v>537</v>
      </c>
      <c r="C44" s="469">
        <v>0</v>
      </c>
      <c r="D44" s="308"/>
    </row>
    <row r="45" spans="1:4">
      <c r="A45" s="229"/>
      <c r="B45" s="325" t="s">
        <v>538</v>
      </c>
      <c r="C45" s="469">
        <v>0</v>
      </c>
      <c r="D45" s="308"/>
    </row>
    <row r="46" spans="1:4">
      <c r="A46" s="229"/>
      <c r="B46" s="326" t="s">
        <v>547</v>
      </c>
      <c r="C46" s="469">
        <v>0</v>
      </c>
      <c r="D46" s="308"/>
    </row>
    <row r="47" spans="1:4" ht="13.5" thickBot="1">
      <c r="A47" s="241"/>
      <c r="B47" s="242" t="s">
        <v>548</v>
      </c>
      <c r="C47" s="237">
        <f>SUM(C36:C46)</f>
        <v>0</v>
      </c>
      <c r="D47" s="331"/>
    </row>
    <row r="49" spans="1:3" ht="13.5" thickBot="1"/>
    <row r="50" spans="1:3" ht="15.75">
      <c r="A50" s="305"/>
      <c r="B50" s="306" t="s">
        <v>574</v>
      </c>
      <c r="C50" s="307"/>
    </row>
    <row r="51" spans="1:3">
      <c r="A51" s="229"/>
      <c r="C51" s="308"/>
    </row>
    <row r="52" spans="1:3">
      <c r="A52" s="229"/>
      <c r="B52" s="332" t="s">
        <v>560</v>
      </c>
      <c r="C52" s="333" t="s">
        <v>552</v>
      </c>
    </row>
    <row r="53" spans="1:3">
      <c r="A53" s="229"/>
      <c r="B53" s="325" t="s">
        <v>553</v>
      </c>
      <c r="C53" s="419">
        <v>0</v>
      </c>
    </row>
    <row r="54" spans="1:3">
      <c r="A54" s="229"/>
      <c r="B54" s="325" t="s">
        <v>559</v>
      </c>
      <c r="C54" s="419">
        <v>0</v>
      </c>
    </row>
    <row r="55" spans="1:3">
      <c r="A55" s="229"/>
      <c r="B55" s="325" t="s">
        <v>572</v>
      </c>
      <c r="C55" s="419">
        <v>0</v>
      </c>
    </row>
    <row r="56" spans="1:3">
      <c r="A56" s="229"/>
      <c r="B56" s="325" t="s">
        <v>573</v>
      </c>
      <c r="C56" s="419">
        <v>0</v>
      </c>
    </row>
    <row r="57" spans="1:3">
      <c r="A57" s="229"/>
      <c r="B57" s="325" t="s">
        <v>576</v>
      </c>
      <c r="C57" s="419">
        <v>0</v>
      </c>
    </row>
    <row r="58" spans="1:3">
      <c r="A58" s="229"/>
      <c r="B58" s="325" t="s">
        <v>696</v>
      </c>
      <c r="C58" s="419">
        <v>0</v>
      </c>
    </row>
    <row r="59" spans="1:3">
      <c r="A59" s="229"/>
      <c r="B59" s="412" t="s">
        <v>697</v>
      </c>
      <c r="C59" s="419">
        <v>0</v>
      </c>
    </row>
    <row r="60" spans="1:3" ht="13.5" thickBot="1">
      <c r="A60" s="241"/>
      <c r="B60" s="242" t="s">
        <v>548</v>
      </c>
      <c r="C60" s="243">
        <f>SUM(C53:C59)</f>
        <v>0</v>
      </c>
    </row>
    <row r="62" spans="1:3" ht="13.5" thickBot="1"/>
    <row r="63" spans="1:3" ht="17.25" thickBot="1">
      <c r="B63" s="299" t="s">
        <v>703</v>
      </c>
      <c r="C63" s="417">
        <f>C11+D32+C33+C47+C60</f>
        <v>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oglio22">
    <tabColor theme="5" tint="0.39997558519241921"/>
  </sheetPr>
  <dimension ref="A1:O62"/>
  <sheetViews>
    <sheetView showGridLines="0" zoomScaleNormal="100" zoomScalePageLayoutView="75" workbookViewId="0">
      <selection activeCell="S19" sqref="S19"/>
    </sheetView>
  </sheetViews>
  <sheetFormatPr defaultColWidth="11" defaultRowHeight="15"/>
  <cols>
    <col min="1" max="1" width="11" style="358"/>
    <col min="2" max="2" width="3" style="358" customWidth="1"/>
    <col min="3" max="3" width="101.5" style="358" bestFit="1" customWidth="1"/>
    <col min="4" max="4" width="23" style="358" customWidth="1"/>
    <col min="5" max="5" width="9.1640625" style="358" customWidth="1"/>
    <col min="6" max="6" width="25.6640625" style="358" customWidth="1"/>
    <col min="7" max="7" width="17.1640625" style="358" customWidth="1"/>
    <col min="8" max="8" width="23.1640625" style="245" hidden="1" customWidth="1"/>
    <col min="9" max="9" width="11" style="245"/>
    <col min="10" max="10" width="11" style="359"/>
    <col min="11" max="16384" width="11" style="358"/>
  </cols>
  <sheetData>
    <row r="1" spans="1:10" ht="29.1" customHeight="1">
      <c r="A1" s="1878" t="s">
        <v>1126</v>
      </c>
      <c r="B1" s="1878"/>
      <c r="C1" s="1878"/>
      <c r="D1" s="1878"/>
      <c r="E1" s="1878"/>
      <c r="F1" s="1878"/>
      <c r="G1" s="1878"/>
      <c r="H1" s="1165"/>
      <c r="I1" s="1165"/>
      <c r="J1" s="1166"/>
    </row>
    <row r="2" spans="1:10">
      <c r="A2" s="1878"/>
      <c r="B2" s="1878"/>
      <c r="C2" s="1878"/>
      <c r="D2" s="1878"/>
      <c r="E2" s="1878"/>
      <c r="F2" s="1878"/>
      <c r="G2" s="1878"/>
      <c r="H2" s="1165"/>
      <c r="I2" s="1165"/>
      <c r="J2" s="1166"/>
    </row>
    <row r="3" spans="1:10">
      <c r="J3" s="1166"/>
    </row>
    <row r="4" spans="1:10" ht="15.75">
      <c r="C4" s="360" t="s">
        <v>561</v>
      </c>
      <c r="D4" s="360"/>
      <c r="E4" s="361"/>
      <c r="F4" s="361"/>
      <c r="G4" s="361"/>
      <c r="H4" s="362" t="s">
        <v>592</v>
      </c>
      <c r="J4" s="1166"/>
    </row>
    <row r="5" spans="1:10" ht="15.75">
      <c r="C5" s="1169" t="s">
        <v>1272</v>
      </c>
      <c r="D5" s="1170" t="s">
        <v>931</v>
      </c>
      <c r="E5" s="366"/>
      <c r="F5" s="1170" t="s">
        <v>1277</v>
      </c>
      <c r="G5" s="1170" t="s">
        <v>1278</v>
      </c>
      <c r="H5" s="363" t="s">
        <v>593</v>
      </c>
      <c r="J5" s="1166"/>
    </row>
    <row r="6" spans="1:10">
      <c r="C6" s="364" t="s">
        <v>718</v>
      </c>
      <c r="D6" s="365">
        <f>IF('Intro and instructions'!B10="Yes",'ZN microscopy'!C26,0)</f>
        <v>0</v>
      </c>
      <c r="E6" s="366"/>
      <c r="F6" s="997">
        <f>'ZN microscopy'!C8</f>
        <v>0</v>
      </c>
      <c r="G6" s="367">
        <f>IF(F6=0,0,D6/F6)</f>
        <v>0</v>
      </c>
      <c r="H6" s="368" t="s">
        <v>594</v>
      </c>
      <c r="J6" s="1166"/>
    </row>
    <row r="7" spans="1:10">
      <c r="C7" s="413" t="s">
        <v>720</v>
      </c>
      <c r="D7" s="414">
        <f>IF('Intro and instructions'!B10="Yes",'ZN microscopy'!C56,0)</f>
        <v>0</v>
      </c>
      <c r="E7" s="366"/>
      <c r="F7" s="997">
        <f>'ZN microscopy'!C8</f>
        <v>0</v>
      </c>
      <c r="G7" s="367">
        <f t="shared" ref="G7:G29" si="0">IF(F7=0,0,D7/F7)</f>
        <v>0</v>
      </c>
      <c r="H7" s="415"/>
      <c r="J7" s="1166"/>
    </row>
    <row r="8" spans="1:10">
      <c r="C8" s="413" t="s">
        <v>719</v>
      </c>
      <c r="D8" s="414">
        <f>IF('Intro and instructions'!B11="Yes",'LED microscopy'!C26,0)</f>
        <v>0</v>
      </c>
      <c r="E8" s="366"/>
      <c r="F8" s="997">
        <f>'LED microscopy'!C8</f>
        <v>0</v>
      </c>
      <c r="G8" s="367">
        <f t="shared" si="0"/>
        <v>0</v>
      </c>
      <c r="H8" s="415"/>
      <c r="J8" s="1166"/>
    </row>
    <row r="9" spans="1:10">
      <c r="C9" s="413" t="s">
        <v>721</v>
      </c>
      <c r="D9" s="414">
        <f>IF('Intro and instructions'!B11="Yes",'LED microscopy'!C55,0)</f>
        <v>0</v>
      </c>
      <c r="E9" s="366"/>
      <c r="F9" s="997">
        <f>'LED microscopy'!C8</f>
        <v>0</v>
      </c>
      <c r="G9" s="367">
        <f t="shared" si="0"/>
        <v>0</v>
      </c>
      <c r="H9" s="415"/>
      <c r="J9" s="1166"/>
    </row>
    <row r="10" spans="1:10">
      <c r="C10" s="413" t="s">
        <v>652</v>
      </c>
      <c r="D10" s="1001">
        <f>IF('Intro and instructions'!B8="Yes",'TB-LAMP'!C28,0)</f>
        <v>0</v>
      </c>
      <c r="E10" s="366"/>
      <c r="F10" s="997">
        <f>'TB-LAMP'!C19</f>
        <v>0</v>
      </c>
      <c r="G10" s="367">
        <f t="shared" si="0"/>
        <v>0</v>
      </c>
      <c r="H10" s="1000"/>
      <c r="J10" s="1166"/>
    </row>
    <row r="11" spans="1:10">
      <c r="C11" s="998" t="s">
        <v>817</v>
      </c>
      <c r="D11" s="999">
        <f>IF('Intro and instructions'!B7="Yes",Truenat!C31,0)</f>
        <v>0</v>
      </c>
      <c r="E11" s="366"/>
      <c r="F11" s="997">
        <f>Truenat!C21</f>
        <v>0</v>
      </c>
      <c r="G11" s="367">
        <f t="shared" si="0"/>
        <v>0</v>
      </c>
      <c r="H11" s="1000"/>
      <c r="J11" s="1166"/>
    </row>
    <row r="12" spans="1:10">
      <c r="C12" s="364" t="s">
        <v>819</v>
      </c>
      <c r="D12" s="999">
        <f>IF('Intro and instructions'!B9="Yes",'Xpert MTB RIF Ultra'!C30,0)</f>
        <v>0</v>
      </c>
      <c r="E12" s="366"/>
      <c r="F12" s="997">
        <f>'Xpert MTB RIF Ultra'!C21</f>
        <v>0</v>
      </c>
      <c r="G12" s="367">
        <f t="shared" si="0"/>
        <v>0</v>
      </c>
      <c r="H12" s="1000"/>
      <c r="J12" s="1166"/>
    </row>
    <row r="13" spans="1:10">
      <c r="C13" s="413" t="s">
        <v>635</v>
      </c>
      <c r="D13" s="1002">
        <f>IF('Intro and instructions'!B6="Yes",LAM!C26,0)</f>
        <v>0</v>
      </c>
      <c r="E13" s="366"/>
      <c r="F13" s="997">
        <f>LAM!C15</f>
        <v>0</v>
      </c>
      <c r="G13" s="367">
        <f t="shared" si="0"/>
        <v>0</v>
      </c>
      <c r="H13" s="415"/>
      <c r="J13" s="1166"/>
    </row>
    <row r="14" spans="1:10">
      <c r="C14" s="413" t="s">
        <v>698</v>
      </c>
      <c r="D14" s="414">
        <f>IF('Intro and instructions'!B13="Yes",'LPA 1st line'!E56,0)</f>
        <v>0</v>
      </c>
      <c r="E14" s="366"/>
      <c r="F14" s="997">
        <f>'LPA 1st line'!C27</f>
        <v>0</v>
      </c>
      <c r="G14" s="367">
        <f t="shared" si="0"/>
        <v>0</v>
      </c>
      <c r="H14" s="415"/>
      <c r="J14" s="1166"/>
    </row>
    <row r="15" spans="1:10">
      <c r="C15" s="413" t="s">
        <v>699</v>
      </c>
      <c r="D15" s="414">
        <f>IF('Intro and instructions'!B14="Yes",'LPA 2nd line'!E55,0)</f>
        <v>0</v>
      </c>
      <c r="E15" s="366"/>
      <c r="F15" s="997">
        <f>'LPA 2nd line'!C27</f>
        <v>0</v>
      </c>
      <c r="G15" s="367">
        <f t="shared" si="0"/>
        <v>0</v>
      </c>
      <c r="H15" s="415"/>
      <c r="J15" s="1166"/>
    </row>
    <row r="16" spans="1:10">
      <c r="C16" s="1224" t="s">
        <v>842</v>
      </c>
      <c r="D16" s="1225">
        <f>IF('Intro and instructions'!B15="Yes",'MAX MDR-TB assay'!E42,0)</f>
        <v>0</v>
      </c>
      <c r="E16" s="366"/>
      <c r="F16" s="997">
        <f>'FluoroType MTBDR VER 2.0'!total_test</f>
        <v>0</v>
      </c>
      <c r="G16" s="367">
        <f t="shared" si="0"/>
        <v>0</v>
      </c>
      <c r="H16" s="1212"/>
      <c r="J16" s="1166"/>
    </row>
    <row r="17" spans="3:15">
      <c r="C17" s="1224" t="s">
        <v>1273</v>
      </c>
      <c r="D17" s="1225">
        <f>IF('Intro and instructions'!B16="Yes",'FluoroType MTBDR VER 2.0'!E44,0)</f>
        <v>0</v>
      </c>
      <c r="E17" s="366"/>
      <c r="F17" s="997">
        <f>'FluoroType MTBDR VER 2.0'!total_test</f>
        <v>0</v>
      </c>
      <c r="G17" s="367">
        <f t="shared" si="0"/>
        <v>0</v>
      </c>
      <c r="H17" s="1212"/>
      <c r="J17" s="1166"/>
    </row>
    <row r="18" spans="3:15">
      <c r="C18" s="1224" t="s">
        <v>1280</v>
      </c>
      <c r="D18" s="1225">
        <f>IF('Intro and instructions'!B17="Yes",'Cobas MTB and MTB-RIF-INH'!E47,0)</f>
        <v>0</v>
      </c>
      <c r="E18" s="366"/>
      <c r="F18" s="997">
        <f>'Cobas MTB and MTB-RIF-INH'!total_test</f>
        <v>0</v>
      </c>
      <c r="G18" s="367">
        <f t="shared" si="0"/>
        <v>0</v>
      </c>
      <c r="H18" s="1212"/>
      <c r="J18" s="1166"/>
    </row>
    <row r="19" spans="3:15">
      <c r="C19" s="1224" t="s">
        <v>1213</v>
      </c>
      <c r="D19" s="1225">
        <f>IF('Intro and instructions'!B18="Yes",'Abbott RT MTB and MTB RIF-INH'!E47,0)</f>
        <v>0</v>
      </c>
      <c r="E19" s="366"/>
      <c r="F19" s="997">
        <f>'Abbott RT MTB and MTB RIF-INH'!total_test</f>
        <v>0</v>
      </c>
      <c r="G19" s="367">
        <f t="shared" si="0"/>
        <v>0</v>
      </c>
      <c r="H19" s="1212"/>
      <c r="J19" s="1166"/>
    </row>
    <row r="20" spans="3:15">
      <c r="C20" s="998" t="s">
        <v>820</v>
      </c>
      <c r="D20" s="999">
        <f>IF('Intro and instructions'!B19="Yes",'Processing&amp;solid-liquid culture'!F83,0)</f>
        <v>0</v>
      </c>
      <c r="E20" s="366"/>
      <c r="F20" s="997">
        <f>IF('Processing&amp;solid-liquid culture'!C23=0,'Processing&amp;solid-liquid culture'!F21,'Processing&amp;solid-liquid culture'!C23)</f>
        <v>0</v>
      </c>
      <c r="G20" s="367">
        <f t="shared" si="0"/>
        <v>0</v>
      </c>
      <c r="H20" s="1000"/>
      <c r="J20" s="1166"/>
    </row>
    <row r="21" spans="3:15">
      <c r="C21" s="998" t="s">
        <v>546</v>
      </c>
      <c r="D21" s="999">
        <f>IF('Intro and instructions'!B19="Yes",'Processing&amp;solid-liquid culture'!F81,0)</f>
        <v>0</v>
      </c>
      <c r="E21" s="366"/>
      <c r="F21" s="997">
        <f>'Processing&amp;solid-liquid culture'!C23</f>
        <v>0</v>
      </c>
      <c r="G21" s="367">
        <f t="shared" si="0"/>
        <v>0</v>
      </c>
      <c r="H21" s="1000"/>
      <c r="J21" s="1166"/>
    </row>
    <row r="22" spans="3:15">
      <c r="C22" s="364" t="s">
        <v>536</v>
      </c>
      <c r="D22" s="365">
        <f>IF('Intro and instructions'!B19="Yes",'Processing&amp;solid-liquid culture'!F21,0)</f>
        <v>0</v>
      </c>
      <c r="E22" s="366"/>
      <c r="F22" s="1226">
        <f>'Processing&amp;solid-liquid culture'!F82</f>
        <v>0</v>
      </c>
      <c r="G22" s="367">
        <f t="shared" si="0"/>
        <v>0</v>
      </c>
      <c r="H22" s="368" t="s">
        <v>590</v>
      </c>
      <c r="J22" s="1166"/>
    </row>
    <row r="23" spans="3:15">
      <c r="C23" s="998" t="s">
        <v>1274</v>
      </c>
      <c r="D23" s="999">
        <f>IF('Intro and instructions'!B20="Yes",SUM(ID!E37,ID!E24),0)</f>
        <v>0</v>
      </c>
      <c r="E23" s="366"/>
      <c r="F23" s="1001">
        <f>ID!D13</f>
        <v>0</v>
      </c>
      <c r="G23" s="367">
        <f t="shared" si="0"/>
        <v>0</v>
      </c>
      <c r="H23" s="1000"/>
      <c r="J23" s="1166"/>
    </row>
    <row r="24" spans="3:15">
      <c r="C24" s="364" t="s">
        <v>653</v>
      </c>
      <c r="D24" s="365">
        <f>IF('Intro and instructions'!B21="Yes",'LJ 1st line DST'!C34,0)</f>
        <v>0</v>
      </c>
      <c r="E24" s="366"/>
      <c r="F24" s="1226">
        <f>'LJ 1st line DST'!C18</f>
        <v>0</v>
      </c>
      <c r="G24" s="367">
        <f t="shared" si="0"/>
        <v>0</v>
      </c>
      <c r="H24" s="368" t="s">
        <v>590</v>
      </c>
      <c r="J24" s="1166"/>
    </row>
    <row r="25" spans="3:15">
      <c r="C25" s="1009" t="s">
        <v>700</v>
      </c>
      <c r="D25" s="365">
        <f>IF('Intro and instructions'!B22="Yes",'LJ 2nd line DST'!C34,0)</f>
        <v>0</v>
      </c>
      <c r="E25" s="366"/>
      <c r="F25" s="1226">
        <f>'LJ 2nd line DST'!C15</f>
        <v>0</v>
      </c>
      <c r="G25" s="367">
        <f t="shared" si="0"/>
        <v>0</v>
      </c>
      <c r="H25" s="368" t="s">
        <v>590</v>
      </c>
      <c r="J25" s="1166"/>
    </row>
    <row r="26" spans="3:15">
      <c r="C26" s="364" t="s">
        <v>701</v>
      </c>
      <c r="D26" s="365">
        <f>IF('Intro and instructions'!B23="Yes",'MGIT 1st line DST'!D44,0)</f>
        <v>0</v>
      </c>
      <c r="E26" s="366"/>
      <c r="F26" s="1226">
        <f>'MGIT 1st line DST'!C15</f>
        <v>0</v>
      </c>
      <c r="G26" s="367">
        <f t="shared" si="0"/>
        <v>0</v>
      </c>
      <c r="H26" s="368" t="s">
        <v>594</v>
      </c>
      <c r="J26" s="1166"/>
      <c r="K26" s="366"/>
    </row>
    <row r="27" spans="3:15">
      <c r="C27" s="364" t="s">
        <v>702</v>
      </c>
      <c r="D27" s="365">
        <f>IF('Intro and instructions'!B23="Yes",'MGIT 1st line DST'!D45,0)</f>
        <v>0</v>
      </c>
      <c r="E27" s="366"/>
      <c r="F27" s="1226">
        <f>'MGIT 1st line DST'!C21</f>
        <v>0</v>
      </c>
      <c r="G27" s="367">
        <f t="shared" si="0"/>
        <v>0</v>
      </c>
      <c r="H27" s="374"/>
      <c r="J27" s="1166"/>
    </row>
    <row r="28" spans="3:15">
      <c r="C28" s="364" t="s">
        <v>1405</v>
      </c>
      <c r="D28" s="414">
        <f>IF('Intro and instructions'!B24="Yes",'MGIT 2nd line DST'!G30,0)</f>
        <v>0</v>
      </c>
      <c r="E28" s="366"/>
      <c r="F28" s="1226">
        <f>'MGIT 2nd line DST'!C17</f>
        <v>0</v>
      </c>
      <c r="G28" s="367">
        <f t="shared" si="0"/>
        <v>0</v>
      </c>
      <c r="H28" s="374"/>
      <c r="J28" s="1166"/>
    </row>
    <row r="29" spans="3:15">
      <c r="C29" s="364" t="s">
        <v>1406</v>
      </c>
      <c r="D29" s="367">
        <f>IF('Intro and instructions'!B24="Yes",'MGIT 2nd line DST'!G49,0)</f>
        <v>0</v>
      </c>
      <c r="E29" s="366"/>
      <c r="F29" s="1227">
        <f>'MGIT 2nd line DST'!C17</f>
        <v>0</v>
      </c>
      <c r="G29" s="367">
        <f t="shared" si="0"/>
        <v>0</v>
      </c>
      <c r="H29" s="374"/>
      <c r="J29" s="1166"/>
      <c r="K29" s="1880"/>
      <c r="L29" s="1880"/>
      <c r="M29" s="1880"/>
      <c r="N29" s="1880"/>
      <c r="O29" s="1880"/>
    </row>
    <row r="30" spans="3:15" ht="15.75">
      <c r="C30" s="369" t="s">
        <v>1275</v>
      </c>
      <c r="D30" s="370">
        <f>SUM(D6:D28)</f>
        <v>0</v>
      </c>
      <c r="E30" s="371"/>
      <c r="F30" s="254"/>
      <c r="G30" s="254"/>
      <c r="J30" s="1166"/>
    </row>
    <row r="31" spans="3:15" ht="15.75">
      <c r="C31" s="369"/>
      <c r="D31" s="371"/>
      <c r="E31" s="371"/>
      <c r="F31" s="371"/>
      <c r="G31" s="371"/>
      <c r="J31" s="1166"/>
    </row>
    <row r="32" spans="3:15" ht="15.75">
      <c r="C32" s="1167" t="s">
        <v>1276</v>
      </c>
      <c r="D32" s="1168" t="s">
        <v>931</v>
      </c>
      <c r="E32" s="366"/>
      <c r="F32" s="366"/>
      <c r="G32" s="366"/>
      <c r="H32" s="363" t="s">
        <v>593</v>
      </c>
      <c r="J32" s="1166"/>
    </row>
    <row r="33" spans="3:10">
      <c r="C33" s="1009" t="s">
        <v>604</v>
      </c>
      <c r="D33" s="365">
        <f>IF('Intro and instructions'!B25="Yes",'Biosafety and cleaning'!G44,0)</f>
        <v>0</v>
      </c>
      <c r="E33" s="366"/>
      <c r="F33" s="366"/>
      <c r="G33" s="366"/>
      <c r="H33" s="368" t="s">
        <v>590</v>
      </c>
      <c r="J33" s="1166"/>
    </row>
    <row r="34" spans="3:10">
      <c r="C34" s="1009" t="s">
        <v>556</v>
      </c>
      <c r="D34" s="365">
        <f>IF('Intro and instructions'!B25="Yes",'Biosafety and cleaning'!G43,0)</f>
        <v>0</v>
      </c>
      <c r="E34" s="366"/>
      <c r="F34" s="366"/>
      <c r="G34" s="366"/>
      <c r="H34" s="372" t="s">
        <v>590</v>
      </c>
      <c r="J34" s="1166"/>
    </row>
    <row r="35" spans="3:10" ht="15.75">
      <c r="C35" s="369" t="s">
        <v>1275</v>
      </c>
      <c r="D35" s="370">
        <f>D33+D34</f>
        <v>0</v>
      </c>
      <c r="E35" s="371"/>
      <c r="F35" s="371"/>
      <c r="G35" s="371"/>
      <c r="H35" s="373"/>
      <c r="J35" s="1166"/>
    </row>
    <row r="36" spans="3:10" ht="15.75">
      <c r="C36" s="369"/>
      <c r="J36" s="1166"/>
    </row>
    <row r="37" spans="3:10" ht="15.75">
      <c r="C37" s="1167" t="s">
        <v>901</v>
      </c>
      <c r="D37" s="1168" t="s">
        <v>931</v>
      </c>
      <c r="E37" s="366"/>
      <c r="F37" s="366"/>
      <c r="G37" s="366"/>
      <c r="H37" s="363" t="s">
        <v>593</v>
      </c>
      <c r="J37" s="1166"/>
    </row>
    <row r="38" spans="3:10">
      <c r="C38" s="1010" t="str">
        <f>'Maintenance &amp; repair'!B6</f>
        <v>Biosafety cabinets</v>
      </c>
      <c r="D38" s="234">
        <f>IF('Intro and instructions'!B26="Yes",'Maintenance &amp; repair'!E10,0)</f>
        <v>0</v>
      </c>
      <c r="E38" s="245"/>
      <c r="F38" s="245"/>
      <c r="G38" s="245"/>
      <c r="H38" s="368"/>
      <c r="J38" s="1166"/>
    </row>
    <row r="39" spans="3:10">
      <c r="C39" s="1011" t="str">
        <f>'Maintenance &amp; repair'!B11</f>
        <v>Twincubator (LPA)</v>
      </c>
      <c r="D39" s="399">
        <f>IF('Intro and instructions'!B26="Yes",'Maintenance &amp; repair'!E15,0)</f>
        <v>0</v>
      </c>
      <c r="E39" s="245"/>
      <c r="F39" s="245"/>
      <c r="G39" s="245"/>
      <c r="H39" s="415"/>
      <c r="J39" s="1166"/>
    </row>
    <row r="40" spans="3:10">
      <c r="C40" s="1011" t="str">
        <f>'Maintenance &amp; repair'!B17</f>
        <v>Thermocycler</v>
      </c>
      <c r="D40" s="399">
        <f>IF('Intro and instructions'!B26="Yes",'Maintenance &amp; repair'!E21,0)</f>
        <v>0</v>
      </c>
      <c r="E40" s="245"/>
      <c r="F40" s="245"/>
      <c r="G40" s="245"/>
      <c r="H40" s="415"/>
      <c r="J40" s="1166"/>
    </row>
    <row r="41" spans="3:10">
      <c r="C41" s="1011" t="str">
        <f>'Maintenance &amp; repair'!B23</f>
        <v>Laminar flow (PCR workstation)</v>
      </c>
      <c r="D41" s="399">
        <f>IF('Intro and instructions'!B26="Yes",'Maintenance &amp; repair'!E27,0)</f>
        <v>0</v>
      </c>
      <c r="E41" s="245"/>
      <c r="F41" s="245"/>
      <c r="G41" s="245"/>
      <c r="H41" s="415"/>
      <c r="J41" s="1166"/>
    </row>
    <row r="42" spans="3:10">
      <c r="C42" s="1010" t="str">
        <f>'Maintenance &amp; repair'!B29</f>
        <v>Autoclave</v>
      </c>
      <c r="D42" s="234">
        <f>IF('Intro and instructions'!B26="Yes",'Maintenance &amp; repair'!E33,0)</f>
        <v>0</v>
      </c>
      <c r="E42" s="245"/>
      <c r="F42" s="245"/>
      <c r="G42" s="245"/>
      <c r="H42" s="368"/>
      <c r="J42" s="1166"/>
    </row>
    <row r="43" spans="3:10">
      <c r="C43" s="1010" t="str">
        <f>'Maintenance &amp; repair'!B35</f>
        <v>BD BACTEC™ MGIT™ 960 System</v>
      </c>
      <c r="D43" s="234">
        <f>IF('Intro and instructions'!B26="Yes",'Maintenance &amp; repair'!E40,0)</f>
        <v>0</v>
      </c>
      <c r="E43" s="245"/>
      <c r="F43" s="245"/>
      <c r="G43" s="245"/>
      <c r="H43" s="368"/>
      <c r="J43" s="1166"/>
    </row>
    <row r="44" spans="3:10">
      <c r="C44" s="1224" t="s">
        <v>842</v>
      </c>
      <c r="D44" s="1211">
        <f>IF('Intro and instructions'!B26="Yes",'Maintenance &amp; repair'!E46,0)</f>
        <v>0</v>
      </c>
      <c r="E44" s="245"/>
      <c r="F44" s="245"/>
      <c r="G44" s="245"/>
      <c r="H44" s="1212"/>
      <c r="J44" s="1166"/>
    </row>
    <row r="45" spans="3:10">
      <c r="C45" s="1224" t="s">
        <v>843</v>
      </c>
      <c r="D45" s="1211">
        <f>IF('Intro and instructions'!B26="Yes",'Maintenance &amp; repair'!E51,0)</f>
        <v>0</v>
      </c>
      <c r="E45" s="245"/>
      <c r="F45" s="245"/>
      <c r="G45" s="245"/>
      <c r="H45" s="1212"/>
      <c r="J45" s="1166"/>
    </row>
    <row r="46" spans="3:10">
      <c r="C46" s="1224" t="s">
        <v>1280</v>
      </c>
      <c r="D46" s="1211">
        <f>IF('Intro and instructions'!B26="Yes",'Maintenance &amp; repair'!E56,0)</f>
        <v>0</v>
      </c>
      <c r="E46" s="245"/>
      <c r="F46" s="245"/>
      <c r="G46" s="245"/>
      <c r="H46" s="1212"/>
      <c r="J46" s="1166"/>
    </row>
    <row r="47" spans="3:10">
      <c r="C47" s="1224" t="s">
        <v>845</v>
      </c>
      <c r="D47" s="1211">
        <f>IF('Intro and instructions'!B26="Yes",'Maintenance &amp; repair'!E61,0)</f>
        <v>0</v>
      </c>
      <c r="E47" s="245"/>
      <c r="F47" s="245"/>
      <c r="G47" s="245"/>
      <c r="H47" s="1212"/>
      <c r="J47" s="1166"/>
    </row>
    <row r="48" spans="3:10">
      <c r="C48" s="1011" t="str">
        <f>'Maintenance &amp; repair'!B63</f>
        <v>GeneXpert 4-module</v>
      </c>
      <c r="D48" s="399">
        <f>IF('Intro and instructions'!B26="Yes",'Maintenance &amp; repair'!E73,0)</f>
        <v>0</v>
      </c>
      <c r="E48" s="245"/>
      <c r="F48" s="245"/>
      <c r="G48" s="245"/>
      <c r="H48" s="415"/>
      <c r="J48" s="1166"/>
    </row>
    <row r="49" spans="1:10">
      <c r="C49" s="1011" t="str">
        <f>'Maintenance &amp; repair'!B75</f>
        <v>GeneXpert 2-module</v>
      </c>
      <c r="D49" s="399">
        <f>IF('Intro and instructions'!B26="Yes",'Maintenance &amp; repair'!E85,0)</f>
        <v>0</v>
      </c>
      <c r="E49" s="245"/>
      <c r="F49" s="245"/>
      <c r="G49" s="245"/>
      <c r="H49" s="415"/>
      <c r="J49" s="1166"/>
    </row>
    <row r="50" spans="1:10">
      <c r="C50" s="1011" t="str">
        <f>'Maintenance &amp; repair'!B87</f>
        <v>GeneXpert 16-module</v>
      </c>
      <c r="D50" s="399">
        <f>IF('Intro and instructions'!B26="Yes",'Maintenance &amp; repair'!E97,0)</f>
        <v>0</v>
      </c>
      <c r="E50" s="245"/>
      <c r="F50" s="245"/>
      <c r="G50" s="245"/>
      <c r="H50" s="415"/>
      <c r="J50" s="1166"/>
    </row>
    <row r="51" spans="1:10">
      <c r="C51" s="1210" t="s">
        <v>817</v>
      </c>
      <c r="D51" s="1211">
        <f>IF('Intro and instructions'!B26="Yes",'Maintenance &amp; repair'!E105,0)</f>
        <v>0</v>
      </c>
      <c r="E51" s="245"/>
      <c r="F51" s="245"/>
      <c r="G51" s="245"/>
      <c r="H51" s="1212"/>
      <c r="J51" s="1166"/>
    </row>
    <row r="52" spans="1:10">
      <c r="C52" s="1011" t="str">
        <f>'Maintenance &amp; repair'!B107</f>
        <v>TB-LAMP</v>
      </c>
      <c r="D52" s="399">
        <f>IF('Intro and instructions'!B26="Yes",'Maintenance &amp; repair'!E110,0)</f>
        <v>0</v>
      </c>
      <c r="E52" s="245"/>
      <c r="F52" s="245"/>
      <c r="G52" s="245"/>
      <c r="H52" s="415"/>
      <c r="J52" s="1166"/>
    </row>
    <row r="53" spans="1:10">
      <c r="C53" s="1011" t="str">
        <f>'Maintenance &amp; repair'!B113</f>
        <v>LIS</v>
      </c>
      <c r="D53" s="399">
        <f>IF('Intro and instructions'!B26="Yes",'Maintenance &amp; repair'!E116,0)</f>
        <v>0</v>
      </c>
      <c r="E53" s="245"/>
      <c r="F53" s="245"/>
      <c r="G53" s="245"/>
      <c r="H53" s="415"/>
      <c r="J53" s="1166"/>
    </row>
    <row r="54" spans="1:10">
      <c r="C54" s="1011" t="str">
        <f>'Maintenance &amp; repair'!B119</f>
        <v>Ventilation system C/DST laboratory</v>
      </c>
      <c r="D54" s="399">
        <f>IF('Intro and instructions'!B26="Yes",'Maintenance &amp; repair'!E123,0)</f>
        <v>0</v>
      </c>
      <c r="E54" s="245"/>
      <c r="F54" s="245"/>
      <c r="G54" s="245"/>
      <c r="H54" s="415"/>
      <c r="J54" s="1166"/>
    </row>
    <row r="55" spans="1:10">
      <c r="C55" s="1010" t="s">
        <v>883</v>
      </c>
      <c r="D55" s="368">
        <f>IF('Intro and instructions'!B26="Yes",'Maintenance &amp; repair'!F194,0)</f>
        <v>0</v>
      </c>
      <c r="E55" s="245"/>
      <c r="F55" s="245"/>
      <c r="G55" s="245"/>
      <c r="H55" s="368" t="s">
        <v>597</v>
      </c>
      <c r="J55" s="1166"/>
    </row>
    <row r="56" spans="1:10" ht="15.75">
      <c r="C56" s="369" t="s">
        <v>1275</v>
      </c>
      <c r="D56" s="370">
        <f>SUM(D38:D55)</f>
        <v>0</v>
      </c>
      <c r="E56" s="371"/>
      <c r="F56" s="371"/>
      <c r="G56" s="371"/>
      <c r="J56" s="1166"/>
    </row>
    <row r="57" spans="1:10">
      <c r="J57" s="1166"/>
    </row>
    <row r="58" spans="1:10">
      <c r="J58" s="1166"/>
    </row>
    <row r="59" spans="1:10" ht="18">
      <c r="C59" s="1235" t="s">
        <v>557</v>
      </c>
      <c r="D59" s="1236">
        <f>SUM(D30,D35,D56)</f>
        <v>0</v>
      </c>
      <c r="J59" s="1166"/>
    </row>
    <row r="60" spans="1:10">
      <c r="J60" s="1166"/>
    </row>
    <row r="61" spans="1:10">
      <c r="A61" s="1166"/>
      <c r="B61" s="1166"/>
      <c r="C61" s="1166"/>
      <c r="D61" s="1166"/>
      <c r="E61" s="1166"/>
      <c r="F61" s="1166"/>
      <c r="G61" s="1166"/>
      <c r="H61" s="1165"/>
      <c r="I61" s="1165"/>
      <c r="J61" s="1166"/>
    </row>
    <row r="62" spans="1:10">
      <c r="A62" s="1166"/>
      <c r="B62" s="1166"/>
      <c r="C62" s="1166"/>
      <c r="D62" s="1166"/>
      <c r="E62" s="1166"/>
      <c r="F62" s="1166"/>
      <c r="G62" s="1166"/>
      <c r="H62" s="1165"/>
      <c r="I62" s="1165"/>
      <c r="J62" s="1166"/>
    </row>
  </sheetData>
  <sheetProtection algorithmName="SHA-512" hashValue="uVwcrkpyuHWxJkyNpEM6dAtj7JZwVaR2znWCJ5H8PJAxzC7WVCxQ71k9I2cE3YBo7xTZhE7rVise9u1OyYMYkw==" saltValue="75KIkeFMHW0H+egLfLXNmg==" spinCount="100000" sheet="1" objects="1" scenarios="1"/>
  <mergeCells count="2">
    <mergeCell ref="A1:G2"/>
    <mergeCell ref="K29:O29"/>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18A74-01AE-F140-8C56-D6A728C804C3}">
  <sheetPr codeName="Foglio29">
    <tabColor theme="5" tint="0.39997558519241921"/>
  </sheetPr>
  <dimension ref="A1:H288"/>
  <sheetViews>
    <sheetView showGridLines="0" zoomScaleNormal="100" zoomScalePageLayoutView="75" workbookViewId="0">
      <selection activeCell="D75" sqref="D75"/>
    </sheetView>
  </sheetViews>
  <sheetFormatPr defaultColWidth="11" defaultRowHeight="15"/>
  <cols>
    <col min="1" max="1" width="11" style="358"/>
    <col min="2" max="2" width="21.6640625" style="358" bestFit="1" customWidth="1"/>
    <col min="3" max="3" width="101.5" style="358" bestFit="1" customWidth="1"/>
    <col min="4" max="4" width="23" style="358" customWidth="1"/>
    <col min="5" max="5" width="9.1640625" style="358" customWidth="1"/>
    <col min="6" max="6" width="23.1640625" style="245" hidden="1" customWidth="1"/>
    <col min="7" max="7" width="11" style="245"/>
    <col min="8" max="8" width="11" style="359"/>
    <col min="9" max="16384" width="11" style="358"/>
  </cols>
  <sheetData>
    <row r="1" spans="1:8" ht="29.1" customHeight="1">
      <c r="A1" s="1878" t="s">
        <v>1127</v>
      </c>
      <c r="B1" s="1878"/>
      <c r="C1" s="1878"/>
      <c r="D1" s="1878"/>
      <c r="E1" s="1878"/>
      <c r="F1" s="1165"/>
      <c r="G1" s="1165"/>
      <c r="H1" s="1166"/>
    </row>
    <row r="2" spans="1:8">
      <c r="A2" s="1878"/>
      <c r="B2" s="1878"/>
      <c r="C2" s="1878"/>
      <c r="D2" s="1878"/>
      <c r="E2" s="1878"/>
      <c r="F2" s="1165"/>
      <c r="G2" s="1165"/>
      <c r="H2" s="1166"/>
    </row>
    <row r="3" spans="1:8">
      <c r="H3" s="1166"/>
    </row>
    <row r="4" spans="1:8" ht="15.75">
      <c r="C4" s="360" t="s">
        <v>561</v>
      </c>
      <c r="D4" s="360"/>
      <c r="E4" s="361"/>
      <c r="F4" s="362" t="s">
        <v>592</v>
      </c>
      <c r="H4" s="1166"/>
    </row>
    <row r="5" spans="1:8" ht="15.75">
      <c r="B5" s="1289" t="s">
        <v>614</v>
      </c>
      <c r="C5" s="1169" t="s">
        <v>555</v>
      </c>
      <c r="D5" s="1290" t="s">
        <v>69</v>
      </c>
      <c r="E5" s="366"/>
      <c r="F5" s="363" t="s">
        <v>593</v>
      </c>
      <c r="H5" s="1166"/>
    </row>
    <row r="6" spans="1:8">
      <c r="B6" s="1882" t="s">
        <v>885</v>
      </c>
      <c r="C6" s="1882"/>
      <c r="D6" s="1882"/>
      <c r="E6" s="366"/>
      <c r="F6" s="368" t="s">
        <v>594</v>
      </c>
      <c r="H6" s="1166"/>
    </row>
    <row r="7" spans="1:8" ht="15.75">
      <c r="B7" s="518">
        <f>'ZN microscopy'!A22</f>
        <v>106522</v>
      </c>
      <c r="C7" s="513" t="s">
        <v>886</v>
      </c>
      <c r="D7" s="1280">
        <f>'ZN microscopy'!F22</f>
        <v>0</v>
      </c>
      <c r="E7" s="366"/>
      <c r="F7" s="1279"/>
      <c r="H7" s="1166"/>
    </row>
    <row r="8" spans="1:8" ht="15.75">
      <c r="B8" s="518">
        <f>'ZN microscopy'!A32</f>
        <v>106601</v>
      </c>
      <c r="C8" s="513" t="str">
        <f>'ZN microscopy'!B32</f>
        <v>Basic fuchsine, 100 g (bottle)</v>
      </c>
      <c r="D8" s="1280">
        <f>'ZN microscopy'!D32</f>
        <v>0</v>
      </c>
      <c r="E8" s="366"/>
      <c r="F8" s="1279"/>
      <c r="H8" s="1166"/>
    </row>
    <row r="9" spans="1:8" ht="15.75">
      <c r="B9" s="518">
        <f>'ZN microscopy'!A33</f>
        <v>106602</v>
      </c>
      <c r="C9" s="513" t="str">
        <f>'ZN microscopy'!B33</f>
        <v>Methylene blue, 10 x 10 g (bottles)</v>
      </c>
      <c r="D9" s="1280">
        <f>'ZN microscopy'!D33</f>
        <v>0</v>
      </c>
      <c r="E9" s="366"/>
      <c r="F9" s="1279"/>
      <c r="H9" s="1166"/>
    </row>
    <row r="10" spans="1:8" ht="15.75">
      <c r="B10" s="518">
        <f>'ZN microscopy'!A34</f>
        <v>106599</v>
      </c>
      <c r="C10" s="513" t="str">
        <f>'ZN microscopy'!B34</f>
        <v>Phenol crystals, colourless, 500 g</v>
      </c>
      <c r="D10" s="1280">
        <f>'ZN microscopy'!D34</f>
        <v>0</v>
      </c>
      <c r="E10" s="366"/>
      <c r="F10" s="1279"/>
      <c r="H10" s="1166"/>
    </row>
    <row r="11" spans="1:8" ht="15.75">
      <c r="B11" s="518">
        <f>'ZN microscopy'!A35</f>
        <v>106597</v>
      </c>
      <c r="C11" s="513" t="str">
        <f>'ZN microscopy'!B35</f>
        <v>Ethanol, 99%, 1 L (bottle), for stain solutions</v>
      </c>
      <c r="D11" s="1280">
        <f>'ZN microscopy'!D35</f>
        <v>0</v>
      </c>
      <c r="E11" s="366"/>
      <c r="F11" s="1279"/>
      <c r="H11" s="1166"/>
    </row>
    <row r="12" spans="1:8" ht="15.75">
      <c r="B12" s="518">
        <f>'ZN microscopy'!A36</f>
        <v>106597</v>
      </c>
      <c r="C12" s="513" t="str">
        <f>'ZN microscopy'!B36</f>
        <v>Ethanol, 99%, 1 L (bottle), for decolourization</v>
      </c>
      <c r="D12" s="1280">
        <f>'ZN microscopy'!D36</f>
        <v>0</v>
      </c>
      <c r="E12" s="366"/>
      <c r="F12" s="1279"/>
      <c r="H12" s="1166"/>
    </row>
    <row r="13" spans="1:8" ht="15.75">
      <c r="B13" s="518">
        <f>'ZN microscopy'!A37</f>
        <v>106603</v>
      </c>
      <c r="C13" s="513" t="str">
        <f>'ZN microscopy'!B37</f>
        <v>Hydrochloric acid, 1 L (bottle)</v>
      </c>
      <c r="D13" s="1280">
        <f>'ZN microscopy'!D37</f>
        <v>0</v>
      </c>
      <c r="E13" s="366"/>
      <c r="F13" s="1279"/>
      <c r="H13" s="1166"/>
    </row>
    <row r="14" spans="1:8" ht="15.75">
      <c r="B14" s="518">
        <f>'ZN microscopy'!A43</f>
        <v>106655</v>
      </c>
      <c r="C14" s="521" t="str">
        <f>'ZN microscopy'!B43</f>
        <v>Wooden applicator sticks, 150 mm</v>
      </c>
      <c r="D14" s="1280">
        <f>'ZN microscopy'!D43</f>
        <v>0</v>
      </c>
      <c r="E14" s="366"/>
      <c r="F14" s="1279"/>
      <c r="H14" s="1166"/>
    </row>
    <row r="15" spans="1:8" ht="15.75">
      <c r="B15" s="518">
        <f>'ZN microscopy'!A44</f>
        <v>106609</v>
      </c>
      <c r="C15" s="521" t="str">
        <f>'ZN microscopy'!B44</f>
        <v>Microscope slides, lime-soda-glass, pack of 1000</v>
      </c>
      <c r="D15" s="1280">
        <f>'ZN microscopy'!D44</f>
        <v>0</v>
      </c>
      <c r="E15" s="366"/>
      <c r="F15" s="1279"/>
      <c r="H15" s="1166"/>
    </row>
    <row r="16" spans="1:8" ht="15.75">
      <c r="B16" s="518">
        <f>'ZN microscopy'!A45</f>
        <v>106627</v>
      </c>
      <c r="C16" s="521" t="str">
        <f>'ZN microscopy'!B45</f>
        <v>Immersion oil, 100 mL</v>
      </c>
      <c r="D16" s="1280">
        <f>'ZN microscopy'!D45</f>
        <v>0</v>
      </c>
      <c r="E16" s="366"/>
      <c r="F16" s="1279"/>
      <c r="H16" s="1166"/>
    </row>
    <row r="17" spans="2:8" ht="15.75">
      <c r="B17" s="518">
        <f>'ZN microscopy'!A46</f>
        <v>106656</v>
      </c>
      <c r="C17" s="521" t="str">
        <f>'ZN microscopy'!B46</f>
        <v>Lens-cleaning tissue</v>
      </c>
      <c r="D17" s="1280">
        <f>'ZN microscopy'!D46</f>
        <v>0</v>
      </c>
      <c r="E17" s="366"/>
      <c r="F17" s="1279"/>
      <c r="H17" s="1166"/>
    </row>
    <row r="18" spans="2:8" ht="15.75">
      <c r="B18" s="1283">
        <f>'ZN microscopy'!A47</f>
        <v>106354</v>
      </c>
      <c r="C18" s="1283" t="str">
        <f>'ZN microscopy'!B47</f>
        <v>Round filter paper, 150 mm</v>
      </c>
      <c r="D18" s="1280">
        <f>'ZN microscopy'!D47</f>
        <v>0</v>
      </c>
      <c r="E18" s="366"/>
      <c r="F18" s="1279"/>
      <c r="H18" s="1166"/>
    </row>
    <row r="19" spans="2:8" ht="15.75">
      <c r="B19" s="1283">
        <f>'ZN microscopy'!A48</f>
        <v>106597</v>
      </c>
      <c r="C19" s="1283" t="str">
        <f>'ZN microscopy'!B48</f>
        <v>Ethanol, 99%, 1 L (bottle), for spirit lamps</v>
      </c>
      <c r="D19" s="1280">
        <f>'ZN microscopy'!D48</f>
        <v>0</v>
      </c>
      <c r="E19" s="366"/>
      <c r="F19" s="1279"/>
      <c r="H19" s="1166"/>
    </row>
    <row r="20" spans="2:8" ht="15.75">
      <c r="B20" s="1283">
        <f>'ZN microscopy'!A49</f>
        <v>106355</v>
      </c>
      <c r="C20" s="1283" t="str">
        <f>'ZN microscopy'!B49</f>
        <v>Marker pen (water-resistant)</v>
      </c>
      <c r="D20" s="1280">
        <f>'ZN microscopy'!D49</f>
        <v>0</v>
      </c>
      <c r="E20" s="366"/>
      <c r="F20" s="1279"/>
      <c r="H20" s="1166"/>
    </row>
    <row r="21" spans="2:8" ht="15.75">
      <c r="B21" s="1283">
        <f>'ZN microscopy'!A50</f>
        <v>106525</v>
      </c>
      <c r="C21" s="1283" t="str">
        <f>'ZN microscopy'!B50</f>
        <v>Sputum containers, pack of 1000</v>
      </c>
      <c r="D21" s="1280">
        <f>'ZN microscopy'!D50</f>
        <v>0</v>
      </c>
      <c r="E21" s="366"/>
      <c r="F21" s="1279"/>
      <c r="H21" s="1166"/>
    </row>
    <row r="22" spans="2:8">
      <c r="B22" s="1882" t="s">
        <v>719</v>
      </c>
      <c r="C22" s="1882"/>
      <c r="D22" s="1882"/>
      <c r="E22" s="366"/>
      <c r="F22" s="415"/>
      <c r="H22" s="1166"/>
    </row>
    <row r="23" spans="2:8" ht="15.75">
      <c r="B23" s="1286">
        <f>'LED microscopy'!A22</f>
        <v>106523</v>
      </c>
      <c r="C23" s="1281" t="s">
        <v>887</v>
      </c>
      <c r="D23" s="1280">
        <f>'LED microscopy'!F22</f>
        <v>0</v>
      </c>
      <c r="E23" s="366"/>
      <c r="F23" s="1279"/>
      <c r="H23" s="1166"/>
    </row>
    <row r="24" spans="2:8" ht="15.75">
      <c r="B24" s="1286">
        <f>'LED microscopy'!A32</f>
        <v>106602</v>
      </c>
      <c r="C24" s="1281" t="str">
        <f>'LED microscopy'!B32</f>
        <v>Methylene blue, 10 x 10 g (bottles)</v>
      </c>
      <c r="D24" s="1280">
        <f>'LED microscopy'!D32</f>
        <v>0</v>
      </c>
      <c r="E24" s="366"/>
      <c r="F24" s="1279"/>
      <c r="H24" s="1166"/>
    </row>
    <row r="25" spans="2:8" ht="15.75">
      <c r="B25" s="1286">
        <f>'LED microscopy'!A33</f>
        <v>106599</v>
      </c>
      <c r="C25" s="1281" t="str">
        <f>'LED microscopy'!B33</f>
        <v>Phenol crystals colourless, 500 g</v>
      </c>
      <c r="D25" s="1280">
        <f>'LED microscopy'!D33</f>
        <v>0</v>
      </c>
      <c r="E25" s="366"/>
      <c r="F25" s="1279"/>
      <c r="H25" s="1166"/>
    </row>
    <row r="26" spans="2:8" ht="15.75">
      <c r="B26" s="1286">
        <f>'LED microscopy'!A34</f>
        <v>106276</v>
      </c>
      <c r="C26" s="1281" t="str">
        <f>'LED microscopy'!B34</f>
        <v>Auramine O, powder, 25 g</v>
      </c>
      <c r="D26" s="1280">
        <f>'LED microscopy'!D34</f>
        <v>0</v>
      </c>
      <c r="E26" s="366"/>
      <c r="F26" s="1279"/>
      <c r="H26" s="1166"/>
    </row>
    <row r="27" spans="2:8" ht="15.75">
      <c r="B27" s="1286">
        <f>'LED microscopy'!A35</f>
        <v>106597</v>
      </c>
      <c r="C27" s="1281" t="str">
        <f>'LED microscopy'!B35</f>
        <v>Ethanol, 99%, 1 L (bottle), for decolourization</v>
      </c>
      <c r="D27" s="1280">
        <f>'LED microscopy'!D35</f>
        <v>0</v>
      </c>
      <c r="E27" s="366"/>
      <c r="F27" s="1279"/>
      <c r="H27" s="1166"/>
    </row>
    <row r="28" spans="2:8" ht="15.75">
      <c r="B28" s="1287">
        <f>'LED microscopy'!A36</f>
        <v>106603</v>
      </c>
      <c r="C28" s="1281" t="str">
        <f>'LED microscopy'!B36</f>
        <v>Hydrochloric acid, 1 L (bottle)</v>
      </c>
      <c r="D28" s="1280">
        <f>'LED microscopy'!D36</f>
        <v>0</v>
      </c>
      <c r="E28" s="366"/>
      <c r="F28" s="1279"/>
      <c r="H28" s="1166"/>
    </row>
    <row r="29" spans="2:8" ht="15.75">
      <c r="B29" s="1286">
        <f>'LED microscopy'!A42</f>
        <v>106655</v>
      </c>
      <c r="C29" s="1283" t="str">
        <f>'LED microscopy'!B42</f>
        <v>Wooden applicator sticks, 150 mm</v>
      </c>
      <c r="D29" s="1280">
        <f>'LED microscopy'!D42</f>
        <v>0</v>
      </c>
      <c r="E29" s="366"/>
      <c r="F29" s="1279"/>
      <c r="H29" s="1166"/>
    </row>
    <row r="30" spans="2:8" ht="15.75">
      <c r="B30" s="1286">
        <f>'LED microscopy'!A43</f>
        <v>106609</v>
      </c>
      <c r="C30" s="1283" t="str">
        <f>'LED microscopy'!B43</f>
        <v>Microscope slides, lime-soda-glass, pack of 1000</v>
      </c>
      <c r="D30" s="1280">
        <f>'LED microscopy'!D43</f>
        <v>0</v>
      </c>
      <c r="E30" s="366"/>
      <c r="F30" s="1279"/>
      <c r="H30" s="1166"/>
    </row>
    <row r="31" spans="2:8" ht="15.75">
      <c r="B31" s="1286">
        <f>'LED microscopy'!A44</f>
        <v>106627</v>
      </c>
      <c r="C31" s="1283" t="str">
        <f>'LED microscopy'!B44</f>
        <v>Immersion oil, 100 mL</v>
      </c>
      <c r="D31" s="1280">
        <f>'LED microscopy'!D44</f>
        <v>0</v>
      </c>
      <c r="E31" s="366"/>
      <c r="F31" s="1279"/>
      <c r="H31" s="1166"/>
    </row>
    <row r="32" spans="2:8" ht="15.75">
      <c r="B32" s="1286">
        <f>'LED microscopy'!A45</f>
        <v>106656</v>
      </c>
      <c r="C32" s="1283" t="str">
        <f>'LED microscopy'!B45</f>
        <v>Lens-cleaning tissue</v>
      </c>
      <c r="D32" s="1280">
        <f>'LED microscopy'!D45</f>
        <v>0</v>
      </c>
      <c r="E32" s="366"/>
      <c r="F32" s="1279"/>
      <c r="H32" s="1166"/>
    </row>
    <row r="33" spans="2:8" ht="15.75">
      <c r="B33" s="1286">
        <f>'LED microscopy'!A46</f>
        <v>106354</v>
      </c>
      <c r="C33" s="1283" t="str">
        <f>'LED microscopy'!B46</f>
        <v>Round filter paper, 150 mm</v>
      </c>
      <c r="D33" s="1280">
        <f>'LED microscopy'!D46</f>
        <v>0</v>
      </c>
      <c r="E33" s="366"/>
      <c r="F33" s="1279"/>
      <c r="H33" s="1166"/>
    </row>
    <row r="34" spans="2:8" ht="15.75">
      <c r="B34" s="1286">
        <f>'LED microscopy'!A47</f>
        <v>106597</v>
      </c>
      <c r="C34" s="1283" t="str">
        <f>'LED microscopy'!B47</f>
        <v>Ethanol, 99%, 1 L (bottle), for spirit lamps</v>
      </c>
      <c r="D34" s="1280">
        <f>'LED microscopy'!D47</f>
        <v>0</v>
      </c>
      <c r="E34" s="366"/>
      <c r="F34" s="1279"/>
      <c r="H34" s="1166"/>
    </row>
    <row r="35" spans="2:8" ht="15.75">
      <c r="B35" s="1286">
        <f>'LED microscopy'!A48</f>
        <v>106355</v>
      </c>
      <c r="C35" s="1283" t="str">
        <f>'LED microscopy'!B48</f>
        <v>Marker pen (water-resistant)</v>
      </c>
      <c r="D35" s="1280">
        <f>'LED microscopy'!D48</f>
        <v>0</v>
      </c>
      <c r="E35" s="366"/>
      <c r="F35" s="1279"/>
      <c r="H35" s="1166"/>
    </row>
    <row r="36" spans="2:8" ht="15.75">
      <c r="B36" s="1286">
        <f>'LED microscopy'!A49</f>
        <v>106525</v>
      </c>
      <c r="C36" s="1283" t="str">
        <f>'LED microscopy'!B49</f>
        <v>Sputum containers, pack of 1000</v>
      </c>
      <c r="D36" s="1280">
        <f>'LED microscopy'!D49</f>
        <v>0</v>
      </c>
      <c r="E36" s="366"/>
      <c r="F36" s="1279"/>
      <c r="H36" s="1166"/>
    </row>
    <row r="37" spans="2:8">
      <c r="B37" s="1882" t="s">
        <v>652</v>
      </c>
      <c r="C37" s="1882"/>
      <c r="D37" s="1882"/>
      <c r="E37" s="366"/>
      <c r="F37" s="1000"/>
      <c r="H37" s="1166"/>
    </row>
    <row r="38" spans="2:8" ht="15.75">
      <c r="B38" s="1286">
        <f>'TB-LAMP'!A23</f>
        <v>106634</v>
      </c>
      <c r="C38" s="1283" t="str">
        <f>'TB-LAMP'!B23</f>
        <v>Loopamp MTBC Detection Kit (2 x 48 tests)</v>
      </c>
      <c r="D38" s="1280">
        <f>'TB-LAMP'!E23</f>
        <v>0</v>
      </c>
      <c r="E38" s="366"/>
      <c r="F38" s="1279"/>
      <c r="H38" s="1166"/>
    </row>
    <row r="39" spans="2:8" ht="15.75">
      <c r="B39" s="1286">
        <f>'TB-LAMP'!A24</f>
        <v>106635</v>
      </c>
      <c r="C39" s="1283" t="str">
        <f>'TB-LAMP'!B24</f>
        <v>Loopamp PURE DNA Extraction Kit (90 tests)</v>
      </c>
      <c r="D39" s="1280">
        <f>'TB-LAMP'!E24</f>
        <v>0</v>
      </c>
      <c r="E39" s="366"/>
      <c r="F39" s="1279"/>
      <c r="H39" s="1166"/>
    </row>
    <row r="40" spans="2:8" ht="15.75">
      <c r="B40" s="1286">
        <f>'TB-LAMP'!A25</f>
        <v>106643</v>
      </c>
      <c r="C40" s="1283" t="str">
        <f>'TB-LAMP'!B25</f>
        <v>Pipette-60 set for TB LAMP (4 x 96 tests)</v>
      </c>
      <c r="D40" s="1280">
        <f>'TB-LAMP'!E25</f>
        <v>0</v>
      </c>
      <c r="E40" s="366"/>
      <c r="F40" s="1279"/>
      <c r="H40" s="1166"/>
    </row>
    <row r="41" spans="2:8">
      <c r="B41" s="1882" t="s">
        <v>817</v>
      </c>
      <c r="C41" s="1882"/>
      <c r="D41" s="1882"/>
      <c r="E41" s="366"/>
      <c r="F41" s="1000"/>
      <c r="H41" s="1166"/>
    </row>
    <row r="42" spans="2:8" ht="15.75">
      <c r="B42" s="1286">
        <f>Truenat!A27</f>
        <v>106697</v>
      </c>
      <c r="C42" s="1283" t="str">
        <f>Truenat!B27</f>
        <v>Truenat MTB  Plus</v>
      </c>
      <c r="D42" s="1280">
        <f>Truenat!D27</f>
        <v>0</v>
      </c>
      <c r="E42" s="366"/>
      <c r="F42" s="1279"/>
      <c r="H42" s="1166"/>
    </row>
    <row r="43" spans="2:8" ht="15.75">
      <c r="B43" s="1286">
        <f>Truenat!A28</f>
        <v>106700</v>
      </c>
      <c r="C43" s="1283" t="str">
        <f>Truenat!B28</f>
        <v>Truenat MTB Rif</v>
      </c>
      <c r="D43" s="1280">
        <f>Truenat!D28</f>
        <v>0</v>
      </c>
      <c r="E43" s="366"/>
      <c r="F43" s="1279"/>
      <c r="H43" s="1166"/>
    </row>
    <row r="44" spans="2:8">
      <c r="B44" s="1882" t="s">
        <v>819</v>
      </c>
      <c r="C44" s="1882"/>
      <c r="D44" s="1882"/>
      <c r="E44" s="366"/>
      <c r="F44" s="1000"/>
      <c r="H44" s="1166"/>
    </row>
    <row r="45" spans="2:8" ht="15.75">
      <c r="B45" s="1286" t="str">
        <f>'Xpert MTB RIF Ultra'!A25</f>
        <v>CGXMTB-RIF-50</v>
      </c>
      <c r="C45" s="1283" t="str">
        <f>'Xpert MTB RIF Ultra'!B25</f>
        <v>Xpert MTB/RIF cartridges</v>
      </c>
      <c r="D45" s="1280">
        <f>'Xpert MTB RIF Ultra'!D25</f>
        <v>0</v>
      </c>
      <c r="E45" s="366"/>
      <c r="F45" s="1279"/>
      <c r="H45" s="1166"/>
    </row>
    <row r="46" spans="2:8" ht="15.75">
      <c r="B46" s="1286">
        <f>'Xpert MTB RIF Ultra'!A26</f>
        <v>106340</v>
      </c>
      <c r="C46" s="1283" t="str">
        <f>'Xpert MTB RIF Ultra'!B26</f>
        <v>Sterile plastic centrifuge tubes 50 mL</v>
      </c>
      <c r="D46" s="1280">
        <f>'Xpert MTB RIF Ultra'!D26</f>
        <v>0</v>
      </c>
      <c r="E46" s="366"/>
      <c r="F46" s="1279"/>
      <c r="H46" s="1166"/>
    </row>
    <row r="47" spans="2:8" ht="15.75">
      <c r="B47" s="1286">
        <f>'Xpert MTB RIF Ultra'!A27</f>
        <v>106525</v>
      </c>
      <c r="C47" s="1283" t="str">
        <f>'Xpert MTB RIF Ultra'!B27</f>
        <v>Sputum containers, pack of 1000</v>
      </c>
      <c r="D47" s="1280">
        <f>'Xpert MTB RIF Ultra'!D27</f>
        <v>0</v>
      </c>
      <c r="E47" s="366"/>
      <c r="F47" s="1279"/>
      <c r="H47" s="1166"/>
    </row>
    <row r="48" spans="2:8">
      <c r="B48" s="1882" t="s">
        <v>635</v>
      </c>
      <c r="C48" s="1882"/>
      <c r="D48" s="1882"/>
      <c r="E48" s="366"/>
      <c r="F48" s="415"/>
      <c r="H48" s="1166"/>
    </row>
    <row r="49" spans="2:8" ht="15.75">
      <c r="B49" s="1286">
        <f>LAM!A21</f>
        <v>106749</v>
      </c>
      <c r="C49" s="1283" t="str">
        <f>LAM!B21</f>
        <v>Determine TB LAM Ag tests</v>
      </c>
      <c r="D49" s="1280">
        <f>LAM!E21</f>
        <v>0</v>
      </c>
      <c r="E49" s="366"/>
      <c r="F49" s="1279"/>
      <c r="H49" s="1166"/>
    </row>
    <row r="50" spans="2:8" ht="15.75">
      <c r="B50" s="1286">
        <f>LAM!A22</f>
        <v>106525</v>
      </c>
      <c r="C50" s="1283" t="str">
        <f>LAM!B22</f>
        <v>Sputum containers</v>
      </c>
      <c r="D50" s="1280">
        <f>LAM!E22</f>
        <v>0</v>
      </c>
      <c r="E50" s="366"/>
      <c r="F50" s="1279"/>
      <c r="H50" s="1166"/>
    </row>
    <row r="51" spans="2:8" ht="15.75">
      <c r="B51" s="1286">
        <f>LAM!A23</f>
        <v>106388</v>
      </c>
      <c r="C51" s="1283" t="str">
        <f>LAM!B23</f>
        <v>Sterile pipette filter tips, 5–100 µL</v>
      </c>
      <c r="D51" s="1280">
        <f>LAM!E23</f>
        <v>0</v>
      </c>
      <c r="E51" s="366"/>
      <c r="F51" s="1279"/>
      <c r="H51" s="1166"/>
    </row>
    <row r="52" spans="2:8">
      <c r="B52" s="1882" t="s">
        <v>698</v>
      </c>
      <c r="C52" s="1882"/>
      <c r="D52" s="1882"/>
      <c r="E52" s="366"/>
      <c r="F52" s="415"/>
      <c r="H52" s="1166"/>
    </row>
    <row r="53" spans="2:8" ht="15.75">
      <c r="B53" s="1286">
        <f>'LPA 1st line'!B30</f>
        <v>106682</v>
      </c>
      <c r="C53" s="1283" t="str">
        <f>'LPA 1st line'!C30</f>
        <v>Genoscholar NTM+MDRTB II</v>
      </c>
      <c r="D53" s="1280">
        <f>'LPA 1st line'!E30</f>
        <v>0</v>
      </c>
      <c r="E53" s="366"/>
      <c r="F53" s="1279"/>
      <c r="H53" s="1166"/>
    </row>
    <row r="54" spans="2:8" ht="15.75">
      <c r="B54" s="1286">
        <f>'LPA 1st line'!B31</f>
        <v>106512</v>
      </c>
      <c r="C54" s="1283" t="str">
        <f>'LPA 1st line'!C31</f>
        <v xml:space="preserve">Geno Type MTBDRplus (96 tests/kit), Version 2.0 (30496A)   </v>
      </c>
      <c r="D54" s="1280">
        <f>'LPA 1st line'!E31</f>
        <v>0</v>
      </c>
      <c r="E54" s="366"/>
      <c r="F54" s="1279"/>
      <c r="H54" s="1166"/>
    </row>
    <row r="55" spans="2:8" ht="15.75">
      <c r="B55" s="1286">
        <f>'LPA 1st line'!B32</f>
        <v>106477</v>
      </c>
      <c r="C55" s="1283" t="str">
        <f>'LPA 1st line'!C32</f>
        <v>GenoLyse (96 tests), Version 1.0 (51610)</v>
      </c>
      <c r="D55" s="1280">
        <f>'LPA 1st line'!E32</f>
        <v>0</v>
      </c>
      <c r="E55" s="366"/>
      <c r="F55" s="1279"/>
      <c r="H55" s="1166"/>
    </row>
    <row r="56" spans="2:8" ht="15.75">
      <c r="B56" s="1286">
        <f>'LPA 1st line'!B33</f>
        <v>106254</v>
      </c>
      <c r="C56" s="1283" t="str">
        <f>'LPA 1st line'!C33</f>
        <v>Molecular grade water - 10 x 1.7 mL</v>
      </c>
      <c r="D56" s="1280">
        <f>'LPA 1st line'!E33</f>
        <v>0</v>
      </c>
      <c r="E56" s="366"/>
      <c r="F56" s="1279"/>
      <c r="H56" s="1166"/>
    </row>
    <row r="57" spans="2:8" ht="15.75">
      <c r="B57" s="1286">
        <f>'LPA 1st line'!B34</f>
        <v>106385</v>
      </c>
      <c r="C57" s="1283" t="str">
        <f>'LPA 1st line'!C34</f>
        <v>PCR tubes, 0.2 mL with attached caps, sterile, DNAse- and RNAse-free, 1000 per pack</v>
      </c>
      <c r="D57" s="1280">
        <f>'LPA 1st line'!E34</f>
        <v>0</v>
      </c>
      <c r="E57" s="366"/>
      <c r="F57" s="1279"/>
      <c r="H57" s="1166"/>
    </row>
    <row r="58" spans="2:8" ht="15.75">
      <c r="B58" s="1286">
        <f>'LPA 1st line'!B35</f>
        <v>106422</v>
      </c>
      <c r="C58" s="1283" t="str">
        <f>'LPA 1st line'!C35</f>
        <v>Microcentrifuge tubes, 2 mL</v>
      </c>
      <c r="D58" s="1280">
        <f>'LPA 1st line'!E35</f>
        <v>0</v>
      </c>
      <c r="E58" s="366"/>
      <c r="F58" s="1279"/>
      <c r="H58" s="1166"/>
    </row>
    <row r="59" spans="2:8" ht="15.75">
      <c r="B59" s="1286">
        <f>'LPA 1st line'!B36</f>
        <v>106421</v>
      </c>
      <c r="C59" s="1283" t="str">
        <f>'LPA 1st line'!C36</f>
        <v>Microcentrifuge tubes, 1.5 mL</v>
      </c>
      <c r="D59" s="1280">
        <f>'LPA 1st line'!E36</f>
        <v>0</v>
      </c>
      <c r="E59" s="366"/>
      <c r="F59" s="1279"/>
      <c r="H59" s="1166"/>
    </row>
    <row r="60" spans="2:8" ht="15.75">
      <c r="B60" s="1286">
        <f>'LPA 1st line'!B37</f>
        <v>106383</v>
      </c>
      <c r="C60" s="1283" t="str">
        <f>'LPA 1st line'!C37</f>
        <v>Sterile cryovials, 2 mL, single handed</v>
      </c>
      <c r="D60" s="1280">
        <f>'LPA 1st line'!E37</f>
        <v>0</v>
      </c>
      <c r="E60" s="366"/>
      <c r="F60" s="1279"/>
      <c r="H60" s="1166"/>
    </row>
    <row r="61" spans="2:8" ht="15.75">
      <c r="B61" s="1286">
        <f>'LPA 1st line'!B38</f>
        <v>106554</v>
      </c>
      <c r="C61" s="1283" t="str">
        <f>'LPA 1st line'!C38</f>
        <v>Sterile filter tips,  0.1–10 µL</v>
      </c>
      <c r="D61" s="1280">
        <f>'LPA 1st line'!E38</f>
        <v>0</v>
      </c>
      <c r="E61" s="366"/>
      <c r="F61" s="1279"/>
      <c r="H61" s="1166"/>
    </row>
    <row r="62" spans="2:8" ht="15.75">
      <c r="B62" s="1286">
        <f>'LPA 1st line'!B39</f>
        <v>106389</v>
      </c>
      <c r="C62" s="1283" t="str">
        <f>'LPA 1st line'!C39</f>
        <v>Sterile filter tips, 20–200 µL</v>
      </c>
      <c r="D62" s="1280">
        <f>'LPA 1st line'!E39</f>
        <v>0</v>
      </c>
      <c r="E62" s="366"/>
      <c r="F62" s="1279"/>
      <c r="H62" s="1166"/>
    </row>
    <row r="63" spans="2:8" ht="15.75">
      <c r="B63" s="1286">
        <f>'LPA 1st line'!B40</f>
        <v>106390</v>
      </c>
      <c r="C63" s="1283" t="str">
        <f>'LPA 1st line'!C40</f>
        <v>Sterile filter tips, 100–1000 µL</v>
      </c>
      <c r="D63" s="1280">
        <f>'LPA 1st line'!E40</f>
        <v>0</v>
      </c>
      <c r="E63" s="366"/>
      <c r="F63" s="1279"/>
      <c r="H63" s="1166"/>
    </row>
    <row r="64" spans="2:8" ht="15.75">
      <c r="B64" s="1286">
        <f>'LPA 1st line'!B41</f>
        <v>106412</v>
      </c>
      <c r="C64" s="1283" t="str">
        <f>'LPA 1st line'!C41</f>
        <v xml:space="preserve">Long 1-mL tips with filter </v>
      </c>
      <c r="D64" s="1280">
        <f>'LPA 1st line'!E41</f>
        <v>0</v>
      </c>
      <c r="E64" s="366"/>
      <c r="F64" s="1279"/>
      <c r="H64" s="1166"/>
    </row>
    <row r="65" spans="2:8" ht="15.75">
      <c r="B65" s="1286">
        <f>'LPA 1st line'!B42</f>
        <v>106398</v>
      </c>
      <c r="C65" s="1283" t="str">
        <f>'LPA 1st line'!C42</f>
        <v xml:space="preserve">Dispenser tips, 12.5 mL </v>
      </c>
      <c r="D65" s="1280">
        <f>'LPA 1st line'!E42</f>
        <v>0</v>
      </c>
      <c r="E65" s="366"/>
      <c r="F65" s="1279"/>
      <c r="H65" s="1166"/>
    </row>
    <row r="66" spans="2:8" ht="15.75">
      <c r="B66" s="1286">
        <f>'LPA 1st line'!B43</f>
        <v>106434</v>
      </c>
      <c r="C66" s="1283" t="str">
        <f>'LPA 1st line'!C43</f>
        <v xml:space="preserve">Non-sterile Pasteur pipettes, 3 mL </v>
      </c>
      <c r="D66" s="1280">
        <f>'LPA 1st line'!E43</f>
        <v>0</v>
      </c>
      <c r="E66" s="366"/>
      <c r="F66" s="1279"/>
      <c r="H66" s="1166"/>
    </row>
    <row r="67" spans="2:8" ht="15.75">
      <c r="B67" s="1286">
        <f>'LPA 1st line'!B44</f>
        <v>106556</v>
      </c>
      <c r="C67" s="1283" t="str">
        <f>'LPA 1st line'!C44</f>
        <v xml:space="preserve">Sterile plastic laboratory forceps </v>
      </c>
      <c r="D67" s="1280">
        <f>'LPA 1st line'!E44</f>
        <v>0</v>
      </c>
      <c r="E67" s="366"/>
      <c r="F67" s="1279"/>
      <c r="H67" s="1166"/>
    </row>
    <row r="68" spans="2:8" ht="15.75">
      <c r="B68" s="1286">
        <f>'LPA 1st line'!B45</f>
        <v>106355</v>
      </c>
      <c r="C68" s="1283" t="str">
        <f>'LPA 1st line'!C45</f>
        <v>Permanent marker</v>
      </c>
      <c r="D68" s="1280">
        <f>'LPA 1st line'!E45</f>
        <v>0</v>
      </c>
      <c r="E68" s="366"/>
      <c r="F68" s="1279"/>
      <c r="H68" s="1166"/>
    </row>
    <row r="69" spans="2:8" ht="15.75">
      <c r="B69" s="1286">
        <f>'LPA 1st line'!B46</f>
        <v>106384</v>
      </c>
      <c r="C69" s="1283" t="str">
        <f>'LPA 1st line'!C46</f>
        <v>Sterile plastic centrifuge tubes, 15 mL</v>
      </c>
      <c r="D69" s="1280">
        <f>'LPA 1st line'!E46</f>
        <v>0</v>
      </c>
      <c r="E69" s="366"/>
      <c r="F69" s="1279"/>
      <c r="H69" s="1166"/>
    </row>
    <row r="70" spans="2:8" ht="15.75">
      <c r="B70" s="1286">
        <f>'LPA 1st line'!B47</f>
        <v>106340</v>
      </c>
      <c r="C70" s="1283" t="str">
        <f>'LPA 1st line'!C47</f>
        <v>Sterile plastic centrifuge tubes, 50 mL</v>
      </c>
      <c r="D70" s="1280">
        <f>'LPA 1st line'!E47</f>
        <v>0</v>
      </c>
      <c r="E70" s="366"/>
      <c r="F70" s="1279"/>
      <c r="H70" s="1166"/>
    </row>
    <row r="71" spans="2:8" ht="15.75">
      <c r="B71" s="1286">
        <f>'LPA 1st line'!B48</f>
        <v>106444</v>
      </c>
      <c r="C71" s="1283" t="str">
        <f>'LPA 1st line'!C48</f>
        <v>Plastic bags, 30 L</v>
      </c>
      <c r="D71" s="1280">
        <f>'LPA 1st line'!E48</f>
        <v>0</v>
      </c>
      <c r="E71" s="366"/>
      <c r="F71" s="1279"/>
      <c r="H71" s="1166"/>
    </row>
    <row r="72" spans="2:8" ht="15.75">
      <c r="B72" s="1286">
        <f>'LPA 1st line'!B49</f>
        <v>106415</v>
      </c>
      <c r="C72" s="1283" t="str">
        <f>'LPA 1st line'!C49</f>
        <v>Square filter paper, 580 mm</v>
      </c>
      <c r="D72" s="1280">
        <f>'LPA 1st line'!E49</f>
        <v>0</v>
      </c>
      <c r="E72" s="366"/>
      <c r="F72" s="1279"/>
      <c r="H72" s="1166"/>
    </row>
    <row r="73" spans="2:8" ht="15.75">
      <c r="B73" s="1286">
        <f>'LPA 1st line'!B50</f>
        <v>106439</v>
      </c>
      <c r="C73" s="1283" t="str">
        <f>'LPA 1st line'!C50</f>
        <v>GT-Blot 48 reagent set</v>
      </c>
      <c r="D73" s="1280">
        <f>'LPA 1st line'!E50</f>
        <v>0</v>
      </c>
      <c r="E73" s="366"/>
      <c r="F73" s="1279"/>
      <c r="H73" s="1166"/>
    </row>
    <row r="74" spans="2:8" ht="15.75">
      <c r="B74" s="1286">
        <f>'LPA 1st line'!B51</f>
        <v>106438</v>
      </c>
      <c r="C74" s="1283" t="str">
        <f>'LPA 1st line'!C51</f>
        <v>GT-Blot 48 tray for 96 strips (black)</v>
      </c>
      <c r="D74" s="1280">
        <f>'LPA 1st line'!E51</f>
        <v>0</v>
      </c>
      <c r="E74" s="366"/>
      <c r="F74" s="1279"/>
      <c r="H74" s="1166"/>
    </row>
    <row r="75" spans="2:8" ht="15.75">
      <c r="B75" s="1286">
        <f>'LPA 1st line'!B52</f>
        <v>106755</v>
      </c>
      <c r="C75" s="1283" t="str">
        <f>'LPA 1st line'!C52</f>
        <v>Paper towels</v>
      </c>
      <c r="D75" s="1280">
        <f>'LPA 1st line'!E52</f>
        <v>0</v>
      </c>
      <c r="E75" s="366"/>
      <c r="F75" s="1279"/>
      <c r="H75" s="1166"/>
    </row>
    <row r="76" spans="2:8" ht="15.75">
      <c r="B76" s="1286">
        <f>'LPA 1st line'!B53</f>
        <v>106333</v>
      </c>
      <c r="C76" s="1283" t="str">
        <f>'LPA 1st line'!C53</f>
        <v>Ethanol / Isopropanol - 5 L</v>
      </c>
      <c r="D76" s="1280">
        <f>'LPA 1st line'!E53</f>
        <v>0</v>
      </c>
      <c r="E76" s="366"/>
      <c r="F76" s="1279"/>
      <c r="H76" s="1166"/>
    </row>
    <row r="77" spans="2:8">
      <c r="B77" s="1882" t="s">
        <v>699</v>
      </c>
      <c r="C77" s="1882"/>
      <c r="D77" s="1882"/>
      <c r="E77" s="366"/>
      <c r="F77" s="415"/>
      <c r="H77" s="1166"/>
    </row>
    <row r="78" spans="2:8" ht="15.75">
      <c r="B78" s="1286">
        <f>'LPA 2nd line'!B30</f>
        <v>106513</v>
      </c>
      <c r="C78" s="1283" t="str">
        <f>'LPA 2nd line'!C30</f>
        <v xml:space="preserve">Geno Type MTBDRsl (96 tests/kit), Version 2.0 (30496A)   </v>
      </c>
      <c r="D78" s="1280">
        <f>'LPA 2nd line'!kit_ordered</f>
        <v>0</v>
      </c>
      <c r="E78" s="366"/>
      <c r="F78" s="1279"/>
      <c r="H78" s="1166"/>
    </row>
    <row r="79" spans="2:8" ht="15.75">
      <c r="B79" s="1286">
        <f>'LPA 2nd line'!B31</f>
        <v>106477</v>
      </c>
      <c r="C79" s="1283" t="str">
        <f>'LPA 2nd line'!C31</f>
        <v>GenoLyse (96 tests), Version 1.0 (51610)</v>
      </c>
      <c r="D79" s="1280">
        <f>'LPA 2nd line'!kit_ordered</f>
        <v>0</v>
      </c>
      <c r="E79" s="366"/>
      <c r="F79" s="1279"/>
      <c r="H79" s="1166"/>
    </row>
    <row r="80" spans="2:8" ht="15.75">
      <c r="B80" s="1286">
        <f>'LPA 2nd line'!B32</f>
        <v>106254</v>
      </c>
      <c r="C80" s="1283" t="str">
        <f>'LPA 2nd line'!C32</f>
        <v>Molecular-grade water - 10 x 1.7 mL</v>
      </c>
      <c r="D80" s="1280">
        <f>'LPA 2nd line'!kit_ordered</f>
        <v>0</v>
      </c>
      <c r="E80" s="366"/>
      <c r="F80" s="1279"/>
      <c r="H80" s="1166"/>
    </row>
    <row r="81" spans="2:8" ht="15.75">
      <c r="B81" s="1286">
        <f>'LPA 2nd line'!B33</f>
        <v>106385</v>
      </c>
      <c r="C81" s="1283" t="str">
        <f>'LPA 2nd line'!C33</f>
        <v>PCR tubes, 0.2 mL with attached caps, sterile, DNAse- RNAse-free, 1000 per pack</v>
      </c>
      <c r="D81" s="1280">
        <f>'LPA 2nd line'!kit_ordered</f>
        <v>0</v>
      </c>
      <c r="E81" s="366"/>
      <c r="F81" s="1279"/>
      <c r="H81" s="1166"/>
    </row>
    <row r="82" spans="2:8" ht="15.75">
      <c r="B82" s="1286">
        <f>'LPA 2nd line'!B34</f>
        <v>106422</v>
      </c>
      <c r="C82" s="1283" t="str">
        <f>'LPA 2nd line'!C34</f>
        <v>Microcentrifuge tubes, 2 mL</v>
      </c>
      <c r="D82" s="1280">
        <f>'LPA 2nd line'!kit_ordered</f>
        <v>0</v>
      </c>
      <c r="E82" s="366"/>
      <c r="F82" s="1279"/>
      <c r="H82" s="1166"/>
    </row>
    <row r="83" spans="2:8" ht="15.75">
      <c r="B83" s="1286">
        <f>'LPA 2nd line'!B35</f>
        <v>106421</v>
      </c>
      <c r="C83" s="1283" t="str">
        <f>'LPA 2nd line'!C35</f>
        <v>Microcentrifuge tubes, 1.5 mL</v>
      </c>
      <c r="D83" s="1280">
        <f>'LPA 2nd line'!kit_ordered</f>
        <v>0</v>
      </c>
      <c r="E83" s="366"/>
      <c r="F83" s="1279"/>
      <c r="H83" s="1166"/>
    </row>
    <row r="84" spans="2:8" ht="15.75">
      <c r="B84" s="1286">
        <f>'LPA 2nd line'!B36</f>
        <v>106383</v>
      </c>
      <c r="C84" s="1283" t="str">
        <f>'LPA 2nd line'!C36</f>
        <v>Sterile cryovials, 2 mL, single handed</v>
      </c>
      <c r="D84" s="1280">
        <f>'LPA 2nd line'!kit_ordered</f>
        <v>0</v>
      </c>
      <c r="E84" s="366"/>
      <c r="F84" s="1279"/>
      <c r="H84" s="1166"/>
    </row>
    <row r="85" spans="2:8" ht="15.75">
      <c r="B85" s="1286">
        <f>'LPA 2nd line'!B37</f>
        <v>106554</v>
      </c>
      <c r="C85" s="1283" t="str">
        <f>'LPA 2nd line'!C37</f>
        <v>Sterile filter tips, 0.1–10 µL</v>
      </c>
      <c r="D85" s="1280">
        <f>'LPA 2nd line'!kit_ordered</f>
        <v>0</v>
      </c>
      <c r="E85" s="366"/>
      <c r="F85" s="1279"/>
      <c r="H85" s="1166"/>
    </row>
    <row r="86" spans="2:8" ht="15.75">
      <c r="B86" s="1286">
        <f>'LPA 2nd line'!B38</f>
        <v>106389</v>
      </c>
      <c r="C86" s="1283" t="str">
        <f>'LPA 2nd line'!C38</f>
        <v>Sterile filter tips, 20–200 µL</v>
      </c>
      <c r="D86" s="1280">
        <f>'LPA 2nd line'!kit_ordered</f>
        <v>0</v>
      </c>
      <c r="E86" s="366"/>
      <c r="F86" s="1279"/>
      <c r="H86" s="1166"/>
    </row>
    <row r="87" spans="2:8" ht="15.75">
      <c r="B87" s="1286">
        <f>'LPA 2nd line'!B39</f>
        <v>106390</v>
      </c>
      <c r="C87" s="1283" t="str">
        <f>'LPA 2nd line'!C39</f>
        <v>Sterile filter tips, 100–1000 µL</v>
      </c>
      <c r="D87" s="1280">
        <f>'LPA 2nd line'!kit_ordered</f>
        <v>0</v>
      </c>
      <c r="E87" s="366"/>
      <c r="F87" s="1279"/>
      <c r="H87" s="1166"/>
    </row>
    <row r="88" spans="2:8" ht="15.75">
      <c r="B88" s="1286">
        <f>'LPA 2nd line'!B40</f>
        <v>106412</v>
      </c>
      <c r="C88" s="1283" t="str">
        <f>'LPA 2nd line'!C40</f>
        <v xml:space="preserve">Long 1-mL tips with filter </v>
      </c>
      <c r="D88" s="1280">
        <f>'LPA 2nd line'!kit_ordered</f>
        <v>0</v>
      </c>
      <c r="E88" s="366"/>
      <c r="F88" s="1279"/>
      <c r="H88" s="1166"/>
    </row>
    <row r="89" spans="2:8" ht="15.75">
      <c r="B89" s="1286">
        <f>'LPA 2nd line'!B41</f>
        <v>106398</v>
      </c>
      <c r="C89" s="1283" t="str">
        <f>'LPA 2nd line'!C41</f>
        <v xml:space="preserve">Dispenser tips, 12.5 mL </v>
      </c>
      <c r="D89" s="1280">
        <f>'LPA 2nd line'!kit_ordered</f>
        <v>0</v>
      </c>
      <c r="E89" s="366"/>
      <c r="F89" s="1279"/>
      <c r="H89" s="1166"/>
    </row>
    <row r="90" spans="2:8" ht="15.75">
      <c r="B90" s="1286">
        <f>'LPA 2nd line'!B42</f>
        <v>106434</v>
      </c>
      <c r="C90" s="1283" t="str">
        <f>'LPA 2nd line'!C42</f>
        <v>Non-sterile Pasteur pipettes, 3 mL</v>
      </c>
      <c r="D90" s="1280">
        <f>'LPA 2nd line'!kit_ordered</f>
        <v>0</v>
      </c>
      <c r="E90" s="366"/>
      <c r="F90" s="1279"/>
      <c r="H90" s="1166"/>
    </row>
    <row r="91" spans="2:8" ht="15.75">
      <c r="B91" s="1286">
        <f>'LPA 2nd line'!B43</f>
        <v>106556</v>
      </c>
      <c r="C91" s="1283" t="str">
        <f>'LPA 2nd line'!C43</f>
        <v xml:space="preserve">Sterile plastic laboratory forceps </v>
      </c>
      <c r="D91" s="1280">
        <f>'LPA 2nd line'!kit_ordered</f>
        <v>0</v>
      </c>
      <c r="E91" s="366"/>
      <c r="F91" s="1279"/>
      <c r="H91" s="1166"/>
    </row>
    <row r="92" spans="2:8" ht="15.75">
      <c r="B92" s="1286">
        <f>'LPA 2nd line'!B44</f>
        <v>106355</v>
      </c>
      <c r="C92" s="1283" t="str">
        <f>'LPA 2nd line'!C44</f>
        <v>Permanent marker</v>
      </c>
      <c r="D92" s="1280">
        <f>'LPA 2nd line'!kit_ordered</f>
        <v>0</v>
      </c>
      <c r="E92" s="366"/>
      <c r="F92" s="1279"/>
      <c r="H92" s="1166"/>
    </row>
    <row r="93" spans="2:8" ht="15.75">
      <c r="B93" s="1286">
        <f>'LPA 2nd line'!B45</f>
        <v>106384</v>
      </c>
      <c r="C93" s="1283" t="str">
        <f>'LPA 2nd line'!C45</f>
        <v>Sterile plastic centrifuge tubes, 15 mL</v>
      </c>
      <c r="D93" s="1280">
        <f>'LPA 2nd line'!kit_ordered</f>
        <v>0</v>
      </c>
      <c r="E93" s="366"/>
      <c r="F93" s="1279"/>
      <c r="H93" s="1166"/>
    </row>
    <row r="94" spans="2:8" ht="15.75">
      <c r="B94" s="1286">
        <f>'LPA 2nd line'!B46</f>
        <v>106340</v>
      </c>
      <c r="C94" s="1283" t="str">
        <f>'LPA 2nd line'!C46</f>
        <v>Sterile plastic centrifuge tubes, 50 mL</v>
      </c>
      <c r="D94" s="1280">
        <f>'LPA 2nd line'!kit_ordered</f>
        <v>0</v>
      </c>
      <c r="E94" s="366"/>
      <c r="F94" s="1279"/>
      <c r="H94" s="1166"/>
    </row>
    <row r="95" spans="2:8" ht="15.75">
      <c r="B95" s="1286">
        <f>'LPA 2nd line'!B47</f>
        <v>106444</v>
      </c>
      <c r="C95" s="1283" t="str">
        <f>'LPA 2nd line'!C47</f>
        <v>Plastic bags, 30 L</v>
      </c>
      <c r="D95" s="1280">
        <f>'LPA 2nd line'!kit_ordered</f>
        <v>0</v>
      </c>
      <c r="E95" s="366"/>
      <c r="F95" s="1279"/>
      <c r="H95" s="1166"/>
    </row>
    <row r="96" spans="2:8" ht="15.75">
      <c r="B96" s="1286">
        <f>'LPA 2nd line'!B48</f>
        <v>106415</v>
      </c>
      <c r="C96" s="1283" t="str">
        <f>'LPA 2nd line'!C48</f>
        <v>Square filter paper, 580 mm</v>
      </c>
      <c r="D96" s="1280">
        <f>'LPA 2nd line'!kit_ordered</f>
        <v>0</v>
      </c>
      <c r="E96" s="366"/>
      <c r="F96" s="1279"/>
      <c r="H96" s="1166"/>
    </row>
    <row r="97" spans="2:8" ht="15.75">
      <c r="B97" s="1286">
        <f>'LPA 2nd line'!B49</f>
        <v>106439</v>
      </c>
      <c r="C97" s="1283" t="str">
        <f>'LPA 2nd line'!C49</f>
        <v>GT-Blot 48 reagent set</v>
      </c>
      <c r="D97" s="1280">
        <f>'LPA 2nd line'!kit_ordered</f>
        <v>0</v>
      </c>
      <c r="E97" s="366"/>
      <c r="F97" s="1279"/>
      <c r="H97" s="1166"/>
    </row>
    <row r="98" spans="2:8" ht="15.75">
      <c r="B98" s="1286">
        <f>'LPA 2nd line'!B50</f>
        <v>106438</v>
      </c>
      <c r="C98" s="1283" t="str">
        <f>'LPA 2nd line'!C50</f>
        <v>GT-Blot 48 tray for 96 strips (black)</v>
      </c>
      <c r="D98" s="1280">
        <f>'LPA 2nd line'!kit_ordered</f>
        <v>0</v>
      </c>
      <c r="E98" s="366"/>
      <c r="F98" s="1279"/>
      <c r="H98" s="1166"/>
    </row>
    <row r="99" spans="2:8" ht="15.75">
      <c r="B99" s="1286">
        <f>'LPA 2nd line'!B51</f>
        <v>106755</v>
      </c>
      <c r="C99" s="1283" t="str">
        <f>'LPA 2nd line'!C51</f>
        <v>Paper towels</v>
      </c>
      <c r="D99" s="1280">
        <f>'LPA 2nd line'!kit_ordered</f>
        <v>0</v>
      </c>
      <c r="E99" s="366"/>
      <c r="F99" s="1279"/>
      <c r="H99" s="1166"/>
    </row>
    <row r="100" spans="2:8" ht="15.75">
      <c r="B100" s="1286">
        <f>'LPA 2nd line'!B52</f>
        <v>106333</v>
      </c>
      <c r="C100" s="1283" t="str">
        <f>'LPA 2nd line'!C52</f>
        <v>Ethanol / isopropanol, 5 L</v>
      </c>
      <c r="D100" s="1280">
        <f>'LPA 2nd line'!kit_ordered</f>
        <v>0</v>
      </c>
      <c r="E100" s="366"/>
      <c r="F100" s="1279"/>
      <c r="H100" s="1166"/>
    </row>
    <row r="101" spans="2:8">
      <c r="B101" s="1882" t="s">
        <v>842</v>
      </c>
      <c r="C101" s="1882"/>
      <c r="D101" s="1882"/>
      <c r="E101" s="366"/>
      <c r="F101" s="1212"/>
      <c r="H101" s="1166"/>
    </row>
    <row r="102" spans="2:8" ht="15.75">
      <c r="B102" s="1286">
        <f>'MAX MDR-TB assay'!B28</f>
        <v>0</v>
      </c>
      <c r="C102" s="1283" t="str">
        <f>'MAX MDR-TB assay'!C28</f>
        <v>BD MAX MDR-TB kit</v>
      </c>
      <c r="D102" s="1280">
        <f>'MAX MDR-TB assay'!kit_ordered</f>
        <v>0</v>
      </c>
      <c r="E102" s="366"/>
      <c r="F102" s="1279"/>
      <c r="H102" s="1166"/>
    </row>
    <row r="103" spans="2:8" ht="15.75">
      <c r="B103" s="1286">
        <f>'MAX MDR-TB assay'!B29</f>
        <v>0</v>
      </c>
      <c r="C103" s="1283" t="str">
        <f>'MAX MDR-TB assay'!C29</f>
        <v>BD MAX STR kit</v>
      </c>
      <c r="D103" s="1280">
        <f>'MAX MDR-TB assay'!kit_ordered</f>
        <v>0</v>
      </c>
      <c r="E103" s="366"/>
      <c r="F103" s="1279"/>
      <c r="H103" s="1166"/>
    </row>
    <row r="104" spans="2:8" ht="15.75">
      <c r="B104" s="1286">
        <f>'MAX MDR-TB assay'!B30</f>
        <v>106384</v>
      </c>
      <c r="C104" s="1283" t="str">
        <f>'MAX MDR-TB assay'!C30</f>
        <v>Sterile plastic centrifuge tubes, 15 mL</v>
      </c>
      <c r="D104" s="1280">
        <f>'MAX MDR-TB assay'!kit_ordered</f>
        <v>0</v>
      </c>
      <c r="E104" s="366"/>
      <c r="F104" s="1279"/>
      <c r="H104" s="1166"/>
    </row>
    <row r="105" spans="2:8" ht="15.75">
      <c r="B105" s="1286">
        <f>'MAX MDR-TB assay'!B31</f>
        <v>106422</v>
      </c>
      <c r="C105" s="1283" t="str">
        <f>'MAX MDR-TB assay'!C31</f>
        <v>Microcentrifuge tubes, 2 mL</v>
      </c>
      <c r="D105" s="1280">
        <f>'MAX MDR-TB assay'!kit_ordered</f>
        <v>0</v>
      </c>
      <c r="E105" s="366"/>
      <c r="F105" s="1279"/>
      <c r="H105" s="1166"/>
    </row>
    <row r="106" spans="2:8" ht="15.75">
      <c r="B106" s="1286">
        <f>'MAX MDR-TB assay'!B32</f>
        <v>106554</v>
      </c>
      <c r="C106" s="1283" t="str">
        <f>'MAX MDR-TB assay'!C32</f>
        <v>Sterile filter tips,  0.1–10 µL</v>
      </c>
      <c r="D106" s="1280">
        <f>'MAX MDR-TB assay'!kit_ordered</f>
        <v>0</v>
      </c>
      <c r="E106" s="366"/>
      <c r="F106" s="1279"/>
      <c r="H106" s="1166"/>
    </row>
    <row r="107" spans="2:8" ht="15.75">
      <c r="B107" s="1286">
        <f>'MAX MDR-TB assay'!B33</f>
        <v>106389</v>
      </c>
      <c r="C107" s="1283" t="str">
        <f>'MAX MDR-TB assay'!C33</f>
        <v>Sterile filter tips, 20–200 µL</v>
      </c>
      <c r="D107" s="1280">
        <f>'MAX MDR-TB assay'!kit_ordered</f>
        <v>0</v>
      </c>
      <c r="E107" s="366"/>
      <c r="F107" s="1279"/>
      <c r="H107" s="1166"/>
    </row>
    <row r="108" spans="2:8" ht="15.75">
      <c r="B108" s="1286">
        <f>'MAX MDR-TB assay'!B34</f>
        <v>106390</v>
      </c>
      <c r="C108" s="1283" t="str">
        <f>'MAX MDR-TB assay'!C34</f>
        <v>Sterile filter tips, 100–1000 µL</v>
      </c>
      <c r="D108" s="1280">
        <f>'MAX MDR-TB assay'!kit_ordered</f>
        <v>0</v>
      </c>
      <c r="E108" s="366"/>
      <c r="F108" s="1279"/>
      <c r="H108" s="1166"/>
    </row>
    <row r="109" spans="2:8" ht="15.75">
      <c r="B109" s="1286">
        <f>'MAX MDR-TB assay'!B35</f>
        <v>106444</v>
      </c>
      <c r="C109" s="1283" t="str">
        <f>'MAX MDR-TB assay'!C35</f>
        <v>Plastic bags, 30 L</v>
      </c>
      <c r="D109" s="1280">
        <f>'MAX MDR-TB assay'!kit_ordered</f>
        <v>0</v>
      </c>
      <c r="E109" s="366"/>
      <c r="F109" s="1279"/>
      <c r="H109" s="1166"/>
    </row>
    <row r="110" spans="2:8" ht="15.75">
      <c r="B110" s="1286">
        <f>'MAX MDR-TB assay'!B36</f>
        <v>106415</v>
      </c>
      <c r="C110" s="1283" t="str">
        <f>'MAX MDR-TB assay'!C36</f>
        <v>Square filter paper, 580 mm</v>
      </c>
      <c r="D110" s="1280">
        <f>'MAX MDR-TB assay'!kit_ordered</f>
        <v>0</v>
      </c>
      <c r="E110" s="366"/>
      <c r="F110" s="1279"/>
      <c r="H110" s="1166"/>
    </row>
    <row r="111" spans="2:8" ht="15.75">
      <c r="B111" s="1286">
        <f>'MAX MDR-TB assay'!B37</f>
        <v>106755</v>
      </c>
      <c r="C111" s="1283" t="str">
        <f>'MAX MDR-TB assay'!C37</f>
        <v>Paper towels</v>
      </c>
      <c r="D111" s="1280">
        <f>'MAX MDR-TB assay'!kit_ordered</f>
        <v>0</v>
      </c>
      <c r="E111" s="366"/>
      <c r="F111" s="1279"/>
      <c r="H111" s="1166"/>
    </row>
    <row r="112" spans="2:8" ht="15.75">
      <c r="B112" s="1286">
        <f>'MAX MDR-TB assay'!B38</f>
        <v>106333</v>
      </c>
      <c r="C112" s="1283" t="str">
        <f>'MAX MDR-TB assay'!C38</f>
        <v>Ethanol / isopropanol, 5 L</v>
      </c>
      <c r="D112" s="1280">
        <f>'MAX MDR-TB assay'!kit_ordered</f>
        <v>0</v>
      </c>
      <c r="E112" s="366"/>
      <c r="F112" s="1279"/>
      <c r="H112" s="1166"/>
    </row>
    <row r="113" spans="2:8">
      <c r="B113" s="1882" t="s">
        <v>1273</v>
      </c>
      <c r="C113" s="1882"/>
      <c r="D113" s="1882"/>
      <c r="E113" s="366"/>
      <c r="F113" s="1212"/>
      <c r="H113" s="1166"/>
    </row>
    <row r="114" spans="2:8" ht="15.75">
      <c r="B114" s="1286">
        <f>'FluoroType MTBDR VER 2.0'!B30</f>
        <v>0</v>
      </c>
      <c r="C114" s="1283" t="str">
        <f>'FluoroType MTBDR VER 2.0'!C30</f>
        <v xml:space="preserve"> FluoroType MTBDR assay</v>
      </c>
      <c r="D114" s="1280">
        <f>'FluoroType MTBDR VER 2.0'!kit_ordered</f>
        <v>0</v>
      </c>
      <c r="E114" s="366"/>
      <c r="F114" s="1279"/>
      <c r="H114" s="1166"/>
    </row>
    <row r="115" spans="2:8" ht="15.75">
      <c r="B115" s="1286">
        <f>'FluoroType MTBDR VER 2.0'!B31</f>
        <v>0</v>
      </c>
      <c r="C115" s="1283" t="str">
        <f>'FluoroType MTBDR VER 2.0'!C31</f>
        <v xml:space="preserve">GXT DNA/ RNA Extraction Kit </v>
      </c>
      <c r="D115" s="1280">
        <f>'FluoroType MTBDR VER 2.0'!kit_ordered</f>
        <v>0</v>
      </c>
      <c r="E115" s="366"/>
      <c r="F115" s="1279"/>
      <c r="H115" s="1166"/>
    </row>
    <row r="116" spans="2:8" ht="15.75">
      <c r="B116" s="1286">
        <f>'FluoroType MTBDR VER 2.0'!B32</f>
        <v>0</v>
      </c>
      <c r="C116" s="1283" t="str">
        <f>'FluoroType MTBDR VER 2.0'!C32</f>
        <v xml:space="preserve">FluoroLyse Extraciton Kit </v>
      </c>
      <c r="D116" s="1280">
        <f>'FluoroType MTBDR VER 2.0'!kit_ordered</f>
        <v>0</v>
      </c>
      <c r="E116" s="366"/>
      <c r="F116" s="1279"/>
      <c r="H116" s="1166"/>
    </row>
    <row r="117" spans="2:8" ht="15.75">
      <c r="B117" s="1286">
        <f>'FluoroType MTBDR VER 2.0'!B33</f>
        <v>106384</v>
      </c>
      <c r="C117" s="1283" t="str">
        <f>'FluoroType MTBDR VER 2.0'!C33</f>
        <v>Sterile plastic centrifuge tubes, 15 mL</v>
      </c>
      <c r="D117" s="1280">
        <f>'FluoroType MTBDR VER 2.0'!kit_ordered</f>
        <v>0</v>
      </c>
      <c r="E117" s="366"/>
      <c r="F117" s="1279"/>
      <c r="H117" s="1166"/>
    </row>
    <row r="118" spans="2:8" ht="15.75">
      <c r="B118" s="1286">
        <f>'FluoroType MTBDR VER 2.0'!B34</f>
        <v>106422</v>
      </c>
      <c r="C118" s="1283" t="str">
        <f>'FluoroType MTBDR VER 2.0'!C34</f>
        <v>Microcentrifuge tubes, 2 mL</v>
      </c>
      <c r="D118" s="1280">
        <f>'FluoroType MTBDR VER 2.0'!kit_ordered</f>
        <v>0</v>
      </c>
      <c r="E118" s="366"/>
      <c r="F118" s="1279"/>
      <c r="H118" s="1166"/>
    </row>
    <row r="119" spans="2:8" ht="15.75">
      <c r="B119" s="1286">
        <f>'FluoroType MTBDR VER 2.0'!B35</f>
        <v>106554</v>
      </c>
      <c r="C119" s="1283" t="str">
        <f>'FluoroType MTBDR VER 2.0'!C35</f>
        <v>Sterile filter tips,  0.1–10 µL</v>
      </c>
      <c r="D119" s="1280">
        <f>'FluoroType MTBDR VER 2.0'!kit_ordered</f>
        <v>0</v>
      </c>
      <c r="E119" s="366"/>
      <c r="F119" s="1279"/>
      <c r="H119" s="1166"/>
    </row>
    <row r="120" spans="2:8" ht="15.75">
      <c r="B120" s="1286">
        <f>'FluoroType MTBDR VER 2.0'!B36</f>
        <v>106389</v>
      </c>
      <c r="C120" s="1283" t="str">
        <f>'FluoroType MTBDR VER 2.0'!C36</f>
        <v>Sterile filter tips, 20–200 µL</v>
      </c>
      <c r="D120" s="1280">
        <f>'FluoroType MTBDR VER 2.0'!kit_ordered</f>
        <v>0</v>
      </c>
      <c r="E120" s="366"/>
      <c r="F120" s="1279"/>
      <c r="H120" s="1166"/>
    </row>
    <row r="121" spans="2:8" ht="15.75">
      <c r="B121" s="1286">
        <f>'FluoroType MTBDR VER 2.0'!B37</f>
        <v>106390</v>
      </c>
      <c r="C121" s="1283" t="str">
        <f>'FluoroType MTBDR VER 2.0'!C37</f>
        <v>Sterile filter tips, 100–1000 µL</v>
      </c>
      <c r="D121" s="1280">
        <f>'FluoroType MTBDR VER 2.0'!kit_ordered</f>
        <v>0</v>
      </c>
      <c r="E121" s="366"/>
      <c r="F121" s="1279"/>
      <c r="H121" s="1166"/>
    </row>
    <row r="122" spans="2:8" ht="15.75">
      <c r="B122" s="1286">
        <f>'FluoroType MTBDR VER 2.0'!B38</f>
        <v>106444</v>
      </c>
      <c r="C122" s="1283" t="str">
        <f>'FluoroType MTBDR VER 2.0'!C38</f>
        <v>Plastic bags, 30 L</v>
      </c>
      <c r="D122" s="1280">
        <f>'FluoroType MTBDR VER 2.0'!kit_ordered</f>
        <v>0</v>
      </c>
      <c r="E122" s="366"/>
      <c r="F122" s="1279"/>
      <c r="H122" s="1166"/>
    </row>
    <row r="123" spans="2:8" ht="15.75">
      <c r="B123" s="1286">
        <f>'FluoroType MTBDR VER 2.0'!B39</f>
        <v>106415</v>
      </c>
      <c r="C123" s="1283" t="str">
        <f>'FluoroType MTBDR VER 2.0'!C39</f>
        <v>Square filter paper, 580 mm</v>
      </c>
      <c r="D123" s="1280">
        <f>'FluoroType MTBDR VER 2.0'!kit_ordered</f>
        <v>0</v>
      </c>
      <c r="E123" s="366"/>
      <c r="F123" s="1279"/>
      <c r="H123" s="1166"/>
    </row>
    <row r="124" spans="2:8" ht="15.75">
      <c r="B124" s="1286">
        <f>'FluoroType MTBDR VER 2.0'!B40</f>
        <v>106755</v>
      </c>
      <c r="C124" s="1283" t="str">
        <f>'FluoroType MTBDR VER 2.0'!C40</f>
        <v>Paper towels</v>
      </c>
      <c r="D124" s="1280">
        <f>'FluoroType MTBDR VER 2.0'!kit_ordered</f>
        <v>0</v>
      </c>
      <c r="E124" s="366"/>
      <c r="F124" s="1279"/>
      <c r="H124" s="1166"/>
    </row>
    <row r="125" spans="2:8" ht="15.75">
      <c r="B125" s="1286">
        <f>'FluoroType MTBDR VER 2.0'!B41</f>
        <v>106333</v>
      </c>
      <c r="C125" s="1283" t="str">
        <f>'FluoroType MTBDR VER 2.0'!C41</f>
        <v>Ethanol / isopropanol, 5 L</v>
      </c>
      <c r="D125" s="1280">
        <f>'FluoroType MTBDR VER 2.0'!kit_ordered</f>
        <v>0</v>
      </c>
      <c r="E125" s="366"/>
      <c r="F125" s="1279"/>
      <c r="H125" s="1166"/>
    </row>
    <row r="126" spans="2:8">
      <c r="B126" s="1882" t="s">
        <v>844</v>
      </c>
      <c r="C126" s="1882"/>
      <c r="D126" s="1882"/>
      <c r="E126" s="366"/>
      <c r="F126" s="1212"/>
      <c r="H126" s="1166"/>
    </row>
    <row r="127" spans="2:8" ht="15.75">
      <c r="B127" s="1286">
        <f>'Cobas MTB and MTB-RIF-INH'!B28</f>
        <v>0</v>
      </c>
      <c r="C127" s="1283" t="str">
        <f>'Cobas MTB and MTB-RIF-INH'!C28</f>
        <v>Cobas® MTB</v>
      </c>
      <c r="D127" s="1280">
        <f>'Cobas MTB and MTB-RIF-INH'!kit_ordered</f>
        <v>0</v>
      </c>
      <c r="E127" s="366"/>
      <c r="F127" s="1279"/>
      <c r="H127" s="1166"/>
    </row>
    <row r="128" spans="2:8" ht="15.75">
      <c r="B128" s="1286">
        <f>'Cobas MTB and MTB-RIF-INH'!B29</f>
        <v>0</v>
      </c>
      <c r="C128" s="1283" t="str">
        <f>'Cobas MTB and MTB-RIF-INH'!C29</f>
        <v>Cobas® MTB Positive Control Kit</v>
      </c>
      <c r="D128" s="1280">
        <f>'Cobas MTB and MTB-RIF-INH'!kit_ordered</f>
        <v>0</v>
      </c>
      <c r="E128" s="366"/>
      <c r="F128" s="1279"/>
      <c r="H128" s="1166"/>
    </row>
    <row r="129" spans="2:8" ht="15.75">
      <c r="B129" s="1286">
        <f>'Cobas MTB and MTB-RIF-INH'!B30</f>
        <v>0</v>
      </c>
      <c r="C129" s="1283" t="str">
        <f>'Cobas MTB and MTB-RIF-INH'!C30</f>
        <v>Cobas® 6800/8800 Buffer Negative Control Kit</v>
      </c>
      <c r="D129" s="1280">
        <f>'Cobas MTB and MTB-RIF-INH'!kit_ordered</f>
        <v>0</v>
      </c>
      <c r="E129" s="366"/>
      <c r="F129" s="1279"/>
      <c r="H129" s="1166"/>
    </row>
    <row r="130" spans="2:8" ht="15.75">
      <c r="B130" s="1286">
        <f>'Cobas MTB and MTB-RIF-INH'!B31</f>
        <v>0</v>
      </c>
      <c r="C130" s="1283" t="str">
        <f>'Cobas MTB and MTB-RIF-INH'!C31</f>
        <v>Cobas® Microbial Inactivation Solution</v>
      </c>
      <c r="D130" s="1280">
        <f>'Cobas MTB and MTB-RIF-INH'!kit_ordered</f>
        <v>0</v>
      </c>
      <c r="E130" s="366"/>
      <c r="F130" s="1279"/>
      <c r="H130" s="1166"/>
    </row>
    <row r="131" spans="2:8" ht="15.75">
      <c r="B131" s="1286">
        <f>'Cobas MTB and MTB-RIF-INH'!B32</f>
        <v>0</v>
      </c>
      <c r="C131" s="1283" t="str">
        <f>'Cobas MTB and MTB-RIF-INH'!C32</f>
        <v>Cobas® MTB-RIF/INH</v>
      </c>
      <c r="D131" s="1280">
        <f>'Cobas MTB and MTB-RIF-INH'!kit_ordered</f>
        <v>0</v>
      </c>
      <c r="E131" s="366"/>
      <c r="F131" s="1279"/>
      <c r="H131" s="1166"/>
    </row>
    <row r="132" spans="2:8" ht="15.75">
      <c r="B132" s="1286">
        <f>'Cobas MTB and MTB-RIF-INH'!B33</f>
        <v>0</v>
      </c>
      <c r="C132" s="1283" t="str">
        <f>'Cobas MTB and MTB-RIF-INH'!C33</f>
        <v>Cobas® MTB-RIF/INH Positive Control Kit</v>
      </c>
      <c r="D132" s="1280">
        <f>'Cobas MTB and MTB-RIF-INH'!kit_ordered</f>
        <v>0</v>
      </c>
      <c r="E132" s="366"/>
      <c r="F132" s="1279"/>
      <c r="H132" s="1166"/>
    </row>
    <row r="133" spans="2:8" ht="15.75">
      <c r="B133" s="1286">
        <f>'Cobas MTB and MTB-RIF-INH'!B34</f>
        <v>0</v>
      </c>
      <c r="C133" s="1283" t="str">
        <f>'Cobas MTB and MTB-RIF-INH'!C34</f>
        <v>Cobas® 6800/8800 Buffer Negative Control Kit</v>
      </c>
      <c r="D133" s="1280">
        <f>'Cobas MTB and MTB-RIF-INH'!kit_ordered</f>
        <v>0</v>
      </c>
      <c r="E133" s="366"/>
      <c r="F133" s="1279"/>
      <c r="H133" s="1166"/>
    </row>
    <row r="134" spans="2:8" ht="15.75">
      <c r="B134" s="1286">
        <f>'Cobas MTB and MTB-RIF-INH'!B35</f>
        <v>0</v>
      </c>
      <c r="C134" s="1283" t="str">
        <f>'Cobas MTB and MTB-RIF-INH'!C35</f>
        <v>Cobas Microbial Inactivation Solution</v>
      </c>
      <c r="D134" s="1280">
        <f>'Cobas MTB and MTB-RIF-INH'!kit_ordered</f>
        <v>0</v>
      </c>
      <c r="E134" s="366"/>
      <c r="F134" s="1279"/>
      <c r="H134" s="1166"/>
    </row>
    <row r="135" spans="2:8" ht="15.75">
      <c r="B135" s="1286">
        <f>'Cobas MTB and MTB-RIF-INH'!B36</f>
        <v>106384</v>
      </c>
      <c r="C135" s="1283" t="str">
        <f>'Cobas MTB and MTB-RIF-INH'!C36</f>
        <v>Sterile plastic centrifuge tubes, 15 mL</v>
      </c>
      <c r="D135" s="1280">
        <f>'Cobas MTB and MTB-RIF-INH'!kit_ordered</f>
        <v>0</v>
      </c>
      <c r="E135" s="366"/>
      <c r="F135" s="1279"/>
      <c r="H135" s="1166"/>
    </row>
    <row r="136" spans="2:8" ht="15.75">
      <c r="B136" s="1286">
        <f>'Cobas MTB and MTB-RIF-INH'!B37</f>
        <v>106422</v>
      </c>
      <c r="C136" s="1283" t="str">
        <f>'Cobas MTB and MTB-RIF-INH'!C37</f>
        <v>Microcentrifuge tubes, 2 mL</v>
      </c>
      <c r="D136" s="1280">
        <f>'Cobas MTB and MTB-RIF-INH'!kit_ordered</f>
        <v>0</v>
      </c>
      <c r="E136" s="366"/>
      <c r="F136" s="1279"/>
      <c r="H136" s="1166"/>
    </row>
    <row r="137" spans="2:8" ht="15.75">
      <c r="B137" s="1286">
        <f>'Cobas MTB and MTB-RIF-INH'!B38</f>
        <v>106554</v>
      </c>
      <c r="C137" s="1283" t="str">
        <f>'Cobas MTB and MTB-RIF-INH'!C38</f>
        <v>Sterile filter tips, 0.1–10 µL</v>
      </c>
      <c r="D137" s="1280">
        <f>'Cobas MTB and MTB-RIF-INH'!kit_ordered</f>
        <v>0</v>
      </c>
      <c r="E137" s="366"/>
      <c r="F137" s="1279"/>
      <c r="H137" s="1166"/>
    </row>
    <row r="138" spans="2:8" ht="15.75">
      <c r="B138" s="1286">
        <f>'Cobas MTB and MTB-RIF-INH'!B39</f>
        <v>106389</v>
      </c>
      <c r="C138" s="1283" t="str">
        <f>'Cobas MTB and MTB-RIF-INH'!C39</f>
        <v>Sterile filter tips, 20–200 µL</v>
      </c>
      <c r="D138" s="1280">
        <f>'Cobas MTB and MTB-RIF-INH'!kit_ordered</f>
        <v>0</v>
      </c>
      <c r="E138" s="366"/>
      <c r="F138" s="1279"/>
      <c r="H138" s="1166"/>
    </row>
    <row r="139" spans="2:8" ht="15.75">
      <c r="B139" s="1286">
        <f>'Cobas MTB and MTB-RIF-INH'!B40</f>
        <v>106390</v>
      </c>
      <c r="C139" s="1283" t="str">
        <f>'Cobas MTB and MTB-RIF-INH'!C40</f>
        <v>Sterile filter tips, 100–1000 µL</v>
      </c>
      <c r="D139" s="1280">
        <f>'Cobas MTB and MTB-RIF-INH'!kit_ordered</f>
        <v>0</v>
      </c>
      <c r="E139" s="366"/>
      <c r="F139" s="1279"/>
      <c r="H139" s="1166"/>
    </row>
    <row r="140" spans="2:8" ht="15.75">
      <c r="B140" s="1286">
        <f>'Cobas MTB and MTB-RIF-INH'!B41</f>
        <v>106444</v>
      </c>
      <c r="C140" s="1283" t="str">
        <f>'Cobas MTB and MTB-RIF-INH'!C41</f>
        <v>Plastic bags, 30 L</v>
      </c>
      <c r="D140" s="1280">
        <f>'Cobas MTB and MTB-RIF-INH'!kit_ordered</f>
        <v>0</v>
      </c>
      <c r="E140" s="366"/>
      <c r="F140" s="1279"/>
      <c r="H140" s="1166"/>
    </row>
    <row r="141" spans="2:8" ht="15.75">
      <c r="B141" s="1286">
        <f>'Cobas MTB and MTB-RIF-INH'!B42</f>
        <v>106415</v>
      </c>
      <c r="C141" s="1283" t="str">
        <f>'Cobas MTB and MTB-RIF-INH'!C42</f>
        <v>Square filter paper, 580 mm</v>
      </c>
      <c r="D141" s="1280">
        <f>'Cobas MTB and MTB-RIF-INH'!kit_ordered</f>
        <v>0</v>
      </c>
      <c r="E141" s="366"/>
      <c r="F141" s="1279"/>
      <c r="H141" s="1166"/>
    </row>
    <row r="142" spans="2:8" ht="15.75">
      <c r="B142" s="1286">
        <f>'Cobas MTB and MTB-RIF-INH'!B43</f>
        <v>106755</v>
      </c>
      <c r="C142" s="1283" t="str">
        <f>'Cobas MTB and MTB-RIF-INH'!C43</f>
        <v>Paper towels</v>
      </c>
      <c r="D142" s="1280">
        <f>'Cobas MTB and MTB-RIF-INH'!kit_ordered</f>
        <v>0</v>
      </c>
      <c r="E142" s="366"/>
      <c r="F142" s="1279"/>
      <c r="H142" s="1166"/>
    </row>
    <row r="143" spans="2:8" ht="15.75">
      <c r="B143" s="1286">
        <f>'Cobas MTB and MTB-RIF-INH'!B44</f>
        <v>106333</v>
      </c>
      <c r="C143" s="1283" t="str">
        <f>'Cobas MTB and MTB-RIF-INH'!C44</f>
        <v>Ethanol / isopropanol, 5 L</v>
      </c>
      <c r="D143" s="1280">
        <f>'Cobas MTB and MTB-RIF-INH'!kit_ordered</f>
        <v>0</v>
      </c>
      <c r="E143" s="366"/>
      <c r="F143" s="1279"/>
      <c r="H143" s="1166"/>
    </row>
    <row r="144" spans="2:8">
      <c r="B144" s="1882" t="s">
        <v>1213</v>
      </c>
      <c r="C144" s="1882"/>
      <c r="D144" s="1882"/>
      <c r="E144" s="366"/>
      <c r="F144" s="1212"/>
      <c r="H144" s="1166"/>
    </row>
    <row r="145" spans="2:8" ht="15.75">
      <c r="B145" s="1286">
        <f>'Abbott RT MTB and MTB RIF-INH'!B28</f>
        <v>0</v>
      </c>
      <c r="C145" s="1283" t="str">
        <f>'Abbott RT MTB and MTB RIF-INH'!C28</f>
        <v>Inactivation reagent</v>
      </c>
      <c r="D145" s="1280">
        <f>'Abbott RT MTB and MTB RIF-INH'!E28</f>
        <v>0</v>
      </c>
      <c r="E145" s="366"/>
      <c r="F145" s="1279"/>
      <c r="H145" s="1166"/>
    </row>
    <row r="146" spans="2:8" ht="15.75">
      <c r="B146" s="1286">
        <f>'Abbott RT MTB and MTB RIF-INH'!B29</f>
        <v>0</v>
      </c>
      <c r="C146" s="1283" t="str">
        <f>'Abbott RT MTB and MTB RIF-INH'!C29</f>
        <v>Abbott Sample Preparation System DNA kit</v>
      </c>
      <c r="D146" s="1280">
        <f>'Abbott RT MTB and MTB RIF-INH'!E29</f>
        <v>0</v>
      </c>
      <c r="E146" s="366"/>
      <c r="F146" s="1279"/>
      <c r="H146" s="1166"/>
    </row>
    <row r="147" spans="2:8" ht="15.75">
      <c r="B147" s="1286">
        <f>'Abbott RT MTB and MTB RIF-INH'!B30</f>
        <v>0</v>
      </c>
      <c r="C147" s="1283" t="str">
        <f>'Abbott RT MTB and MTB RIF-INH'!C30</f>
        <v>Abbott Real Time MTB Amplification Reagent Kit</v>
      </c>
      <c r="D147" s="1280">
        <f>'Abbott RT MTB and MTB RIF-INH'!E30</f>
        <v>0</v>
      </c>
      <c r="E147" s="366"/>
      <c r="F147" s="1279"/>
      <c r="H147" s="1166"/>
    </row>
    <row r="148" spans="2:8" ht="15.75">
      <c r="B148" s="1286">
        <f>'Abbott RT MTB and MTB RIF-INH'!B31</f>
        <v>0</v>
      </c>
      <c r="C148" s="1283" t="str">
        <f>'Abbott RT MTB and MTB RIF-INH'!C31</f>
        <v>Abbott Real Time MTB Control Kit</v>
      </c>
      <c r="D148" s="1280">
        <f>'Abbott RT MTB and MTB RIF-INH'!E31</f>
        <v>0</v>
      </c>
      <c r="E148" s="366"/>
      <c r="F148" s="1279"/>
      <c r="H148" s="1166"/>
    </row>
    <row r="149" spans="2:8" ht="15.75">
      <c r="B149" s="1286">
        <f>'Abbott RT MTB and MTB RIF-INH'!B32</f>
        <v>0</v>
      </c>
      <c r="C149" s="1283" t="str">
        <f>'Abbott RT MTB and MTB RIF-INH'!C32</f>
        <v>Abbott Real Time MTB RIF/INH Resistance Amplification Reagent Kit</v>
      </c>
      <c r="D149" s="1280">
        <f>'Abbott RT MTB and MTB RIF-INH'!E32</f>
        <v>0</v>
      </c>
      <c r="E149" s="366"/>
      <c r="F149" s="1279"/>
      <c r="H149" s="1166"/>
    </row>
    <row r="150" spans="2:8" ht="15.75">
      <c r="B150" s="1286">
        <f>'Abbott RT MTB and MTB RIF-INH'!B33</f>
        <v>0</v>
      </c>
      <c r="C150" s="1283" t="str">
        <f>'Abbott RT MTB and MTB RIF-INH'!C33</f>
        <v>Abbott Real Time MTB RIF/INH Resistance Control Kit</v>
      </c>
      <c r="D150" s="1280">
        <f>'Abbott RT MTB and MTB RIF-INH'!E33</f>
        <v>0</v>
      </c>
      <c r="E150" s="366"/>
      <c r="F150" s="1279"/>
      <c r="H150" s="1166"/>
    </row>
    <row r="151" spans="2:8" ht="15.75">
      <c r="B151" s="1286">
        <f>'Abbott RT MTB and MTB RIF-INH'!B34</f>
        <v>0</v>
      </c>
      <c r="C151" s="1283" t="str">
        <f>'Abbott RT MTB and MTB RIF-INH'!C34</f>
        <v>Abbott 96-Well Optical Reaction Plates</v>
      </c>
      <c r="D151" s="1280">
        <f>'Abbott RT MTB and MTB RIF-INH'!E34</f>
        <v>0</v>
      </c>
      <c r="E151" s="366"/>
      <c r="F151" s="1279"/>
      <c r="H151" s="1166"/>
    </row>
    <row r="152" spans="2:8" ht="15.75">
      <c r="B152" s="1286">
        <f>'Abbott RT MTB and MTB RIF-INH'!B35</f>
        <v>0</v>
      </c>
      <c r="C152" s="1283" t="str">
        <f>'Abbott RT MTB and MTB RIF-INH'!C35</f>
        <v>Abbott 96-Deep-Well Plates and plate holder</v>
      </c>
      <c r="D152" s="1280">
        <f>'Abbott RT MTB and MTB RIF-INH'!E35</f>
        <v>0</v>
      </c>
      <c r="E152" s="366"/>
      <c r="F152" s="1279"/>
      <c r="H152" s="1166"/>
    </row>
    <row r="153" spans="2:8" ht="15.75">
      <c r="B153" s="1286">
        <f>'Abbott RT MTB and MTB RIF-INH'!B36</f>
        <v>106384</v>
      </c>
      <c r="C153" s="1283" t="str">
        <f>'Abbott RT MTB and MTB RIF-INH'!C36</f>
        <v>Sterile plastic centrifuge tubes, 15 mL</v>
      </c>
      <c r="D153" s="1280">
        <f>'Abbott RT MTB and MTB RIF-INH'!E36</f>
        <v>0</v>
      </c>
      <c r="E153" s="366"/>
      <c r="F153" s="1279"/>
      <c r="H153" s="1166"/>
    </row>
    <row r="154" spans="2:8" ht="15.75">
      <c r="B154" s="1286">
        <f>'Abbott RT MTB and MTB RIF-INH'!B37</f>
        <v>106422</v>
      </c>
      <c r="C154" s="1283" t="str">
        <f>'Abbott RT MTB and MTB RIF-INH'!C37</f>
        <v>Microcentrifuge tubes, 2 mL</v>
      </c>
      <c r="D154" s="1280">
        <f>'Abbott RT MTB and MTB RIF-INH'!E37</f>
        <v>0</v>
      </c>
      <c r="E154" s="366"/>
      <c r="F154" s="1279"/>
      <c r="H154" s="1166"/>
    </row>
    <row r="155" spans="2:8" ht="15.75">
      <c r="B155" s="1286">
        <f>'Abbott RT MTB and MTB RIF-INH'!B38</f>
        <v>106554</v>
      </c>
      <c r="C155" s="1283" t="str">
        <f>'Abbott RT MTB and MTB RIF-INH'!C38</f>
        <v>Sterile filter tips,  0.1–10 µL</v>
      </c>
      <c r="D155" s="1280">
        <f>'Abbott RT MTB and MTB RIF-INH'!E38</f>
        <v>0</v>
      </c>
      <c r="E155" s="366"/>
      <c r="F155" s="1279"/>
      <c r="H155" s="1166"/>
    </row>
    <row r="156" spans="2:8" ht="15.75">
      <c r="B156" s="1286">
        <f>'Abbott RT MTB and MTB RIF-INH'!B39</f>
        <v>106389</v>
      </c>
      <c r="C156" s="1283" t="str">
        <f>'Abbott RT MTB and MTB RIF-INH'!C39</f>
        <v>Sterile filter tips, 20–200 µL</v>
      </c>
      <c r="D156" s="1280">
        <f>'Abbott RT MTB and MTB RIF-INH'!E39</f>
        <v>0</v>
      </c>
      <c r="E156" s="366"/>
      <c r="F156" s="1279"/>
      <c r="H156" s="1166"/>
    </row>
    <row r="157" spans="2:8" ht="15.75">
      <c r="B157" s="1286">
        <f>'Abbott RT MTB and MTB RIF-INH'!B40</f>
        <v>106390</v>
      </c>
      <c r="C157" s="1283" t="str">
        <f>'Abbott RT MTB and MTB RIF-INH'!C40</f>
        <v>Sterile filter tips, 100–1000 µL</v>
      </c>
      <c r="D157" s="1280">
        <f>'Abbott RT MTB and MTB RIF-INH'!E40</f>
        <v>0</v>
      </c>
      <c r="E157" s="366"/>
      <c r="F157" s="1279"/>
      <c r="H157" s="1166"/>
    </row>
    <row r="158" spans="2:8" ht="15.75">
      <c r="B158" s="1286">
        <f>'Abbott RT MTB and MTB RIF-INH'!B41</f>
        <v>106444</v>
      </c>
      <c r="C158" s="1283" t="str">
        <f>'Abbott RT MTB and MTB RIF-INH'!C41</f>
        <v>Plastic bags, 30 L</v>
      </c>
      <c r="D158" s="1280">
        <f>'Abbott RT MTB and MTB RIF-INH'!E41</f>
        <v>0</v>
      </c>
      <c r="E158" s="366"/>
      <c r="F158" s="1279"/>
      <c r="H158" s="1166"/>
    </row>
    <row r="159" spans="2:8" ht="15.75">
      <c r="B159" s="1286">
        <f>'Abbott RT MTB and MTB RIF-INH'!B42</f>
        <v>106415</v>
      </c>
      <c r="C159" s="1283" t="str">
        <f>'Abbott RT MTB and MTB RIF-INH'!C42</f>
        <v>Square filter paper, 580 mm</v>
      </c>
      <c r="D159" s="1280">
        <f>'Abbott RT MTB and MTB RIF-INH'!E42</f>
        <v>0</v>
      </c>
      <c r="E159" s="366"/>
      <c r="F159" s="1279"/>
      <c r="H159" s="1166"/>
    </row>
    <row r="160" spans="2:8" ht="15.75">
      <c r="B160" s="1286">
        <f>'Abbott RT MTB and MTB RIF-INH'!B43</f>
        <v>106755</v>
      </c>
      <c r="C160" s="1283" t="str">
        <f>'Abbott RT MTB and MTB RIF-INH'!C43</f>
        <v>Paper towels</v>
      </c>
      <c r="D160" s="1280">
        <f>'Abbott RT MTB and MTB RIF-INH'!E43</f>
        <v>0</v>
      </c>
      <c r="E160" s="366"/>
      <c r="F160" s="1279"/>
      <c r="H160" s="1166"/>
    </row>
    <row r="161" spans="2:8" ht="15.75">
      <c r="B161" s="1286">
        <f>'Abbott RT MTB and MTB RIF-INH'!B44</f>
        <v>106333</v>
      </c>
      <c r="C161" s="1283" t="str">
        <f>'Abbott RT MTB and MTB RIF-INH'!C44</f>
        <v>Ethanol / isopropanol, 5 L</v>
      </c>
      <c r="D161" s="1280">
        <f>'Abbott RT MTB and MTB RIF-INH'!E44</f>
        <v>0</v>
      </c>
      <c r="E161" s="366"/>
      <c r="F161" s="1279"/>
      <c r="H161" s="1166"/>
    </row>
    <row r="162" spans="2:8">
      <c r="B162" s="1882" t="s">
        <v>546</v>
      </c>
      <c r="C162" s="1882"/>
      <c r="D162" s="1882"/>
      <c r="E162" s="366"/>
      <c r="F162" s="1000"/>
      <c r="H162" s="1166"/>
    </row>
    <row r="163" spans="2:8" ht="15.75">
      <c r="B163" s="1286">
        <f>'Processing&amp;solid-liquid culture'!C36</f>
        <v>106259</v>
      </c>
      <c r="C163" s="1283" t="str">
        <f>'Processing&amp;solid-liquid culture'!D36</f>
        <v>TB medium LJ, 500 g</v>
      </c>
      <c r="D163" s="1280">
        <f>'Processing&amp;solid-liquid culture'!F36</f>
        <v>0</v>
      </c>
      <c r="E163" s="366"/>
      <c r="F163" s="1279"/>
      <c r="H163" s="1166"/>
    </row>
    <row r="164" spans="2:8" ht="15.75">
      <c r="B164" s="1286">
        <f>'Processing&amp;solid-liquid culture'!C37</f>
        <v>106268</v>
      </c>
      <c r="C164" s="1283" t="str">
        <f>'Processing&amp;solid-liquid culture'!D37</f>
        <v>Glycerol 99.5, 1 L</v>
      </c>
      <c r="D164" s="1280">
        <f>'Processing&amp;solid-liquid culture'!F37</f>
        <v>0</v>
      </c>
      <c r="E164" s="366"/>
      <c r="F164" s="1279"/>
      <c r="H164" s="1166"/>
    </row>
    <row r="165" spans="2:8" ht="15.75">
      <c r="B165" s="1286">
        <f>'Processing&amp;solid-liquid culture'!C39</f>
        <v>106263</v>
      </c>
      <c r="C165" s="1283" t="str">
        <f>'Processing&amp;solid-liquid culture'!D39</f>
        <v xml:space="preserve">Potassium dihydrogen phosphate, MW: 136.09, 1 kg </v>
      </c>
      <c r="D165" s="1280">
        <f>'Processing&amp;solid-liquid culture'!F39</f>
        <v>0</v>
      </c>
      <c r="E165" s="366"/>
      <c r="F165" s="1279"/>
      <c r="H165" s="1166"/>
    </row>
    <row r="166" spans="2:8" ht="15.75">
      <c r="B166" s="1286">
        <f>'Processing&amp;solid-liquid culture'!C40</f>
        <v>106264</v>
      </c>
      <c r="C166" s="1283" t="str">
        <f>'Processing&amp;solid-liquid culture'!D40</f>
        <v xml:space="preserve">Magnesium sulfate-heptahydrate • 7H2O, MW: 246.48. 500 g </v>
      </c>
      <c r="D166" s="1280">
        <f>'Processing&amp;solid-liquid culture'!F40</f>
        <v>0</v>
      </c>
      <c r="E166" s="366"/>
      <c r="F166" s="1279"/>
      <c r="H166" s="1166"/>
    </row>
    <row r="167" spans="2:8" ht="15.75">
      <c r="B167" s="1286">
        <f>'Processing&amp;solid-liquid culture'!C41</f>
        <v>106265</v>
      </c>
      <c r="C167" s="1283" t="str">
        <f>'Processing&amp;solid-liquid culture'!D41</f>
        <v>L-Asparagine-monohydrate • H2O, MW: 150.13, 250 g</v>
      </c>
      <c r="D167" s="1280">
        <f>'Processing&amp;solid-liquid culture'!F41</f>
        <v>0</v>
      </c>
      <c r="E167" s="366"/>
      <c r="F167" s="1279"/>
      <c r="H167" s="1166"/>
    </row>
    <row r="168" spans="2:8" ht="15.75">
      <c r="B168" s="1286">
        <f>'Processing&amp;solid-liquid culture'!C42</f>
        <v>106266</v>
      </c>
      <c r="C168" s="1283" t="str">
        <f>'Processing&amp;solid-liquid culture'!D42</f>
        <v xml:space="preserve">Tri-magnesium di-citrate nonahydrate • 9 H2O, 500 g </v>
      </c>
      <c r="D168" s="1280">
        <f>'Processing&amp;solid-liquid culture'!F42</f>
        <v>0</v>
      </c>
      <c r="E168" s="366"/>
      <c r="F168" s="1279"/>
      <c r="H168" s="1166"/>
    </row>
    <row r="169" spans="2:8" ht="15.75">
      <c r="B169" s="1286">
        <f>'Processing&amp;solid-liquid culture'!C43</f>
        <v>106267</v>
      </c>
      <c r="C169" s="1283" t="str">
        <f>'Processing&amp;solid-liquid culture'!D43</f>
        <v xml:space="preserve">Malachite green oxalate, 100 g </v>
      </c>
      <c r="D169" s="1280">
        <f>'Processing&amp;solid-liquid culture'!F43</f>
        <v>0</v>
      </c>
      <c r="E169" s="366"/>
      <c r="F169" s="1279"/>
      <c r="H169" s="1166"/>
    </row>
    <row r="170" spans="2:8" ht="15.75">
      <c r="B170" s="1286">
        <f>'Processing&amp;solid-liquid culture'!C44</f>
        <v>106268</v>
      </c>
      <c r="C170" s="1283" t="str">
        <f>'Processing&amp;solid-liquid culture'!D44</f>
        <v>Glycerol 99.5, 1 L</v>
      </c>
      <c r="D170" s="1280">
        <f>'Processing&amp;solid-liquid culture'!F44</f>
        <v>0</v>
      </c>
      <c r="E170" s="366"/>
      <c r="F170" s="1279"/>
      <c r="H170" s="1166"/>
    </row>
    <row r="171" spans="2:8">
      <c r="B171" s="1882" t="s">
        <v>536</v>
      </c>
      <c r="C171" s="1882"/>
      <c r="D171" s="1882"/>
      <c r="E171" s="366"/>
      <c r="F171" s="1279"/>
      <c r="H171" s="1166"/>
    </row>
    <row r="172" spans="2:8" ht="15.75">
      <c r="B172" s="1286">
        <f>'Processing&amp;solid-liquid culture'!C49</f>
        <v>106026</v>
      </c>
      <c r="C172" s="1283" t="str">
        <f>'Processing&amp;solid-liquid culture'!D49</f>
        <v>BBL MGIT tubes  for use in Bactec MGIT 960 (7mL) - 100 tubes/pack</v>
      </c>
      <c r="D172" s="1280">
        <f>'Processing&amp;solid-liquid culture'!F49</f>
        <v>0</v>
      </c>
      <c r="E172" s="366"/>
      <c r="F172" s="1279"/>
      <c r="H172" s="1166"/>
    </row>
    <row r="173" spans="2:8" ht="15.75">
      <c r="B173" s="1286">
        <f>'Processing&amp;solid-liquid culture'!C50</f>
        <v>106027</v>
      </c>
      <c r="C173" s="1283" t="str">
        <f>'Processing&amp;solid-liquid culture'!D50</f>
        <v>BACTEC MGIT 960 Supplement Kit (100 tests, PANTA and OADC combined)</v>
      </c>
      <c r="D173" s="1280">
        <f>'Processing&amp;solid-liquid culture'!F50</f>
        <v>0</v>
      </c>
      <c r="E173" s="366"/>
      <c r="F173" s="1279"/>
      <c r="H173" s="1166"/>
    </row>
    <row r="174" spans="2:8" ht="15.75">
      <c r="B174" s="1286">
        <f>'Processing&amp;solid-liquid culture'!C51</f>
        <v>106098</v>
      </c>
      <c r="C174" s="1283" t="str">
        <f>'Processing&amp;solid-liquid culture'!D51</f>
        <v>Lime-glass culture tubes, 12 mL, screw caps</v>
      </c>
      <c r="D174" s="1280">
        <f>'Processing&amp;solid-liquid culture'!F51</f>
        <v>0</v>
      </c>
      <c r="E174" s="366"/>
      <c r="F174" s="1279"/>
      <c r="H174" s="1166"/>
    </row>
    <row r="175" spans="2:8" ht="15.75">
      <c r="B175" s="1286">
        <f>'Processing&amp;solid-liquid culture'!C52</f>
        <v>106340</v>
      </c>
      <c r="C175" s="1283" t="str">
        <f>'Processing&amp;solid-liquid culture'!D52</f>
        <v>Sterile plastic centrifuge tubes, 50 mL</v>
      </c>
      <c r="D175" s="1280">
        <f>'Processing&amp;solid-liquid culture'!F52</f>
        <v>0</v>
      </c>
      <c r="E175" s="366"/>
      <c r="F175" s="1279"/>
      <c r="H175" s="1166"/>
    </row>
    <row r="176" spans="2:8" ht="15.75">
      <c r="B176" s="1286">
        <f>'Processing&amp;solid-liquid culture'!C53</f>
        <v>106394</v>
      </c>
      <c r="C176" s="1283" t="str">
        <f>'Processing&amp;solid-liquid culture'!D53</f>
        <v>Single-use plastic Pasteur-pipettes, sterile, individually packed</v>
      </c>
      <c r="D176" s="1280">
        <f>'Processing&amp;solid-liquid culture'!F53</f>
        <v>0</v>
      </c>
      <c r="E176" s="366"/>
      <c r="F176" s="1279"/>
      <c r="H176" s="1166"/>
    </row>
    <row r="177" spans="2:8" ht="15.75">
      <c r="B177" s="1286">
        <f>'Processing&amp;solid-liquid culture'!C54</f>
        <v>106714</v>
      </c>
      <c r="C177" s="1283" t="str">
        <f>'Processing&amp;solid-liquid culture'!D54</f>
        <v>Disposable loops, 10 µL</v>
      </c>
      <c r="D177" s="1280">
        <f>'Processing&amp;solid-liquid culture'!F54</f>
        <v>0</v>
      </c>
      <c r="E177" s="366"/>
      <c r="F177" s="1279"/>
      <c r="H177" s="1166"/>
    </row>
    <row r="178" spans="2:8" ht="15.75">
      <c r="B178" s="1286">
        <f>'Processing&amp;solid-liquid culture'!C55</f>
        <v>106344</v>
      </c>
      <c r="C178" s="1283" t="str">
        <f>'Processing&amp;solid-liquid culture'!D55</f>
        <v xml:space="preserve">Sterile cryovials, 2 mL </v>
      </c>
      <c r="D178" s="1280">
        <f>'Processing&amp;solid-liquid culture'!F55</f>
        <v>0</v>
      </c>
      <c r="E178" s="366"/>
      <c r="F178" s="1279"/>
      <c r="H178" s="1166"/>
    </row>
    <row r="179" spans="2:8" ht="15.75">
      <c r="B179" s="1286">
        <f>'Processing&amp;solid-liquid culture'!C56</f>
        <v>106052</v>
      </c>
      <c r="C179" s="1283" t="str">
        <f>'Processing&amp;solid-liquid culture'!D56</f>
        <v>Cardboard storage box for sterile cryovials, 2 mL</v>
      </c>
      <c r="D179" s="1280">
        <f>'Processing&amp;solid-liquid culture'!F56</f>
        <v>0</v>
      </c>
      <c r="E179" s="366"/>
      <c r="F179" s="1279"/>
      <c r="H179" s="1166"/>
    </row>
    <row r="180" spans="2:8" ht="15.75">
      <c r="B180" s="1286">
        <f>'Processing&amp;solid-liquid culture'!C57</f>
        <v>106823</v>
      </c>
      <c r="C180" s="1283" t="str">
        <f>'Processing&amp;solid-liquid culture'!D57</f>
        <v xml:space="preserve">Plastic Petri dishes </v>
      </c>
      <c r="D180" s="1280">
        <f>'Processing&amp;solid-liquid culture'!F57</f>
        <v>0</v>
      </c>
      <c r="E180" s="366"/>
      <c r="F180" s="1279"/>
      <c r="H180" s="1166"/>
    </row>
    <row r="181" spans="2:8" ht="15.75">
      <c r="B181" s="1286" t="str">
        <f>'Processing&amp;solid-liquid culture'!C58</f>
        <v>106390/106398</v>
      </c>
      <c r="C181" s="1283" t="str">
        <f>'Processing&amp;solid-liquid culture'!D58</f>
        <v>Sterile, DNA-/RNAse-free tips, 100 - 1000 µl</v>
      </c>
      <c r="D181" s="1280">
        <f>'Processing&amp;solid-liquid culture'!F58</f>
        <v>0</v>
      </c>
      <c r="E181" s="366"/>
      <c r="F181" s="1279"/>
      <c r="H181" s="1166"/>
    </row>
    <row r="182" spans="2:8" ht="15.75">
      <c r="B182" s="1286">
        <f>'Processing&amp;solid-liquid culture'!C59</f>
        <v>106407</v>
      </c>
      <c r="C182" s="1283" t="str">
        <f>'Processing&amp;solid-liquid culture'!D59</f>
        <v>Brain-heart infusion agar</v>
      </c>
      <c r="D182" s="1280">
        <f>'Processing&amp;solid-liquid culture'!F59</f>
        <v>0</v>
      </c>
      <c r="E182" s="366"/>
      <c r="F182" s="1279"/>
      <c r="H182" s="1166"/>
    </row>
    <row r="183" spans="2:8" ht="15.75">
      <c r="B183" s="1286">
        <f>'Processing&amp;solid-liquid culture'!C60</f>
        <v>106362</v>
      </c>
      <c r="C183" s="1283" t="str">
        <f>'Processing&amp;solid-liquid culture'!D60</f>
        <v>Plastic foil</v>
      </c>
      <c r="D183" s="1280">
        <f>'Processing&amp;solid-liquid culture'!F60</f>
        <v>0</v>
      </c>
      <c r="E183" s="366"/>
      <c r="F183" s="1279"/>
      <c r="H183" s="1166"/>
    </row>
    <row r="184" spans="2:8">
      <c r="B184" s="1882" t="s">
        <v>820</v>
      </c>
      <c r="C184" s="1882"/>
      <c r="D184" s="1882"/>
      <c r="E184" s="366"/>
      <c r="F184" s="1279"/>
      <c r="H184" s="1166"/>
    </row>
    <row r="185" spans="2:8" ht="15.75">
      <c r="B185" s="1286">
        <f>'Processing&amp;solid-liquid culture'!C65</f>
        <v>106278</v>
      </c>
      <c r="C185" s="1283" t="str">
        <f>'Processing&amp;solid-liquid culture'!D65</f>
        <v>Di-sodium hydrogen phosphate anhydrous, MW: 141.96, 1 kg</v>
      </c>
      <c r="D185" s="1280">
        <f>'Processing&amp;solid-liquid culture'!F65</f>
        <v>0</v>
      </c>
      <c r="E185" s="366"/>
      <c r="F185" s="1279"/>
      <c r="H185" s="1166"/>
    </row>
    <row r="186" spans="2:8" ht="15.75">
      <c r="B186" s="1286">
        <f>'Processing&amp;solid-liquid culture'!C66</f>
        <v>106263</v>
      </c>
      <c r="C186" s="1283" t="str">
        <f>'Processing&amp;solid-liquid culture'!D66</f>
        <v>Potassium dihydrogen phosphate MW: 136.09, 1 kg</v>
      </c>
      <c r="D186" s="1280">
        <f>'Processing&amp;solid-liquid culture'!F66</f>
        <v>0</v>
      </c>
      <c r="E186" s="366"/>
      <c r="F186" s="1279"/>
      <c r="H186" s="1166"/>
    </row>
    <row r="187" spans="2:8" ht="15.75">
      <c r="B187" s="1286">
        <f>'Processing&amp;solid-liquid culture'!C68</f>
        <v>106281</v>
      </c>
      <c r="C187" s="1283" t="str">
        <f>'Processing&amp;solid-liquid culture'!D68</f>
        <v>Sodium hydroxide, MW 40.00, purity ≥ 98%, pellets, 1 kg</v>
      </c>
      <c r="D187" s="1280">
        <f>'Processing&amp;solid-liquid culture'!F68</f>
        <v>0</v>
      </c>
      <c r="E187" s="366"/>
      <c r="F187" s="1279"/>
      <c r="H187" s="1166"/>
    </row>
    <row r="188" spans="2:8" ht="15.75">
      <c r="B188" s="1286">
        <f>'Processing&amp;solid-liquid culture'!C70</f>
        <v>106283</v>
      </c>
      <c r="C188" s="1283" t="str">
        <f>'Processing&amp;solid-liquid culture'!D70</f>
        <v>N-Acetyl-L-cysteine, MW: 163.19, purity ≥ 99%, 100 g</v>
      </c>
      <c r="D188" s="1280">
        <f>'Processing&amp;solid-liquid culture'!F70</f>
        <v>0</v>
      </c>
      <c r="E188" s="366"/>
      <c r="F188" s="1279"/>
      <c r="H188" s="1166"/>
    </row>
    <row r="189" spans="2:8" ht="15.75">
      <c r="B189" s="1286">
        <f>'Processing&amp;solid-liquid culture'!C71</f>
        <v>106284</v>
      </c>
      <c r="C189" s="1283" t="str">
        <f>'Processing&amp;solid-liquid culture'!D71</f>
        <v>Tri-sodium citrate dihydrate · 2H2O, MW: 294.10, 1 kg</v>
      </c>
      <c r="D189" s="1280">
        <f>'Processing&amp;solid-liquid culture'!F71</f>
        <v>0</v>
      </c>
      <c r="E189" s="366"/>
      <c r="F189" s="1279"/>
      <c r="H189" s="1166"/>
    </row>
    <row r="190" spans="2:8" ht="15.75">
      <c r="B190" s="1286">
        <f>'Processing&amp;solid-liquid culture'!C72</f>
        <v>106281</v>
      </c>
      <c r="C190" s="1283" t="str">
        <f>'Processing&amp;solid-liquid culture'!D72</f>
        <v>Sodium hydroxide, MW 40.00, purity ≥ 98%, pellets, 1 kg</v>
      </c>
      <c r="D190" s="1280">
        <f>'Processing&amp;solid-liquid culture'!F72</f>
        <v>0</v>
      </c>
      <c r="E190" s="366"/>
      <c r="F190" s="1279"/>
      <c r="H190" s="1166"/>
    </row>
    <row r="191" spans="2:8" ht="15.75">
      <c r="B191" s="1286">
        <f>'Processing&amp;solid-liquid culture'!C74</f>
        <v>106340</v>
      </c>
      <c r="C191" s="1283" t="str">
        <f>'Processing&amp;solid-liquid culture'!D74</f>
        <v>Sterile plastic centrifuge tubes, 50 mL</v>
      </c>
      <c r="D191" s="1280">
        <f>'Processing&amp;solid-liquid culture'!F74</f>
        <v>0</v>
      </c>
      <c r="E191" s="366"/>
      <c r="F191" s="1279"/>
      <c r="H191" s="1166"/>
    </row>
    <row r="192" spans="2:8" ht="15.75">
      <c r="B192" s="1286">
        <f>'Processing&amp;solid-liquid culture'!C75</f>
        <v>106434</v>
      </c>
      <c r="C192" s="1283" t="str">
        <f>'Processing&amp;solid-liquid culture'!D75</f>
        <v>Disposable Pasteur pipettes, graduated, non-sterile, 155 mm</v>
      </c>
      <c r="D192" s="1280">
        <f>'Processing&amp;solid-liquid culture'!F75</f>
        <v>0</v>
      </c>
      <c r="E192" s="366"/>
      <c r="F192" s="1279"/>
      <c r="H192" s="1166"/>
    </row>
    <row r="193" spans="2:8">
      <c r="B193" s="1882" t="s">
        <v>888</v>
      </c>
      <c r="C193" s="1882"/>
      <c r="D193" s="1882"/>
      <c r="E193" s="366"/>
      <c r="F193" s="1000"/>
      <c r="H193" s="1166"/>
    </row>
    <row r="194" spans="2:8" ht="15.75">
      <c r="B194" s="1286">
        <f>'LJ 1st line DST'!A23</f>
        <v>106268</v>
      </c>
      <c r="C194" s="1283" t="str">
        <f>'LJ 1st line DST'!B23</f>
        <v>Glycerol 99.5</v>
      </c>
      <c r="D194" s="1280">
        <f>'LJ 1st line DST'!F23</f>
        <v>0</v>
      </c>
      <c r="E194" s="366"/>
      <c r="F194" s="1279"/>
      <c r="H194" s="1166"/>
    </row>
    <row r="195" spans="2:8" ht="15.75">
      <c r="B195" s="1286">
        <f>'LJ 1st line DST'!A24</f>
        <v>106259</v>
      </c>
      <c r="C195" s="1283" t="str">
        <f>'LJ 1st line DST'!B24</f>
        <v>TB medium LJ, 500 g</v>
      </c>
      <c r="D195" s="1280">
        <f>'LJ 1st line DST'!F24</f>
        <v>0</v>
      </c>
      <c r="E195" s="366"/>
      <c r="F195" s="1279"/>
      <c r="H195" s="1166"/>
    </row>
    <row r="196" spans="2:8" ht="15.75">
      <c r="B196" s="1286">
        <f>'LJ 1st line DST'!A25</f>
        <v>106308</v>
      </c>
      <c r="C196" s="1283" t="str">
        <f>'LJ 1st line DST'!B25</f>
        <v>Isoniazid (INH) - for laboratory use</v>
      </c>
      <c r="D196" s="1280">
        <f>'LJ 1st line DST'!F25</f>
        <v>0</v>
      </c>
      <c r="E196" s="366"/>
      <c r="F196" s="1279"/>
      <c r="H196" s="1166"/>
    </row>
    <row r="197" spans="2:8" ht="15.75">
      <c r="B197" s="1286">
        <f>'LJ 1st line DST'!A26</f>
        <v>106309</v>
      </c>
      <c r="C197" s="1283" t="str">
        <f>'LJ 1st line DST'!B26</f>
        <v>Rifampicin (RMP) - for laboratory use</v>
      </c>
      <c r="D197" s="1280">
        <f>'LJ 1st line DST'!F26</f>
        <v>0</v>
      </c>
      <c r="E197" s="366"/>
      <c r="F197" s="1279"/>
      <c r="H197" s="1166"/>
    </row>
    <row r="198" spans="2:8" ht="15.75">
      <c r="B198" s="1286">
        <f>'LJ 1st line DST'!A27</f>
        <v>106311</v>
      </c>
      <c r="C198" s="1283" t="str">
        <f>'LJ 1st line DST'!B27</f>
        <v>Dihydro-streptomycin (DHSM) - for laboratory use</v>
      </c>
      <c r="D198" s="1280">
        <f>'LJ 1st line DST'!F27</f>
        <v>0</v>
      </c>
      <c r="E198" s="366"/>
      <c r="F198" s="1279"/>
      <c r="H198" s="1166"/>
    </row>
    <row r="199" spans="2:8" ht="15.75">
      <c r="B199" s="1286">
        <f>'LJ 1st line DST'!A28</f>
        <v>106310</v>
      </c>
      <c r="C199" s="1283" t="str">
        <f>'LJ 1st line DST'!B28</f>
        <v>Ethambutol - for laboratory use</v>
      </c>
      <c r="D199" s="1280">
        <f>'LJ 1st line DST'!F28</f>
        <v>0</v>
      </c>
      <c r="E199" s="366"/>
      <c r="F199" s="1279"/>
      <c r="H199" s="1166"/>
    </row>
    <row r="200" spans="2:8" ht="15.75">
      <c r="B200" s="1286">
        <f>'LJ 1st line DST'!A29</f>
        <v>106394</v>
      </c>
      <c r="C200" s="1283" t="str">
        <f>'LJ 1st line DST'!B29</f>
        <v>Single-use, sterile, plastic Pasteur-pipettes, individually packed</v>
      </c>
      <c r="D200" s="1280">
        <f>'LJ 1st line DST'!F29</f>
        <v>0</v>
      </c>
      <c r="E200" s="366"/>
      <c r="F200" s="1279"/>
      <c r="H200" s="1166"/>
    </row>
    <row r="201" spans="2:8" ht="15.75">
      <c r="B201" s="1286">
        <f>'LJ 1st line DST'!A30</f>
        <v>106344</v>
      </c>
      <c r="C201" s="1283" t="str">
        <f>'LJ 1st line DST'!B30</f>
        <v>Sterile cryovials, 2 mL</v>
      </c>
      <c r="D201" s="1280">
        <f>'LJ 1st line DST'!F30</f>
        <v>0</v>
      </c>
      <c r="E201" s="366"/>
      <c r="F201" s="1279"/>
      <c r="H201" s="1166"/>
    </row>
    <row r="202" spans="2:8" ht="15.75">
      <c r="B202" s="1286">
        <f>'LJ 2nd line DST'!A21</f>
        <v>106268</v>
      </c>
      <c r="C202" s="1283" t="str">
        <f>'LJ 2nd line DST'!B21</f>
        <v>Glycerol 99.5</v>
      </c>
      <c r="D202" s="1280">
        <f>'LJ 2nd line DST'!F21</f>
        <v>0</v>
      </c>
      <c r="E202" s="366"/>
      <c r="F202" s="1279"/>
      <c r="H202" s="1166"/>
    </row>
    <row r="203" spans="2:8" ht="15.75">
      <c r="B203" s="1286">
        <f>'LJ 2nd line DST'!A22</f>
        <v>106259</v>
      </c>
      <c r="C203" s="1283" t="str">
        <f>'LJ 2nd line DST'!B22</f>
        <v>TB medium LJ, 500 g</v>
      </c>
      <c r="D203" s="1280">
        <f>'LJ 2nd line DST'!F22</f>
        <v>0</v>
      </c>
      <c r="E203" s="366"/>
      <c r="F203" s="368" t="s">
        <v>590</v>
      </c>
      <c r="H203" s="1166"/>
    </row>
    <row r="204" spans="2:8" ht="15.75">
      <c r="B204" s="1286">
        <f>'LJ 2nd line DST'!A23</f>
        <v>106560</v>
      </c>
      <c r="C204" s="1283" t="str">
        <f>'LJ 2nd line DST'!B23</f>
        <v>Levofloxacin (LFX)- for laboratory use</v>
      </c>
      <c r="D204" s="1280">
        <f>'LJ 2nd line DST'!F23</f>
        <v>0</v>
      </c>
      <c r="E204" s="366"/>
      <c r="F204" s="1279"/>
      <c r="H204" s="1166"/>
    </row>
    <row r="205" spans="2:8" ht="15.75">
      <c r="B205" s="1286">
        <f>'LJ 2nd line DST'!A24</f>
        <v>106316</v>
      </c>
      <c r="C205" s="1283" t="str">
        <f>'LJ 2nd line DST'!B24</f>
        <v>Ethionamide (ETH) - for laboratory use</v>
      </c>
      <c r="D205" s="1280">
        <f>'LJ 2nd line DST'!F24</f>
        <v>0</v>
      </c>
      <c r="E205" s="366"/>
      <c r="F205" s="1279"/>
      <c r="H205" s="1166"/>
    </row>
    <row r="206" spans="2:8" ht="15.75">
      <c r="B206" s="1286">
        <f>'LJ 2nd line DST'!A25</f>
        <v>106317</v>
      </c>
      <c r="C206" s="1283" t="str">
        <f>'LJ 2nd line DST'!B25</f>
        <v>Kanamycin (KAN) - for laboratory use</v>
      </c>
      <c r="D206" s="1280">
        <f>'LJ 2nd line DST'!F25</f>
        <v>0</v>
      </c>
      <c r="E206" s="366"/>
      <c r="F206" s="1279"/>
      <c r="H206" s="1166"/>
    </row>
    <row r="207" spans="2:8" ht="15.75">
      <c r="B207" s="1286">
        <f>'LJ 2nd line DST'!A26</f>
        <v>106318</v>
      </c>
      <c r="C207" s="1283" t="str">
        <f>'LJ 2nd line DST'!B26</f>
        <v>Amikacin (AMI)  - for laboratory use</v>
      </c>
      <c r="D207" s="1280">
        <f>'LJ 2nd line DST'!F26</f>
        <v>0</v>
      </c>
      <c r="E207" s="366"/>
      <c r="F207" s="1279"/>
      <c r="H207" s="1166"/>
    </row>
    <row r="208" spans="2:8" ht="15.75">
      <c r="B208" s="1286">
        <f>'LJ 2nd line DST'!A27</f>
        <v>106319</v>
      </c>
      <c r="C208" s="1283" t="str">
        <f>'LJ 2nd line DST'!B27</f>
        <v>Capreomycin (CM) - for laboratory use</v>
      </c>
      <c r="D208" s="1280">
        <f>'LJ 2nd line DST'!F27</f>
        <v>0</v>
      </c>
      <c r="E208" s="366"/>
      <c r="F208" s="1279"/>
      <c r="H208" s="1166"/>
    </row>
    <row r="209" spans="2:8" ht="15.75">
      <c r="B209" s="1286">
        <f>'LJ 2nd line DST'!A28</f>
        <v>106396</v>
      </c>
      <c r="C209" s="1283" t="str">
        <f>'LJ 2nd line DST'!B28</f>
        <v>Dispenser tips, 5 mL</v>
      </c>
      <c r="D209" s="1280">
        <f>'LJ 2nd line DST'!F28</f>
        <v>0</v>
      </c>
      <c r="E209" s="366"/>
      <c r="F209" s="1279"/>
      <c r="H209" s="1166"/>
    </row>
    <row r="210" spans="2:8" ht="15.75">
      <c r="B210" s="1286">
        <f>'LJ 2nd line DST'!A29</f>
        <v>106394</v>
      </c>
      <c r="C210" s="1283" t="str">
        <f>'LJ 2nd line DST'!B29</f>
        <v>Single-use, sterile plastic Pasteur pipettes, individually packed</v>
      </c>
      <c r="D210" s="1280">
        <f>'LJ 2nd line DST'!F29</f>
        <v>0</v>
      </c>
      <c r="E210" s="366"/>
      <c r="F210" s="1279"/>
      <c r="H210" s="1166"/>
    </row>
    <row r="211" spans="2:8" ht="15.75">
      <c r="B211" s="1286">
        <f>'LJ 2nd line DST'!A30</f>
        <v>106344</v>
      </c>
      <c r="C211" s="1283" t="str">
        <f>'LJ 2nd line DST'!B30</f>
        <v xml:space="preserve">Sterile cryovials, 2 mL </v>
      </c>
      <c r="D211" s="1280">
        <f>'LJ 2nd line DST'!F30</f>
        <v>0</v>
      </c>
      <c r="E211" s="366"/>
      <c r="F211" s="1279"/>
      <c r="H211" s="1166"/>
    </row>
    <row r="212" spans="2:8">
      <c r="B212" s="1882" t="s">
        <v>889</v>
      </c>
      <c r="C212" s="1882"/>
      <c r="D212" s="1882"/>
      <c r="E212" s="366"/>
      <c r="F212" s="1279"/>
      <c r="H212" s="1166"/>
    </row>
    <row r="213" spans="2:8" ht="15.75">
      <c r="B213" s="1283">
        <f>'MGIT 1st line DST'!B26</f>
        <v>106028</v>
      </c>
      <c r="C213" s="1283" t="str">
        <f>'MGIT 1st line DST'!C26</f>
        <v>BACTEC™ MGIT™ 960 SIRE kit, One kit is sufficient for 40 test</v>
      </c>
      <c r="D213" s="1280">
        <f>'MGIT 1st line DST'!E26</f>
        <v>0</v>
      </c>
      <c r="E213" s="366"/>
      <c r="F213" s="1279"/>
      <c r="H213" s="1166"/>
    </row>
    <row r="214" spans="2:8" ht="15.75">
      <c r="B214" s="1283">
        <f>'MGIT 1st line DST'!B27</f>
        <v>106026</v>
      </c>
      <c r="C214" s="1283" t="str">
        <f>'MGIT 1st line DST'!C27</f>
        <v>BBL MGIT tubes  for use in Bactec MGIT 960 (7 mL) - 100 tubes/pack</v>
      </c>
      <c r="D214" s="1280">
        <f>'MGIT 1st line DST'!E27</f>
        <v>0</v>
      </c>
      <c r="E214" s="366"/>
      <c r="F214" s="1279"/>
      <c r="H214" s="1166"/>
    </row>
    <row r="215" spans="2:8" ht="15.75">
      <c r="B215" s="1283">
        <f>'MGIT 1st line DST'!B28</f>
        <v>106389</v>
      </c>
      <c r="C215" s="1283" t="str">
        <f>'MGIT 1st line DST'!C28</f>
        <v>Sterile filter tips, 20–200 µL</v>
      </c>
      <c r="D215" s="1280">
        <f>'MGIT 1st line DST'!E28</f>
        <v>0</v>
      </c>
      <c r="E215" s="366"/>
      <c r="F215" s="1279"/>
      <c r="H215" s="1166"/>
    </row>
    <row r="216" spans="2:8" ht="15.75">
      <c r="B216" s="1283">
        <f>'MGIT 1st line DST'!B29</f>
        <v>106390</v>
      </c>
      <c r="C216" s="1283" t="str">
        <f>'MGIT 1st line DST'!C29</f>
        <v>Sterile filter tips, 100–1000 µL</v>
      </c>
      <c r="D216" s="1280">
        <f>'MGIT 1st line DST'!E29</f>
        <v>0</v>
      </c>
      <c r="E216" s="366"/>
      <c r="F216" s="1279"/>
      <c r="H216" s="1166"/>
    </row>
    <row r="217" spans="2:8" ht="15.75">
      <c r="B217" s="1283">
        <f>'MGIT 1st line DST'!B30</f>
        <v>106181</v>
      </c>
      <c r="C217" s="1283" t="str">
        <f>'MGIT 1st line DST'!C30</f>
        <v>Sterile dispenser tips, 10 mL</v>
      </c>
      <c r="D217" s="1280">
        <f>'MGIT 1st line DST'!E30</f>
        <v>0</v>
      </c>
      <c r="E217" s="366"/>
      <c r="F217" s="1279"/>
      <c r="H217" s="1166"/>
    </row>
    <row r="218" spans="2:8" ht="15.75">
      <c r="B218" s="1283">
        <f>'MGIT 1st line DST'!B34</f>
        <v>106033</v>
      </c>
      <c r="C218" s="1283" t="str">
        <f>'MGIT 1st line DST'!C34</f>
        <v>BACTEC™ MGIT™ PZA Kit</v>
      </c>
      <c r="D218" s="1280">
        <f>'MGIT 1st line DST'!E34</f>
        <v>0</v>
      </c>
      <c r="E218" s="366"/>
      <c r="F218" s="1279"/>
      <c r="H218" s="1166"/>
    </row>
    <row r="219" spans="2:8" ht="15.75">
      <c r="B219" s="1283">
        <f>'MGIT 1st line DST'!B35</f>
        <v>106036</v>
      </c>
      <c r="C219" s="1283" t="str">
        <f>'MGIT 1st line DST'!C35</f>
        <v>BACTEC™ MGIT™ PZA Tubes - 25</v>
      </c>
      <c r="D219" s="1280">
        <f>'MGIT 1st line DST'!E35</f>
        <v>0</v>
      </c>
      <c r="E219" s="366"/>
      <c r="F219" s="1279"/>
      <c r="H219" s="1166"/>
    </row>
    <row r="220" spans="2:8" ht="15.75">
      <c r="B220" s="1283">
        <f>'MGIT 1st line DST'!B36</f>
        <v>106389</v>
      </c>
      <c r="C220" s="1283" t="str">
        <f>'MGIT 1st line DST'!C36</f>
        <v>Sterile pipette filter  tips, 1–200 µL</v>
      </c>
      <c r="D220" s="1280">
        <f>'MGIT 1st line DST'!E36</f>
        <v>0</v>
      </c>
      <c r="E220" s="366"/>
      <c r="F220" s="1279"/>
      <c r="H220" s="1166"/>
    </row>
    <row r="221" spans="2:8" ht="15.75">
      <c r="B221" s="1283">
        <f>'MGIT 1st line DST'!B37</f>
        <v>106390</v>
      </c>
      <c r="C221" s="1283" t="str">
        <f>'MGIT 1st line DST'!C37</f>
        <v>Sterile filter tips, 100–1000 µL</v>
      </c>
      <c r="D221" s="1280">
        <f>'MGIT 1st line DST'!E37</f>
        <v>0</v>
      </c>
      <c r="E221" s="366"/>
      <c r="F221" s="1279"/>
      <c r="H221" s="1166"/>
    </row>
    <row r="222" spans="2:8" ht="15.75">
      <c r="B222" s="1283">
        <f>'MGIT 2nd line DST'!A23</f>
        <v>106585</v>
      </c>
      <c r="C222" s="1283" t="str">
        <f>'MGIT 2nd line DST'!B23</f>
        <v>Moxifloxacin - lyophilized drug for laboratory use, 6-vial pack</v>
      </c>
      <c r="D222" s="1280">
        <f>'MGIT 2nd line DST'!F23</f>
        <v>0</v>
      </c>
      <c r="E222" s="366"/>
      <c r="F222" s="1279"/>
      <c r="H222" s="1166"/>
    </row>
    <row r="223" spans="2:8" ht="15.75">
      <c r="B223" s="1283">
        <f>'MGIT 2nd line DST'!A24</f>
        <v>106586</v>
      </c>
      <c r="C223" s="1283" t="str">
        <f>'MGIT 2nd line DST'!B24</f>
        <v>Amikacin - lyophilized drug for laboratory use, 6-vial pack</v>
      </c>
      <c r="D223" s="1280">
        <f>'MGIT 2nd line DST'!F24</f>
        <v>0</v>
      </c>
      <c r="E223" s="366"/>
      <c r="F223" s="1279"/>
      <c r="H223" s="1166"/>
    </row>
    <row r="224" spans="2:8" ht="15.75">
      <c r="B224" s="1283">
        <f>'MGIT 2nd line DST'!A25</f>
        <v>106584</v>
      </c>
      <c r="C224" s="1283" t="str">
        <f>'MGIT 2nd line DST'!B25</f>
        <v>Kanamycin – lyophilized drug for laboratory use, 6-vial pack</v>
      </c>
      <c r="D224" s="1280">
        <f>'MGIT 2nd line DST'!F25</f>
        <v>0</v>
      </c>
      <c r="E224" s="366"/>
      <c r="F224" s="1279"/>
      <c r="H224" s="1166"/>
    </row>
    <row r="225" spans="2:8" ht="15.75">
      <c r="B225" s="1283">
        <f>'MGIT 2nd line DST'!A26</f>
        <v>106587</v>
      </c>
      <c r="C225" s="1283" t="str">
        <f>'MGIT 2nd line DST'!B26</f>
        <v>Capreomycin - lyophilized drug for laboratory use, 6-vial pack</v>
      </c>
      <c r="D225" s="1280">
        <f>'MGIT 2nd line DST'!F26</f>
        <v>0</v>
      </c>
      <c r="E225" s="366"/>
      <c r="F225" s="1279"/>
      <c r="H225" s="1166"/>
    </row>
    <row r="226" spans="2:8" ht="15.75">
      <c r="B226" s="1283">
        <f>'MGIT 2nd line DST'!A27</f>
        <v>106582</v>
      </c>
      <c r="C226" s="1283" t="str">
        <f>'MGIT 2nd line DST'!B27</f>
        <v>BD BBL Middlebrook OADC Enrichment, 20 mL per tube, ''A'' size tube,  BD BBL™ Middlebrook OADC Enrichment, 20 mL per tube, ''A'' size tube (10/sp)</v>
      </c>
      <c r="D226" s="1280">
        <f>'MGIT 2nd line DST'!F27</f>
        <v>0</v>
      </c>
      <c r="E226" s="366"/>
      <c r="F226" s="1279"/>
      <c r="H226" s="1166"/>
    </row>
    <row r="227" spans="2:8" ht="15.75">
      <c r="B227" s="1283">
        <f>'MGIT 2nd line DST'!A28</f>
        <v>106026</v>
      </c>
      <c r="C227" s="1283" t="str">
        <f>'MGIT 2nd line DST'!B28</f>
        <v>BBL MGIT Tubes  for use in Bactec MGIT 960 (7 mL) - 100 tubes/pack</v>
      </c>
      <c r="D227" s="1280">
        <f>'MGIT 2nd line DST'!F28</f>
        <v>0</v>
      </c>
      <c r="E227" s="366"/>
      <c r="F227" s="1279"/>
      <c r="H227" s="1166"/>
    </row>
    <row r="228" spans="2:8" ht="15.75">
      <c r="B228" s="1283">
        <f>'MGIT 2nd line DST'!A29</f>
        <v>106412</v>
      </c>
      <c r="C228" s="1283" t="str">
        <f>'MGIT 2nd line DST'!B29</f>
        <v>Long 1-mL tips with filter</v>
      </c>
      <c r="D228" s="1280">
        <f>'MGIT 2nd line DST'!F29</f>
        <v>0</v>
      </c>
      <c r="E228" s="366"/>
      <c r="F228" s="1279"/>
      <c r="H228" s="1166"/>
    </row>
    <row r="229" spans="2:8" ht="15.75">
      <c r="B229" s="1283">
        <f>'MGIT 2nd line DST'!A35</f>
        <v>106315</v>
      </c>
      <c r="C229" s="1283" t="str">
        <f>'MGIT 2nd line DST'!B35</f>
        <v>Prothionamide (PTH) - for laboratory use</v>
      </c>
      <c r="D229" s="1280">
        <f>'MGIT 2nd line DST'!F35</f>
        <v>0</v>
      </c>
      <c r="E229" s="366"/>
      <c r="F229" s="1279"/>
      <c r="H229" s="1166"/>
    </row>
    <row r="230" spans="2:8" ht="15.75">
      <c r="B230" s="1283">
        <f>'MGIT 2nd line DST'!A36</f>
        <v>106319</v>
      </c>
      <c r="C230" s="1283" t="str">
        <f>'MGIT 2nd line DST'!B36</f>
        <v>Capreomycin (CM) - for laboratory use</v>
      </c>
      <c r="D230" s="1280">
        <f>'MGIT 2nd line DST'!F36</f>
        <v>0</v>
      </c>
      <c r="E230" s="366"/>
      <c r="F230" s="1279"/>
      <c r="H230" s="1166"/>
    </row>
    <row r="231" spans="2:8" ht="15.75">
      <c r="B231" s="1283">
        <f>'MGIT 2nd line DST'!A37</f>
        <v>106560</v>
      </c>
      <c r="C231" s="1283" t="str">
        <f>'MGIT 2nd line DST'!B37</f>
        <v>Levofloxacin - for laboratory use</v>
      </c>
      <c r="D231" s="1280">
        <f>'MGIT 2nd line DST'!F37</f>
        <v>0</v>
      </c>
      <c r="E231" s="366"/>
      <c r="F231" s="1279"/>
      <c r="H231" s="1166"/>
    </row>
    <row r="232" spans="2:8" ht="15.75">
      <c r="B232" s="1283">
        <f>'MGIT 2nd line DST'!A38</f>
        <v>106653</v>
      </c>
      <c r="C232" s="1283" t="str">
        <f>'MGIT 2nd line DST'!B38</f>
        <v>Linezolid - for laboratory use</v>
      </c>
      <c r="D232" s="1280">
        <f>'MGIT 2nd line DST'!F38</f>
        <v>0</v>
      </c>
      <c r="E232" s="366"/>
      <c r="F232" s="1279"/>
      <c r="H232" s="1166"/>
    </row>
    <row r="233" spans="2:8" ht="15.75">
      <c r="B233" s="1283">
        <f>'MGIT 2nd line DST'!A39</f>
        <v>106654</v>
      </c>
      <c r="C233" s="1283" t="str">
        <f>'MGIT 2nd line DST'!B39</f>
        <v>Clofazimine - for laboratory use</v>
      </c>
      <c r="D233" s="1280">
        <f>'MGIT 2nd line DST'!F39</f>
        <v>0</v>
      </c>
      <c r="E233" s="366"/>
      <c r="F233" s="1279"/>
      <c r="H233" s="1166"/>
    </row>
    <row r="234" spans="2:8" ht="15.75">
      <c r="B234" s="1283">
        <f>'MGIT 2nd line DST'!A40</f>
        <v>0</v>
      </c>
      <c r="C234" s="1283" t="str">
        <f>'MGIT 2nd line DST'!B40</f>
        <v>Bedaquiline - for laboratory use</v>
      </c>
      <c r="D234" s="1280">
        <f>'MGIT 2nd line DST'!F40</f>
        <v>0</v>
      </c>
      <c r="E234" s="366"/>
      <c r="F234" s="1279"/>
      <c r="H234" s="1166"/>
    </row>
    <row r="235" spans="2:8" ht="15.75">
      <c r="B235" s="1283">
        <f>'MGIT 2nd line DST'!A41</f>
        <v>0</v>
      </c>
      <c r="C235" s="1283" t="str">
        <f>'MGIT 2nd line DST'!B41</f>
        <v>Delamanid - for laboratory use</v>
      </c>
      <c r="D235" s="1280">
        <f>'MGIT 2nd line DST'!F41</f>
        <v>0</v>
      </c>
      <c r="E235" s="366"/>
      <c r="F235" s="1279"/>
      <c r="H235" s="1166"/>
    </row>
    <row r="236" spans="2:8" ht="15.75">
      <c r="B236" s="1283">
        <f>'MGIT 2nd line DST'!A42</f>
        <v>106623</v>
      </c>
      <c r="C236" s="1283" t="str">
        <f>'MGIT 2nd line DST'!B42</f>
        <v xml:space="preserve">BBL MGIT OADC Enrichment, 6 15-mL vials (90 mL) </v>
      </c>
      <c r="D236" s="1280">
        <f>'MGIT 2nd line DST'!F42</f>
        <v>0</v>
      </c>
      <c r="E236" s="366"/>
      <c r="F236" s="1279"/>
      <c r="H236" s="1166"/>
    </row>
    <row r="237" spans="2:8" ht="15.75">
      <c r="B237" s="1283">
        <f>'MGIT 2nd line DST'!A43</f>
        <v>106026</v>
      </c>
      <c r="C237" s="1283" t="str">
        <f>'MGIT 2nd line DST'!B43</f>
        <v>BBL MGIT tubes  for use in Bactec MGIT 960 (7 mL) - 100 tubes/pack</v>
      </c>
      <c r="D237" s="1280">
        <f>'MGIT 2nd line DST'!F43</f>
        <v>0</v>
      </c>
      <c r="E237" s="366"/>
      <c r="F237" s="1279"/>
      <c r="H237" s="1166"/>
    </row>
    <row r="238" spans="2:8" ht="15.75">
      <c r="B238" s="1283">
        <f>'MGIT 2nd line DST'!A44</f>
        <v>106209</v>
      </c>
      <c r="C238" s="1283" t="str">
        <f>'MGIT 2nd line DST'!B44</f>
        <v>Serological pipette, 5 mL</v>
      </c>
      <c r="D238" s="1280">
        <f>'MGIT 2nd line DST'!F44</f>
        <v>0</v>
      </c>
      <c r="E238" s="366"/>
      <c r="F238" s="1279"/>
      <c r="H238" s="1166"/>
    </row>
    <row r="239" spans="2:8" ht="15.75">
      <c r="B239" s="1283">
        <f>'MGIT 2nd line DST'!A45</f>
        <v>106550</v>
      </c>
      <c r="C239" s="1283" t="str">
        <f>'MGIT 2nd line DST'!B45</f>
        <v>Serological pipette 10 mL</v>
      </c>
      <c r="D239" s="1280">
        <f>'MGIT 2nd line DST'!F45</f>
        <v>0</v>
      </c>
      <c r="E239" s="366"/>
      <c r="F239" s="1279"/>
      <c r="H239" s="1166"/>
    </row>
    <row r="240" spans="2:8" ht="15.75">
      <c r="B240" s="1283">
        <f>'MGIT 2nd line DST'!A46</f>
        <v>106344</v>
      </c>
      <c r="C240" s="1283" t="str">
        <f>'MGIT 2nd line DST'!B46</f>
        <v xml:space="preserve">Sterile cryovials, 2 mL </v>
      </c>
      <c r="D240" s="1280">
        <f>'MGIT 2nd line DST'!F46</f>
        <v>0</v>
      </c>
      <c r="E240" s="366"/>
      <c r="F240" s="1279"/>
      <c r="H240" s="1166"/>
    </row>
    <row r="241" spans="2:8" ht="15.75">
      <c r="B241" s="1283">
        <f>'MGIT 2nd line DST'!A47</f>
        <v>106388</v>
      </c>
      <c r="C241" s="1283" t="str">
        <f>'MGIT 2nd line DST'!B47</f>
        <v>Sterile pipette filter tips, 5–100 µL</v>
      </c>
      <c r="D241" s="1280">
        <f>'MGIT 2nd line DST'!F47</f>
        <v>0</v>
      </c>
      <c r="E241" s="366"/>
      <c r="F241" s="1279"/>
      <c r="H241" s="1166"/>
    </row>
    <row r="242" spans="2:8" ht="15.75">
      <c r="B242" s="1283">
        <f>'MGIT 2nd line DST'!A48</f>
        <v>106352</v>
      </c>
      <c r="C242" s="1283" t="str">
        <f>'MGIT 2nd line DST'!B48</f>
        <v>Single-use syringes, sterile</v>
      </c>
      <c r="D242" s="1280">
        <f>'MGIT 2nd line DST'!F48</f>
        <v>0</v>
      </c>
      <c r="E242" s="366"/>
      <c r="F242" s="1279"/>
      <c r="H242" s="1166"/>
    </row>
    <row r="243" spans="2:8">
      <c r="B243" s="1882" t="s">
        <v>1274</v>
      </c>
      <c r="C243" s="1882"/>
      <c r="D243" s="1882"/>
      <c r="E243" s="366"/>
      <c r="F243" s="1000"/>
      <c r="H243" s="1166"/>
    </row>
    <row r="244" spans="2:8" ht="15.75">
      <c r="B244" s="1283">
        <f>ID!B18</f>
        <v>106414</v>
      </c>
      <c r="C244" s="1283" t="str">
        <f>ID!C18</f>
        <v>Rapid test for detection of MPT 64 Antigen - SD Bioline TB Ag MPT64</v>
      </c>
      <c r="D244" s="1280">
        <f>ID!E18</f>
        <v>0</v>
      </c>
      <c r="E244" s="366"/>
      <c r="F244" s="1279"/>
      <c r="H244" s="1166"/>
    </row>
    <row r="245" spans="2:8" ht="15.75">
      <c r="B245" s="1283">
        <f>ID!B19</f>
        <v>106394</v>
      </c>
      <c r="C245" s="1283" t="str">
        <f>ID!C19</f>
        <v>Single-use, sterile plastic Pasteur pipettes, individually packed</v>
      </c>
      <c r="D245" s="1280">
        <f>ID!E19</f>
        <v>0</v>
      </c>
      <c r="E245" s="366"/>
      <c r="F245" s="1279"/>
      <c r="H245" s="1166"/>
    </row>
    <row r="246" spans="2:8" ht="15.75">
      <c r="B246" s="1283">
        <f>ID!B20</f>
        <v>106714</v>
      </c>
      <c r="C246" s="1283" t="str">
        <f>ID!C20</f>
        <v>Disposable loops, 10 µL</v>
      </c>
      <c r="D246" s="1280">
        <f>ID!E20</f>
        <v>0</v>
      </c>
      <c r="E246" s="366"/>
      <c r="F246" s="1279"/>
      <c r="H246" s="1166"/>
    </row>
    <row r="247" spans="2:8" ht="15.75">
      <c r="B247" s="1283">
        <f>ID!B21</f>
        <v>106344</v>
      </c>
      <c r="C247" s="1283" t="str">
        <f>ID!C21</f>
        <v xml:space="preserve">Sterile cryovials, 2 mL </v>
      </c>
      <c r="D247" s="1280">
        <f>ID!E21</f>
        <v>0</v>
      </c>
      <c r="E247" s="366"/>
      <c r="F247" s="1279"/>
      <c r="H247" s="1166"/>
    </row>
    <row r="248" spans="2:8" ht="15.75">
      <c r="B248" s="1283">
        <f>ID!B30</f>
        <v>106611</v>
      </c>
      <c r="C248" s="1283" t="str">
        <f>ID!C30</f>
        <v xml:space="preserve">Capilia TB-Neo - Rapid test for detection of MPT 64 antigen </v>
      </c>
      <c r="D248" s="1280">
        <f>ID!E22</f>
        <v>0</v>
      </c>
      <c r="E248" s="366"/>
      <c r="F248" s="1279"/>
      <c r="H248" s="1166"/>
    </row>
    <row r="249" spans="2:8" ht="15.75">
      <c r="B249" s="1283">
        <f>ID!B31</f>
        <v>106612</v>
      </c>
      <c r="C249" s="1283" t="str">
        <f>ID!C31</f>
        <v>Capilia TB-Neo Extraction buffer (1 x 20 mL)</v>
      </c>
      <c r="D249" s="1280">
        <f>ID!E30</f>
        <v>0</v>
      </c>
      <c r="E249" s="366"/>
      <c r="F249" s="1279"/>
      <c r="H249" s="1166"/>
    </row>
    <row r="250" spans="2:8" ht="15.75">
      <c r="B250" s="1283">
        <f>ID!B32</f>
        <v>106394</v>
      </c>
      <c r="C250" s="1283" t="str">
        <f>ID!C32</f>
        <v>Sterile Pasteur pipettes, 3 mL</v>
      </c>
      <c r="D250" s="1280">
        <f>ID!E31</f>
        <v>0</v>
      </c>
      <c r="E250" s="366"/>
      <c r="F250" s="1279"/>
      <c r="H250" s="1166"/>
    </row>
    <row r="251" spans="2:8" ht="15.75">
      <c r="B251" s="1283">
        <f>ID!B33</f>
        <v>106714</v>
      </c>
      <c r="C251" s="1283" t="str">
        <f>ID!C33</f>
        <v>Disposable loops, 10 µL</v>
      </c>
      <c r="D251" s="1280">
        <f>ID!E32</f>
        <v>0</v>
      </c>
      <c r="E251" s="366"/>
      <c r="F251" s="1279"/>
      <c r="H251" s="1166"/>
    </row>
    <row r="252" spans="2:8" ht="15.75">
      <c r="B252" s="1283">
        <f>ID!B34</f>
        <v>106344</v>
      </c>
      <c r="C252" s="1283" t="str">
        <f>ID!C34</f>
        <v xml:space="preserve">Sterile cryovials, 2 mL </v>
      </c>
      <c r="D252" s="1280">
        <f>ID!E33</f>
        <v>0</v>
      </c>
      <c r="E252" s="366"/>
      <c r="F252" s="1279"/>
      <c r="H252" s="1166"/>
    </row>
    <row r="253" spans="2:8" ht="15.75">
      <c r="E253" s="371"/>
      <c r="H253" s="1166"/>
    </row>
    <row r="254" spans="2:8" ht="15.75">
      <c r="B254" s="1285" t="s">
        <v>614</v>
      </c>
      <c r="C254" s="1288" t="s">
        <v>900</v>
      </c>
      <c r="D254" s="1170" t="s">
        <v>69</v>
      </c>
      <c r="E254" s="366"/>
      <c r="F254" s="363" t="s">
        <v>593</v>
      </c>
      <c r="H254" s="1166"/>
    </row>
    <row r="255" spans="2:8">
      <c r="B255" s="1881" t="s">
        <v>604</v>
      </c>
      <c r="C255" s="1881"/>
      <c r="D255" s="1881"/>
      <c r="E255" s="366"/>
      <c r="F255" s="368" t="s">
        <v>590</v>
      </c>
      <c r="H255" s="1166"/>
    </row>
    <row r="256" spans="2:8" ht="15.75">
      <c r="B256" s="1283">
        <f>'Biosafety and cleaning'!B27</f>
        <v>106727</v>
      </c>
      <c r="C256" s="1283" t="str">
        <f>'Biosafety and cleaning'!D27</f>
        <v>Hair cover</v>
      </c>
      <c r="D256" s="1280">
        <f>'Biosafety and cleaning'!F27</f>
        <v>0</v>
      </c>
      <c r="E256" s="366"/>
      <c r="F256" s="1284"/>
      <c r="H256" s="1166"/>
    </row>
    <row r="257" spans="2:8" ht="15.75">
      <c r="B257" s="1283">
        <f>'Biosafety and cleaning'!B28</f>
        <v>106726</v>
      </c>
      <c r="C257" s="1283" t="str">
        <f>'Biosafety and cleaning'!D28</f>
        <v>Shoe cover</v>
      </c>
      <c r="D257" s="1280">
        <f>'Biosafety and cleaning'!F28</f>
        <v>0</v>
      </c>
      <c r="E257" s="366"/>
      <c r="F257" s="1284"/>
      <c r="H257" s="1166"/>
    </row>
    <row r="258" spans="2:8" ht="15.75">
      <c r="B258" s="1283">
        <f>'Biosafety and cleaning'!B29</f>
        <v>106725</v>
      </c>
      <c r="C258" s="1283" t="str">
        <f>'Biosafety and cleaning'!D29</f>
        <v>Laboratory coat size L - disposable - sterile</v>
      </c>
      <c r="D258" s="1280">
        <f>'Biosafety and cleaning'!F29</f>
        <v>0</v>
      </c>
      <c r="E258" s="366"/>
      <c r="F258" s="1284"/>
      <c r="H258" s="1166"/>
    </row>
    <row r="259" spans="2:8" ht="15.75">
      <c r="B259" s="1283">
        <f>'Biosafety and cleaning'!B30</f>
        <v>106724</v>
      </c>
      <c r="C259" s="1283" t="str">
        <f>'Biosafety and cleaning'!D30</f>
        <v>Laboratory coat size M - disposable - sterile</v>
      </c>
      <c r="D259" s="1280">
        <f>'Biosafety and cleaning'!F30</f>
        <v>0</v>
      </c>
      <c r="E259" s="366"/>
      <c r="F259" s="1284"/>
      <c r="H259" s="1166"/>
    </row>
    <row r="260" spans="2:8" ht="15.75">
      <c r="B260" s="1283">
        <f>'Biosafety and cleaning'!B31</f>
        <v>106723</v>
      </c>
      <c r="C260" s="1283" t="str">
        <f>'Biosafety and cleaning'!D31</f>
        <v>Laboratory coat size S - disposable - sterile</v>
      </c>
      <c r="D260" s="1280">
        <f>'Biosafety and cleaning'!F31</f>
        <v>0</v>
      </c>
      <c r="E260" s="366"/>
      <c r="F260" s="1284"/>
      <c r="H260" s="1166"/>
    </row>
    <row r="261" spans="2:8" ht="15.75">
      <c r="B261" s="1283">
        <f>'Biosafety and cleaning'!B32</f>
        <v>106820</v>
      </c>
      <c r="C261" s="1283" t="str">
        <f>'Biosafety and cleaning'!D32</f>
        <v>Latex gloves size L</v>
      </c>
      <c r="D261" s="1280">
        <f>'Biosafety and cleaning'!F32</f>
        <v>0</v>
      </c>
      <c r="E261" s="366"/>
      <c r="F261" s="1284"/>
      <c r="H261" s="1166"/>
    </row>
    <row r="262" spans="2:8" ht="15.75">
      <c r="B262" s="1283">
        <f>'Biosafety and cleaning'!B33</f>
        <v>106819</v>
      </c>
      <c r="C262" s="1283" t="str">
        <f>'Biosafety and cleaning'!D33</f>
        <v>Latex gloves size M</v>
      </c>
      <c r="D262" s="1280">
        <f>'Biosafety and cleaning'!F33</f>
        <v>0</v>
      </c>
      <c r="E262" s="366"/>
      <c r="F262" s="1284"/>
      <c r="H262" s="1166"/>
    </row>
    <row r="263" spans="2:8" ht="15.75">
      <c r="B263" s="1283">
        <f>'Biosafety and cleaning'!B34</f>
        <v>106818</v>
      </c>
      <c r="C263" s="1283" t="str">
        <f>'Biosafety and cleaning'!D34</f>
        <v>Latex gloves size S</v>
      </c>
      <c r="D263" s="1280">
        <f>'Biosafety and cleaning'!F34</f>
        <v>0</v>
      </c>
      <c r="E263" s="366"/>
      <c r="F263" s="1284"/>
      <c r="H263" s="1166"/>
    </row>
    <row r="264" spans="2:8" ht="15.75">
      <c r="B264" s="1283">
        <f>'Biosafety and cleaning'!B35</f>
        <v>106829</v>
      </c>
      <c r="C264" s="1283" t="str">
        <f>'Biosafety and cleaning'!D35</f>
        <v>Disposable respirators FFP2</v>
      </c>
      <c r="D264" s="1280">
        <f>'Biosafety and cleaning'!F35</f>
        <v>0</v>
      </c>
      <c r="E264" s="366"/>
      <c r="F264" s="1284"/>
      <c r="H264" s="1166"/>
    </row>
    <row r="265" spans="2:8" ht="15.75">
      <c r="B265" s="1283">
        <f>'Biosafety and cleaning'!B36</f>
        <v>106502</v>
      </c>
      <c r="C265" s="1283" t="str">
        <f>'Biosafety and cleaning'!D36</f>
        <v>Surgical gown - cotton - L</v>
      </c>
      <c r="D265" s="1280">
        <f>'Biosafety and cleaning'!F36</f>
        <v>0</v>
      </c>
      <c r="E265" s="366"/>
      <c r="F265" s="1284"/>
      <c r="H265" s="1166"/>
    </row>
    <row r="266" spans="2:8" ht="15.75">
      <c r="B266" s="1283">
        <f>'Biosafety and cleaning'!B37</f>
        <v>106501</v>
      </c>
      <c r="C266" s="1283" t="str">
        <f>'Biosafety and cleaning'!D37</f>
        <v>Surgical gown - cotton - M</v>
      </c>
      <c r="D266" s="1280">
        <f>'Biosafety and cleaning'!F37</f>
        <v>0</v>
      </c>
      <c r="E266" s="366"/>
      <c r="F266" s="1284"/>
      <c r="H266" s="1166"/>
    </row>
    <row r="267" spans="2:8" ht="15.75">
      <c r="B267" s="1283">
        <f>'Biosafety and cleaning'!B38</f>
        <v>106500</v>
      </c>
      <c r="C267" s="1283" t="str">
        <f>'Biosafety and cleaning'!D38</f>
        <v>Surgical gown - cotton - S</v>
      </c>
      <c r="D267" s="1280">
        <f>'Biosafety and cleaning'!F38</f>
        <v>0</v>
      </c>
      <c r="E267" s="366"/>
      <c r="F267" s="1284"/>
      <c r="H267" s="1166"/>
    </row>
    <row r="268" spans="2:8" ht="15.75">
      <c r="B268" s="1283">
        <f>'Biosafety and cleaning'!B39</f>
        <v>106094</v>
      </c>
      <c r="C268" s="1283" t="str">
        <f>'Biosafety and cleaning'!D39</f>
        <v>First-aid kit for scientific laboratories</v>
      </c>
      <c r="D268" s="1280">
        <f>'Biosafety and cleaning'!F39</f>
        <v>0</v>
      </c>
      <c r="E268" s="366"/>
      <c r="F268" s="1284"/>
      <c r="H268" s="1166"/>
    </row>
    <row r="269" spans="2:8">
      <c r="B269" s="1881" t="s">
        <v>556</v>
      </c>
      <c r="C269" s="1881"/>
      <c r="D269" s="1881"/>
      <c r="E269" s="366"/>
      <c r="F269" s="372" t="s">
        <v>590</v>
      </c>
      <c r="H269" s="1166"/>
    </row>
    <row r="270" spans="2:8" ht="15.75">
      <c r="B270" s="1283">
        <f>'Biosafety and cleaning'!B10</f>
        <v>106376</v>
      </c>
      <c r="C270" s="1283" t="str">
        <f>'Biosafety and cleaning'!D10</f>
        <v>Cotton wool</v>
      </c>
      <c r="D270" s="1280">
        <f>'Biosafety and cleaning'!F10</f>
        <v>0</v>
      </c>
      <c r="E270" s="366"/>
      <c r="F270" s="374"/>
      <c r="H270" s="1166"/>
    </row>
    <row r="271" spans="2:8" ht="15.75">
      <c r="B271" s="1283">
        <f>'Biosafety and cleaning'!B11</f>
        <v>106444</v>
      </c>
      <c r="C271" s="1283" t="str">
        <f>'Biosafety and cleaning'!D11</f>
        <v>Plastic bags, biohazard waste, 30 L</v>
      </c>
      <c r="D271" s="1280">
        <f>'Biosafety and cleaning'!F11</f>
        <v>0</v>
      </c>
      <c r="E271" s="366"/>
      <c r="F271" s="374"/>
      <c r="H271" s="1166"/>
    </row>
    <row r="272" spans="2:8" ht="15.75">
      <c r="B272" s="1283">
        <f>'Biosafety and cleaning'!B12</f>
        <v>106348</v>
      </c>
      <c r="C272" s="1283" t="str">
        <f>'Biosafety and cleaning'!D12</f>
        <v>Transparent polypropylene waste bag, 420 x 600 mm</v>
      </c>
      <c r="D272" s="1280">
        <f>'Biosafety and cleaning'!F12</f>
        <v>0</v>
      </c>
      <c r="E272" s="366"/>
      <c r="F272" s="374"/>
      <c r="H272" s="1166"/>
    </row>
    <row r="273" spans="1:8" ht="15.75">
      <c r="B273" s="1283">
        <f>'Biosafety and cleaning'!B13</f>
        <v>106755</v>
      </c>
      <c r="C273" s="1283" t="str">
        <f>'Biosafety and cleaning'!D13</f>
        <v>Paper towels, 200</v>
      </c>
      <c r="D273" s="1280">
        <f>'Biosafety and cleaning'!F13</f>
        <v>0</v>
      </c>
      <c r="E273" s="366"/>
      <c r="F273" s="374"/>
      <c r="H273" s="1166"/>
    </row>
    <row r="274" spans="1:8" ht="15.75">
      <c r="B274" s="1283">
        <f>'Biosafety and cleaning'!B14</f>
        <v>106359</v>
      </c>
      <c r="C274" s="1283" t="str">
        <f>'Biosafety and cleaning'!D14</f>
        <v>Sterile indicator tape, autoclave</v>
      </c>
      <c r="D274" s="1280">
        <f>'Biosafety and cleaning'!F14</f>
        <v>0</v>
      </c>
      <c r="E274" s="366"/>
      <c r="F274" s="374"/>
      <c r="H274" s="1166"/>
    </row>
    <row r="275" spans="1:8" ht="15.75">
      <c r="B275" s="1283">
        <f>'Biosafety and cleaning'!B15</f>
        <v>106358</v>
      </c>
      <c r="C275" s="1283" t="str">
        <f>'Biosafety and cleaning'!D15</f>
        <v>Sterile indicator tape, hot-air oven</v>
      </c>
      <c r="D275" s="1280">
        <f>'Biosafety and cleaning'!F15</f>
        <v>0</v>
      </c>
      <c r="E275" s="366"/>
      <c r="F275" s="374"/>
      <c r="H275" s="1166"/>
    </row>
    <row r="276" spans="1:8" ht="15.75">
      <c r="B276" s="1283">
        <f>'Biosafety and cleaning'!B16</f>
        <v>106377</v>
      </c>
      <c r="C276" s="1283" t="str">
        <f>'Biosafety and cleaning'!D16</f>
        <v>Absorbent laboratory paper</v>
      </c>
      <c r="D276" s="1280">
        <f>'Biosafety and cleaning'!F16</f>
        <v>0</v>
      </c>
      <c r="E276" s="366"/>
      <c r="F276" s="374"/>
      <c r="H276" s="1166"/>
    </row>
    <row r="277" spans="1:8" ht="15.75">
      <c r="B277" s="1283">
        <f>'Biosafety and cleaning'!B17</f>
        <v>106363</v>
      </c>
      <c r="C277" s="1283" t="str">
        <f>'Biosafety and cleaning'!D17</f>
        <v>Tube brush</v>
      </c>
      <c r="D277" s="1280">
        <f>'Biosafety and cleaning'!F17</f>
        <v>0</v>
      </c>
      <c r="E277" s="366"/>
      <c r="F277" s="374"/>
      <c r="H277" s="1166"/>
    </row>
    <row r="278" spans="1:8" ht="15.75">
      <c r="B278" s="1283">
        <f>'Biosafety and cleaning'!B18</f>
        <v>106371</v>
      </c>
      <c r="C278" s="1283" t="str">
        <f>'Biosafety and cleaning'!D18</f>
        <v>Disinfectant for BSC surface</v>
      </c>
      <c r="D278" s="1280">
        <f>'Biosafety and cleaning'!F18</f>
        <v>0</v>
      </c>
      <c r="E278" s="366"/>
      <c r="F278" s="374"/>
      <c r="H278" s="1166"/>
    </row>
    <row r="279" spans="1:8" ht="15.75">
      <c r="B279" s="1283">
        <f>'Biosafety and cleaning'!B19</f>
        <v>106294</v>
      </c>
      <c r="C279" s="1283" t="str">
        <f>'Biosafety and cleaning'!D19</f>
        <v>Disinfectant for cleaning instrument</v>
      </c>
      <c r="D279" s="1280">
        <f>'Biosafety and cleaning'!F19</f>
        <v>0</v>
      </c>
      <c r="E279" s="366"/>
      <c r="F279" s="374"/>
      <c r="H279" s="1166"/>
    </row>
    <row r="280" spans="1:8" ht="15.75">
      <c r="B280" s="1283">
        <f>'Biosafety and cleaning'!B20</f>
        <v>106370</v>
      </c>
      <c r="C280" s="1283" t="str">
        <f>'Biosafety and cleaning'!D20</f>
        <v>Disinfectant for floors</v>
      </c>
      <c r="D280" s="1280">
        <f>'Biosafety and cleaning'!F20</f>
        <v>0</v>
      </c>
      <c r="E280" s="366"/>
      <c r="F280" s="374"/>
      <c r="H280" s="1166"/>
    </row>
    <row r="281" spans="1:8" ht="15.75">
      <c r="B281" s="1283">
        <f>'Biosafety and cleaning'!B21</f>
        <v>106374</v>
      </c>
      <c r="C281" s="1283" t="str">
        <f>'Biosafety and cleaning'!D21</f>
        <v>Disinfectant for hands, 1 L</v>
      </c>
      <c r="D281" s="1280">
        <f>'Biosafety and cleaning'!F21</f>
        <v>0</v>
      </c>
      <c r="E281" s="366"/>
      <c r="F281" s="374"/>
      <c r="H281" s="1166"/>
    </row>
    <row r="282" spans="1:8" ht="15.75">
      <c r="B282" s="1283">
        <f>'Biosafety and cleaning'!B22</f>
        <v>106333</v>
      </c>
      <c r="C282" s="1283" t="str">
        <f>'Biosafety and cleaning'!D22</f>
        <v>Ethanol / isopropanol, 5 L</v>
      </c>
      <c r="D282" s="1280">
        <f>'Biosafety and cleaning'!F22</f>
        <v>0</v>
      </c>
      <c r="E282" s="366"/>
      <c r="F282" s="374"/>
      <c r="H282" s="1166"/>
    </row>
    <row r="283" spans="1:8" ht="15.75">
      <c r="B283" s="1283">
        <f>'Biosafety and cleaning'!B23</f>
        <v>106331</v>
      </c>
      <c r="C283" s="1283" t="str">
        <f>'Biosafety and cleaning'!D23</f>
        <v>Phenol, 1 kg</v>
      </c>
      <c r="D283" s="1280">
        <f>'Biosafety and cleaning'!F23</f>
        <v>0</v>
      </c>
      <c r="E283" s="366"/>
      <c r="F283" s="374"/>
      <c r="H283" s="1166"/>
    </row>
    <row r="284" spans="1:8" ht="15.75">
      <c r="B284" s="1283">
        <f>'Biosafety and cleaning'!B24</f>
        <v>106373</v>
      </c>
      <c r="C284" s="1283" t="str">
        <f>'Biosafety and cleaning'!D24</f>
        <v>Liquid soap</v>
      </c>
      <c r="D284" s="1280">
        <f>'Biosafety and cleaning'!F24</f>
        <v>0</v>
      </c>
      <c r="E284" s="366"/>
      <c r="F284" s="374"/>
      <c r="H284" s="1166"/>
    </row>
    <row r="285" spans="1:8" ht="15.75">
      <c r="C285" s="369"/>
      <c r="H285" s="1166"/>
    </row>
    <row r="286" spans="1:8">
      <c r="H286" s="1166"/>
    </row>
    <row r="287" spans="1:8">
      <c r="A287" s="1166"/>
      <c r="B287" s="1166"/>
      <c r="C287" s="1166"/>
      <c r="D287" s="1166"/>
      <c r="E287" s="1166"/>
      <c r="F287" s="1165"/>
      <c r="G287" s="1165"/>
      <c r="H287" s="1166"/>
    </row>
    <row r="288" spans="1:8">
      <c r="A288" s="1166"/>
      <c r="B288" s="1166"/>
      <c r="C288" s="1166"/>
      <c r="D288" s="1166"/>
      <c r="E288" s="1166"/>
      <c r="F288" s="1165"/>
      <c r="G288" s="1165"/>
      <c r="H288" s="1166"/>
    </row>
  </sheetData>
  <sheetProtection algorithmName="SHA-512" hashValue="vVXxvbTuAqIVFRoL37slTOqFyVLYD2QE5l/frlWITE+keyTLCLPZ9aajKHpY44HayuLQijZ1oj92P90JObojZw==" saltValue="Z5ZXHiKhD+KdKl3SQr0SQA==" spinCount="100000" sheet="1" objects="1" scenarios="1"/>
  <mergeCells count="21">
    <mergeCell ref="B162:D162"/>
    <mergeCell ref="A1:E2"/>
    <mergeCell ref="B6:D6"/>
    <mergeCell ref="B22:D22"/>
    <mergeCell ref="B37:D37"/>
    <mergeCell ref="B41:D41"/>
    <mergeCell ref="B44:D44"/>
    <mergeCell ref="B48:D48"/>
    <mergeCell ref="B52:D52"/>
    <mergeCell ref="B77:D77"/>
    <mergeCell ref="B101:D101"/>
    <mergeCell ref="B113:D113"/>
    <mergeCell ref="B126:D126"/>
    <mergeCell ref="B144:D144"/>
    <mergeCell ref="B269:D269"/>
    <mergeCell ref="B193:D193"/>
    <mergeCell ref="B212:D212"/>
    <mergeCell ref="B243:D243"/>
    <mergeCell ref="B171:D171"/>
    <mergeCell ref="B184:D184"/>
    <mergeCell ref="B255:D255"/>
  </mergeCells>
  <pageMargins left="0.75" right="0.75" top="1" bottom="1" header="0.5" footer="0.5"/>
  <pageSetup paperSize="9" orientation="portrait" horizontalDpi="4294967292" verticalDpi="429496729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40233-B34C-4892-AB63-6AB07BEBF398}">
  <sheetPr published="0" codeName="Sheet2"/>
  <dimension ref="A1:Q44"/>
  <sheetViews>
    <sheetView zoomScaleNormal="100" workbookViewId="0">
      <selection activeCell="A45" sqref="A1:XFD1048576"/>
    </sheetView>
  </sheetViews>
  <sheetFormatPr defaultColWidth="0" defaultRowHeight="11.25" zeroHeight="1"/>
  <cols>
    <col min="1" max="17" width="9.1640625" customWidth="1"/>
    <col min="18" max="16384" width="9.1640625"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sheetData>
  <sheetProtection algorithmName="SHA-512" hashValue="fDVDB7QfdebHDk62hjf5MCOXMDxUYAQRLliKL5QXqngGXGKmNBmg7vjv9v03f21ko2eTckdWtW9j5nOu2pam7A==" saltValue="8376BzVf9EIfvlAQUFObHA==" spinCount="100000" sheet="1" objects="1" scenarios="1" selectLockedCells="1" selectUnlockedCells="1"/>
  <pageMargins left="0.7" right="0.7" top="0.75" bottom="0.75" header="0.3" footer="0.3"/>
  <pageSetup paperSize="9" orientation="landscape"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published="0" codeName="Foglio23">
    <pageSetUpPr fitToPage="1"/>
  </sheetPr>
  <dimension ref="C3:N39"/>
  <sheetViews>
    <sheetView showGridLines="0" zoomScale="130" zoomScaleNormal="130" zoomScalePageLayoutView="130" workbookViewId="0">
      <pane ySplit="3" topLeftCell="A4" activePane="bottomLeft" state="frozen"/>
      <selection pane="bottomLeft" activeCell="F22" sqref="F22"/>
    </sheetView>
  </sheetViews>
  <sheetFormatPr defaultColWidth="9" defaultRowHeight="11.25"/>
  <cols>
    <col min="1" max="2" width="2.1640625" style="143" customWidth="1"/>
    <col min="3" max="3" width="12.1640625" style="143" customWidth="1"/>
    <col min="4" max="4" width="31.1640625" style="143" customWidth="1"/>
    <col min="5" max="5" width="13.1640625" style="162" customWidth="1"/>
    <col min="6" max="6" width="9" style="162"/>
    <col min="7" max="8" width="14.1640625" style="162" customWidth="1"/>
    <col min="9" max="9" width="25.1640625" style="162" customWidth="1"/>
    <col min="10" max="10" width="26.6640625" style="162" customWidth="1"/>
    <col min="11" max="11" width="18" style="104" customWidth="1"/>
    <col min="12" max="13" width="9" style="104"/>
    <col min="14" max="16384" width="9" style="143"/>
  </cols>
  <sheetData>
    <row r="3" spans="3:14" ht="12" thickBot="1">
      <c r="D3" s="157"/>
      <c r="E3" s="163" t="s">
        <v>25</v>
      </c>
      <c r="F3" s="163" t="s">
        <v>26</v>
      </c>
      <c r="G3" s="163" t="s">
        <v>27</v>
      </c>
      <c r="H3" s="163" t="s">
        <v>28</v>
      </c>
      <c r="I3" s="163" t="s">
        <v>29</v>
      </c>
      <c r="J3" s="163" t="s">
        <v>30</v>
      </c>
    </row>
    <row r="4" spans="3:14" ht="12" thickBot="1">
      <c r="D4" s="161" t="s">
        <v>31</v>
      </c>
      <c r="E4" s="164"/>
      <c r="F4" s="164"/>
      <c r="G4" s="165"/>
      <c r="H4" s="165"/>
      <c r="I4" s="164"/>
      <c r="J4" s="166"/>
    </row>
    <row r="5" spans="3:14" ht="33.75">
      <c r="C5" s="143" t="s">
        <v>41</v>
      </c>
      <c r="D5" s="158" t="s">
        <v>55</v>
      </c>
      <c r="E5" s="163"/>
      <c r="F5" s="163"/>
      <c r="G5" s="163"/>
      <c r="H5" s="163"/>
      <c r="I5" s="163" t="s">
        <v>59</v>
      </c>
      <c r="J5" s="163"/>
    </row>
    <row r="6" spans="3:14">
      <c r="C6" s="143" t="s">
        <v>42</v>
      </c>
      <c r="D6" s="157" t="s">
        <v>56</v>
      </c>
      <c r="E6" s="163"/>
      <c r="F6" s="163"/>
      <c r="G6" s="163" t="s">
        <v>32</v>
      </c>
      <c r="H6" s="163"/>
      <c r="I6" s="163"/>
      <c r="J6" s="163"/>
    </row>
    <row r="7" spans="3:14">
      <c r="C7" s="143" t="s">
        <v>43</v>
      </c>
      <c r="D7" s="157" t="s">
        <v>57</v>
      </c>
      <c r="E7" s="163"/>
      <c r="F7" s="163"/>
      <c r="G7" s="163" t="s">
        <v>32</v>
      </c>
      <c r="H7" s="163"/>
      <c r="I7" s="163"/>
      <c r="J7" s="163"/>
      <c r="M7"/>
      <c r="N7"/>
    </row>
    <row r="8" spans="3:14" ht="12" thickBot="1">
      <c r="C8" s="143" t="s">
        <v>47</v>
      </c>
      <c r="D8" s="159" t="s">
        <v>58</v>
      </c>
      <c r="E8" s="167" t="s">
        <v>32</v>
      </c>
      <c r="G8" s="167"/>
      <c r="H8" s="167"/>
      <c r="I8" s="167"/>
      <c r="J8" s="167"/>
      <c r="M8"/>
      <c r="N8"/>
    </row>
    <row r="9" spans="3:14" ht="12" thickBot="1">
      <c r="D9" s="161" t="s">
        <v>44</v>
      </c>
      <c r="E9" s="164"/>
      <c r="F9" s="164"/>
      <c r="G9" s="165"/>
      <c r="H9" s="165"/>
      <c r="I9" s="164"/>
      <c r="J9" s="166"/>
      <c r="M9"/>
      <c r="N9"/>
    </row>
    <row r="10" spans="3:14">
      <c r="D10" s="160" t="s">
        <v>49</v>
      </c>
      <c r="E10" s="168"/>
      <c r="F10" s="168"/>
      <c r="G10" s="168" t="s">
        <v>45</v>
      </c>
      <c r="H10" s="168"/>
      <c r="I10" s="168"/>
      <c r="J10" s="168"/>
      <c r="M10"/>
      <c r="N10"/>
    </row>
    <row r="11" spans="3:14">
      <c r="D11" s="157" t="s">
        <v>50</v>
      </c>
      <c r="E11" s="163"/>
      <c r="F11" s="163"/>
      <c r="G11" s="163"/>
      <c r="H11" s="163" t="s">
        <v>45</v>
      </c>
      <c r="I11" s="163"/>
      <c r="J11" s="163"/>
      <c r="M11"/>
      <c r="N11"/>
    </row>
    <row r="12" spans="3:14">
      <c r="D12" s="157" t="s">
        <v>48</v>
      </c>
      <c r="E12" s="163"/>
      <c r="F12" s="163"/>
      <c r="G12" s="163" t="s">
        <v>45</v>
      </c>
      <c r="H12" s="163"/>
      <c r="I12" s="163"/>
      <c r="J12" s="163"/>
      <c r="M12"/>
      <c r="N12"/>
    </row>
    <row r="13" spans="3:14" ht="12" thickBot="1">
      <c r="C13" s="143" t="s">
        <v>7</v>
      </c>
      <c r="D13" s="157" t="s">
        <v>6</v>
      </c>
      <c r="E13" s="163" t="s">
        <v>32</v>
      </c>
      <c r="F13" s="163"/>
      <c r="G13" s="163"/>
      <c r="H13" s="163"/>
      <c r="I13" s="163"/>
      <c r="J13" s="163"/>
      <c r="M13"/>
      <c r="N13"/>
    </row>
    <row r="14" spans="3:14" ht="12" thickBot="1">
      <c r="D14" s="161" t="s">
        <v>33</v>
      </c>
      <c r="E14" s="164"/>
      <c r="F14" s="164"/>
      <c r="G14" s="165"/>
      <c r="H14" s="165"/>
      <c r="I14" s="164"/>
      <c r="J14" s="166"/>
      <c r="M14"/>
      <c r="N14"/>
    </row>
    <row r="15" spans="3:14">
      <c r="C15" s="1886" t="s">
        <v>46</v>
      </c>
      <c r="D15" s="175" t="s">
        <v>34</v>
      </c>
      <c r="E15" s="163"/>
      <c r="F15" s="163"/>
      <c r="G15" s="163" t="s">
        <v>45</v>
      </c>
      <c r="H15" s="163"/>
      <c r="I15" s="163"/>
      <c r="J15" s="163"/>
      <c r="M15"/>
      <c r="N15"/>
    </row>
    <row r="16" spans="3:14" ht="12" thickBot="1">
      <c r="C16" s="1887"/>
      <c r="D16" s="176" t="s">
        <v>35</v>
      </c>
      <c r="E16" s="167"/>
      <c r="F16" s="167"/>
      <c r="G16" s="167" t="s">
        <v>32</v>
      </c>
      <c r="H16" s="167"/>
      <c r="I16" s="167"/>
      <c r="J16" s="167"/>
      <c r="M16"/>
      <c r="N16"/>
    </row>
    <row r="17" spans="3:14">
      <c r="C17" s="1887"/>
      <c r="D17" s="177" t="s">
        <v>33</v>
      </c>
      <c r="E17" s="173"/>
      <c r="F17" s="173"/>
      <c r="G17" s="173"/>
      <c r="H17" s="173"/>
      <c r="I17" s="173" t="s">
        <v>32</v>
      </c>
      <c r="J17" s="173"/>
      <c r="K17" s="1883" t="s">
        <v>17</v>
      </c>
      <c r="M17"/>
      <c r="N17"/>
    </row>
    <row r="18" spans="3:14">
      <c r="C18" s="1887"/>
      <c r="D18" s="175" t="s">
        <v>36</v>
      </c>
      <c r="E18" s="163"/>
      <c r="F18" s="163"/>
      <c r="G18" s="163"/>
      <c r="H18" s="163"/>
      <c r="I18" s="163" t="s">
        <v>32</v>
      </c>
      <c r="J18" s="163"/>
      <c r="K18" s="1884"/>
      <c r="M18"/>
      <c r="N18"/>
    </row>
    <row r="19" spans="3:14">
      <c r="C19" s="1887"/>
      <c r="D19" s="175" t="s">
        <v>37</v>
      </c>
      <c r="E19" s="163"/>
      <c r="F19" s="163"/>
      <c r="G19" s="163"/>
      <c r="H19" s="163"/>
      <c r="I19" s="163" t="s">
        <v>8</v>
      </c>
      <c r="J19" s="163"/>
      <c r="K19" s="1884"/>
      <c r="M19"/>
      <c r="N19"/>
    </row>
    <row r="20" spans="3:14">
      <c r="C20" s="1887"/>
      <c r="D20" s="175" t="s">
        <v>38</v>
      </c>
      <c r="E20" s="163"/>
      <c r="F20" s="163"/>
      <c r="G20" s="163"/>
      <c r="H20" s="163"/>
      <c r="I20" s="163" t="s">
        <v>8</v>
      </c>
      <c r="J20" s="163"/>
      <c r="K20" s="1884"/>
      <c r="M20"/>
      <c r="N20"/>
    </row>
    <row r="21" spans="3:14">
      <c r="C21" s="1887"/>
      <c r="D21" s="175" t="s">
        <v>60</v>
      </c>
      <c r="E21" s="163"/>
      <c r="F21" s="163"/>
      <c r="G21" s="163" t="s">
        <v>45</v>
      </c>
      <c r="H21" s="172"/>
      <c r="I21" s="171" t="s">
        <v>45</v>
      </c>
      <c r="J21" s="163"/>
      <c r="K21" s="1884"/>
      <c r="M21"/>
      <c r="N21"/>
    </row>
    <row r="22" spans="3:14">
      <c r="C22" s="1888"/>
      <c r="D22" s="175" t="s">
        <v>61</v>
      </c>
      <c r="E22" s="163"/>
      <c r="F22" s="163"/>
      <c r="G22" s="163" t="s">
        <v>45</v>
      </c>
      <c r="H22" s="172"/>
      <c r="I22" s="171" t="s">
        <v>45</v>
      </c>
      <c r="J22" s="163"/>
      <c r="K22" s="1884"/>
      <c r="M22"/>
      <c r="N22"/>
    </row>
    <row r="23" spans="3:14" ht="11.25" customHeight="1">
      <c r="C23" s="1889" t="s">
        <v>18</v>
      </c>
      <c r="D23" s="175" t="s">
        <v>33</v>
      </c>
      <c r="E23" s="163"/>
      <c r="F23" s="163"/>
      <c r="G23" s="163"/>
      <c r="H23" s="163"/>
      <c r="I23" s="163"/>
      <c r="J23" s="163" t="s">
        <v>32</v>
      </c>
      <c r="K23" s="1884"/>
    </row>
    <row r="24" spans="3:14">
      <c r="C24" s="1889"/>
      <c r="D24" s="175" t="s">
        <v>36</v>
      </c>
      <c r="E24" s="163"/>
      <c r="F24" s="163"/>
      <c r="G24" s="163"/>
      <c r="H24" s="163"/>
      <c r="I24" s="163"/>
      <c r="J24" s="163" t="s">
        <v>45</v>
      </c>
      <c r="K24" s="1884"/>
    </row>
    <row r="25" spans="3:14">
      <c r="C25" s="1889"/>
      <c r="D25" s="175" t="s">
        <v>37</v>
      </c>
      <c r="E25" s="163"/>
      <c r="F25" s="163"/>
      <c r="G25" s="163"/>
      <c r="H25" s="163"/>
      <c r="I25" s="163"/>
      <c r="J25" s="163" t="s">
        <v>62</v>
      </c>
      <c r="K25" s="1884"/>
    </row>
    <row r="26" spans="3:14">
      <c r="C26" s="1889"/>
      <c r="D26" s="175" t="s">
        <v>38</v>
      </c>
      <c r="E26" s="163"/>
      <c r="F26" s="163"/>
      <c r="G26" s="163"/>
      <c r="H26" s="163"/>
      <c r="I26" s="163"/>
      <c r="J26" s="163" t="s">
        <v>45</v>
      </c>
      <c r="K26" s="1884"/>
    </row>
    <row r="27" spans="3:14">
      <c r="C27" s="1889"/>
      <c r="D27" s="175" t="s">
        <v>39</v>
      </c>
      <c r="E27" s="163"/>
      <c r="F27" s="163"/>
      <c r="G27" s="163"/>
      <c r="H27" s="163"/>
      <c r="I27" s="163"/>
      <c r="J27" s="163" t="s">
        <v>45</v>
      </c>
      <c r="K27" s="1884"/>
    </row>
    <row r="28" spans="3:14" ht="12" thickBot="1">
      <c r="C28" s="1890"/>
      <c r="D28" s="178" t="s">
        <v>40</v>
      </c>
      <c r="E28" s="174"/>
      <c r="F28" s="174"/>
      <c r="G28" s="174"/>
      <c r="H28" s="174"/>
      <c r="I28" s="174"/>
      <c r="J28" s="163" t="s">
        <v>45</v>
      </c>
      <c r="K28" s="1885"/>
    </row>
    <row r="30" spans="3:14">
      <c r="D30" s="143" t="s">
        <v>53</v>
      </c>
      <c r="E30" s="162">
        <v>2</v>
      </c>
      <c r="G30" s="162">
        <v>3</v>
      </c>
      <c r="I30" s="162">
        <v>4</v>
      </c>
      <c r="J30" s="162">
        <v>1</v>
      </c>
    </row>
    <row r="31" spans="3:14">
      <c r="D31" s="143" t="s">
        <v>54</v>
      </c>
      <c r="G31" s="162">
        <v>5</v>
      </c>
      <c r="H31" s="162">
        <v>1</v>
      </c>
      <c r="I31" s="162">
        <v>8</v>
      </c>
      <c r="J31" s="162">
        <v>6</v>
      </c>
    </row>
    <row r="39" spans="4:4">
      <c r="D39" s="143" t="s">
        <v>13</v>
      </c>
    </row>
  </sheetData>
  <mergeCells count="3">
    <mergeCell ref="K17:K28"/>
    <mergeCell ref="C15:C22"/>
    <mergeCell ref="C23:C28"/>
  </mergeCells>
  <phoneticPr fontId="67" type="noConversion"/>
  <pageMargins left="0.7" right="0.7" top="0.75" bottom="0.75" header="0.3" footer="0.3"/>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published="0" codeName="Sheet32"/>
  <dimension ref="A1:M421"/>
  <sheetViews>
    <sheetView showGridLines="0" zoomScale="120" zoomScaleNormal="120" zoomScalePageLayoutView="120" workbookViewId="0">
      <pane ySplit="9" topLeftCell="A10" activePane="bottomLeft" state="frozen"/>
      <selection activeCell="K41" sqref="K41"/>
      <selection pane="bottomLeft" activeCell="D383" sqref="B373:D383"/>
    </sheetView>
  </sheetViews>
  <sheetFormatPr defaultColWidth="9" defaultRowHeight="11.25"/>
  <cols>
    <col min="1" max="1" width="5.1640625" customWidth="1"/>
    <col min="2" max="2" width="74.1640625" customWidth="1"/>
    <col min="3" max="3" width="10" bestFit="1" customWidth="1"/>
    <col min="4" max="4" width="10.6640625" customWidth="1"/>
    <col min="5" max="5" width="48.1640625" customWidth="1"/>
    <col min="7" max="7" width="10.1640625" bestFit="1" customWidth="1"/>
    <col min="8" max="8" width="42.1640625" customWidth="1"/>
    <col min="10" max="10" width="10.1640625" bestFit="1" customWidth="1"/>
    <col min="13" max="13" width="12" customWidth="1"/>
  </cols>
  <sheetData>
    <row r="1" spans="1:13" ht="12.75">
      <c r="A1" s="1" t="s">
        <v>422</v>
      </c>
      <c r="C1" s="2" t="s">
        <v>423</v>
      </c>
      <c r="D1" s="3"/>
      <c r="F1" s="4"/>
      <c r="G1" s="4"/>
      <c r="H1" s="4"/>
      <c r="I1" s="4"/>
      <c r="J1" s="4"/>
      <c r="K1" s="5"/>
    </row>
    <row r="2" spans="1:13" ht="12.75">
      <c r="A2" s="6"/>
      <c r="C2" s="7"/>
      <c r="D2" s="7"/>
      <c r="F2" s="4"/>
      <c r="G2" s="4"/>
      <c r="H2" s="4"/>
      <c r="I2" s="4"/>
      <c r="J2" s="4"/>
      <c r="K2" s="5"/>
    </row>
    <row r="3" spans="1:13" ht="12.75">
      <c r="A3" s="8" t="s">
        <v>424</v>
      </c>
      <c r="C3" s="9" t="s">
        <v>425</v>
      </c>
      <c r="E3" s="9" t="s">
        <v>426</v>
      </c>
      <c r="F3" s="10"/>
      <c r="G3" s="4"/>
      <c r="H3" s="4"/>
      <c r="I3" s="4"/>
      <c r="J3" s="4"/>
      <c r="K3" s="4"/>
    </row>
    <row r="4" spans="1:13">
      <c r="B4" s="11" t="s">
        <v>427</v>
      </c>
      <c r="C4" s="12" t="s">
        <v>427</v>
      </c>
      <c r="E4" s="12" t="s">
        <v>428</v>
      </c>
      <c r="F4" s="4"/>
      <c r="G4" s="4"/>
      <c r="H4" s="4"/>
      <c r="I4" s="4"/>
      <c r="J4" s="4"/>
      <c r="K4" s="4"/>
    </row>
    <row r="5" spans="1:13">
      <c r="B5" s="11" t="s">
        <v>429</v>
      </c>
      <c r="C5" s="12" t="s">
        <v>429</v>
      </c>
      <c r="E5" s="12" t="s">
        <v>429</v>
      </c>
      <c r="F5" s="4"/>
      <c r="G5" s="4"/>
      <c r="H5" s="4"/>
      <c r="I5" s="4"/>
      <c r="J5" s="4"/>
      <c r="K5" s="4"/>
    </row>
    <row r="6" spans="1:13">
      <c r="B6" s="11" t="s">
        <v>430</v>
      </c>
      <c r="C6" s="12" t="s">
        <v>430</v>
      </c>
      <c r="E6" s="12" t="s">
        <v>430</v>
      </c>
    </row>
    <row r="7" spans="1:13">
      <c r="B7" s="13" t="s">
        <v>431</v>
      </c>
      <c r="C7" s="12" t="s">
        <v>431</v>
      </c>
      <c r="E7" s="12" t="s">
        <v>431</v>
      </c>
    </row>
    <row r="8" spans="1:13">
      <c r="B8" s="13"/>
    </row>
    <row r="9" spans="1:13" ht="22.5">
      <c r="C9" s="14" t="s">
        <v>432</v>
      </c>
      <c r="D9" s="15" t="s">
        <v>433</v>
      </c>
      <c r="E9" s="15" t="s">
        <v>434</v>
      </c>
      <c r="F9" s="16"/>
      <c r="G9" s="16"/>
      <c r="H9" s="16"/>
      <c r="I9" s="16"/>
      <c r="J9" s="16"/>
      <c r="K9" s="16"/>
      <c r="L9" s="16"/>
      <c r="M9" s="16"/>
    </row>
    <row r="10" spans="1:13" ht="56.25">
      <c r="B10" s="17" t="s">
        <v>435</v>
      </c>
      <c r="C10" s="18"/>
      <c r="D10" s="19"/>
      <c r="E10" s="17" t="s">
        <v>436</v>
      </c>
      <c r="F10" s="16"/>
      <c r="G10" s="16"/>
      <c r="H10" s="16"/>
      <c r="I10" s="16"/>
      <c r="J10" s="16"/>
      <c r="K10" s="16"/>
      <c r="L10" s="16"/>
      <c r="M10" s="16"/>
    </row>
    <row r="11" spans="1:13" ht="12.75">
      <c r="A11" s="8" t="s">
        <v>437</v>
      </c>
      <c r="F11" s="16"/>
      <c r="G11" s="16"/>
      <c r="H11" s="16"/>
      <c r="I11" s="16"/>
      <c r="J11" s="16"/>
      <c r="K11" s="16"/>
      <c r="L11" s="16"/>
      <c r="M11" s="16"/>
    </row>
    <row r="12" spans="1:13">
      <c r="E12" s="4"/>
    </row>
    <row r="13" spans="1:13">
      <c r="A13" s="32" t="s">
        <v>443</v>
      </c>
      <c r="E13" s="33"/>
    </row>
    <row r="14" spans="1:13">
      <c r="B14" s="28"/>
      <c r="C14" s="29"/>
      <c r="E14" s="4"/>
    </row>
    <row r="16" spans="1:13" ht="12.75">
      <c r="A16" s="9" t="s">
        <v>429</v>
      </c>
      <c r="B16" s="34"/>
    </row>
    <row r="17" spans="1:13" ht="33.75">
      <c r="A17" s="35"/>
      <c r="B17" s="34" t="s">
        <v>444</v>
      </c>
      <c r="C17" s="36"/>
      <c r="D17" s="37"/>
      <c r="E17" s="35"/>
      <c r="F17" s="36"/>
      <c r="G17" s="1891"/>
      <c r="H17" s="1891"/>
      <c r="I17" s="1891"/>
      <c r="J17" s="1891"/>
      <c r="K17" s="1891"/>
      <c r="L17" s="1891"/>
    </row>
    <row r="19" spans="1:13" s="35" customFormat="1" ht="22.5">
      <c r="B19" s="21" t="s">
        <v>445</v>
      </c>
      <c r="C19" s="22" t="s">
        <v>432</v>
      </c>
      <c r="D19" s="23" t="s">
        <v>433</v>
      </c>
      <c r="E19" s="23" t="s">
        <v>434</v>
      </c>
      <c r="F19" s="22" t="s">
        <v>439</v>
      </c>
      <c r="G19" s="23" t="s">
        <v>433</v>
      </c>
      <c r="M19"/>
    </row>
    <row r="20" spans="1:13" s="35" customFormat="1">
      <c r="B20" s="38" t="s">
        <v>446</v>
      </c>
      <c r="C20" s="39">
        <v>2</v>
      </c>
      <c r="D20" s="40">
        <v>1024.7249999999999</v>
      </c>
      <c r="E20" s="25"/>
      <c r="F20" s="25"/>
      <c r="G20" s="24"/>
      <c r="M20"/>
    </row>
    <row r="21" spans="1:13" s="35" customFormat="1">
      <c r="B21" s="38" t="s">
        <v>447</v>
      </c>
      <c r="C21" s="39">
        <v>2</v>
      </c>
      <c r="D21" s="40">
        <v>17761.900000000001</v>
      </c>
      <c r="E21" s="25"/>
      <c r="F21" s="25"/>
      <c r="G21" s="24"/>
      <c r="M21"/>
    </row>
    <row r="22" spans="1:13" s="35" customFormat="1">
      <c r="B22" s="41" t="s">
        <v>448</v>
      </c>
      <c r="C22" s="42">
        <v>2</v>
      </c>
      <c r="D22" s="40">
        <v>1639.56</v>
      </c>
      <c r="E22" s="25"/>
      <c r="F22" s="25"/>
      <c r="G22" s="24"/>
      <c r="M22"/>
    </row>
    <row r="23" spans="1:13" s="35" customFormat="1">
      <c r="B23" s="41" t="s">
        <v>449</v>
      </c>
      <c r="C23" s="42">
        <v>3</v>
      </c>
      <c r="D23" s="40">
        <v>478.20499999999998</v>
      </c>
      <c r="E23" s="25"/>
      <c r="F23" s="25"/>
      <c r="G23" s="24"/>
      <c r="M23"/>
    </row>
    <row r="24" spans="1:13" s="35" customFormat="1">
      <c r="B24" s="43" t="s">
        <v>450</v>
      </c>
      <c r="C24" s="42">
        <v>2</v>
      </c>
      <c r="D24" s="40">
        <v>1639.56</v>
      </c>
      <c r="E24" s="25"/>
      <c r="F24" s="25"/>
      <c r="G24" s="24"/>
      <c r="M24"/>
    </row>
    <row r="25" spans="1:13" s="35" customFormat="1">
      <c r="B25" s="41" t="s">
        <v>451</v>
      </c>
      <c r="C25" s="42">
        <v>5</v>
      </c>
      <c r="D25" s="40">
        <v>38.256399999999999</v>
      </c>
      <c r="E25" s="24"/>
      <c r="F25" s="24"/>
      <c r="G25" s="24"/>
      <c r="M25"/>
    </row>
    <row r="26" spans="1:13" s="35" customFormat="1">
      <c r="B26" s="41" t="s">
        <v>452</v>
      </c>
      <c r="C26" s="42">
        <v>5</v>
      </c>
      <c r="D26" s="40">
        <v>31.424900000000001</v>
      </c>
      <c r="E26" s="24"/>
      <c r="F26" s="24"/>
      <c r="G26" s="24"/>
      <c r="M26"/>
    </row>
    <row r="27" spans="1:13" s="35" customFormat="1">
      <c r="B27" s="41" t="s">
        <v>453</v>
      </c>
      <c r="C27" s="42">
        <v>2</v>
      </c>
      <c r="D27" s="40">
        <v>573.846</v>
      </c>
      <c r="E27" s="24" t="s">
        <v>454</v>
      </c>
      <c r="F27" s="24">
        <v>1</v>
      </c>
      <c r="G27" s="40">
        <v>245.93400000000003</v>
      </c>
      <c r="M27"/>
    </row>
    <row r="28" spans="1:13" s="35" customFormat="1">
      <c r="B28" s="41" t="s">
        <v>455</v>
      </c>
      <c r="C28" s="42">
        <v>2</v>
      </c>
      <c r="D28" s="40">
        <v>40.989000000000004</v>
      </c>
      <c r="E28" s="24"/>
      <c r="F28" s="24"/>
      <c r="G28" s="24"/>
      <c r="M28"/>
    </row>
    <row r="29" spans="1:13" s="35" customFormat="1">
      <c r="B29" s="41" t="s">
        <v>456</v>
      </c>
      <c r="C29" s="42">
        <v>6</v>
      </c>
      <c r="D29" s="40">
        <v>122.96700000000001</v>
      </c>
      <c r="E29" s="24" t="s">
        <v>457</v>
      </c>
      <c r="F29" s="24">
        <v>15</v>
      </c>
      <c r="G29" s="40">
        <v>81.978000000000009</v>
      </c>
      <c r="M29"/>
    </row>
    <row r="30" spans="1:13" s="35" customFormat="1">
      <c r="B30" s="44" t="s">
        <v>458</v>
      </c>
      <c r="C30" s="42">
        <v>12</v>
      </c>
      <c r="D30" s="40">
        <v>9.5640999999999998</v>
      </c>
      <c r="E30" s="26"/>
      <c r="F30" s="24"/>
      <c r="G30" s="24"/>
      <c r="M30"/>
    </row>
    <row r="31" spans="1:13" s="35" customFormat="1">
      <c r="B31" s="44" t="s">
        <v>441</v>
      </c>
      <c r="C31" s="42">
        <v>4</v>
      </c>
      <c r="D31" s="40">
        <v>16.395600000000002</v>
      </c>
      <c r="E31" s="24"/>
      <c r="F31" s="24"/>
      <c r="G31" s="24"/>
      <c r="M31"/>
    </row>
    <row r="32" spans="1:13" s="35" customFormat="1">
      <c r="B32" s="45" t="s">
        <v>459</v>
      </c>
      <c r="C32" s="46">
        <v>5</v>
      </c>
      <c r="D32" s="40">
        <v>150.29300000000001</v>
      </c>
      <c r="E32" s="24"/>
      <c r="F32" s="24"/>
      <c r="G32" s="24"/>
      <c r="M32"/>
    </row>
    <row r="33" spans="1:13" s="35" customFormat="1">
      <c r="A33"/>
      <c r="B33" s="45" t="s">
        <v>460</v>
      </c>
      <c r="C33" s="46">
        <v>5</v>
      </c>
      <c r="D33" s="40">
        <v>4.0989000000000004</v>
      </c>
      <c r="E33" s="24"/>
      <c r="F33" s="24"/>
      <c r="G33" s="24"/>
      <c r="H33"/>
      <c r="I33"/>
      <c r="J33"/>
      <c r="K33"/>
      <c r="L33"/>
      <c r="M33"/>
    </row>
    <row r="34" spans="1:13" s="35" customFormat="1">
      <c r="A34"/>
      <c r="B34" s="45" t="s">
        <v>461</v>
      </c>
      <c r="C34" s="46">
        <v>3</v>
      </c>
      <c r="D34" s="40">
        <v>18.445050000000002</v>
      </c>
      <c r="E34" s="24"/>
      <c r="F34" s="24"/>
      <c r="G34" s="24"/>
      <c r="H34"/>
      <c r="I34"/>
      <c r="J34"/>
      <c r="K34"/>
      <c r="L34"/>
      <c r="M34"/>
    </row>
    <row r="35" spans="1:13" s="35" customFormat="1">
      <c r="A35"/>
      <c r="B35" s="41" t="s">
        <v>462</v>
      </c>
      <c r="C35" s="42">
        <v>25</v>
      </c>
      <c r="D35" s="40">
        <v>4.2355300000000007</v>
      </c>
      <c r="E35" s="24"/>
      <c r="F35" s="24"/>
      <c r="G35" s="24"/>
      <c r="H35"/>
      <c r="I35"/>
      <c r="J35"/>
      <c r="K35"/>
      <c r="L35"/>
      <c r="M35"/>
    </row>
    <row r="36" spans="1:13" s="35" customFormat="1">
      <c r="A36"/>
      <c r="B36" s="41" t="s">
        <v>463</v>
      </c>
      <c r="C36" s="42">
        <v>2</v>
      </c>
      <c r="D36" s="40">
        <v>245.93400000000003</v>
      </c>
      <c r="E36" s="24"/>
      <c r="F36" s="24"/>
      <c r="G36" s="24"/>
      <c r="H36"/>
      <c r="I36"/>
      <c r="J36"/>
      <c r="K36"/>
      <c r="L36"/>
      <c r="M36"/>
    </row>
    <row r="37" spans="1:13" s="35" customFormat="1">
      <c r="A37"/>
      <c r="B37" s="41" t="s">
        <v>464</v>
      </c>
      <c r="C37" s="42">
        <v>2</v>
      </c>
      <c r="D37" s="40">
        <v>9290.84</v>
      </c>
      <c r="E37" s="24"/>
      <c r="F37" s="24"/>
      <c r="G37" s="24"/>
      <c r="H37"/>
      <c r="I37"/>
      <c r="J37"/>
      <c r="K37"/>
      <c r="L37"/>
      <c r="M37"/>
    </row>
    <row r="38" spans="1:13" s="35" customFormat="1">
      <c r="A38"/>
      <c r="B38" s="47" t="s">
        <v>388</v>
      </c>
      <c r="C38" s="42">
        <v>1</v>
      </c>
      <c r="D38" s="40">
        <v>8880.9500000000007</v>
      </c>
      <c r="E38" s="24"/>
      <c r="F38" s="24"/>
      <c r="G38" s="24"/>
      <c r="H38"/>
      <c r="I38"/>
      <c r="J38"/>
      <c r="K38"/>
      <c r="L38"/>
      <c r="M38"/>
    </row>
    <row r="39" spans="1:13" s="35" customFormat="1">
      <c r="A39"/>
      <c r="B39" s="48" t="s">
        <v>389</v>
      </c>
      <c r="C39" s="42">
        <v>1</v>
      </c>
      <c r="D39" s="40">
        <v>1229.67</v>
      </c>
      <c r="E39" s="24"/>
      <c r="F39" s="24"/>
      <c r="G39" s="24"/>
      <c r="H39"/>
      <c r="I39"/>
      <c r="J39"/>
      <c r="K39"/>
      <c r="L39"/>
      <c r="M39"/>
    </row>
    <row r="40" spans="1:13" s="35" customFormat="1">
      <c r="A40"/>
      <c r="B40" s="48" t="s">
        <v>390</v>
      </c>
      <c r="C40" s="42">
        <v>4</v>
      </c>
      <c r="D40" s="40">
        <v>409.89</v>
      </c>
      <c r="E40" s="24"/>
      <c r="F40" s="24"/>
      <c r="G40" s="24"/>
      <c r="H40"/>
      <c r="I40"/>
      <c r="J40"/>
      <c r="K40"/>
      <c r="L40"/>
      <c r="M40"/>
    </row>
    <row r="41" spans="1:13" s="35" customFormat="1">
      <c r="A41"/>
      <c r="B41" s="48" t="s">
        <v>391</v>
      </c>
      <c r="C41" s="42">
        <v>4</v>
      </c>
      <c r="D41" s="40">
        <v>136.63</v>
      </c>
      <c r="E41" s="24"/>
      <c r="F41" s="24"/>
      <c r="G41" s="24"/>
      <c r="H41"/>
      <c r="I41"/>
      <c r="J41"/>
      <c r="K41"/>
      <c r="L41"/>
      <c r="M41"/>
    </row>
    <row r="42" spans="1:13" s="35" customFormat="1">
      <c r="A42"/>
      <c r="B42" s="48" t="s">
        <v>392</v>
      </c>
      <c r="C42" s="42">
        <v>4</v>
      </c>
      <c r="D42" s="40">
        <v>109.304</v>
      </c>
      <c r="E42" s="24"/>
      <c r="F42" s="24"/>
      <c r="G42" s="24"/>
      <c r="H42"/>
      <c r="I42"/>
      <c r="J42"/>
      <c r="K42"/>
      <c r="L42"/>
      <c r="M42"/>
    </row>
    <row r="43" spans="1:13" s="35" customFormat="1">
      <c r="A43"/>
      <c r="B43" s="48" t="s">
        <v>393</v>
      </c>
      <c r="C43" s="42">
        <v>4</v>
      </c>
      <c r="D43" s="40">
        <v>109.304</v>
      </c>
      <c r="E43" s="24"/>
      <c r="F43" s="24"/>
      <c r="G43" s="24"/>
      <c r="H43"/>
      <c r="I43"/>
      <c r="J43"/>
      <c r="K43"/>
      <c r="L43"/>
      <c r="M43"/>
    </row>
    <row r="44" spans="1:13" s="35" customFormat="1">
      <c r="A44"/>
      <c r="B44" s="49" t="s">
        <v>394</v>
      </c>
      <c r="C44" s="42">
        <v>2</v>
      </c>
      <c r="D44" s="40">
        <v>15029.3</v>
      </c>
      <c r="E44" s="24"/>
      <c r="F44" s="24"/>
      <c r="G44" s="24"/>
      <c r="H44"/>
      <c r="I44"/>
      <c r="J44"/>
      <c r="K44"/>
      <c r="L44"/>
      <c r="M44"/>
    </row>
    <row r="45" spans="1:13" s="35" customFormat="1">
      <c r="A45"/>
      <c r="B45" s="49" t="s">
        <v>395</v>
      </c>
      <c r="C45" s="42">
        <v>2</v>
      </c>
      <c r="D45" s="40">
        <v>3005.86</v>
      </c>
      <c r="E45" s="24"/>
      <c r="F45" s="24"/>
      <c r="G45" s="24"/>
      <c r="H45"/>
      <c r="I45"/>
      <c r="J45"/>
      <c r="K45"/>
      <c r="L45"/>
      <c r="M45"/>
    </row>
    <row r="46" spans="1:13" s="35" customFormat="1">
      <c r="A46"/>
      <c r="B46" s="49" t="s">
        <v>396</v>
      </c>
      <c r="C46" s="42">
        <v>1</v>
      </c>
      <c r="D46" s="40">
        <v>3552.38</v>
      </c>
      <c r="E46" s="24"/>
      <c r="F46" s="24"/>
      <c r="G46" s="24"/>
      <c r="H46"/>
      <c r="I46"/>
      <c r="J46"/>
      <c r="K46"/>
      <c r="L46"/>
      <c r="M46"/>
    </row>
    <row r="47" spans="1:13" s="35" customFormat="1">
      <c r="A47"/>
      <c r="B47" s="49" t="s">
        <v>397</v>
      </c>
      <c r="C47" s="42">
        <v>1</v>
      </c>
      <c r="D47" s="40">
        <v>3361.098</v>
      </c>
      <c r="E47" s="24"/>
      <c r="F47" s="24"/>
      <c r="G47" s="24"/>
      <c r="H47"/>
      <c r="I47"/>
      <c r="J47"/>
      <c r="K47"/>
      <c r="L47"/>
      <c r="M47"/>
    </row>
    <row r="48" spans="1:13" s="35" customFormat="1">
      <c r="A48"/>
      <c r="B48" s="49" t="s">
        <v>398</v>
      </c>
      <c r="C48" s="42">
        <v>1</v>
      </c>
      <c r="D48" s="40">
        <v>3415.75</v>
      </c>
      <c r="E48" s="24"/>
      <c r="F48" s="24"/>
      <c r="G48" s="24"/>
      <c r="H48"/>
      <c r="I48"/>
      <c r="J48"/>
      <c r="K48"/>
      <c r="L48"/>
      <c r="M48"/>
    </row>
    <row r="49" spans="1:13" s="35" customFormat="1">
      <c r="B49" s="49" t="s">
        <v>399</v>
      </c>
      <c r="C49" s="42">
        <v>2</v>
      </c>
      <c r="D49" s="40">
        <v>245.93400000000003</v>
      </c>
      <c r="E49" s="24"/>
      <c r="F49" s="24"/>
      <c r="G49" s="24"/>
      <c r="H49"/>
      <c r="I49"/>
      <c r="J49"/>
      <c r="K49"/>
      <c r="L49"/>
      <c r="M49"/>
    </row>
    <row r="50" spans="1:13" s="35" customFormat="1">
      <c r="B50" s="50" t="s">
        <v>400</v>
      </c>
      <c r="C50" s="42">
        <v>2</v>
      </c>
      <c r="D50" s="40">
        <v>478.20499999999998</v>
      </c>
      <c r="E50" s="24"/>
      <c r="F50" s="24"/>
      <c r="G50" s="24"/>
      <c r="H50"/>
      <c r="I50"/>
      <c r="J50"/>
      <c r="K50"/>
      <c r="L50"/>
      <c r="M50"/>
    </row>
    <row r="51" spans="1:13" s="35" customFormat="1">
      <c r="B51" s="41" t="s">
        <v>401</v>
      </c>
      <c r="C51" s="42">
        <v>1</v>
      </c>
      <c r="D51" s="40">
        <v>3825.64</v>
      </c>
      <c r="E51" s="24"/>
      <c r="F51" s="24"/>
      <c r="G51" s="24"/>
      <c r="H51"/>
      <c r="I51"/>
      <c r="J51"/>
      <c r="K51"/>
      <c r="L51"/>
      <c r="M51"/>
    </row>
    <row r="52" spans="1:13" s="35" customFormat="1">
      <c r="B52" s="43" t="s">
        <v>402</v>
      </c>
      <c r="C52" s="42">
        <v>2</v>
      </c>
      <c r="D52" s="40">
        <v>1093.04</v>
      </c>
      <c r="E52" s="24"/>
      <c r="F52" s="24"/>
      <c r="G52" s="24"/>
      <c r="H52"/>
      <c r="I52"/>
      <c r="J52"/>
      <c r="K52"/>
      <c r="L52"/>
      <c r="M52"/>
    </row>
    <row r="53" spans="1:13" s="35" customFormat="1">
      <c r="B53" s="41" t="s">
        <v>403</v>
      </c>
      <c r="C53" s="42">
        <v>2</v>
      </c>
      <c r="D53" s="40">
        <v>437.21600000000001</v>
      </c>
      <c r="E53" s="24"/>
      <c r="F53" s="24"/>
      <c r="G53" s="24"/>
      <c r="H53"/>
      <c r="I53"/>
      <c r="J53"/>
      <c r="K53"/>
      <c r="L53"/>
      <c r="M53"/>
    </row>
    <row r="54" spans="1:13" s="35" customFormat="1">
      <c r="B54" s="41" t="s">
        <v>404</v>
      </c>
      <c r="C54" s="42">
        <v>5</v>
      </c>
      <c r="D54" s="40">
        <v>81.978000000000009</v>
      </c>
      <c r="E54" s="24"/>
      <c r="F54" s="24"/>
      <c r="G54" s="24"/>
      <c r="H54"/>
      <c r="I54"/>
      <c r="J54"/>
      <c r="K54"/>
      <c r="L54"/>
      <c r="M54"/>
    </row>
    <row r="55" spans="1:13">
      <c r="A55" s="4"/>
      <c r="B55" s="50" t="s">
        <v>405</v>
      </c>
      <c r="C55" s="42">
        <v>1</v>
      </c>
      <c r="D55" s="40">
        <v>1776.19</v>
      </c>
      <c r="E55" s="25"/>
      <c r="F55" s="25"/>
      <c r="G55" s="25"/>
    </row>
    <row r="56" spans="1:13" s="35" customFormat="1">
      <c r="B56" s="41" t="s">
        <v>406</v>
      </c>
      <c r="C56" s="51">
        <v>1</v>
      </c>
      <c r="D56" s="40">
        <v>81.978000000000009</v>
      </c>
      <c r="E56" s="24"/>
      <c r="F56" s="24"/>
      <c r="G56" s="24"/>
      <c r="H56"/>
      <c r="I56"/>
      <c r="J56"/>
      <c r="K56"/>
      <c r="L56"/>
      <c r="M56"/>
    </row>
    <row r="57" spans="1:13" s="35" customFormat="1">
      <c r="B57" s="41" t="s">
        <v>407</v>
      </c>
      <c r="C57" s="51">
        <v>4</v>
      </c>
      <c r="D57" s="40">
        <v>54.652000000000001</v>
      </c>
      <c r="E57" s="24"/>
      <c r="F57" s="24"/>
      <c r="G57" s="24"/>
      <c r="H57"/>
      <c r="I57"/>
      <c r="J57"/>
      <c r="K57"/>
      <c r="L57"/>
      <c r="M57"/>
    </row>
    <row r="58" spans="1:13" s="35" customFormat="1">
      <c r="B58" s="41" t="s">
        <v>408</v>
      </c>
      <c r="C58" s="51">
        <v>10</v>
      </c>
      <c r="D58" s="40">
        <v>4.4404750000000002</v>
      </c>
      <c r="E58" s="24"/>
      <c r="F58" s="24"/>
      <c r="G58" s="24"/>
      <c r="H58"/>
      <c r="I58"/>
      <c r="J58"/>
      <c r="K58"/>
      <c r="L58"/>
      <c r="M58"/>
    </row>
    <row r="59" spans="1:13" s="35" customFormat="1" ht="22.5">
      <c r="B59" s="52" t="s">
        <v>409</v>
      </c>
      <c r="C59" s="46">
        <v>12</v>
      </c>
      <c r="D59" s="40">
        <v>10.930400000000001</v>
      </c>
      <c r="E59" s="26" t="s">
        <v>410</v>
      </c>
      <c r="F59" s="40">
        <v>150</v>
      </c>
      <c r="G59" s="40">
        <v>10.930400000000001</v>
      </c>
      <c r="H59"/>
      <c r="I59"/>
      <c r="J59"/>
      <c r="K59"/>
      <c r="L59"/>
      <c r="M59"/>
    </row>
    <row r="60" spans="1:13" s="35" customFormat="1">
      <c r="B60" s="41" t="s">
        <v>411</v>
      </c>
      <c r="C60" s="46">
        <v>1</v>
      </c>
      <c r="D60" s="40">
        <v>27.326000000000001</v>
      </c>
      <c r="E60" s="24"/>
      <c r="F60" s="24"/>
      <c r="G60" s="24"/>
      <c r="H60"/>
      <c r="I60"/>
      <c r="J60"/>
      <c r="K60"/>
      <c r="L60"/>
      <c r="M60"/>
    </row>
    <row r="61" spans="1:13" s="35" customFormat="1">
      <c r="B61" s="41" t="s">
        <v>412</v>
      </c>
      <c r="C61" s="42">
        <v>10</v>
      </c>
      <c r="D61" s="40">
        <v>3.4157500000000001</v>
      </c>
      <c r="E61" s="24"/>
      <c r="F61" s="24"/>
      <c r="G61" s="24"/>
      <c r="H61"/>
      <c r="I61"/>
      <c r="J61"/>
      <c r="K61"/>
      <c r="L61"/>
      <c r="M61"/>
    </row>
    <row r="62" spans="1:13" s="35" customFormat="1" ht="20.25" customHeight="1">
      <c r="B62" s="41" t="s">
        <v>413</v>
      </c>
      <c r="C62" s="42">
        <v>2</v>
      </c>
      <c r="D62" s="40">
        <v>478.20499999999998</v>
      </c>
      <c r="E62" s="26" t="s">
        <v>414</v>
      </c>
      <c r="F62" s="40">
        <v>2</v>
      </c>
      <c r="G62" s="40">
        <v>68.314999999999998</v>
      </c>
      <c r="H62"/>
      <c r="I62"/>
      <c r="J62"/>
      <c r="K62"/>
      <c r="L62"/>
      <c r="M62"/>
    </row>
    <row r="63" spans="1:13">
      <c r="A63" s="4"/>
      <c r="B63" s="53" t="s">
        <v>415</v>
      </c>
      <c r="C63" s="46">
        <v>1</v>
      </c>
      <c r="D63" s="40">
        <v>170.78749999999999</v>
      </c>
      <c r="E63" s="25"/>
      <c r="F63" s="25"/>
      <c r="G63" s="25"/>
    </row>
    <row r="64" spans="1:13" s="35" customFormat="1">
      <c r="B64" s="53" t="s">
        <v>416</v>
      </c>
      <c r="C64" s="46">
        <v>10</v>
      </c>
      <c r="D64" s="40">
        <v>20.494500000000002</v>
      </c>
      <c r="E64" s="24"/>
      <c r="F64" s="24"/>
      <c r="G64" s="24"/>
      <c r="H64"/>
      <c r="I64"/>
      <c r="J64"/>
      <c r="K64"/>
      <c r="L64"/>
      <c r="M64"/>
    </row>
    <row r="65" spans="1:13" s="35" customFormat="1" ht="22.5">
      <c r="A65"/>
      <c r="B65" s="41" t="s">
        <v>417</v>
      </c>
      <c r="C65" s="39">
        <v>10</v>
      </c>
      <c r="D65" s="40">
        <v>27.326000000000001</v>
      </c>
      <c r="E65" s="24"/>
      <c r="F65" s="24"/>
      <c r="G65" s="24"/>
      <c r="H65"/>
      <c r="I65"/>
      <c r="J65"/>
      <c r="K65"/>
      <c r="L65"/>
      <c r="M65"/>
    </row>
    <row r="66" spans="1:13" s="35" customFormat="1" ht="22.5">
      <c r="A66"/>
      <c r="B66" s="54" t="s">
        <v>418</v>
      </c>
      <c r="C66" s="39">
        <v>10</v>
      </c>
      <c r="D66" s="40">
        <v>27.326000000000001</v>
      </c>
      <c r="E66" s="24"/>
      <c r="F66" s="24"/>
      <c r="G66" s="24"/>
      <c r="H66"/>
      <c r="I66"/>
      <c r="J66"/>
      <c r="K66"/>
      <c r="L66"/>
      <c r="M66"/>
    </row>
    <row r="67" spans="1:13" s="35" customFormat="1">
      <c r="A67"/>
      <c r="B67" s="41" t="s">
        <v>419</v>
      </c>
      <c r="C67" s="55">
        <v>2</v>
      </c>
      <c r="D67" s="40">
        <v>68.314999999999998</v>
      </c>
      <c r="E67" s="24"/>
      <c r="F67" s="24"/>
      <c r="G67" s="24"/>
      <c r="H67"/>
      <c r="I67"/>
      <c r="J67"/>
      <c r="K67"/>
      <c r="L67"/>
      <c r="M67"/>
    </row>
    <row r="68" spans="1:13" s="35" customFormat="1">
      <c r="A68"/>
      <c r="B68" s="41" t="s">
        <v>420</v>
      </c>
      <c r="C68" s="55">
        <v>2</v>
      </c>
      <c r="D68" s="40">
        <v>47.820500000000003</v>
      </c>
      <c r="E68" s="24"/>
      <c r="F68" s="24"/>
      <c r="G68" s="56"/>
      <c r="H68"/>
      <c r="I68"/>
      <c r="J68"/>
      <c r="K68"/>
      <c r="L68"/>
      <c r="M68"/>
    </row>
    <row r="69" spans="1:13" s="35" customFormat="1" ht="22.5">
      <c r="A69"/>
      <c r="B69" s="41" t="s">
        <v>421</v>
      </c>
      <c r="C69" s="57">
        <v>5</v>
      </c>
      <c r="D69" s="40">
        <v>8.1978000000000009</v>
      </c>
      <c r="E69" s="24"/>
      <c r="F69" s="24"/>
      <c r="G69" s="24"/>
      <c r="H69"/>
      <c r="I69"/>
      <c r="J69"/>
      <c r="K69"/>
      <c r="L69"/>
      <c r="M69"/>
    </row>
    <row r="70" spans="1:13" s="35" customFormat="1">
      <c r="A70"/>
      <c r="B70" s="41" t="s">
        <v>359</v>
      </c>
      <c r="C70" s="46">
        <v>1</v>
      </c>
      <c r="D70" s="40">
        <v>34.157499999999999</v>
      </c>
      <c r="E70" s="24"/>
      <c r="F70" s="24"/>
      <c r="G70" s="24"/>
      <c r="H70"/>
      <c r="I70"/>
      <c r="J70"/>
      <c r="K70"/>
      <c r="L70"/>
      <c r="M70"/>
    </row>
    <row r="71" spans="1:13" s="35" customFormat="1">
      <c r="A71"/>
      <c r="B71" s="41" t="s">
        <v>360</v>
      </c>
      <c r="C71" s="46">
        <v>1</v>
      </c>
      <c r="D71" s="40">
        <v>327.91200000000003</v>
      </c>
      <c r="E71" s="24"/>
      <c r="F71" s="24"/>
      <c r="G71" s="24"/>
      <c r="H71"/>
      <c r="I71"/>
      <c r="J71"/>
      <c r="K71"/>
      <c r="L71"/>
      <c r="M71"/>
    </row>
    <row r="72" spans="1:13" s="35" customFormat="1">
      <c r="A72"/>
      <c r="B72" s="50" t="s">
        <v>361</v>
      </c>
      <c r="C72" s="39">
        <v>1</v>
      </c>
      <c r="D72" s="40">
        <v>2049.4499999999998</v>
      </c>
      <c r="E72" s="24"/>
      <c r="F72" s="24"/>
      <c r="G72" s="24"/>
      <c r="H72"/>
      <c r="I72"/>
      <c r="J72"/>
      <c r="K72"/>
      <c r="L72"/>
      <c r="M72"/>
    </row>
    <row r="73" spans="1:13" s="35" customFormat="1">
      <c r="A73"/>
      <c r="B73" s="54" t="s">
        <v>442</v>
      </c>
      <c r="C73" s="42">
        <v>1</v>
      </c>
      <c r="D73" s="40">
        <v>4782.05</v>
      </c>
      <c r="E73" s="24"/>
      <c r="F73" s="24"/>
      <c r="G73" s="24"/>
      <c r="H73"/>
      <c r="I73"/>
      <c r="J73"/>
      <c r="K73"/>
      <c r="L73"/>
      <c r="M73"/>
    </row>
    <row r="74" spans="1:13" s="35" customFormat="1">
      <c r="A74"/>
      <c r="B74" s="50" t="s">
        <v>362</v>
      </c>
      <c r="C74" s="42">
        <v>1</v>
      </c>
      <c r="D74" s="40">
        <v>819.78</v>
      </c>
      <c r="E74" s="24"/>
      <c r="F74" s="24"/>
      <c r="G74" s="24"/>
      <c r="H74"/>
      <c r="I74"/>
      <c r="J74"/>
      <c r="K74"/>
      <c r="L74"/>
      <c r="M74"/>
    </row>
    <row r="75" spans="1:13" s="35" customFormat="1">
      <c r="A75"/>
      <c r="B75" s="50" t="s">
        <v>363</v>
      </c>
      <c r="C75" s="42">
        <v>1</v>
      </c>
      <c r="D75" s="40">
        <v>143.4615</v>
      </c>
      <c r="E75" s="24"/>
      <c r="F75" s="24"/>
      <c r="G75" s="24"/>
      <c r="H75"/>
      <c r="I75"/>
      <c r="J75"/>
      <c r="K75"/>
      <c r="L75"/>
      <c r="M75"/>
    </row>
    <row r="76" spans="1:13" s="35" customFormat="1">
      <c r="A76"/>
      <c r="B76" s="50" t="s">
        <v>364</v>
      </c>
      <c r="C76" s="42">
        <v>1</v>
      </c>
      <c r="D76" s="40">
        <v>16.395600000000002</v>
      </c>
      <c r="E76" s="24"/>
      <c r="F76" s="24"/>
      <c r="G76" s="24"/>
      <c r="H76"/>
      <c r="I76"/>
      <c r="J76"/>
      <c r="K76"/>
      <c r="L76"/>
      <c r="M76"/>
    </row>
    <row r="77" spans="1:13" s="35" customFormat="1">
      <c r="A77"/>
      <c r="B77" s="41" t="s">
        <v>365</v>
      </c>
      <c r="C77" s="42">
        <v>1</v>
      </c>
      <c r="D77" s="40">
        <v>1502.93</v>
      </c>
      <c r="E77" s="24"/>
      <c r="F77" s="24"/>
      <c r="G77" s="24"/>
      <c r="H77"/>
      <c r="I77"/>
      <c r="J77"/>
      <c r="K77"/>
      <c r="L77"/>
      <c r="M77"/>
    </row>
    <row r="78" spans="1:13" s="35" customFormat="1">
      <c r="A78"/>
      <c r="B78" s="41" t="s">
        <v>366</v>
      </c>
      <c r="C78" s="58">
        <v>1</v>
      </c>
      <c r="D78" s="40">
        <v>580.67750000000001</v>
      </c>
      <c r="E78" s="24"/>
      <c r="F78" s="24"/>
      <c r="G78" s="24"/>
      <c r="H78"/>
      <c r="I78"/>
      <c r="J78"/>
      <c r="K78"/>
      <c r="L78"/>
      <c r="M78"/>
    </row>
    <row r="79" spans="1:13" s="35" customFormat="1" ht="22.5">
      <c r="A79"/>
      <c r="B79" s="41" t="s">
        <v>367</v>
      </c>
      <c r="C79" s="58">
        <v>1</v>
      </c>
      <c r="D79" s="40">
        <v>68.314999999999998</v>
      </c>
      <c r="E79" s="24"/>
      <c r="F79" s="24"/>
      <c r="G79" s="24"/>
      <c r="H79"/>
      <c r="I79"/>
      <c r="J79"/>
      <c r="K79"/>
      <c r="L79"/>
      <c r="M79"/>
    </row>
    <row r="80" spans="1:13" s="35" customFormat="1" ht="33.75">
      <c r="A80"/>
      <c r="B80" s="50" t="s">
        <v>368</v>
      </c>
      <c r="C80" s="39">
        <v>3</v>
      </c>
      <c r="D80" s="40">
        <v>68.314999999999998</v>
      </c>
      <c r="E80" s="24"/>
      <c r="F80" s="24"/>
      <c r="G80" s="24"/>
      <c r="H80"/>
      <c r="I80"/>
      <c r="J80"/>
      <c r="K80"/>
      <c r="L80"/>
      <c r="M80"/>
    </row>
    <row r="81" spans="1:13" s="35" customFormat="1">
      <c r="A81"/>
      <c r="B81" s="47" t="s">
        <v>369</v>
      </c>
      <c r="C81" s="42">
        <v>3</v>
      </c>
      <c r="D81" s="40">
        <v>136.63</v>
      </c>
      <c r="E81" s="24"/>
      <c r="F81" s="24"/>
      <c r="G81" s="24"/>
      <c r="H81"/>
      <c r="I81"/>
      <c r="J81"/>
      <c r="K81"/>
      <c r="L81"/>
      <c r="M81"/>
    </row>
    <row r="82" spans="1:13" s="35" customFormat="1">
      <c r="A82"/>
      <c r="B82" s="52" t="s">
        <v>370</v>
      </c>
      <c r="C82" s="42">
        <v>1</v>
      </c>
      <c r="D82" s="40">
        <v>8197.7999999999993</v>
      </c>
      <c r="E82" s="24"/>
      <c r="F82" s="24"/>
      <c r="G82" s="24"/>
      <c r="H82"/>
      <c r="I82"/>
      <c r="J82"/>
      <c r="K82"/>
      <c r="L82"/>
      <c r="M82"/>
    </row>
    <row r="83" spans="1:13" s="35" customFormat="1">
      <c r="A83"/>
      <c r="B83" s="41" t="s">
        <v>371</v>
      </c>
      <c r="C83" s="42">
        <v>1</v>
      </c>
      <c r="D83" s="40">
        <v>819.78</v>
      </c>
      <c r="E83" s="24"/>
      <c r="F83" s="24"/>
      <c r="G83" s="24"/>
      <c r="H83"/>
      <c r="I83"/>
      <c r="J83"/>
      <c r="K83"/>
      <c r="L83"/>
      <c r="M83"/>
    </row>
    <row r="84" spans="1:13" s="35" customFormat="1">
      <c r="A84"/>
      <c r="B84" s="41" t="s">
        <v>372</v>
      </c>
      <c r="C84" s="42">
        <v>2</v>
      </c>
      <c r="D84" s="40">
        <v>409.89</v>
      </c>
      <c r="E84" s="24"/>
      <c r="F84" s="24"/>
      <c r="G84" s="24"/>
      <c r="H84"/>
      <c r="I84"/>
      <c r="J84"/>
      <c r="K84"/>
      <c r="L84"/>
      <c r="M84"/>
    </row>
    <row r="85" spans="1:13" s="35" customFormat="1">
      <c r="A85"/>
      <c r="B85" s="50" t="s">
        <v>373</v>
      </c>
      <c r="C85" s="42">
        <v>5</v>
      </c>
      <c r="D85" s="40">
        <v>13.663</v>
      </c>
      <c r="E85" s="24"/>
      <c r="F85" s="24"/>
      <c r="G85" s="24"/>
      <c r="H85"/>
      <c r="I85"/>
      <c r="J85"/>
      <c r="K85"/>
      <c r="L85"/>
      <c r="M85"/>
    </row>
    <row r="86" spans="1:13" s="35" customFormat="1" ht="22.5">
      <c r="A86"/>
      <c r="B86" s="50" t="s">
        <v>374</v>
      </c>
      <c r="C86" s="42">
        <v>5</v>
      </c>
      <c r="D86" s="40">
        <v>16.395600000000002</v>
      </c>
      <c r="E86" s="24"/>
      <c r="F86" s="24"/>
      <c r="G86" s="24"/>
      <c r="H86"/>
      <c r="I86"/>
      <c r="J86"/>
      <c r="K86"/>
      <c r="L86"/>
      <c r="M86"/>
    </row>
    <row r="87" spans="1:13" s="35" customFormat="1">
      <c r="A87"/>
      <c r="B87" s="50" t="s">
        <v>375</v>
      </c>
      <c r="C87" s="42">
        <v>5</v>
      </c>
      <c r="D87" s="40">
        <v>2.7326000000000001</v>
      </c>
      <c r="E87" s="24"/>
      <c r="F87" s="24"/>
      <c r="G87" s="24"/>
      <c r="H87"/>
      <c r="I87"/>
      <c r="J87"/>
      <c r="K87"/>
      <c r="L87"/>
      <c r="M87"/>
    </row>
    <row r="88" spans="1:13" s="35" customFormat="1">
      <c r="A88"/>
      <c r="B88" s="50" t="s">
        <v>376</v>
      </c>
      <c r="C88" s="42">
        <v>2</v>
      </c>
      <c r="D88" s="40">
        <v>34.157499999999999</v>
      </c>
      <c r="E88" s="24"/>
      <c r="F88" s="24"/>
      <c r="G88" s="24"/>
      <c r="H88"/>
      <c r="I88"/>
      <c r="J88"/>
      <c r="K88"/>
      <c r="L88"/>
      <c r="M88"/>
    </row>
    <row r="89" spans="1:13" s="35" customFormat="1">
      <c r="A89"/>
      <c r="B89" s="50" t="s">
        <v>377</v>
      </c>
      <c r="C89" s="46">
        <v>10</v>
      </c>
      <c r="D89" s="40">
        <v>163.95600000000002</v>
      </c>
      <c r="E89" s="24"/>
      <c r="F89" s="24"/>
      <c r="G89" s="24"/>
      <c r="H89"/>
      <c r="I89"/>
      <c r="J89"/>
      <c r="K89"/>
      <c r="L89"/>
      <c r="M89"/>
    </row>
    <row r="90" spans="1:13" s="35" customFormat="1">
      <c r="A90"/>
      <c r="B90" s="50" t="s">
        <v>378</v>
      </c>
      <c r="C90" s="46">
        <v>10</v>
      </c>
      <c r="D90" s="40">
        <v>81.978000000000009</v>
      </c>
      <c r="E90" s="24"/>
      <c r="F90" s="24"/>
      <c r="G90" s="24"/>
      <c r="H90"/>
      <c r="I90"/>
      <c r="J90"/>
      <c r="K90"/>
      <c r="L90"/>
      <c r="M90"/>
    </row>
    <row r="91" spans="1:13" s="35" customFormat="1">
      <c r="A91"/>
      <c r="B91" s="50" t="s">
        <v>379</v>
      </c>
      <c r="C91" s="46">
        <v>10</v>
      </c>
      <c r="D91" s="40">
        <v>61.483500000000006</v>
      </c>
      <c r="E91" s="24"/>
      <c r="F91" s="24"/>
      <c r="G91" s="24"/>
      <c r="H91"/>
      <c r="I91"/>
      <c r="J91"/>
      <c r="K91"/>
      <c r="L91"/>
      <c r="M91"/>
    </row>
    <row r="92" spans="1:13" s="35" customFormat="1">
      <c r="A92"/>
      <c r="B92" s="50" t="s">
        <v>380</v>
      </c>
      <c r="C92" s="46">
        <v>20</v>
      </c>
      <c r="D92" s="40">
        <v>54.652000000000001</v>
      </c>
      <c r="E92" s="24"/>
      <c r="F92" s="24"/>
      <c r="G92" s="24"/>
      <c r="H92"/>
      <c r="I92"/>
      <c r="J92"/>
      <c r="K92"/>
      <c r="L92"/>
      <c r="M92"/>
    </row>
    <row r="93" spans="1:13" s="35" customFormat="1">
      <c r="A93"/>
      <c r="B93" s="50" t="s">
        <v>381</v>
      </c>
      <c r="C93" s="46">
        <v>20</v>
      </c>
      <c r="D93" s="40">
        <v>54.652000000000001</v>
      </c>
      <c r="E93" s="24"/>
      <c r="F93" s="24"/>
      <c r="G93" s="24"/>
      <c r="H93"/>
      <c r="I93"/>
      <c r="J93"/>
      <c r="K93"/>
      <c r="L93"/>
      <c r="M93"/>
    </row>
    <row r="94" spans="1:13" s="35" customFormat="1">
      <c r="A94"/>
      <c r="B94" s="50" t="s">
        <v>382</v>
      </c>
      <c r="C94" s="46">
        <v>5</v>
      </c>
      <c r="D94" s="40">
        <v>22.270690000000002</v>
      </c>
      <c r="E94" s="24"/>
      <c r="F94" s="24"/>
      <c r="G94" s="24"/>
      <c r="H94"/>
      <c r="I94"/>
      <c r="J94"/>
      <c r="K94"/>
      <c r="L94"/>
      <c r="M94"/>
    </row>
    <row r="95" spans="1:13" s="35" customFormat="1">
      <c r="A95"/>
      <c r="B95" s="50" t="s">
        <v>383</v>
      </c>
      <c r="C95" s="46">
        <v>5</v>
      </c>
      <c r="D95" s="40">
        <v>14.346150000000002</v>
      </c>
      <c r="E95" s="24"/>
      <c r="F95" s="24"/>
      <c r="G95" s="24"/>
      <c r="H95"/>
      <c r="I95"/>
      <c r="J95"/>
      <c r="K95"/>
      <c r="L95"/>
      <c r="M95"/>
    </row>
    <row r="96" spans="1:13" s="35" customFormat="1">
      <c r="A96"/>
      <c r="B96" s="50" t="s">
        <v>384</v>
      </c>
      <c r="C96" s="46">
        <v>5</v>
      </c>
      <c r="D96" s="40">
        <v>9.4957850000000015</v>
      </c>
      <c r="E96" s="24"/>
      <c r="F96" s="24"/>
      <c r="G96" s="24"/>
      <c r="H96"/>
      <c r="I96"/>
      <c r="J96"/>
      <c r="K96"/>
      <c r="L96"/>
      <c r="M96"/>
    </row>
    <row r="97" spans="1:13" s="35" customFormat="1">
      <c r="B97" s="50" t="s">
        <v>385</v>
      </c>
      <c r="C97" s="46">
        <v>5</v>
      </c>
      <c r="D97" s="40">
        <v>6.1483500000000006</v>
      </c>
      <c r="E97" s="24"/>
      <c r="F97" s="24"/>
      <c r="G97" s="24"/>
      <c r="H97"/>
      <c r="I97"/>
      <c r="J97"/>
      <c r="K97"/>
      <c r="L97"/>
      <c r="M97"/>
    </row>
    <row r="98" spans="1:13" s="35" customFormat="1">
      <c r="B98" s="50" t="s">
        <v>386</v>
      </c>
      <c r="C98" s="46">
        <v>5</v>
      </c>
      <c r="D98" s="40">
        <v>4.6454200000000005</v>
      </c>
      <c r="E98" s="24"/>
      <c r="F98" s="24"/>
      <c r="G98" s="24"/>
      <c r="H98"/>
      <c r="I98"/>
      <c r="J98"/>
      <c r="K98"/>
      <c r="L98"/>
      <c r="M98"/>
    </row>
    <row r="99" spans="1:13" s="35" customFormat="1" ht="12.75" customHeight="1">
      <c r="B99" s="50" t="s">
        <v>387</v>
      </c>
      <c r="C99" s="46">
        <v>6</v>
      </c>
      <c r="D99" s="40">
        <v>58.750900000000001</v>
      </c>
      <c r="E99" s="24"/>
      <c r="F99" s="24"/>
      <c r="G99" s="24"/>
      <c r="H99"/>
      <c r="I99"/>
      <c r="J99"/>
      <c r="K99"/>
      <c r="L99"/>
      <c r="M99"/>
    </row>
    <row r="100" spans="1:13" s="35" customFormat="1" ht="14.25" customHeight="1">
      <c r="B100" s="59" t="s">
        <v>334</v>
      </c>
      <c r="C100" s="46">
        <v>3</v>
      </c>
      <c r="D100" s="40">
        <v>24.593400000000003</v>
      </c>
      <c r="E100" s="24"/>
      <c r="F100" s="24"/>
      <c r="G100" s="24"/>
      <c r="H100"/>
      <c r="I100"/>
      <c r="J100"/>
      <c r="K100"/>
      <c r="L100"/>
      <c r="M100"/>
    </row>
    <row r="101" spans="1:13" ht="10.5" customHeight="1">
      <c r="A101" s="4"/>
      <c r="B101" s="59" t="s">
        <v>335</v>
      </c>
      <c r="C101" s="46">
        <v>10</v>
      </c>
      <c r="D101" s="40">
        <v>14.346150000000002</v>
      </c>
      <c r="E101" s="25"/>
      <c r="F101" s="25"/>
      <c r="G101" s="25"/>
    </row>
    <row r="102" spans="1:13" ht="13.5" customHeight="1">
      <c r="A102" s="60"/>
      <c r="B102" s="59" t="s">
        <v>336</v>
      </c>
      <c r="C102" s="46">
        <v>5</v>
      </c>
      <c r="D102" s="40">
        <v>9.2908400000000011</v>
      </c>
      <c r="E102" s="25"/>
      <c r="F102" s="25"/>
      <c r="G102" s="25"/>
    </row>
    <row r="103" spans="1:13" s="35" customFormat="1">
      <c r="B103" s="59" t="s">
        <v>337</v>
      </c>
      <c r="C103" s="46">
        <v>3</v>
      </c>
      <c r="D103" s="40">
        <v>16.395600000000002</v>
      </c>
      <c r="E103" s="24"/>
      <c r="F103" s="24"/>
      <c r="G103" s="24"/>
      <c r="H103"/>
      <c r="I103"/>
      <c r="J103"/>
      <c r="K103"/>
      <c r="L103"/>
      <c r="M103"/>
    </row>
    <row r="104" spans="1:13" s="35" customFormat="1" ht="12.75" customHeight="1">
      <c r="B104" s="59" t="s">
        <v>338</v>
      </c>
      <c r="C104" s="46">
        <v>2</v>
      </c>
      <c r="D104" s="40">
        <v>27.326000000000001</v>
      </c>
      <c r="E104" s="24"/>
      <c r="F104" s="24"/>
      <c r="G104" s="24"/>
      <c r="H104"/>
      <c r="I104"/>
      <c r="J104"/>
      <c r="K104"/>
      <c r="L104"/>
      <c r="M104"/>
    </row>
    <row r="105" spans="1:13" s="35" customFormat="1" ht="14.25" customHeight="1">
      <c r="B105" s="61" t="s">
        <v>339</v>
      </c>
      <c r="C105" s="46">
        <v>10</v>
      </c>
      <c r="D105" s="40">
        <v>3.0058600000000002</v>
      </c>
      <c r="E105" s="24"/>
      <c r="F105" s="24"/>
      <c r="G105" s="24"/>
      <c r="H105"/>
      <c r="I105"/>
      <c r="J105"/>
      <c r="K105"/>
      <c r="L105"/>
      <c r="M105"/>
    </row>
    <row r="106" spans="1:13" s="35" customFormat="1">
      <c r="B106" s="59" t="s">
        <v>340</v>
      </c>
      <c r="C106" s="62">
        <v>3</v>
      </c>
      <c r="D106" s="40">
        <v>136.63</v>
      </c>
      <c r="E106" s="24"/>
      <c r="F106" s="24"/>
      <c r="G106" s="24"/>
      <c r="H106"/>
      <c r="I106"/>
      <c r="J106"/>
      <c r="K106"/>
      <c r="L106"/>
      <c r="M106"/>
    </row>
    <row r="107" spans="1:13" s="35" customFormat="1">
      <c r="B107" s="59" t="s">
        <v>341</v>
      </c>
      <c r="C107" s="46">
        <v>3</v>
      </c>
      <c r="D107" s="40">
        <v>68.314999999999998</v>
      </c>
      <c r="E107" s="24"/>
      <c r="F107" s="24"/>
      <c r="G107" s="24"/>
      <c r="H107"/>
      <c r="I107"/>
      <c r="J107"/>
      <c r="K107"/>
      <c r="L107"/>
      <c r="M107"/>
    </row>
    <row r="108" spans="1:13" s="35" customFormat="1">
      <c r="B108" s="59" t="s">
        <v>342</v>
      </c>
      <c r="C108" s="46">
        <v>10</v>
      </c>
      <c r="D108" s="40">
        <v>54.652000000000001</v>
      </c>
      <c r="E108" s="24"/>
      <c r="F108" s="24"/>
      <c r="G108" s="24"/>
      <c r="H108"/>
      <c r="I108"/>
      <c r="J108"/>
      <c r="K108"/>
      <c r="L108"/>
      <c r="M108"/>
    </row>
    <row r="109" spans="1:13" s="35" customFormat="1">
      <c r="B109" s="59" t="s">
        <v>343</v>
      </c>
      <c r="C109" s="46">
        <v>10</v>
      </c>
      <c r="D109" s="40">
        <v>24.593400000000003</v>
      </c>
      <c r="E109" s="24"/>
      <c r="F109" s="24"/>
      <c r="G109" s="24"/>
      <c r="H109"/>
      <c r="I109"/>
      <c r="J109"/>
      <c r="K109"/>
      <c r="L109"/>
      <c r="M109"/>
    </row>
    <row r="110" spans="1:13" s="35" customFormat="1">
      <c r="B110" s="59" t="s">
        <v>344</v>
      </c>
      <c r="C110" s="46">
        <v>10</v>
      </c>
      <c r="D110" s="40">
        <v>15.029300000000001</v>
      </c>
      <c r="E110" s="24"/>
      <c r="F110" s="24"/>
      <c r="G110" s="24"/>
      <c r="H110"/>
      <c r="I110"/>
      <c r="J110"/>
      <c r="K110"/>
      <c r="L110"/>
      <c r="M110"/>
    </row>
    <row r="111" spans="1:13">
      <c r="A111" s="4"/>
      <c r="B111" s="63" t="s">
        <v>345</v>
      </c>
      <c r="C111" s="64">
        <v>1</v>
      </c>
      <c r="D111" s="40">
        <v>184.45050000000001</v>
      </c>
      <c r="E111" s="25"/>
      <c r="F111" s="25"/>
      <c r="G111" s="25"/>
    </row>
    <row r="112" spans="1:13">
      <c r="A112" s="4"/>
      <c r="B112" s="50" t="s">
        <v>346</v>
      </c>
      <c r="C112" s="46">
        <v>5</v>
      </c>
      <c r="D112" s="40">
        <v>6.8315000000000001</v>
      </c>
      <c r="E112" s="25"/>
      <c r="F112" s="25"/>
      <c r="G112" s="25"/>
    </row>
    <row r="113" spans="1:8">
      <c r="A113" s="4"/>
      <c r="B113" s="65" t="s">
        <v>347</v>
      </c>
      <c r="C113" s="46">
        <v>5</v>
      </c>
      <c r="D113" s="40">
        <v>10.930400000000001</v>
      </c>
      <c r="E113" s="25"/>
      <c r="F113" s="25"/>
      <c r="G113" s="25"/>
    </row>
    <row r="114" spans="1:8">
      <c r="A114" s="4"/>
      <c r="B114" s="50" t="s">
        <v>348</v>
      </c>
      <c r="C114" s="46">
        <v>5</v>
      </c>
      <c r="D114" s="40">
        <v>10.930400000000001</v>
      </c>
      <c r="E114" s="25"/>
      <c r="F114" s="25"/>
      <c r="G114" s="25"/>
    </row>
    <row r="115" spans="1:8">
      <c r="A115" s="4"/>
      <c r="B115" s="65" t="s">
        <v>349</v>
      </c>
      <c r="C115" s="62">
        <v>2</v>
      </c>
      <c r="D115" s="40">
        <v>34.157499999999999</v>
      </c>
      <c r="E115" s="25"/>
      <c r="F115" s="25"/>
      <c r="G115" s="25"/>
    </row>
    <row r="116" spans="1:8">
      <c r="A116" s="4"/>
      <c r="B116" s="65" t="s">
        <v>350</v>
      </c>
      <c r="C116" s="46">
        <v>1</v>
      </c>
      <c r="D116" s="40">
        <v>34.157499999999999</v>
      </c>
      <c r="E116" s="25"/>
      <c r="F116" s="25"/>
      <c r="G116" s="25"/>
    </row>
    <row r="117" spans="1:8" ht="22.5">
      <c r="A117" s="4"/>
      <c r="B117" s="50" t="s">
        <v>351</v>
      </c>
      <c r="C117" s="62">
        <v>10</v>
      </c>
      <c r="D117" s="40">
        <v>109.304</v>
      </c>
      <c r="E117" s="25"/>
      <c r="F117" s="25"/>
      <c r="G117" s="25"/>
    </row>
    <row r="118" spans="1:8">
      <c r="A118" s="4"/>
      <c r="B118" s="50" t="s">
        <v>352</v>
      </c>
      <c r="C118" s="62">
        <v>1</v>
      </c>
      <c r="D118" s="40">
        <v>21.860800000000001</v>
      </c>
      <c r="E118" s="25"/>
      <c r="F118" s="25"/>
      <c r="G118" s="25"/>
    </row>
    <row r="119" spans="1:8">
      <c r="A119" s="4"/>
      <c r="B119" s="50" t="s">
        <v>353</v>
      </c>
      <c r="C119" s="39">
        <v>5</v>
      </c>
      <c r="D119" s="40">
        <v>9.3864809999999999</v>
      </c>
      <c r="E119" s="25"/>
      <c r="F119" s="25"/>
      <c r="G119" s="25"/>
    </row>
    <row r="120" spans="1:8">
      <c r="A120" s="4"/>
      <c r="B120" s="66" t="s">
        <v>354</v>
      </c>
      <c r="C120" s="39">
        <v>1</v>
      </c>
      <c r="D120" s="40">
        <v>5055.3100000000004</v>
      </c>
      <c r="E120" s="25"/>
      <c r="F120" s="25"/>
      <c r="G120" s="25"/>
    </row>
    <row r="121" spans="1:8" ht="22.5">
      <c r="A121" s="4"/>
      <c r="B121" s="52" t="s">
        <v>355</v>
      </c>
      <c r="C121" s="39">
        <v>1</v>
      </c>
      <c r="D121" s="40">
        <v>929.08400000000006</v>
      </c>
      <c r="E121" s="25"/>
      <c r="F121" s="25"/>
      <c r="G121" s="25"/>
    </row>
    <row r="122" spans="1:8">
      <c r="A122" s="4"/>
      <c r="B122" s="67" t="s">
        <v>356</v>
      </c>
      <c r="C122" s="42">
        <v>1</v>
      </c>
      <c r="D122" s="40">
        <v>409.89</v>
      </c>
      <c r="E122" s="25"/>
      <c r="F122" s="25"/>
      <c r="G122" s="25"/>
    </row>
    <row r="123" spans="1:8">
      <c r="A123" s="4"/>
      <c r="B123" s="31" t="s">
        <v>357</v>
      </c>
      <c r="C123" s="27"/>
      <c r="D123" s="27">
        <f>SUMPRODUCT(C20:C122,D20:D122)</f>
        <v>177698.3820300001</v>
      </c>
    </row>
    <row r="124" spans="1:8">
      <c r="A124" s="4"/>
      <c r="B124" s="68"/>
      <c r="C124" s="69"/>
      <c r="D124" s="70"/>
    </row>
    <row r="125" spans="1:8">
      <c r="A125" s="4"/>
      <c r="B125" s="71" t="s">
        <v>358</v>
      </c>
      <c r="C125" s="69"/>
      <c r="D125" s="70"/>
    </row>
    <row r="126" spans="1:8" ht="22.5">
      <c r="B126" s="21" t="s">
        <v>438</v>
      </c>
      <c r="C126" s="22" t="s">
        <v>432</v>
      </c>
      <c r="D126" s="23" t="s">
        <v>433</v>
      </c>
      <c r="E126" s="23" t="s">
        <v>434</v>
      </c>
      <c r="F126" s="22" t="s">
        <v>439</v>
      </c>
      <c r="G126" s="23" t="s">
        <v>433</v>
      </c>
      <c r="H126" s="23" t="s">
        <v>440</v>
      </c>
    </row>
    <row r="127" spans="1:8" ht="22.5">
      <c r="B127" s="72" t="s">
        <v>313</v>
      </c>
      <c r="C127" s="42">
        <v>2</v>
      </c>
      <c r="D127" s="73">
        <v>79655.289999999994</v>
      </c>
      <c r="E127" s="74" t="s">
        <v>314</v>
      </c>
      <c r="F127" s="75">
        <v>12</v>
      </c>
      <c r="G127" s="75">
        <v>36535</v>
      </c>
      <c r="H127" s="25"/>
    </row>
    <row r="128" spans="1:8" ht="56.25">
      <c r="B128" s="72" t="s">
        <v>313</v>
      </c>
      <c r="C128" s="42">
        <v>2</v>
      </c>
      <c r="D128" s="73">
        <v>38950</v>
      </c>
      <c r="E128" s="25"/>
      <c r="F128" s="25"/>
      <c r="G128" s="25"/>
      <c r="H128" s="61" t="s">
        <v>315</v>
      </c>
    </row>
    <row r="129" spans="1:12">
      <c r="B129" s="31" t="s">
        <v>316</v>
      </c>
      <c r="C129" s="27"/>
      <c r="D129" s="27">
        <f>SUMPRODUCT(D127:D128)</f>
        <v>118605.29</v>
      </c>
      <c r="H129" s="76"/>
    </row>
    <row r="132" spans="1:12" ht="12.75">
      <c r="A132" s="9" t="s">
        <v>317</v>
      </c>
      <c r="B132" s="71"/>
      <c r="C132" s="77"/>
    </row>
    <row r="133" spans="1:12" ht="50.25" customHeight="1">
      <c r="B133" s="71" t="s">
        <v>318</v>
      </c>
      <c r="C133" s="77"/>
      <c r="D133" s="78"/>
      <c r="E133" s="35"/>
      <c r="F133" s="36"/>
      <c r="G133" s="1891"/>
      <c r="H133" s="1891"/>
      <c r="I133" s="1891"/>
      <c r="J133" s="1891"/>
      <c r="K133" s="1891"/>
      <c r="L133" s="1891"/>
    </row>
    <row r="134" spans="1:12" ht="12.75">
      <c r="B134" s="71"/>
      <c r="C134" s="77"/>
      <c r="D134" s="79"/>
    </row>
    <row r="135" spans="1:12" ht="22.5">
      <c r="B135" s="21" t="s">
        <v>445</v>
      </c>
      <c r="C135" s="22" t="s">
        <v>432</v>
      </c>
      <c r="D135" s="22" t="s">
        <v>433</v>
      </c>
    </row>
    <row r="136" spans="1:12">
      <c r="A136" s="4"/>
      <c r="B136" s="48" t="s">
        <v>319</v>
      </c>
      <c r="C136" s="42">
        <v>2</v>
      </c>
      <c r="D136" s="42">
        <v>273.26</v>
      </c>
    </row>
    <row r="137" spans="1:12">
      <c r="A137" s="35"/>
      <c r="B137" s="48" t="s">
        <v>320</v>
      </c>
      <c r="C137" s="42">
        <v>1</v>
      </c>
      <c r="D137" s="42">
        <v>1093.04</v>
      </c>
    </row>
    <row r="138" spans="1:12">
      <c r="A138" s="35"/>
      <c r="B138" s="48" t="s">
        <v>321</v>
      </c>
      <c r="C138" s="42">
        <v>1</v>
      </c>
      <c r="D138" s="42">
        <v>47.820500000000003</v>
      </c>
    </row>
    <row r="139" spans="1:12">
      <c r="A139" s="35"/>
      <c r="B139" s="80" t="s">
        <v>322</v>
      </c>
      <c r="C139" s="42">
        <v>1</v>
      </c>
      <c r="D139" s="42">
        <v>27.326000000000001</v>
      </c>
    </row>
    <row r="140" spans="1:12">
      <c r="A140" s="35"/>
      <c r="B140" s="81" t="s">
        <v>323</v>
      </c>
      <c r="C140" s="42">
        <v>1</v>
      </c>
      <c r="D140" s="42">
        <v>1366.3</v>
      </c>
    </row>
    <row r="141" spans="1:12" ht="33.75">
      <c r="A141" s="35"/>
      <c r="B141" s="48" t="s">
        <v>324</v>
      </c>
      <c r="C141" s="39">
        <v>7</v>
      </c>
      <c r="D141" s="39">
        <v>40.989000000000004</v>
      </c>
    </row>
    <row r="142" spans="1:12">
      <c r="A142" s="35"/>
      <c r="B142" s="41" t="s">
        <v>371</v>
      </c>
      <c r="C142" s="42">
        <v>1</v>
      </c>
      <c r="D142" s="42">
        <v>819.78</v>
      </c>
    </row>
    <row r="143" spans="1:12">
      <c r="A143" s="35"/>
      <c r="B143" s="41" t="s">
        <v>372</v>
      </c>
      <c r="C143" s="42">
        <v>1</v>
      </c>
      <c r="D143" s="42">
        <v>409.89</v>
      </c>
    </row>
    <row r="144" spans="1:12" ht="22.5">
      <c r="A144" s="4"/>
      <c r="B144" s="82" t="s">
        <v>325</v>
      </c>
      <c r="C144" s="42">
        <v>1</v>
      </c>
      <c r="D144" s="42">
        <v>1366.3</v>
      </c>
    </row>
    <row r="145" spans="1:12">
      <c r="A145" s="83"/>
      <c r="B145" s="50" t="s">
        <v>326</v>
      </c>
      <c r="C145" s="46">
        <v>3</v>
      </c>
      <c r="D145" s="46">
        <v>27.326000000000001</v>
      </c>
    </row>
    <row r="146" spans="1:12">
      <c r="A146" s="83"/>
      <c r="B146" s="50" t="s">
        <v>327</v>
      </c>
      <c r="C146" s="46">
        <v>3</v>
      </c>
      <c r="D146" s="46">
        <v>28.692300000000003</v>
      </c>
    </row>
    <row r="147" spans="1:12">
      <c r="A147" s="83"/>
      <c r="B147" s="50" t="s">
        <v>328</v>
      </c>
      <c r="C147" s="46">
        <v>3</v>
      </c>
      <c r="D147" s="46">
        <v>30.058600000000002</v>
      </c>
    </row>
    <row r="148" spans="1:12">
      <c r="A148" s="84"/>
      <c r="B148" s="50" t="s">
        <v>329</v>
      </c>
      <c r="C148" s="46">
        <v>3</v>
      </c>
      <c r="D148" s="46">
        <v>31.424900000000001</v>
      </c>
    </row>
    <row r="149" spans="1:12">
      <c r="A149" s="35"/>
      <c r="B149" s="48" t="s">
        <v>330</v>
      </c>
      <c r="C149" s="42">
        <v>10</v>
      </c>
      <c r="D149" s="42">
        <v>136.63</v>
      </c>
    </row>
    <row r="150" spans="1:12">
      <c r="A150" s="35"/>
      <c r="B150" s="31" t="s">
        <v>331</v>
      </c>
      <c r="C150" s="27"/>
      <c r="D150" s="27">
        <f>SUMPRODUCT(C136:C149,D136:D149)</f>
        <v>7682.7049000000006</v>
      </c>
    </row>
    <row r="153" spans="1:12" ht="36.75" customHeight="1">
      <c r="A153" s="85" t="s">
        <v>332</v>
      </c>
      <c r="B153" s="4"/>
      <c r="C153" s="4"/>
      <c r="D153" s="78"/>
      <c r="E153" s="35"/>
      <c r="F153" s="36"/>
      <c r="G153" s="1891"/>
      <c r="H153" s="1891"/>
      <c r="I153" s="1891"/>
      <c r="J153" s="1891"/>
      <c r="K153" s="1891"/>
      <c r="L153" s="1891"/>
    </row>
    <row r="154" spans="1:12" ht="12.75">
      <c r="A154" s="85" t="s">
        <v>333</v>
      </c>
      <c r="B154" s="4"/>
      <c r="C154" s="4"/>
      <c r="D154" s="78"/>
      <c r="E154" s="35"/>
      <c r="F154" s="36"/>
      <c r="G154" s="30"/>
      <c r="H154" s="30"/>
      <c r="I154" s="30"/>
      <c r="J154" s="30"/>
      <c r="K154" s="30"/>
      <c r="L154" s="30"/>
    </row>
    <row r="155" spans="1:12" ht="33.75">
      <c r="A155" s="85"/>
      <c r="B155" s="86" t="s">
        <v>278</v>
      </c>
      <c r="C155" s="4"/>
    </row>
    <row r="156" spans="1:12" ht="12.75">
      <c r="A156" s="85"/>
      <c r="B156" s="86"/>
      <c r="C156" s="4"/>
    </row>
    <row r="157" spans="1:12" ht="22.5">
      <c r="A157" s="85"/>
      <c r="B157" s="21" t="s">
        <v>438</v>
      </c>
      <c r="C157" s="22" t="s">
        <v>432</v>
      </c>
      <c r="D157" s="22" t="s">
        <v>433</v>
      </c>
      <c r="E157" s="22" t="s">
        <v>434</v>
      </c>
      <c r="F157" s="22" t="s">
        <v>439</v>
      </c>
      <c r="G157" s="22" t="s">
        <v>433</v>
      </c>
    </row>
    <row r="158" spans="1:12" ht="12.75">
      <c r="A158" s="85"/>
      <c r="B158" s="87" t="s">
        <v>279</v>
      </c>
      <c r="C158" s="46">
        <v>1</v>
      </c>
      <c r="D158" s="46">
        <v>3142.49</v>
      </c>
      <c r="E158" s="25"/>
      <c r="F158" s="25"/>
      <c r="G158" s="25"/>
    </row>
    <row r="159" spans="1:12" ht="12.75">
      <c r="A159" s="85"/>
      <c r="B159" s="87" t="s">
        <v>280</v>
      </c>
      <c r="C159" s="46">
        <v>1</v>
      </c>
      <c r="D159" s="46">
        <v>4782.05</v>
      </c>
      <c r="E159" s="25"/>
      <c r="F159" s="25"/>
      <c r="G159" s="25"/>
    </row>
    <row r="160" spans="1:12" ht="12.75">
      <c r="A160" s="85"/>
      <c r="B160" s="87" t="s">
        <v>281</v>
      </c>
      <c r="C160" s="46">
        <v>1</v>
      </c>
      <c r="D160" s="46">
        <v>1639.56</v>
      </c>
      <c r="E160" s="25"/>
      <c r="F160" s="25"/>
      <c r="G160" s="25"/>
    </row>
    <row r="161" spans="1:7" ht="12.75">
      <c r="A161" s="85"/>
      <c r="B161" s="87" t="s">
        <v>282</v>
      </c>
      <c r="C161" s="46">
        <v>1</v>
      </c>
      <c r="D161" s="46">
        <v>3005.86</v>
      </c>
      <c r="E161" s="25" t="s">
        <v>283</v>
      </c>
      <c r="F161" s="25">
        <v>1</v>
      </c>
      <c r="G161" s="88">
        <v>19674.72</v>
      </c>
    </row>
    <row r="162" spans="1:7" ht="12.75">
      <c r="A162" s="85"/>
      <c r="B162" s="89" t="s">
        <v>284</v>
      </c>
      <c r="C162" s="46">
        <v>1</v>
      </c>
      <c r="D162" s="46">
        <v>587.50900000000001</v>
      </c>
      <c r="E162" s="25"/>
      <c r="F162" s="25"/>
      <c r="G162" s="25"/>
    </row>
    <row r="163" spans="1:7" ht="12.75">
      <c r="A163" s="85"/>
      <c r="B163" s="89" t="s">
        <v>285</v>
      </c>
      <c r="C163" s="46">
        <v>1</v>
      </c>
      <c r="D163" s="46">
        <v>587.50900000000001</v>
      </c>
      <c r="E163" s="25"/>
      <c r="F163" s="25"/>
      <c r="G163" s="25"/>
    </row>
    <row r="164" spans="1:7" ht="12.75">
      <c r="A164" s="85"/>
      <c r="B164" s="90" t="s">
        <v>286</v>
      </c>
      <c r="C164" s="46">
        <v>1</v>
      </c>
      <c r="D164" s="46">
        <v>409.89</v>
      </c>
      <c r="E164" s="25"/>
      <c r="F164" s="25"/>
      <c r="G164" s="25"/>
    </row>
    <row r="165" spans="1:7" ht="12.75">
      <c r="A165" s="85"/>
      <c r="B165" s="90" t="s">
        <v>287</v>
      </c>
      <c r="C165" s="46">
        <v>1</v>
      </c>
      <c r="D165" s="46">
        <v>478.20499999999998</v>
      </c>
      <c r="E165" s="25"/>
      <c r="F165" s="25"/>
      <c r="G165" s="25"/>
    </row>
    <row r="166" spans="1:7" ht="12.75">
      <c r="A166" s="85"/>
      <c r="B166" s="90" t="s">
        <v>288</v>
      </c>
      <c r="C166" s="46">
        <v>1</v>
      </c>
      <c r="D166" s="46">
        <v>1639.56</v>
      </c>
      <c r="E166" s="25"/>
      <c r="F166" s="25"/>
      <c r="G166" s="25"/>
    </row>
    <row r="167" spans="1:7" ht="12.75">
      <c r="A167" s="85"/>
      <c r="B167" s="52" t="s">
        <v>289</v>
      </c>
      <c r="C167" s="42">
        <v>1</v>
      </c>
      <c r="D167" s="42">
        <v>819.78</v>
      </c>
      <c r="E167" s="25"/>
      <c r="F167" s="25"/>
      <c r="G167" s="25"/>
    </row>
    <row r="168" spans="1:7" ht="12.75">
      <c r="A168" s="85"/>
      <c r="B168" s="41" t="s">
        <v>290</v>
      </c>
      <c r="C168" s="46">
        <v>10</v>
      </c>
      <c r="D168" s="46">
        <v>6.8315000000000001</v>
      </c>
      <c r="E168" s="25"/>
      <c r="F168" s="25"/>
      <c r="G168" s="25"/>
    </row>
    <row r="169" spans="1:7" ht="12.75">
      <c r="A169" s="85"/>
      <c r="B169" s="41" t="s">
        <v>291</v>
      </c>
      <c r="C169" s="46">
        <v>1</v>
      </c>
      <c r="D169" s="46">
        <v>2459.34</v>
      </c>
      <c r="E169" s="25"/>
      <c r="F169" s="25"/>
      <c r="G169" s="25"/>
    </row>
    <row r="170" spans="1:7" ht="12.75">
      <c r="A170" s="85"/>
      <c r="B170" s="41" t="s">
        <v>292</v>
      </c>
      <c r="C170" s="46">
        <v>2</v>
      </c>
      <c r="D170" s="46">
        <v>9.5640999999999998</v>
      </c>
      <c r="E170" s="25"/>
      <c r="F170" s="25"/>
      <c r="G170" s="25"/>
    </row>
    <row r="171" spans="1:7" ht="12.75">
      <c r="A171" s="85"/>
      <c r="B171" s="41" t="s">
        <v>293</v>
      </c>
      <c r="C171" s="46">
        <v>10</v>
      </c>
      <c r="D171" s="46">
        <v>10.930400000000001</v>
      </c>
      <c r="E171" s="25"/>
      <c r="F171" s="25"/>
      <c r="G171" s="25"/>
    </row>
    <row r="172" spans="1:7" ht="12.75">
      <c r="A172" s="85"/>
      <c r="B172" s="41" t="s">
        <v>294</v>
      </c>
      <c r="C172" s="46">
        <v>10</v>
      </c>
      <c r="D172" s="46">
        <v>11.067030000000001</v>
      </c>
      <c r="E172" s="25"/>
      <c r="F172" s="25"/>
      <c r="G172" s="25"/>
    </row>
    <row r="173" spans="1:7" ht="12.75">
      <c r="A173" s="85"/>
      <c r="B173" s="90" t="s">
        <v>295</v>
      </c>
      <c r="C173" s="46">
        <v>3</v>
      </c>
      <c r="D173" s="46">
        <v>273.26</v>
      </c>
      <c r="E173" s="25"/>
      <c r="F173" s="25"/>
      <c r="G173" s="25"/>
    </row>
    <row r="174" spans="1:7" ht="12.75">
      <c r="A174" s="85"/>
      <c r="B174" s="90" t="s">
        <v>296</v>
      </c>
      <c r="C174" s="46">
        <v>4</v>
      </c>
      <c r="D174" s="46">
        <v>273.26</v>
      </c>
      <c r="E174" s="25"/>
      <c r="F174" s="25"/>
      <c r="G174" s="25"/>
    </row>
    <row r="175" spans="1:7" ht="12.75">
      <c r="A175" s="85"/>
      <c r="B175" s="90" t="s">
        <v>297</v>
      </c>
      <c r="C175" s="46">
        <v>4</v>
      </c>
      <c r="D175" s="46">
        <v>273.26</v>
      </c>
      <c r="E175" s="25"/>
      <c r="F175" s="25"/>
      <c r="G175" s="25"/>
    </row>
    <row r="176" spans="1:7" ht="12.75">
      <c r="A176" s="85"/>
      <c r="B176" s="52" t="s">
        <v>298</v>
      </c>
      <c r="C176" s="46">
        <v>4</v>
      </c>
      <c r="D176" s="46">
        <v>109.304</v>
      </c>
      <c r="E176" s="25"/>
      <c r="F176" s="25"/>
      <c r="G176" s="25"/>
    </row>
    <row r="177" spans="1:7">
      <c r="B177" s="52" t="s">
        <v>299</v>
      </c>
      <c r="C177" s="46">
        <v>1</v>
      </c>
      <c r="D177" s="46">
        <v>409.89</v>
      </c>
      <c r="E177" s="25"/>
      <c r="F177" s="25"/>
      <c r="G177" s="25"/>
    </row>
    <row r="178" spans="1:7">
      <c r="B178" s="52" t="s">
        <v>300</v>
      </c>
      <c r="C178" s="46">
        <v>1</v>
      </c>
      <c r="D178" s="46">
        <v>546.52</v>
      </c>
      <c r="E178" s="25"/>
      <c r="F178" s="25"/>
      <c r="G178" s="25"/>
    </row>
    <row r="179" spans="1:7" ht="12.75">
      <c r="A179" s="85"/>
      <c r="B179" s="52" t="s">
        <v>301</v>
      </c>
      <c r="C179" s="46">
        <v>1</v>
      </c>
      <c r="D179" s="46">
        <v>122.96700000000001</v>
      </c>
      <c r="E179" s="25"/>
      <c r="F179" s="25"/>
      <c r="G179" s="25"/>
    </row>
    <row r="180" spans="1:7" ht="12.75">
      <c r="A180" s="85"/>
      <c r="B180" s="52" t="s">
        <v>302</v>
      </c>
      <c r="C180" s="46">
        <v>2</v>
      </c>
      <c r="D180" s="46">
        <v>218.608</v>
      </c>
      <c r="E180" s="25"/>
      <c r="F180" s="25"/>
      <c r="G180" s="25"/>
    </row>
    <row r="181" spans="1:7" ht="12.75">
      <c r="A181" s="85"/>
      <c r="B181" s="52" t="s">
        <v>303</v>
      </c>
      <c r="C181" s="46">
        <v>5</v>
      </c>
      <c r="D181" s="46">
        <v>10.247250000000001</v>
      </c>
      <c r="E181" s="25"/>
      <c r="F181" s="25"/>
      <c r="G181" s="25"/>
    </row>
    <row r="182" spans="1:7">
      <c r="B182" s="31" t="s">
        <v>304</v>
      </c>
      <c r="C182" s="27"/>
      <c r="D182" s="27">
        <f>SUMPRODUCT(C158:C181,D158:D181)</f>
        <v>24870.075750000004</v>
      </c>
    </row>
    <row r="184" spans="1:7" ht="12.75">
      <c r="A184" s="85" t="s">
        <v>305</v>
      </c>
    </row>
    <row r="185" spans="1:7" ht="22.5">
      <c r="B185" s="21" t="s">
        <v>438</v>
      </c>
      <c r="C185" s="22" t="s">
        <v>432</v>
      </c>
      <c r="D185" s="22" t="s">
        <v>433</v>
      </c>
    </row>
    <row r="186" spans="1:7">
      <c r="B186" s="90" t="s">
        <v>306</v>
      </c>
      <c r="C186" s="46">
        <v>1</v>
      </c>
      <c r="D186" s="46">
        <v>17500</v>
      </c>
    </row>
    <row r="187" spans="1:7">
      <c r="B187" s="90" t="s">
        <v>307</v>
      </c>
      <c r="C187" s="46"/>
      <c r="D187" s="46">
        <v>1000</v>
      </c>
    </row>
    <row r="188" spans="1:7">
      <c r="B188" s="90" t="s">
        <v>308</v>
      </c>
      <c r="C188" s="46"/>
      <c r="D188" s="46">
        <v>500</v>
      </c>
    </row>
    <row r="189" spans="1:7">
      <c r="B189" s="91"/>
      <c r="C189" s="92"/>
      <c r="D189" s="92"/>
    </row>
    <row r="190" spans="1:7">
      <c r="B190" s="90" t="s">
        <v>309</v>
      </c>
      <c r="C190" s="46">
        <v>1</v>
      </c>
      <c r="D190" s="46">
        <v>200</v>
      </c>
    </row>
    <row r="191" spans="1:7">
      <c r="B191" s="91"/>
      <c r="C191" s="92"/>
      <c r="D191" s="27">
        <f>+SUM(D186:D190)</f>
        <v>19200</v>
      </c>
    </row>
    <row r="192" spans="1:7">
      <c r="B192" s="91"/>
      <c r="C192" s="92"/>
    </row>
    <row r="193" spans="1:8" ht="25.5" customHeight="1">
      <c r="B193" s="21" t="s">
        <v>310</v>
      </c>
      <c r="C193" s="22" t="s">
        <v>432</v>
      </c>
      <c r="D193" s="22" t="s">
        <v>433</v>
      </c>
    </row>
    <row r="194" spans="1:8">
      <c r="B194" s="93" t="s">
        <v>311</v>
      </c>
      <c r="C194" s="93"/>
      <c r="D194" s="93"/>
      <c r="E194" s="93"/>
      <c r="F194" s="93"/>
      <c r="G194" s="93"/>
      <c r="H194" s="93"/>
    </row>
    <row r="195" spans="1:8">
      <c r="B195" s="90" t="s">
        <v>312</v>
      </c>
      <c r="C195" s="46"/>
      <c r="D195" s="46">
        <v>16.86</v>
      </c>
    </row>
    <row r="196" spans="1:8">
      <c r="B196" s="90" t="s">
        <v>247</v>
      </c>
      <c r="C196" s="46"/>
      <c r="D196" s="46">
        <v>1800</v>
      </c>
    </row>
    <row r="197" spans="1:8">
      <c r="B197" s="91"/>
      <c r="C197" s="92"/>
      <c r="D197" s="92"/>
    </row>
    <row r="198" spans="1:8">
      <c r="B198" s="91" t="s">
        <v>248</v>
      </c>
      <c r="C198" s="92"/>
      <c r="D198" s="92"/>
    </row>
    <row r="199" spans="1:8" ht="12">
      <c r="B199" s="94" t="s">
        <v>249</v>
      </c>
      <c r="C199" s="92"/>
      <c r="D199" s="92"/>
    </row>
    <row r="202" spans="1:8" ht="12.75">
      <c r="A202" s="8" t="s">
        <v>250</v>
      </c>
    </row>
    <row r="203" spans="1:8" ht="12" customHeight="1"/>
    <row r="205" spans="1:8" ht="12.75">
      <c r="A205" s="9" t="s">
        <v>251</v>
      </c>
    </row>
    <row r="206" spans="1:8" ht="22.5">
      <c r="B206" s="96" t="s">
        <v>252</v>
      </c>
    </row>
    <row r="207" spans="1:8">
      <c r="B207" s="20"/>
    </row>
    <row r="208" spans="1:8" ht="22.5">
      <c r="B208" s="21" t="s">
        <v>438</v>
      </c>
      <c r="C208" s="22" t="s">
        <v>432</v>
      </c>
      <c r="D208" s="23" t="s">
        <v>433</v>
      </c>
      <c r="E208" s="23" t="s">
        <v>434</v>
      </c>
      <c r="F208" s="22" t="s">
        <v>439</v>
      </c>
      <c r="G208" s="23" t="s">
        <v>433</v>
      </c>
    </row>
    <row r="209" spans="2:7">
      <c r="B209" s="97" t="s">
        <v>253</v>
      </c>
      <c r="C209" s="25"/>
      <c r="D209" s="98"/>
      <c r="E209" s="97" t="s">
        <v>254</v>
      </c>
      <c r="F209" s="97"/>
      <c r="G209" s="25"/>
    </row>
    <row r="210" spans="2:7" ht="22.5">
      <c r="B210" s="75" t="s">
        <v>255</v>
      </c>
      <c r="C210" s="75">
        <v>7</v>
      </c>
      <c r="D210" s="99">
        <v>134</v>
      </c>
      <c r="E210" s="100" t="s">
        <v>256</v>
      </c>
      <c r="F210" s="100">
        <v>1</v>
      </c>
      <c r="G210" s="100">
        <v>44</v>
      </c>
    </row>
    <row r="211" spans="2:7" ht="22.5">
      <c r="B211" s="75" t="s">
        <v>257</v>
      </c>
      <c r="C211" s="75">
        <v>2000</v>
      </c>
      <c r="D211" s="101" t="s">
        <v>258</v>
      </c>
      <c r="E211" s="100" t="s">
        <v>259</v>
      </c>
      <c r="F211" s="100">
        <v>1</v>
      </c>
      <c r="G211" s="100">
        <v>21</v>
      </c>
    </row>
    <row r="212" spans="2:7" ht="22.5">
      <c r="B212" s="75" t="s">
        <v>260</v>
      </c>
      <c r="C212" s="75">
        <v>2</v>
      </c>
      <c r="D212" s="99">
        <v>38</v>
      </c>
      <c r="E212" s="100" t="s">
        <v>261</v>
      </c>
      <c r="F212" s="100">
        <v>2</v>
      </c>
      <c r="G212" s="100">
        <v>86</v>
      </c>
    </row>
    <row r="213" spans="2:7" ht="22.5">
      <c r="E213" s="100" t="s">
        <v>262</v>
      </c>
      <c r="F213" s="100">
        <v>1</v>
      </c>
      <c r="G213" s="100">
        <v>36</v>
      </c>
    </row>
    <row r="214" spans="2:7" ht="33.75">
      <c r="B214" s="102" t="s">
        <v>263</v>
      </c>
      <c r="E214" s="100" t="s">
        <v>264</v>
      </c>
      <c r="F214" s="100">
        <v>1</v>
      </c>
      <c r="G214" s="100">
        <v>21</v>
      </c>
    </row>
    <row r="215" spans="2:7">
      <c r="B215" s="102"/>
      <c r="E215" s="100" t="s">
        <v>265</v>
      </c>
      <c r="F215" s="100">
        <v>2</v>
      </c>
      <c r="G215" s="100">
        <v>38</v>
      </c>
    </row>
    <row r="216" spans="2:7" ht="22.5">
      <c r="B216" s="102"/>
      <c r="E216" s="100" t="s">
        <v>266</v>
      </c>
      <c r="F216" s="100">
        <v>2000</v>
      </c>
      <c r="G216" s="100" t="s">
        <v>258</v>
      </c>
    </row>
    <row r="217" spans="2:7">
      <c r="E217" s="103"/>
      <c r="F217" s="4"/>
      <c r="G217" s="4"/>
    </row>
    <row r="218" spans="2:7" ht="22.5">
      <c r="B218" s="21" t="s">
        <v>438</v>
      </c>
      <c r="C218" s="22" t="s">
        <v>432</v>
      </c>
      <c r="D218" s="23" t="s">
        <v>433</v>
      </c>
      <c r="E218" s="104"/>
    </row>
    <row r="219" spans="2:7">
      <c r="B219" s="97" t="s">
        <v>267</v>
      </c>
      <c r="C219" s="25"/>
      <c r="D219" s="25"/>
    </row>
    <row r="220" spans="2:7">
      <c r="B220" s="75" t="s">
        <v>268</v>
      </c>
      <c r="C220" s="25">
        <v>1</v>
      </c>
      <c r="D220" s="105">
        <v>45</v>
      </c>
    </row>
    <row r="221" spans="2:7">
      <c r="B221" s="75" t="s">
        <v>256</v>
      </c>
      <c r="C221" s="25">
        <v>1</v>
      </c>
      <c r="D221" s="105">
        <v>44</v>
      </c>
    </row>
    <row r="222" spans="2:7">
      <c r="B222" s="75" t="s">
        <v>264</v>
      </c>
      <c r="C222" s="25">
        <v>1</v>
      </c>
      <c r="D222" s="105">
        <v>21</v>
      </c>
    </row>
    <row r="223" spans="2:7">
      <c r="B223" s="75" t="s">
        <v>259</v>
      </c>
      <c r="C223" s="25">
        <v>1</v>
      </c>
      <c r="D223" s="105">
        <v>21</v>
      </c>
    </row>
    <row r="224" spans="2:7">
      <c r="B224" s="75" t="s">
        <v>260</v>
      </c>
      <c r="C224" s="25">
        <v>2</v>
      </c>
      <c r="D224" s="105">
        <v>38</v>
      </c>
    </row>
    <row r="225" spans="2:7" ht="22.5">
      <c r="B225" s="100" t="s">
        <v>269</v>
      </c>
      <c r="C225" s="25">
        <v>2000</v>
      </c>
      <c r="D225" s="106" t="s">
        <v>258</v>
      </c>
    </row>
    <row r="227" spans="2:7">
      <c r="B227" s="93" t="s">
        <v>270</v>
      </c>
    </row>
    <row r="228" spans="2:7" ht="22.5">
      <c r="B228" s="21" t="s">
        <v>438</v>
      </c>
      <c r="C228" s="22" t="s">
        <v>432</v>
      </c>
      <c r="D228" s="23" t="s">
        <v>433</v>
      </c>
      <c r="E228" s="23" t="s">
        <v>434</v>
      </c>
      <c r="F228" s="22" t="s">
        <v>439</v>
      </c>
      <c r="G228" s="23" t="s">
        <v>433</v>
      </c>
    </row>
    <row r="229" spans="2:7" ht="22.5">
      <c r="B229" s="95" t="s">
        <v>271</v>
      </c>
      <c r="C229" s="75">
        <v>2</v>
      </c>
      <c r="D229" s="105">
        <v>49</v>
      </c>
      <c r="E229" s="59" t="s">
        <v>272</v>
      </c>
      <c r="F229" s="95">
        <v>2</v>
      </c>
      <c r="G229" s="107">
        <v>48</v>
      </c>
    </row>
    <row r="230" spans="2:7">
      <c r="B230" s="25" t="s">
        <v>256</v>
      </c>
      <c r="C230" s="25">
        <v>2</v>
      </c>
      <c r="D230" s="105">
        <v>44</v>
      </c>
      <c r="E230" s="25"/>
      <c r="F230" s="25"/>
      <c r="G230" s="25"/>
    </row>
    <row r="232" spans="2:7">
      <c r="B232" s="93" t="s">
        <v>273</v>
      </c>
    </row>
    <row r="233" spans="2:7" ht="22.5">
      <c r="B233" s="21" t="s">
        <v>438</v>
      </c>
      <c r="C233" s="22" t="s">
        <v>432</v>
      </c>
      <c r="D233" s="23" t="s">
        <v>433</v>
      </c>
    </row>
    <row r="234" spans="2:7">
      <c r="B234" s="95" t="s">
        <v>274</v>
      </c>
      <c r="C234" s="25">
        <v>2</v>
      </c>
      <c r="D234" s="25">
        <v>16</v>
      </c>
    </row>
    <row r="236" spans="2:7">
      <c r="B236" s="93" t="s">
        <v>275</v>
      </c>
    </row>
    <row r="237" spans="2:7" ht="22.5">
      <c r="B237" s="21" t="s">
        <v>438</v>
      </c>
      <c r="C237" s="22" t="s">
        <v>432</v>
      </c>
      <c r="D237" s="23" t="s">
        <v>433</v>
      </c>
    </row>
    <row r="238" spans="2:7">
      <c r="B238" s="108" t="s">
        <v>276</v>
      </c>
      <c r="C238" s="109">
        <v>4</v>
      </c>
      <c r="D238" s="110">
        <v>48</v>
      </c>
    </row>
    <row r="240" spans="2:7">
      <c r="B240" s="93" t="s">
        <v>277</v>
      </c>
    </row>
    <row r="241" spans="2:4" ht="22.5">
      <c r="B241" s="21" t="s">
        <v>438</v>
      </c>
      <c r="C241" s="22" t="s">
        <v>432</v>
      </c>
      <c r="D241" s="23" t="s">
        <v>433</v>
      </c>
    </row>
    <row r="242" spans="2:4">
      <c r="B242" s="108" t="s">
        <v>215</v>
      </c>
      <c r="C242" s="109">
        <v>1</v>
      </c>
      <c r="D242" s="110">
        <v>205</v>
      </c>
    </row>
    <row r="243" spans="2:4">
      <c r="B243" s="108" t="s">
        <v>216</v>
      </c>
      <c r="C243" s="109">
        <v>1</v>
      </c>
      <c r="D243" s="110">
        <v>56</v>
      </c>
    </row>
    <row r="244" spans="2:4">
      <c r="B244" s="108" t="s">
        <v>274</v>
      </c>
      <c r="C244" s="109">
        <v>1</v>
      </c>
      <c r="D244" s="110">
        <v>16</v>
      </c>
    </row>
    <row r="245" spans="2:4">
      <c r="B245" s="111"/>
    </row>
    <row r="246" spans="2:4">
      <c r="B246" s="93" t="s">
        <v>217</v>
      </c>
    </row>
    <row r="247" spans="2:4" ht="22.5">
      <c r="B247" s="21" t="s">
        <v>438</v>
      </c>
      <c r="C247" s="22" t="s">
        <v>432</v>
      </c>
      <c r="D247" s="23" t="s">
        <v>433</v>
      </c>
    </row>
    <row r="248" spans="2:4" ht="22.5">
      <c r="B248" s="108" t="s">
        <v>218</v>
      </c>
      <c r="C248" s="109">
        <v>1</v>
      </c>
      <c r="D248" s="110">
        <v>61</v>
      </c>
    </row>
    <row r="249" spans="2:4">
      <c r="B249" s="108" t="s">
        <v>219</v>
      </c>
      <c r="C249" s="109">
        <v>1</v>
      </c>
      <c r="D249" s="110">
        <v>14</v>
      </c>
    </row>
    <row r="250" spans="2:4">
      <c r="B250" s="111"/>
    </row>
    <row r="251" spans="2:4">
      <c r="B251" s="93" t="s">
        <v>220</v>
      </c>
    </row>
    <row r="252" spans="2:4" ht="22.5">
      <c r="B252" s="21" t="s">
        <v>438</v>
      </c>
      <c r="C252" s="22" t="s">
        <v>432</v>
      </c>
      <c r="D252" s="23" t="s">
        <v>433</v>
      </c>
    </row>
    <row r="253" spans="2:4">
      <c r="B253" s="108" t="s">
        <v>221</v>
      </c>
      <c r="C253" s="109"/>
      <c r="D253" s="110"/>
    </row>
    <row r="254" spans="2:4">
      <c r="B254" s="111"/>
    </row>
    <row r="255" spans="2:4">
      <c r="B255" s="93" t="s">
        <v>222</v>
      </c>
    </row>
    <row r="256" spans="2:4" ht="22.5">
      <c r="B256" s="21" t="s">
        <v>438</v>
      </c>
      <c r="C256" s="22" t="s">
        <v>432</v>
      </c>
      <c r="D256" s="23" t="s">
        <v>433</v>
      </c>
    </row>
    <row r="257" spans="2:4">
      <c r="B257" s="108" t="s">
        <v>223</v>
      </c>
      <c r="C257" s="109">
        <v>1</v>
      </c>
      <c r="D257" s="110"/>
    </row>
    <row r="258" spans="2:4">
      <c r="B258" s="111"/>
    </row>
    <row r="259" spans="2:4">
      <c r="B259" s="93" t="s">
        <v>224</v>
      </c>
    </row>
    <row r="260" spans="2:4" ht="22.5">
      <c r="B260" s="21" t="s">
        <v>438</v>
      </c>
      <c r="C260" s="22" t="s">
        <v>432</v>
      </c>
      <c r="D260" s="23" t="s">
        <v>433</v>
      </c>
    </row>
    <row r="261" spans="2:4">
      <c r="B261" s="108" t="s">
        <v>225</v>
      </c>
      <c r="C261" s="109">
        <v>1</v>
      </c>
      <c r="D261" s="112">
        <v>15</v>
      </c>
    </row>
    <row r="262" spans="2:4">
      <c r="B262" s="108" t="s">
        <v>226</v>
      </c>
      <c r="C262" s="109">
        <v>2</v>
      </c>
      <c r="D262" s="112">
        <v>107</v>
      </c>
    </row>
    <row r="263" spans="2:4">
      <c r="B263" s="108" t="s">
        <v>227</v>
      </c>
      <c r="C263" s="109">
        <v>1000</v>
      </c>
      <c r="D263" s="112">
        <v>102</v>
      </c>
    </row>
    <row r="264" spans="2:4">
      <c r="B264" s="108" t="s">
        <v>228</v>
      </c>
      <c r="C264" s="109">
        <v>1</v>
      </c>
      <c r="D264" s="112">
        <v>52</v>
      </c>
    </row>
    <row r="265" spans="2:4">
      <c r="B265" s="108" t="s">
        <v>229</v>
      </c>
      <c r="C265" s="109">
        <v>1</v>
      </c>
      <c r="D265" s="112">
        <v>19</v>
      </c>
    </row>
    <row r="266" spans="2:4">
      <c r="B266" s="108" t="s">
        <v>230</v>
      </c>
      <c r="C266" s="109">
        <v>1</v>
      </c>
      <c r="D266" s="112">
        <v>44</v>
      </c>
    </row>
    <row r="267" spans="2:4">
      <c r="B267" s="108" t="s">
        <v>231</v>
      </c>
      <c r="C267" s="109">
        <v>1</v>
      </c>
      <c r="D267" s="112">
        <v>49</v>
      </c>
    </row>
    <row r="268" spans="2:4">
      <c r="B268" s="108" t="s">
        <v>232</v>
      </c>
      <c r="C268" s="109">
        <v>1</v>
      </c>
      <c r="D268" s="112">
        <v>23</v>
      </c>
    </row>
    <row r="269" spans="2:4">
      <c r="B269" s="108" t="s">
        <v>233</v>
      </c>
      <c r="C269" s="109">
        <v>1</v>
      </c>
      <c r="D269" s="112">
        <v>55</v>
      </c>
    </row>
    <row r="270" spans="2:4" ht="22.5">
      <c r="B270" s="108" t="s">
        <v>234</v>
      </c>
      <c r="C270" s="109">
        <v>1</v>
      </c>
      <c r="D270" s="112">
        <v>82</v>
      </c>
    </row>
    <row r="271" spans="2:4">
      <c r="B271" s="108" t="s">
        <v>235</v>
      </c>
      <c r="C271" s="109">
        <v>1</v>
      </c>
      <c r="D271" s="112">
        <v>53</v>
      </c>
    </row>
    <row r="272" spans="2:4">
      <c r="B272" s="108" t="s">
        <v>236</v>
      </c>
      <c r="C272" s="109">
        <v>1</v>
      </c>
      <c r="D272" s="112">
        <v>27</v>
      </c>
    </row>
    <row r="273" spans="1:4">
      <c r="B273" s="113"/>
    </row>
    <row r="274" spans="1:4">
      <c r="B274" s="111"/>
    </row>
    <row r="275" spans="1:4">
      <c r="B275" s="114" t="s">
        <v>237</v>
      </c>
    </row>
    <row r="276" spans="1:4" ht="22.5">
      <c r="B276" s="21" t="s">
        <v>438</v>
      </c>
      <c r="C276" s="22" t="s">
        <v>432</v>
      </c>
      <c r="D276" s="23" t="s">
        <v>433</v>
      </c>
    </row>
    <row r="277" spans="1:4">
      <c r="B277" s="108" t="s">
        <v>238</v>
      </c>
      <c r="C277" s="109">
        <v>1</v>
      </c>
      <c r="D277" s="110">
        <v>29</v>
      </c>
    </row>
    <row r="278" spans="1:4">
      <c r="B278" s="111"/>
    </row>
    <row r="279" spans="1:4">
      <c r="B279" s="93" t="s">
        <v>239</v>
      </c>
    </row>
    <row r="280" spans="1:4" ht="22.5">
      <c r="B280" s="21" t="s">
        <v>438</v>
      </c>
      <c r="C280" s="22" t="s">
        <v>432</v>
      </c>
      <c r="D280" s="23" t="s">
        <v>433</v>
      </c>
    </row>
    <row r="281" spans="1:4">
      <c r="B281" s="108" t="s">
        <v>240</v>
      </c>
      <c r="C281" s="109">
        <v>1</v>
      </c>
      <c r="D281" s="110">
        <v>15</v>
      </c>
    </row>
    <row r="282" spans="1:4">
      <c r="B282" s="108" t="s">
        <v>241</v>
      </c>
      <c r="C282" s="109">
        <v>1</v>
      </c>
      <c r="D282" s="110">
        <v>27</v>
      </c>
    </row>
    <row r="283" spans="1:4">
      <c r="B283" s="111"/>
    </row>
    <row r="284" spans="1:4">
      <c r="B284" s="111"/>
    </row>
    <row r="285" spans="1:4" ht="12.75">
      <c r="A285" s="8" t="s">
        <v>242</v>
      </c>
      <c r="B285" s="111"/>
    </row>
    <row r="286" spans="1:4" ht="33.75">
      <c r="B286" s="20" t="s">
        <v>243</v>
      </c>
    </row>
    <row r="287" spans="1:4">
      <c r="B287" s="20"/>
    </row>
    <row r="288" spans="1:4">
      <c r="B288" s="93" t="s">
        <v>244</v>
      </c>
    </row>
    <row r="289" spans="1:7" ht="22.5">
      <c r="B289" s="21" t="s">
        <v>438</v>
      </c>
      <c r="C289" s="22" t="s">
        <v>432</v>
      </c>
      <c r="D289" s="23" t="s">
        <v>433</v>
      </c>
      <c r="E289" s="23" t="s">
        <v>434</v>
      </c>
      <c r="F289" s="22" t="s">
        <v>439</v>
      </c>
      <c r="G289" s="23" t="s">
        <v>433</v>
      </c>
    </row>
    <row r="290" spans="1:7">
      <c r="B290" s="108" t="s">
        <v>245</v>
      </c>
      <c r="C290" s="109">
        <v>1</v>
      </c>
      <c r="D290" s="112">
        <v>23</v>
      </c>
      <c r="E290" s="108"/>
      <c r="F290" s="109"/>
      <c r="G290" s="23"/>
    </row>
    <row r="291" spans="1:7">
      <c r="B291" s="108" t="s">
        <v>246</v>
      </c>
      <c r="C291" s="109">
        <v>1</v>
      </c>
      <c r="D291" s="112">
        <v>82</v>
      </c>
      <c r="E291" s="108"/>
      <c r="F291" s="109"/>
      <c r="G291" s="23"/>
    </row>
    <row r="292" spans="1:7">
      <c r="B292" s="108" t="s">
        <v>178</v>
      </c>
      <c r="C292" s="109">
        <v>1</v>
      </c>
      <c r="D292" s="112">
        <v>96</v>
      </c>
      <c r="E292" s="108"/>
      <c r="F292" s="109"/>
      <c r="G292" s="23"/>
    </row>
    <row r="293" spans="1:7">
      <c r="B293" s="108" t="s">
        <v>179</v>
      </c>
      <c r="C293" s="109">
        <v>1</v>
      </c>
      <c r="D293" s="112">
        <v>25</v>
      </c>
      <c r="E293" s="108"/>
      <c r="F293" s="109"/>
      <c r="G293" s="23"/>
    </row>
    <row r="294" spans="1:7">
      <c r="B294" s="108"/>
      <c r="C294" s="109"/>
      <c r="D294" s="112"/>
      <c r="E294" s="108"/>
      <c r="F294" s="109"/>
      <c r="G294" s="23"/>
    </row>
    <row r="295" spans="1:7">
      <c r="B295" s="108" t="s">
        <v>180</v>
      </c>
      <c r="C295" s="109"/>
      <c r="D295" s="112"/>
      <c r="E295" s="108"/>
      <c r="F295" s="109"/>
      <c r="G295" s="23"/>
    </row>
    <row r="296" spans="1:7">
      <c r="B296" s="108" t="s">
        <v>181</v>
      </c>
      <c r="C296" s="109">
        <v>1</v>
      </c>
      <c r="D296" s="112">
        <v>30</v>
      </c>
      <c r="E296" s="108" t="s">
        <v>182</v>
      </c>
      <c r="F296" s="109">
        <v>1</v>
      </c>
      <c r="G296" s="109"/>
    </row>
    <row r="297" spans="1:7">
      <c r="B297" s="108" t="s">
        <v>183</v>
      </c>
      <c r="C297" s="109">
        <v>1</v>
      </c>
      <c r="D297" s="112"/>
      <c r="E297" s="108" t="s">
        <v>184</v>
      </c>
      <c r="F297" s="109">
        <v>1</v>
      </c>
      <c r="G297" s="109"/>
    </row>
    <row r="298" spans="1:7">
      <c r="B298" s="108" t="s">
        <v>185</v>
      </c>
      <c r="C298" s="109">
        <v>1</v>
      </c>
      <c r="D298" s="112">
        <v>42</v>
      </c>
      <c r="E298" s="108" t="s">
        <v>186</v>
      </c>
      <c r="F298" s="109">
        <v>1</v>
      </c>
      <c r="G298" s="109">
        <v>61</v>
      </c>
    </row>
    <row r="299" spans="1:7">
      <c r="B299" s="108" t="s">
        <v>187</v>
      </c>
      <c r="C299" s="109">
        <v>1</v>
      </c>
      <c r="D299" s="112">
        <v>158</v>
      </c>
      <c r="E299" s="108"/>
      <c r="F299" s="109"/>
      <c r="G299" s="109"/>
    </row>
    <row r="300" spans="1:7">
      <c r="B300" s="108"/>
      <c r="C300" s="109"/>
      <c r="D300" s="112"/>
      <c r="E300" s="108"/>
      <c r="F300" s="109"/>
      <c r="G300" s="23"/>
    </row>
    <row r="301" spans="1:7">
      <c r="B301" s="108" t="s">
        <v>188</v>
      </c>
      <c r="C301" s="109">
        <v>1</v>
      </c>
      <c r="D301" s="112">
        <v>27</v>
      </c>
      <c r="E301" s="108"/>
      <c r="F301" s="109"/>
      <c r="G301" s="23"/>
    </row>
    <row r="302" spans="1:7" ht="12.75">
      <c r="A302" s="8"/>
    </row>
    <row r="304" spans="1:7" ht="12.75">
      <c r="A304" s="9" t="s">
        <v>189</v>
      </c>
    </row>
    <row r="305" spans="1:7" ht="33.75">
      <c r="A305" s="9"/>
      <c r="B305" s="20" t="s">
        <v>190</v>
      </c>
    </row>
    <row r="306" spans="1:7" ht="12.75">
      <c r="A306" s="9"/>
      <c r="E306" s="4"/>
      <c r="F306" s="4"/>
      <c r="G306" s="4"/>
    </row>
    <row r="307" spans="1:7" ht="22.5">
      <c r="B307" s="21" t="s">
        <v>438</v>
      </c>
      <c r="C307" s="22" t="s">
        <v>432</v>
      </c>
      <c r="D307" s="23" t="s">
        <v>433</v>
      </c>
      <c r="E307" s="115"/>
      <c r="F307" s="116"/>
      <c r="G307" s="115"/>
    </row>
    <row r="308" spans="1:7">
      <c r="B308" s="108" t="s">
        <v>191</v>
      </c>
      <c r="C308" s="109">
        <v>5</v>
      </c>
      <c r="D308" s="110">
        <v>178</v>
      </c>
      <c r="E308" s="4"/>
      <c r="F308" s="4"/>
      <c r="G308" s="4"/>
    </row>
    <row r="312" spans="1:7" ht="12.75">
      <c r="A312" s="9" t="s">
        <v>192</v>
      </c>
    </row>
    <row r="314" spans="1:7">
      <c r="A314" s="93"/>
    </row>
    <row r="315" spans="1:7" ht="12.75">
      <c r="A315" s="9" t="s">
        <v>193</v>
      </c>
    </row>
    <row r="316" spans="1:7" ht="17.25" customHeight="1">
      <c r="A316" s="93"/>
      <c r="B316" s="1892" t="s">
        <v>194</v>
      </c>
      <c r="C316" s="1893"/>
      <c r="D316" s="1893"/>
      <c r="E316" s="1893"/>
      <c r="F316" s="117"/>
    </row>
    <row r="317" spans="1:7" ht="27" customHeight="1">
      <c r="A317" s="93"/>
      <c r="B317" s="1894"/>
      <c r="C317" s="1894"/>
      <c r="D317" s="1894"/>
      <c r="E317" s="1894"/>
      <c r="F317" s="118"/>
    </row>
    <row r="318" spans="1:7" ht="27.75" customHeight="1">
      <c r="A318" s="93"/>
      <c r="B318" s="21" t="s">
        <v>445</v>
      </c>
      <c r="C318" s="22" t="s">
        <v>432</v>
      </c>
      <c r="D318" s="23" t="s">
        <v>433</v>
      </c>
      <c r="E318" s="23" t="s">
        <v>434</v>
      </c>
      <c r="F318" s="22" t="s">
        <v>439</v>
      </c>
      <c r="G318" s="23" t="s">
        <v>433</v>
      </c>
    </row>
    <row r="319" spans="1:7">
      <c r="B319" s="25" t="s">
        <v>195</v>
      </c>
      <c r="C319" s="95">
        <v>260</v>
      </c>
      <c r="D319" s="120">
        <v>40.989000000000004</v>
      </c>
      <c r="E319" s="25" t="s">
        <v>196</v>
      </c>
      <c r="F319" s="95">
        <v>260</v>
      </c>
      <c r="G319" s="120">
        <v>102.4725</v>
      </c>
    </row>
    <row r="320" spans="1:7">
      <c r="B320" s="25" t="s">
        <v>197</v>
      </c>
      <c r="C320" s="95">
        <v>60</v>
      </c>
      <c r="D320" s="120">
        <v>163.95600000000002</v>
      </c>
      <c r="E320" s="25"/>
      <c r="F320" s="95"/>
      <c r="G320" s="95"/>
    </row>
    <row r="321" spans="1:7">
      <c r="B321" s="25" t="s">
        <v>198</v>
      </c>
      <c r="C321" s="95">
        <v>4</v>
      </c>
      <c r="D321" s="120">
        <v>163.95600000000002</v>
      </c>
      <c r="E321" s="25"/>
      <c r="F321" s="95"/>
      <c r="G321" s="95"/>
    </row>
    <row r="322" spans="1:7">
      <c r="B322" s="25" t="s">
        <v>199</v>
      </c>
      <c r="C322" s="95">
        <v>1500</v>
      </c>
      <c r="D322" s="120">
        <v>81.978000000000009</v>
      </c>
      <c r="E322" s="25"/>
      <c r="F322" s="95"/>
      <c r="G322" s="95"/>
    </row>
    <row r="323" spans="1:7">
      <c r="B323" s="25" t="s">
        <v>200</v>
      </c>
      <c r="C323" s="95">
        <v>30</v>
      </c>
      <c r="D323" s="120">
        <v>54.652000000000001</v>
      </c>
      <c r="E323" s="25"/>
      <c r="F323" s="95"/>
      <c r="G323" s="95"/>
    </row>
    <row r="324" spans="1:7">
      <c r="B324" s="121" t="s">
        <v>201</v>
      </c>
      <c r="C324" s="122">
        <v>1</v>
      </c>
      <c r="D324" s="120">
        <v>199.47980000000001</v>
      </c>
      <c r="E324" s="25"/>
      <c r="F324" s="95"/>
      <c r="G324" s="95"/>
    </row>
    <row r="325" spans="1:7" s="4" customFormat="1" ht="12.75">
      <c r="A325" s="60"/>
      <c r="B325" s="123" t="s">
        <v>293</v>
      </c>
      <c r="C325" s="92">
        <v>10</v>
      </c>
      <c r="D325" s="120">
        <v>10.930400000000001</v>
      </c>
      <c r="E325" s="25"/>
      <c r="F325" s="95"/>
      <c r="G325" s="95"/>
    </row>
    <row r="326" spans="1:7">
      <c r="B326" s="124" t="s">
        <v>202</v>
      </c>
      <c r="C326" s="125">
        <v>60</v>
      </c>
      <c r="D326" s="120">
        <v>16.395600000000002</v>
      </c>
      <c r="E326" s="25"/>
      <c r="F326" s="95"/>
      <c r="G326" s="95"/>
    </row>
    <row r="327" spans="1:7">
      <c r="B327" s="25" t="s">
        <v>203</v>
      </c>
      <c r="C327" s="95">
        <v>90</v>
      </c>
      <c r="D327" s="120">
        <v>16.395600000000002</v>
      </c>
      <c r="E327" s="25"/>
      <c r="F327" s="95"/>
      <c r="G327" s="95"/>
    </row>
    <row r="328" spans="1:7">
      <c r="B328" s="25" t="s">
        <v>204</v>
      </c>
      <c r="C328" s="95">
        <v>30</v>
      </c>
      <c r="D328" s="120">
        <v>16.395600000000002</v>
      </c>
      <c r="E328" s="25"/>
      <c r="F328" s="95"/>
      <c r="G328" s="95"/>
    </row>
    <row r="329" spans="1:7">
      <c r="B329" s="25" t="s">
        <v>205</v>
      </c>
      <c r="C329" s="95">
        <v>1</v>
      </c>
      <c r="D329" s="120">
        <v>30.058600000000002</v>
      </c>
      <c r="E329" s="25"/>
      <c r="F329" s="95"/>
      <c r="G329" s="95"/>
    </row>
    <row r="330" spans="1:7">
      <c r="B330" s="25" t="s">
        <v>206</v>
      </c>
      <c r="C330" s="95">
        <v>5</v>
      </c>
      <c r="D330" s="120">
        <v>10.930400000000001</v>
      </c>
      <c r="E330" s="25"/>
      <c r="F330" s="95"/>
      <c r="G330" s="95"/>
    </row>
    <row r="331" spans="1:7">
      <c r="B331" s="25" t="s">
        <v>207</v>
      </c>
      <c r="C331" s="95">
        <v>10</v>
      </c>
      <c r="D331" s="120">
        <v>54.652000000000001</v>
      </c>
      <c r="E331" s="25"/>
      <c r="F331" s="95"/>
      <c r="G331" s="95"/>
    </row>
    <row r="332" spans="1:7">
      <c r="B332" s="25" t="s">
        <v>208</v>
      </c>
      <c r="C332" s="95">
        <v>3</v>
      </c>
      <c r="D332" s="120">
        <v>10.930400000000001</v>
      </c>
      <c r="E332" s="25"/>
      <c r="F332" s="95"/>
      <c r="G332" s="95"/>
    </row>
    <row r="333" spans="1:7">
      <c r="B333" s="25" t="s">
        <v>209</v>
      </c>
      <c r="C333" s="95">
        <v>6</v>
      </c>
      <c r="D333" s="120">
        <v>9.5640999999999998</v>
      </c>
      <c r="E333" s="25"/>
      <c r="F333" s="95"/>
      <c r="G333" s="95"/>
    </row>
    <row r="334" spans="1:7">
      <c r="B334" s="25" t="s">
        <v>210</v>
      </c>
      <c r="C334" s="95">
        <v>3</v>
      </c>
      <c r="D334" s="120">
        <v>6.8315000000000001</v>
      </c>
      <c r="E334" s="25"/>
      <c r="F334" s="95"/>
      <c r="G334" s="95"/>
    </row>
    <row r="335" spans="1:7">
      <c r="B335" s="25" t="s">
        <v>211</v>
      </c>
      <c r="C335" s="95">
        <v>2</v>
      </c>
      <c r="D335" s="120">
        <v>62.849800000000002</v>
      </c>
      <c r="E335" s="25"/>
      <c r="F335" s="95"/>
      <c r="G335" s="95"/>
    </row>
    <row r="336" spans="1:7">
      <c r="B336" s="25" t="s">
        <v>212</v>
      </c>
      <c r="C336" s="95">
        <v>5</v>
      </c>
      <c r="D336" s="120">
        <v>57.384600000000006</v>
      </c>
      <c r="E336" s="25"/>
      <c r="F336" s="95"/>
      <c r="G336" s="95"/>
    </row>
    <row r="337" spans="2:7">
      <c r="B337" s="25" t="s">
        <v>213</v>
      </c>
      <c r="C337" s="95">
        <v>5</v>
      </c>
      <c r="D337" s="120">
        <v>30.058600000000002</v>
      </c>
      <c r="E337" s="25"/>
      <c r="F337" s="95"/>
      <c r="G337" s="95"/>
    </row>
    <row r="338" spans="2:7">
      <c r="B338" s="25" t="s">
        <v>214</v>
      </c>
      <c r="C338" s="95">
        <v>5</v>
      </c>
      <c r="D338" s="120">
        <v>17.761900000000001</v>
      </c>
      <c r="E338" s="25"/>
      <c r="F338" s="95"/>
      <c r="G338" s="95"/>
    </row>
    <row r="339" spans="2:7">
      <c r="B339" s="25" t="s">
        <v>148</v>
      </c>
      <c r="C339" s="95">
        <v>3</v>
      </c>
      <c r="D339" s="120">
        <v>157.12450000000001</v>
      </c>
      <c r="E339" s="25"/>
      <c r="F339" s="95"/>
      <c r="G339" s="95"/>
    </row>
    <row r="340" spans="2:7">
      <c r="B340" s="25" t="s">
        <v>149</v>
      </c>
      <c r="C340" s="95">
        <v>3</v>
      </c>
      <c r="D340" s="120">
        <v>31.424900000000001</v>
      </c>
      <c r="E340" s="25"/>
      <c r="F340" s="95"/>
      <c r="G340" s="95"/>
    </row>
    <row r="341" spans="2:7">
      <c r="B341" s="25" t="s">
        <v>150</v>
      </c>
      <c r="C341" s="95">
        <v>5</v>
      </c>
      <c r="D341" s="120">
        <v>10.930400000000001</v>
      </c>
      <c r="E341" s="25"/>
      <c r="F341" s="95"/>
      <c r="G341" s="95"/>
    </row>
    <row r="342" spans="2:7">
      <c r="B342" s="25" t="s">
        <v>151</v>
      </c>
      <c r="C342" s="95">
        <v>20</v>
      </c>
      <c r="D342" s="120">
        <v>2.7326000000000001</v>
      </c>
      <c r="E342" s="25"/>
      <c r="F342" s="95"/>
      <c r="G342" s="95"/>
    </row>
    <row r="343" spans="2:7">
      <c r="B343" s="25" t="s">
        <v>152</v>
      </c>
      <c r="C343" s="95">
        <v>10</v>
      </c>
      <c r="D343" s="120">
        <v>6.8315000000000001</v>
      </c>
      <c r="E343" s="25"/>
      <c r="F343" s="95"/>
      <c r="G343" s="95"/>
    </row>
    <row r="344" spans="2:7">
      <c r="B344" s="25" t="s">
        <v>153</v>
      </c>
      <c r="C344" s="95">
        <v>10</v>
      </c>
      <c r="D344" s="120">
        <v>47.820500000000003</v>
      </c>
      <c r="E344" s="25"/>
      <c r="F344" s="95"/>
      <c r="G344" s="95"/>
    </row>
    <row r="345" spans="2:7">
      <c r="B345" s="25" t="s">
        <v>154</v>
      </c>
      <c r="C345" s="95">
        <v>20</v>
      </c>
      <c r="D345" s="120">
        <v>47.820500000000003</v>
      </c>
      <c r="E345" s="25"/>
      <c r="F345" s="95"/>
      <c r="G345" s="95"/>
    </row>
    <row r="346" spans="2:7">
      <c r="B346" s="25" t="s">
        <v>155</v>
      </c>
      <c r="C346" s="95">
        <v>10</v>
      </c>
      <c r="D346" s="120">
        <v>47.820500000000003</v>
      </c>
      <c r="E346" s="25"/>
      <c r="F346" s="95"/>
      <c r="G346" s="95"/>
    </row>
    <row r="347" spans="2:7">
      <c r="B347" s="25" t="s">
        <v>156</v>
      </c>
      <c r="C347" s="95">
        <v>1</v>
      </c>
      <c r="D347" s="120">
        <v>102.4725</v>
      </c>
      <c r="E347" s="25"/>
      <c r="F347" s="95"/>
      <c r="G347" s="95"/>
    </row>
    <row r="348" spans="2:7">
      <c r="B348" s="25" t="s">
        <v>157</v>
      </c>
      <c r="C348" s="95">
        <v>6</v>
      </c>
      <c r="D348" s="120">
        <v>72.413899999999998</v>
      </c>
      <c r="E348" s="25"/>
      <c r="F348" s="95"/>
      <c r="G348" s="95"/>
    </row>
    <row r="349" spans="2:7">
      <c r="B349" s="25" t="s">
        <v>158</v>
      </c>
      <c r="C349" s="95">
        <v>8</v>
      </c>
      <c r="D349" s="120">
        <v>64.216099999999997</v>
      </c>
      <c r="E349" s="25"/>
      <c r="F349" s="95"/>
      <c r="G349" s="95"/>
    </row>
    <row r="350" spans="2:7">
      <c r="B350" s="25" t="s">
        <v>159</v>
      </c>
      <c r="C350" s="95">
        <v>6</v>
      </c>
      <c r="D350" s="120">
        <v>6.8315000000000001</v>
      </c>
      <c r="E350" s="25"/>
      <c r="F350" s="95"/>
      <c r="G350" s="95"/>
    </row>
    <row r="351" spans="2:7">
      <c r="B351" s="25" t="s">
        <v>160</v>
      </c>
      <c r="C351" s="95">
        <v>12</v>
      </c>
      <c r="D351" s="120">
        <v>9.5640999999999998</v>
      </c>
      <c r="E351" s="25"/>
      <c r="F351" s="95"/>
      <c r="G351" s="95"/>
    </row>
    <row r="352" spans="2:7">
      <c r="B352" s="25" t="s">
        <v>161</v>
      </c>
      <c r="C352" s="95">
        <v>15</v>
      </c>
      <c r="D352" s="120">
        <v>10.930400000000001</v>
      </c>
      <c r="E352" s="25"/>
      <c r="F352" s="95"/>
      <c r="G352" s="95"/>
    </row>
    <row r="353" spans="1:13">
      <c r="B353" s="25" t="s">
        <v>162</v>
      </c>
      <c r="C353" s="95">
        <v>5</v>
      </c>
      <c r="D353" s="120">
        <v>58.750900000000001</v>
      </c>
      <c r="E353" s="25"/>
      <c r="F353" s="95"/>
      <c r="G353" s="95"/>
    </row>
    <row r="354" spans="1:13">
      <c r="B354" s="25" t="s">
        <v>163</v>
      </c>
      <c r="C354" s="95">
        <v>10</v>
      </c>
      <c r="D354" s="120">
        <v>2.7326000000000001</v>
      </c>
      <c r="E354" s="25"/>
      <c r="F354" s="95"/>
      <c r="G354" s="95"/>
    </row>
    <row r="355" spans="1:13">
      <c r="B355" s="25" t="s">
        <v>164</v>
      </c>
      <c r="C355" s="95">
        <v>30</v>
      </c>
      <c r="D355" s="120">
        <v>6.8315000000000001</v>
      </c>
      <c r="E355" s="25"/>
      <c r="F355" s="95"/>
      <c r="G355" s="95"/>
    </row>
    <row r="356" spans="1:13">
      <c r="B356" s="25" t="s">
        <v>165</v>
      </c>
      <c r="C356" s="120">
        <v>36</v>
      </c>
      <c r="D356" s="120">
        <v>81.978000000000009</v>
      </c>
      <c r="E356" s="25"/>
      <c r="F356" s="95"/>
      <c r="G356" s="95"/>
    </row>
    <row r="357" spans="1:13">
      <c r="B357" s="25" t="s">
        <v>166</v>
      </c>
      <c r="C357" s="95">
        <v>10</v>
      </c>
      <c r="D357" s="120">
        <v>20.494500000000002</v>
      </c>
      <c r="E357" s="25"/>
      <c r="F357" s="95"/>
      <c r="G357" s="95"/>
    </row>
    <row r="358" spans="1:13">
      <c r="B358" s="121" t="s">
        <v>167</v>
      </c>
      <c r="C358" s="122">
        <v>10</v>
      </c>
      <c r="D358" s="120">
        <v>16.395600000000002</v>
      </c>
      <c r="E358" s="25"/>
      <c r="F358" s="95"/>
      <c r="G358" s="95"/>
    </row>
    <row r="359" spans="1:13">
      <c r="B359" s="31" t="s">
        <v>168</v>
      </c>
      <c r="C359" s="27"/>
      <c r="D359" s="27">
        <f>SUMPRODUCT(C319:C358,D319:D358)</f>
        <v>158283.12240000005</v>
      </c>
    </row>
    <row r="360" spans="1:13" s="83" customFormat="1">
      <c r="B360" s="126"/>
      <c r="C360" s="127"/>
      <c r="D360" s="128"/>
    </row>
    <row r="361" spans="1:13" s="83" customFormat="1">
      <c r="B361" s="129" t="s">
        <v>169</v>
      </c>
      <c r="C361" s="127"/>
      <c r="D361" s="128"/>
    </row>
    <row r="362" spans="1:13" ht="27.75" customHeight="1">
      <c r="A362" s="93"/>
      <c r="B362" s="21" t="s">
        <v>170</v>
      </c>
      <c r="C362" s="22" t="s">
        <v>432</v>
      </c>
      <c r="D362" s="23" t="s">
        <v>433</v>
      </c>
      <c r="E362" s="23" t="s">
        <v>434</v>
      </c>
      <c r="F362" s="22" t="s">
        <v>439</v>
      </c>
      <c r="G362" s="23" t="s">
        <v>433</v>
      </c>
      <c r="H362" s="23" t="s">
        <v>440</v>
      </c>
    </row>
    <row r="363" spans="1:13" s="83" customFormat="1" ht="22.5">
      <c r="B363" s="100" t="s">
        <v>171</v>
      </c>
      <c r="C363" s="130">
        <v>12000</v>
      </c>
      <c r="D363" s="130">
        <v>13.663</v>
      </c>
      <c r="E363" s="100" t="s">
        <v>172</v>
      </c>
      <c r="F363" s="130">
        <v>12000</v>
      </c>
      <c r="G363" s="130">
        <v>12.296700000000001</v>
      </c>
      <c r="H363" s="25"/>
      <c r="I363"/>
      <c r="J363"/>
      <c r="K363"/>
      <c r="L363"/>
      <c r="M363"/>
    </row>
    <row r="364" spans="1:13" s="83" customFormat="1" ht="98.25" customHeight="1">
      <c r="B364" s="100" t="s">
        <v>171</v>
      </c>
      <c r="C364" s="130">
        <v>12000</v>
      </c>
      <c r="D364" s="130">
        <v>2.76</v>
      </c>
      <c r="E364" s="25"/>
      <c r="F364" s="95"/>
      <c r="G364" s="95"/>
      <c r="H364" s="131" t="s">
        <v>173</v>
      </c>
      <c r="I364"/>
      <c r="J364"/>
      <c r="K364"/>
      <c r="L364"/>
      <c r="M364"/>
    </row>
    <row r="365" spans="1:13" s="83" customFormat="1">
      <c r="B365" s="100" t="s">
        <v>174</v>
      </c>
      <c r="C365" s="120">
        <v>10</v>
      </c>
      <c r="D365" s="130">
        <v>109.304</v>
      </c>
      <c r="E365" s="25"/>
      <c r="F365" s="95"/>
      <c r="G365" s="95"/>
      <c r="H365" s="25"/>
      <c r="I365"/>
      <c r="J365"/>
      <c r="K365"/>
      <c r="L365"/>
      <c r="M365"/>
    </row>
    <row r="366" spans="1:13" s="83" customFormat="1">
      <c r="B366" s="100" t="s">
        <v>175</v>
      </c>
      <c r="C366" s="120">
        <v>30</v>
      </c>
      <c r="D366" s="130">
        <v>81.978000000000009</v>
      </c>
      <c r="E366" s="25"/>
      <c r="F366" s="95"/>
      <c r="G366" s="95"/>
      <c r="H366" s="25"/>
      <c r="I366"/>
      <c r="J366"/>
      <c r="K366"/>
      <c r="L366"/>
      <c r="M366"/>
    </row>
    <row r="367" spans="1:13">
      <c r="B367" s="31" t="s">
        <v>176</v>
      </c>
      <c r="C367" s="27"/>
      <c r="D367" s="27">
        <f>SUMPRODUCT(C363:C366,D363:D366)</f>
        <v>200628.38</v>
      </c>
    </row>
    <row r="368" spans="1:13" s="83" customFormat="1">
      <c r="B368" s="132"/>
      <c r="C368" s="127"/>
      <c r="D368" s="133"/>
    </row>
    <row r="369" spans="1:8" s="83" customFormat="1">
      <c r="B369" s="132"/>
      <c r="C369" s="127"/>
      <c r="D369" s="133"/>
    </row>
    <row r="370" spans="1:8" s="83" customFormat="1" ht="12.75">
      <c r="A370" s="134" t="s">
        <v>177</v>
      </c>
      <c r="B370" s="132"/>
      <c r="C370" s="127"/>
      <c r="D370" s="133"/>
    </row>
    <row r="371" spans="1:8" s="83" customFormat="1" ht="33.75">
      <c r="B371" s="135" t="s">
        <v>122</v>
      </c>
      <c r="C371" s="127"/>
      <c r="D371" s="133"/>
    </row>
    <row r="372" spans="1:8" s="83" customFormat="1">
      <c r="B372" s="135"/>
      <c r="C372" s="127"/>
      <c r="D372" s="133"/>
    </row>
    <row r="373" spans="1:8" ht="27.75" customHeight="1">
      <c r="A373" s="93"/>
      <c r="B373" s="21" t="s">
        <v>445</v>
      </c>
      <c r="C373" s="22" t="s">
        <v>432</v>
      </c>
      <c r="D373" s="23" t="s">
        <v>433</v>
      </c>
      <c r="E373" s="23" t="s">
        <v>434</v>
      </c>
      <c r="F373" s="22" t="s">
        <v>439</v>
      </c>
      <c r="G373" s="23" t="s">
        <v>433</v>
      </c>
      <c r="H373" s="23" t="s">
        <v>440</v>
      </c>
    </row>
    <row r="374" spans="1:8">
      <c r="B374" s="100" t="s">
        <v>123</v>
      </c>
      <c r="C374" s="130">
        <v>1</v>
      </c>
      <c r="D374" s="130">
        <v>88.8095</v>
      </c>
      <c r="E374" s="25"/>
      <c r="F374" s="25"/>
      <c r="G374" s="25"/>
      <c r="H374" s="25"/>
    </row>
    <row r="375" spans="1:8">
      <c r="B375" s="100" t="s">
        <v>124</v>
      </c>
      <c r="C375" s="130">
        <v>1</v>
      </c>
      <c r="D375" s="130">
        <v>409.89</v>
      </c>
      <c r="E375" s="25"/>
      <c r="F375" s="25"/>
      <c r="G375" s="25"/>
      <c r="H375" s="25"/>
    </row>
    <row r="376" spans="1:8" s="83" customFormat="1">
      <c r="B376" s="100" t="s">
        <v>125</v>
      </c>
      <c r="C376" s="130">
        <v>1</v>
      </c>
      <c r="D376" s="130">
        <v>40.989000000000004</v>
      </c>
      <c r="E376" s="136"/>
      <c r="F376" s="136"/>
      <c r="G376" s="136"/>
      <c r="H376" s="136"/>
    </row>
    <row r="377" spans="1:8" s="83" customFormat="1" ht="22.5">
      <c r="B377" s="100" t="s">
        <v>126</v>
      </c>
      <c r="C377" s="130">
        <v>1000</v>
      </c>
      <c r="D377" s="130">
        <v>29</v>
      </c>
      <c r="E377" s="136"/>
      <c r="F377" s="136"/>
      <c r="G377" s="136"/>
      <c r="H377" s="136"/>
    </row>
    <row r="378" spans="1:8" s="83" customFormat="1" ht="22.5">
      <c r="B378" s="100" t="s">
        <v>126</v>
      </c>
      <c r="C378" s="130">
        <v>1000</v>
      </c>
      <c r="D378" s="130">
        <v>1.6</v>
      </c>
      <c r="E378" s="136"/>
      <c r="F378" s="136"/>
      <c r="G378" s="136"/>
      <c r="H378" s="106" t="s">
        <v>127</v>
      </c>
    </row>
    <row r="379" spans="1:8">
      <c r="B379" s="31" t="s">
        <v>128</v>
      </c>
      <c r="C379" s="27"/>
      <c r="D379" s="27">
        <f>SUMPRODUCT(C374:C378,D374:D378)</f>
        <v>31139.6885</v>
      </c>
    </row>
    <row r="381" spans="1:8" s="83" customFormat="1">
      <c r="B381" s="129" t="s">
        <v>129</v>
      </c>
      <c r="C381"/>
      <c r="D381"/>
    </row>
    <row r="382" spans="1:8" ht="27.75" customHeight="1">
      <c r="A382" s="93"/>
      <c r="B382" s="21" t="s">
        <v>438</v>
      </c>
      <c r="C382" s="22" t="s">
        <v>432</v>
      </c>
      <c r="D382" s="23" t="s">
        <v>433</v>
      </c>
      <c r="E382" s="23" t="s">
        <v>434</v>
      </c>
      <c r="F382" s="22" t="s">
        <v>439</v>
      </c>
      <c r="G382" s="23" t="s">
        <v>433</v>
      </c>
      <c r="H382" s="23" t="s">
        <v>440</v>
      </c>
    </row>
    <row r="383" spans="1:8" s="83" customFormat="1" ht="22.5">
      <c r="B383" s="100" t="s">
        <v>171</v>
      </c>
      <c r="C383" s="130">
        <v>6000</v>
      </c>
      <c r="D383" s="130">
        <v>13.663</v>
      </c>
      <c r="E383" s="47" t="s">
        <v>172</v>
      </c>
      <c r="F383" s="130">
        <v>6000</v>
      </c>
      <c r="G383" s="130">
        <v>12.296700000000001</v>
      </c>
      <c r="H383" s="136"/>
    </row>
    <row r="384" spans="1:8" s="83" customFormat="1" ht="56.25">
      <c r="B384" s="100" t="s">
        <v>171</v>
      </c>
      <c r="C384" s="130">
        <v>6000</v>
      </c>
      <c r="D384" s="130">
        <v>2.76</v>
      </c>
      <c r="E384" s="136"/>
      <c r="F384" s="136"/>
      <c r="G384" s="136"/>
      <c r="H384" s="61" t="s">
        <v>315</v>
      </c>
    </row>
    <row r="385" spans="1:8" s="83" customFormat="1">
      <c r="B385" s="31" t="s">
        <v>130</v>
      </c>
      <c r="C385" s="27"/>
      <c r="D385" s="27">
        <f>SUMPRODUCT(C383:C384,D383:D384)</f>
        <v>98538</v>
      </c>
    </row>
    <row r="386" spans="1:8" s="83" customFormat="1">
      <c r="B386" s="135"/>
      <c r="C386" s="127"/>
      <c r="D386" s="133"/>
    </row>
    <row r="387" spans="1:8" s="83" customFormat="1">
      <c r="B387" s="135"/>
      <c r="C387" s="127"/>
      <c r="D387" s="133"/>
    </row>
    <row r="388" spans="1:8" s="83" customFormat="1">
      <c r="B388" s="135"/>
      <c r="C388" s="127"/>
      <c r="D388" s="133"/>
    </row>
    <row r="390" spans="1:8" ht="12.75">
      <c r="A390" s="9" t="s">
        <v>131</v>
      </c>
    </row>
    <row r="391" spans="1:8" ht="33.75">
      <c r="A391" s="9"/>
      <c r="B391" s="20" t="s">
        <v>132</v>
      </c>
    </row>
    <row r="392" spans="1:8">
      <c r="A392" s="93"/>
    </row>
    <row r="393" spans="1:8" ht="22.5">
      <c r="A393" s="93"/>
      <c r="B393" s="21" t="s">
        <v>438</v>
      </c>
      <c r="C393" s="22" t="s">
        <v>432</v>
      </c>
      <c r="D393" s="23" t="s">
        <v>433</v>
      </c>
      <c r="E393" s="23" t="s">
        <v>434</v>
      </c>
      <c r="F393" s="22" t="s">
        <v>439</v>
      </c>
      <c r="G393" s="23" t="s">
        <v>433</v>
      </c>
      <c r="H393" s="23" t="s">
        <v>440</v>
      </c>
    </row>
    <row r="394" spans="1:8">
      <c r="B394" s="25" t="s">
        <v>133</v>
      </c>
      <c r="C394" s="25">
        <v>10</v>
      </c>
      <c r="D394" s="119">
        <v>177.619</v>
      </c>
      <c r="E394" s="25"/>
      <c r="F394" s="25"/>
      <c r="G394" s="25"/>
      <c r="H394" s="25"/>
    </row>
    <row r="395" spans="1:8">
      <c r="B395" s="25" t="s">
        <v>134</v>
      </c>
      <c r="C395" s="25">
        <v>10</v>
      </c>
      <c r="D395" s="119">
        <v>177.619</v>
      </c>
      <c r="E395" s="25"/>
      <c r="F395" s="25"/>
      <c r="G395" s="25"/>
      <c r="H395" s="25"/>
    </row>
    <row r="396" spans="1:8">
      <c r="B396" s="25" t="s">
        <v>135</v>
      </c>
      <c r="C396" s="25">
        <v>3</v>
      </c>
      <c r="D396" s="119">
        <v>245.93400000000003</v>
      </c>
      <c r="E396" s="25"/>
      <c r="F396" s="25"/>
      <c r="G396" s="25"/>
      <c r="H396" s="25"/>
    </row>
    <row r="397" spans="1:8">
      <c r="B397" s="25" t="s">
        <v>136</v>
      </c>
      <c r="C397" s="25">
        <v>3</v>
      </c>
      <c r="D397" s="119">
        <v>57.384600000000006</v>
      </c>
      <c r="E397" s="25"/>
      <c r="F397" s="25"/>
      <c r="G397" s="25"/>
      <c r="H397" s="25"/>
    </row>
    <row r="398" spans="1:8">
      <c r="B398" s="25" t="s">
        <v>137</v>
      </c>
      <c r="C398" s="25">
        <v>10</v>
      </c>
      <c r="D398" s="119">
        <v>116.13550000000001</v>
      </c>
      <c r="E398" s="25"/>
      <c r="F398" s="25"/>
      <c r="G398" s="25"/>
      <c r="H398" s="25"/>
    </row>
    <row r="399" spans="1:8">
      <c r="B399" s="25" t="s">
        <v>138</v>
      </c>
      <c r="C399" s="25">
        <v>10</v>
      </c>
      <c r="D399" s="119">
        <v>88.8095</v>
      </c>
      <c r="E399" s="25"/>
      <c r="F399" s="25"/>
      <c r="G399" s="25"/>
      <c r="H399" s="25"/>
    </row>
    <row r="400" spans="1:8">
      <c r="B400" s="25" t="s">
        <v>139</v>
      </c>
      <c r="C400" s="25">
        <v>40</v>
      </c>
      <c r="D400" s="119">
        <v>88.8095</v>
      </c>
      <c r="E400" s="25"/>
      <c r="F400" s="25"/>
      <c r="G400" s="25"/>
      <c r="H400" s="25"/>
    </row>
    <row r="401" spans="2:8">
      <c r="B401" s="25" t="s">
        <v>140</v>
      </c>
      <c r="C401" s="25">
        <v>20</v>
      </c>
      <c r="D401" s="119">
        <v>88.8095</v>
      </c>
      <c r="E401" s="25"/>
      <c r="F401" s="25"/>
      <c r="G401" s="25"/>
      <c r="H401" s="25"/>
    </row>
    <row r="402" spans="2:8">
      <c r="B402" s="25" t="s">
        <v>141</v>
      </c>
      <c r="C402" s="25">
        <v>10</v>
      </c>
      <c r="D402" s="119">
        <v>81.978000000000009</v>
      </c>
      <c r="E402" s="25"/>
      <c r="F402" s="25"/>
      <c r="G402" s="25"/>
      <c r="H402" s="25"/>
    </row>
    <row r="403" spans="2:8">
      <c r="B403" s="25" t="s">
        <v>142</v>
      </c>
      <c r="C403" s="25">
        <v>10</v>
      </c>
      <c r="D403" s="119">
        <v>19.1282</v>
      </c>
      <c r="E403" s="25"/>
      <c r="F403" s="25"/>
      <c r="G403" s="25"/>
      <c r="H403" s="25"/>
    </row>
    <row r="404" spans="2:8">
      <c r="B404" s="25" t="s">
        <v>143</v>
      </c>
      <c r="C404" s="25">
        <v>5</v>
      </c>
      <c r="D404" s="119">
        <v>21.860800000000001</v>
      </c>
      <c r="E404" s="25"/>
      <c r="F404" s="25"/>
      <c r="G404" s="25"/>
      <c r="H404" s="25"/>
    </row>
    <row r="405" spans="2:8">
      <c r="B405" s="25" t="s">
        <v>144</v>
      </c>
      <c r="C405" s="25">
        <v>5</v>
      </c>
      <c r="D405" s="119">
        <v>19.1282</v>
      </c>
      <c r="E405" s="25"/>
      <c r="F405" s="25"/>
      <c r="G405" s="25"/>
      <c r="H405" s="25"/>
    </row>
    <row r="406" spans="2:8">
      <c r="B406" s="25" t="s">
        <v>145</v>
      </c>
      <c r="C406" s="25">
        <v>30</v>
      </c>
      <c r="D406" s="119">
        <v>54.652000000000001</v>
      </c>
      <c r="E406" s="25"/>
      <c r="F406" s="25"/>
      <c r="G406" s="25"/>
      <c r="H406" s="25"/>
    </row>
    <row r="407" spans="2:8">
      <c r="B407" s="25" t="s">
        <v>146</v>
      </c>
      <c r="C407" s="25">
        <v>3</v>
      </c>
      <c r="D407" s="119">
        <v>109.304</v>
      </c>
      <c r="E407" s="25"/>
      <c r="F407" s="25"/>
      <c r="G407" s="25"/>
      <c r="H407" s="25"/>
    </row>
    <row r="408" spans="2:8">
      <c r="B408" s="25" t="s">
        <v>147</v>
      </c>
      <c r="C408" s="25">
        <v>3</v>
      </c>
      <c r="D408" s="119">
        <v>109.304</v>
      </c>
      <c r="E408" s="25"/>
      <c r="F408" s="25"/>
      <c r="G408" s="25"/>
      <c r="H408" s="25"/>
    </row>
    <row r="409" spans="2:8">
      <c r="B409" s="25" t="s">
        <v>101</v>
      </c>
      <c r="C409" s="25">
        <v>5</v>
      </c>
      <c r="D409" s="119">
        <v>13.663</v>
      </c>
      <c r="E409" s="25"/>
      <c r="F409" s="25"/>
      <c r="G409" s="25"/>
      <c r="H409" s="25"/>
    </row>
    <row r="410" spans="2:8">
      <c r="B410" s="25" t="s">
        <v>102</v>
      </c>
      <c r="C410" s="25">
        <v>60</v>
      </c>
      <c r="D410" s="119">
        <v>16.395600000000002</v>
      </c>
      <c r="E410" s="25"/>
      <c r="F410" s="25"/>
      <c r="G410" s="25"/>
      <c r="H410" s="25"/>
    </row>
    <row r="411" spans="2:8">
      <c r="B411" s="25" t="s">
        <v>103</v>
      </c>
      <c r="C411" s="25">
        <v>90</v>
      </c>
      <c r="D411" s="119">
        <v>16.395600000000002</v>
      </c>
      <c r="E411" s="25"/>
      <c r="F411" s="25"/>
      <c r="G411" s="25"/>
      <c r="H411" s="25"/>
    </row>
    <row r="412" spans="2:8">
      <c r="B412" s="25" t="s">
        <v>104</v>
      </c>
      <c r="C412" s="25">
        <v>30</v>
      </c>
      <c r="D412" s="119">
        <v>16.395600000000002</v>
      </c>
      <c r="E412" s="25"/>
      <c r="F412" s="25"/>
      <c r="G412" s="25"/>
      <c r="H412" s="25"/>
    </row>
    <row r="413" spans="2:8">
      <c r="B413" s="25" t="s">
        <v>105</v>
      </c>
      <c r="C413" s="25">
        <v>3</v>
      </c>
      <c r="D413" s="119">
        <v>15.029300000000001</v>
      </c>
      <c r="E413" s="25"/>
      <c r="F413" s="25"/>
      <c r="G413" s="25"/>
      <c r="H413" s="25"/>
    </row>
    <row r="414" spans="2:8">
      <c r="B414" s="25" t="s">
        <v>106</v>
      </c>
      <c r="C414" s="25">
        <v>3</v>
      </c>
      <c r="D414" s="119">
        <v>30.058600000000002</v>
      </c>
      <c r="E414" s="25"/>
      <c r="F414" s="25"/>
      <c r="G414" s="25"/>
      <c r="H414" s="25"/>
    </row>
    <row r="415" spans="2:8">
      <c r="B415" s="25" t="s">
        <v>107</v>
      </c>
      <c r="C415" s="25">
        <v>3</v>
      </c>
      <c r="D415" s="119">
        <v>6.8315000000000001</v>
      </c>
      <c r="E415" s="25"/>
      <c r="F415" s="25"/>
      <c r="G415" s="25"/>
      <c r="H415" s="25"/>
    </row>
    <row r="416" spans="2:8">
      <c r="B416" s="25" t="s">
        <v>108</v>
      </c>
      <c r="C416" s="25">
        <v>10</v>
      </c>
      <c r="D416" s="119">
        <v>19.1282</v>
      </c>
      <c r="E416" s="25"/>
      <c r="F416" s="25"/>
      <c r="G416" s="25"/>
      <c r="H416" s="25"/>
    </row>
    <row r="417" spans="2:8">
      <c r="B417" s="25" t="s">
        <v>109</v>
      </c>
      <c r="C417" s="25">
        <v>5</v>
      </c>
      <c r="D417" s="119">
        <v>20.494500000000002</v>
      </c>
      <c r="E417" s="25"/>
      <c r="F417" s="25"/>
      <c r="G417" s="25"/>
      <c r="H417" s="25"/>
    </row>
    <row r="418" spans="2:8">
      <c r="B418" s="25" t="s">
        <v>110</v>
      </c>
      <c r="C418" s="25">
        <v>2</v>
      </c>
      <c r="D418" s="119">
        <v>21.860800000000001</v>
      </c>
      <c r="E418" s="25"/>
      <c r="F418" s="25"/>
      <c r="G418" s="25"/>
      <c r="H418" s="25"/>
    </row>
    <row r="419" spans="2:8" ht="22.5">
      <c r="B419" s="65" t="s">
        <v>111</v>
      </c>
      <c r="C419" s="75">
        <v>1000</v>
      </c>
      <c r="D419" s="137">
        <v>24.593400000000003</v>
      </c>
      <c r="E419" s="74" t="s">
        <v>112</v>
      </c>
      <c r="F419" s="75">
        <v>1000</v>
      </c>
      <c r="G419" s="137">
        <v>62.849800000000002</v>
      </c>
      <c r="H419" s="25"/>
    </row>
    <row r="420" spans="2:8" ht="56.25">
      <c r="B420" s="100" t="s">
        <v>111</v>
      </c>
      <c r="C420" s="65">
        <v>1000</v>
      </c>
      <c r="D420" s="106">
        <v>3.5</v>
      </c>
      <c r="E420" s="25"/>
      <c r="F420" s="25"/>
      <c r="G420" s="25"/>
      <c r="H420" s="61" t="s">
        <v>315</v>
      </c>
    </row>
    <row r="421" spans="2:8">
      <c r="B421" s="31" t="s">
        <v>113</v>
      </c>
      <c r="C421" s="27"/>
      <c r="D421" s="27">
        <f>SUMPRODUCT(C394:C420,D394:D420)</f>
        <v>46957.9041</v>
      </c>
    </row>
  </sheetData>
  <mergeCells count="4">
    <mergeCell ref="G17:L17"/>
    <mergeCell ref="G133:L133"/>
    <mergeCell ref="G153:L153"/>
    <mergeCell ref="B316:E317"/>
  </mergeCells>
  <phoneticPr fontId="67" type="noConversion"/>
  <dataValidations count="1">
    <dataValidation allowBlank="1" showErrorMessage="1" sqref="D195" xr:uid="{00000000-0002-0000-1700-000000000000}"/>
  </dataValidations>
  <hyperlinks>
    <hyperlink ref="B4" location="_Labitems_microscopy" display="Microscopy laboratory" xr:uid="{00000000-0004-0000-1700-000000000000}"/>
    <hyperlink ref="B5" location="_labitemslist_culture" display="Culture laboratory" xr:uid="{00000000-0004-0000-1700-000001000000}"/>
    <hyperlink ref="C1:D1" location="Lab!A1" display="Back to Lab" xr:uid="{00000000-0004-0000-1700-000002000000}"/>
    <hyperlink ref="A13" location="_Labitems_Home" display="Ù Home" xr:uid="{00000000-0004-0000-1700-000003000000}"/>
    <hyperlink ref="B7" location="_Labitems_Molecular" display="Molecular tests" xr:uid="{00000000-0004-0000-1700-000004000000}"/>
    <hyperlink ref="C1" location="'1.2%20Improving%20diagnosis'!A1" display="Back to Lab" xr:uid="{00000000-0004-0000-1700-000005000000}"/>
    <hyperlink ref="B6" location="_Labitems_DST" display="DST laboratory" xr:uid="{00000000-0004-0000-1700-000006000000}"/>
    <hyperlink ref="C4" location="_Labitems_chem_microsc" display="Microscopy laboratory" xr:uid="{00000000-0004-0000-1700-000007000000}"/>
    <hyperlink ref="C5" location="_Labitems_chemic_culture" display="Culture laboratory" xr:uid="{00000000-0004-0000-1700-000008000000}"/>
    <hyperlink ref="C6" location="_Labitems_chemic_DST" display="DST laboratory" xr:uid="{00000000-0004-0000-1700-000009000000}"/>
    <hyperlink ref="C7" location="_Labitems_chemic_Molec" display="Molecular tests" xr:uid="{00000000-0004-0000-1700-00000A000000}"/>
    <hyperlink ref="E4" location="_Labitems_cons_microsc" display="MIcroscopy laboratory" xr:uid="{00000000-0004-0000-1700-00000B000000}"/>
    <hyperlink ref="E5" location="_Labitems_cons_culture" display="Culture laboratory" xr:uid="{00000000-0004-0000-1700-00000C000000}"/>
    <hyperlink ref="E6" location="_Labitems_cons_DST" display="DST laboratory" xr:uid="{00000000-0004-0000-1700-00000D000000}"/>
    <hyperlink ref="E7" location="_Labitems_cons_molec" display="Molecular tests" xr:uid="{00000000-0004-0000-1700-00000E000000}"/>
    <hyperlink ref="B199" r:id="rId1" xr:uid="{00000000-0004-0000-1700-00000F000000}"/>
  </hyperlinks>
  <pageMargins left="0.75" right="0.75" top="1" bottom="1" header="0.5" footer="0.5"/>
  <pageSetup paperSize="9" orientation="portrait"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btn_Back">
                <anchor moveWithCells="1">
                  <from>
                    <xdr:col>13</xdr:col>
                    <xdr:colOff>142875</xdr:colOff>
                    <xdr:row>0</xdr:row>
                    <xdr:rowOff>66675</xdr:rowOff>
                  </from>
                  <to>
                    <xdr:col>16</xdr:col>
                    <xdr:colOff>180975</xdr:colOff>
                    <xdr:row>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36</vt:i4>
      </vt:variant>
    </vt:vector>
  </HeadingPairs>
  <TitlesOfParts>
    <vt:vector size="68" baseType="lpstr">
      <vt:lpstr>TITLE</vt:lpstr>
      <vt:lpstr>Intro and instructions</vt:lpstr>
      <vt:lpstr>Epidemiology</vt:lpstr>
      <vt:lpstr>LAM</vt:lpstr>
      <vt:lpstr>Truenat</vt:lpstr>
      <vt:lpstr>TB-LAMP</vt:lpstr>
      <vt:lpstr>Xpert MTB RIF Ultra</vt:lpstr>
      <vt:lpstr>ZN microscopy</vt:lpstr>
      <vt:lpstr>LED microscopy</vt:lpstr>
      <vt:lpstr>Xpert MTB XDR</vt:lpstr>
      <vt:lpstr>LPA 1st line</vt:lpstr>
      <vt:lpstr>LPA 2nd line</vt:lpstr>
      <vt:lpstr>MAX MDR-TB assay</vt:lpstr>
      <vt:lpstr>FluoroType MTBDR VER 2.0</vt:lpstr>
      <vt:lpstr>Cobas MTB and MTB-RIF-INH</vt:lpstr>
      <vt:lpstr>Abbott RT MTB and MTB RIF-INH</vt:lpstr>
      <vt:lpstr>Processing&amp;solid-liquid culture</vt:lpstr>
      <vt:lpstr>ID</vt:lpstr>
      <vt:lpstr>LJ 1st line DST</vt:lpstr>
      <vt:lpstr>LJ 2nd line DST</vt:lpstr>
      <vt:lpstr>MGIT 1st line DST</vt:lpstr>
      <vt:lpstr>MGIT 2nd line DST</vt:lpstr>
      <vt:lpstr>Biosafety and cleaning</vt:lpstr>
      <vt:lpstr>Maintenance &amp; repair</vt:lpstr>
      <vt:lpstr>Human resources</vt:lpstr>
      <vt:lpstr>QA</vt:lpstr>
      <vt:lpstr>OPERATION</vt:lpstr>
      <vt:lpstr>BUDGET SUMMARY</vt:lpstr>
      <vt:lpstr>LAB ITEM SUMMARY </vt:lpstr>
      <vt:lpstr>Sheet1</vt:lpstr>
      <vt:lpstr>LPA and Tips</vt:lpstr>
      <vt:lpstr>Lab items list</vt:lpstr>
      <vt:lpstr>BSC</vt:lpstr>
      <vt:lpstr>'Abbott RT MTB and MTB RIF-INH'!kit_ordered</vt:lpstr>
      <vt:lpstr>'Cobas MTB and MTB-RIF-INH'!kit_ordered</vt:lpstr>
      <vt:lpstr>'FluoroType MTBDR VER 2.0'!kit_ordered</vt:lpstr>
      <vt:lpstr>'LPA 1st line'!kit_ordered</vt:lpstr>
      <vt:lpstr>'LPA 2nd line'!kit_ordered</vt:lpstr>
      <vt:lpstr>'MAX MDR-TB assay'!kit_ordered</vt:lpstr>
      <vt:lpstr>'Xpert MTB XDR'!kit_ordered</vt:lpstr>
      <vt:lpstr>Months</vt:lpstr>
      <vt:lpstr>Nothing</vt:lpstr>
      <vt:lpstr>'Abbott RT MTB and MTB RIF-INH'!repet</vt:lpstr>
      <vt:lpstr>'Cobas MTB and MTB-RIF-INH'!repet</vt:lpstr>
      <vt:lpstr>'FluoroType MTBDR VER 2.0'!repet</vt:lpstr>
      <vt:lpstr>'LPA 1st line'!repet</vt:lpstr>
      <vt:lpstr>'LPA 2nd line'!repet</vt:lpstr>
      <vt:lpstr>'MAX MDR-TB assay'!repet</vt:lpstr>
      <vt:lpstr>repet_process</vt:lpstr>
      <vt:lpstr>sample</vt:lpstr>
      <vt:lpstr>staff</vt:lpstr>
      <vt:lpstr>staff3</vt:lpstr>
      <vt:lpstr>staffbsl3</vt:lpstr>
      <vt:lpstr>'Abbott RT MTB and MTB RIF-INH'!total_test</vt:lpstr>
      <vt:lpstr>'Cobas MTB and MTB-RIF-INH'!total_test</vt:lpstr>
      <vt:lpstr>'FluoroType MTBDR VER 2.0'!total_test</vt:lpstr>
      <vt:lpstr>'LPA 1st line'!total_test</vt:lpstr>
      <vt:lpstr>'LPA 2nd line'!total_test</vt:lpstr>
      <vt:lpstr>'MAX MDR-TB assay'!total_test</vt:lpstr>
      <vt:lpstr>total_test</vt:lpstr>
      <vt:lpstr>'Abbott RT MTB and MTB RIF-INH'!unit_pack</vt:lpstr>
      <vt:lpstr>'Cobas MTB and MTB-RIF-INH'!unit_pack</vt:lpstr>
      <vt:lpstr>'FluoroType MTBDR VER 2.0'!unit_pack</vt:lpstr>
      <vt:lpstr>'LPA 1st line'!unit_pack</vt:lpstr>
      <vt:lpstr>'LPA 2nd line'!unit_pack</vt:lpstr>
      <vt:lpstr>'MAX MDR-TB assay'!unit_pack</vt:lpstr>
      <vt:lpstr>'Xpert MTB XDR'!unit_pack</vt:lpstr>
      <vt:lpstr>volum_specimen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dc:creator>
  <cp:lastModifiedBy>EFIMOVA, Anjelika</cp:lastModifiedBy>
  <cp:lastPrinted>2021-10-26T15:02:40Z</cp:lastPrinted>
  <dcterms:created xsi:type="dcterms:W3CDTF">2011-12-02T13:07:27Z</dcterms:created>
  <dcterms:modified xsi:type="dcterms:W3CDTF">2022-11-14T16:09:00Z</dcterms:modified>
</cp:coreProperties>
</file>