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5.105\SalesPBU\zuofangfang\2026\4.法国周报\WK36\"/>
    </mc:Choice>
  </mc:AlternateContent>
  <bookViews>
    <workbookView xWindow="0" yWindow="0" windowWidth="28800" windowHeight="11616" tabRatio="810" firstSheet="15" activeTab="40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'W1'!$E$23:$AL$360</definedName>
    <definedName name="_xlnm._FilterDatabase" localSheetId="14" hidden="1">'W10'!$E$23:$AL$396</definedName>
    <definedName name="_xlnm._FilterDatabase" localSheetId="15" hidden="1">'W11'!$E$23:$AL$399</definedName>
    <definedName name="_xlnm._FilterDatabase" localSheetId="16" hidden="1">'W12'!$E$23:$AL$398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'W16'!$E$23:$AL$396</definedName>
    <definedName name="_xlnm._FilterDatabase" localSheetId="21" hidden="1">'W17'!$E$23:$AL$396</definedName>
    <definedName name="_xlnm._FilterDatabase" localSheetId="22" hidden="1">'W18'!$E$23:$AL$397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'W20'!$E$23:$AL$397</definedName>
    <definedName name="_xlnm._FilterDatabase" localSheetId="25" hidden="1">'W21'!$E$23:$AL$398</definedName>
    <definedName name="_xlnm._FilterDatabase" localSheetId="26" hidden="1">'W22'!$E$23:$AL$394</definedName>
    <definedName name="_xlnm._FilterDatabase" localSheetId="27" hidden="1">'W23'!$E$23:$AL$397</definedName>
    <definedName name="_xlnm._FilterDatabase" localSheetId="28" hidden="1">'W24'!$E$23:$AL$398</definedName>
    <definedName name="_xlnm._FilterDatabase" localSheetId="29" hidden="1">'W25'!$E$23:$AL$396</definedName>
    <definedName name="_xlnm._FilterDatabase" localSheetId="30" hidden="1">'W26'!$E$23:$AL$390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'W3'!$E$23:$AL$399</definedName>
    <definedName name="_xlnm._FilterDatabase" localSheetId="34" hidden="1">'W30'!$E$23:$AL$396</definedName>
    <definedName name="_xlnm._FilterDatabase" localSheetId="35" hidden="1">'W31'!$E$23:$AL$396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'W34'!$E$23:$AL$395</definedName>
    <definedName name="_xlnm._FilterDatabase" localSheetId="39" hidden="1">'W35'!$E$23:$AL$396</definedName>
    <definedName name="_xlnm._FilterDatabase" localSheetId="40" hidden="1">'W36'!$E$23:$AL$399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'W4'!$E$23:$AL$397</definedName>
    <definedName name="_xlnm._FilterDatabase" localSheetId="44" hidden="1">'W40'!$E$23:$AL$397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'W6'!$E$23:$AL$394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'W1'!$E$4:$Q$32</definedName>
    <definedName name="_xlnm.Print_Area" localSheetId="14">'W10'!$E$1:$X$51</definedName>
    <definedName name="_xlnm.Print_Area" localSheetId="15">'W11'!$E$1:$X$65</definedName>
    <definedName name="_xlnm.Print_Area" localSheetId="16">'W12'!$E$1:$X$57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'W16'!$E$1:$X$59</definedName>
    <definedName name="_xlnm.Print_Area" localSheetId="21">'W17'!$E$1:$X$60</definedName>
    <definedName name="_xlnm.Print_Area" localSheetId="22">'W18'!$E$1:$X$63</definedName>
    <definedName name="_xlnm.Print_Area" localSheetId="23">'W19'!$E$1:$X$62</definedName>
    <definedName name="_xlnm.Print_Area" localSheetId="6">'W2'!$E$1:$X$60</definedName>
    <definedName name="_xlnm.Print_Area" localSheetId="24">'W20'!$E$1:$X$63</definedName>
    <definedName name="_xlnm.Print_Area" localSheetId="25">'W21'!$E$1:$X$62</definedName>
    <definedName name="_xlnm.Print_Area" localSheetId="26">'W22'!$E$1:$X$58</definedName>
    <definedName name="_xlnm.Print_Area" localSheetId="27">'W23'!$E$1:$X$63</definedName>
    <definedName name="_xlnm.Print_Area" localSheetId="28">'W24'!$E$1:$X$63</definedName>
    <definedName name="_xlnm.Print_Area" localSheetId="29">'W25'!$E$1:$X$60</definedName>
    <definedName name="_xlnm.Print_Area" localSheetId="30">'W26'!$E$1:$X$53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'W3'!$E$1:$X$63</definedName>
    <definedName name="_xlnm.Print_Area" localSheetId="34">'W30'!$E$1:$X$59</definedName>
    <definedName name="_xlnm.Print_Area" localSheetId="35">'W31'!$E$1:$X$62</definedName>
    <definedName name="_xlnm.Print_Area" localSheetId="36">'W32'!$E$1:$X$59</definedName>
    <definedName name="_xlnm.Print_Area" localSheetId="37">'W33'!$E$1:$X$63</definedName>
    <definedName name="_xlnm.Print_Area" localSheetId="38">'W34'!$E$1:$X$55</definedName>
    <definedName name="_xlnm.Print_Area" localSheetId="39">'W35'!$E$1:$X$58</definedName>
    <definedName name="_xlnm.Print_Area" localSheetId="40">'W36'!$E$1:$X$65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'W40'!$E$1:$X$62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'W6'!$E$1:$X$56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34" i="139" l="1"/>
  <c r="W42" i="139" l="1"/>
  <c r="W32" i="139"/>
  <c r="K36" i="139"/>
  <c r="J36" i="139" s="1"/>
  <c r="L36" i="139"/>
  <c r="X34" i="139"/>
  <c r="W34" i="139"/>
  <c r="Y41" i="139"/>
  <c r="Y40" i="139"/>
  <c r="W40" i="139"/>
  <c r="Y31" i="139"/>
  <c r="X31" i="139"/>
  <c r="W31" i="139"/>
  <c r="Y43" i="139"/>
  <c r="X43" i="139"/>
  <c r="V43" i="139"/>
  <c r="W28" i="139"/>
  <c r="W26" i="139"/>
  <c r="V26" i="139"/>
  <c r="K33" i="139"/>
  <c r="J33" i="139" s="1"/>
  <c r="L33" i="139"/>
  <c r="X25" i="139"/>
  <c r="W25" i="139"/>
  <c r="V25" i="139"/>
  <c r="W24" i="139"/>
  <c r="V24" i="139"/>
  <c r="V42" i="139"/>
  <c r="V37" i="139"/>
  <c r="V47" i="139"/>
  <c r="V49" i="139"/>
  <c r="V38" i="139"/>
  <c r="V46" i="139"/>
  <c r="V31" i="139"/>
  <c r="J11" i="139"/>
  <c r="J10" i="139"/>
  <c r="H11" i="139" l="1"/>
  <c r="H10" i="139"/>
  <c r="W54" i="139"/>
  <c r="V53" i="139"/>
  <c r="V52" i="139"/>
  <c r="Y50" i="139"/>
  <c r="V50" i="139"/>
  <c r="V45" i="139"/>
  <c r="W43" i="139"/>
  <c r="V41" i="139"/>
  <c r="Y38" i="139"/>
  <c r="W38" i="139"/>
  <c r="W37" i="139"/>
  <c r="Y35" i="139"/>
  <c r="X35" i="139"/>
  <c r="W35" i="139"/>
  <c r="V35" i="139"/>
  <c r="V34" i="139"/>
  <c r="V27" i="139"/>
  <c r="L10" i="138" l="1"/>
  <c r="W33" i="138"/>
  <c r="V33" i="138"/>
  <c r="V35" i="138"/>
  <c r="X41" i="138"/>
  <c r="W52" i="138"/>
  <c r="Y36" i="138"/>
  <c r="W36" i="138"/>
  <c r="Y48" i="138"/>
  <c r="X39" i="138"/>
  <c r="X38" i="138"/>
  <c r="K30" i="138"/>
  <c r="L30" i="138"/>
  <c r="V26" i="138"/>
  <c r="V27" i="138"/>
  <c r="K29" i="138"/>
  <c r="L29" i="138"/>
  <c r="X25" i="138"/>
  <c r="V25" i="138"/>
  <c r="V28" i="138"/>
  <c r="V36" i="138"/>
  <c r="W35" i="138"/>
  <c r="V24" i="138"/>
  <c r="V40" i="138"/>
  <c r="V51" i="138"/>
  <c r="V50" i="138"/>
  <c r="V43" i="138"/>
  <c r="V45" i="138"/>
  <c r="V48" i="138"/>
  <c r="V32" i="138"/>
  <c r="Y31" i="138"/>
  <c r="X31" i="138"/>
  <c r="W31" i="138"/>
  <c r="V31" i="138"/>
  <c r="X33" i="138"/>
  <c r="Y34" i="138"/>
  <c r="X34" i="138"/>
  <c r="W34" i="138"/>
  <c r="V34" i="138"/>
  <c r="W41" i="138"/>
  <c r="V41" i="138"/>
  <c r="V39" i="138"/>
  <c r="V38" i="138"/>
  <c r="J29" i="138" l="1"/>
  <c r="J30" i="138"/>
  <c r="V44" i="138" l="1"/>
  <c r="J10" i="138"/>
  <c r="J11" i="138"/>
  <c r="H11" i="138" l="1"/>
  <c r="H10" i="138"/>
  <c r="O10" i="137" l="1"/>
  <c r="Y32" i="137" l="1"/>
  <c r="L10" i="137" l="1"/>
  <c r="V25" i="137" l="1"/>
  <c r="V38" i="137"/>
  <c r="U38" i="137"/>
  <c r="V34" i="137"/>
  <c r="X28" i="137"/>
  <c r="W35" i="137"/>
  <c r="V35" i="137"/>
  <c r="V40" i="137"/>
  <c r="V51" i="137"/>
  <c r="W25" i="137"/>
  <c r="V29" i="137"/>
  <c r="U29" i="137"/>
  <c r="V26" i="137"/>
  <c r="V27" i="137"/>
  <c r="X25" i="137"/>
  <c r="V24" i="137"/>
  <c r="V32" i="137" l="1"/>
  <c r="V31" i="137"/>
  <c r="U47" i="137"/>
  <c r="Y55" i="137"/>
  <c r="U50" i="137"/>
  <c r="U45" i="137"/>
  <c r="U44" i="137"/>
  <c r="U41" i="137"/>
  <c r="U28" i="137"/>
  <c r="U26" i="137"/>
  <c r="J11" i="137"/>
  <c r="J10" i="137"/>
  <c r="H11" i="137" l="1"/>
  <c r="H10" i="137"/>
  <c r="Y57" i="136" l="1"/>
  <c r="L10" i="136"/>
  <c r="Y34" i="136"/>
  <c r="Y50" i="136"/>
  <c r="V53" i="136"/>
  <c r="V47" i="136"/>
  <c r="U47" i="136"/>
  <c r="V56" i="136"/>
  <c r="X41" i="136"/>
  <c r="X40" i="136"/>
  <c r="V26" i="136"/>
  <c r="V36" i="136"/>
  <c r="X24" i="136"/>
  <c r="V24" i="136"/>
  <c r="X42" i="136" l="1"/>
  <c r="X54" i="136"/>
  <c r="U35" i="136"/>
  <c r="U37" i="136"/>
  <c r="U24" i="136"/>
  <c r="J11" i="136"/>
  <c r="J10" i="136"/>
  <c r="H11" i="136" l="1"/>
  <c r="H10" i="136"/>
  <c r="X55" i="135" l="1"/>
  <c r="U54" i="135"/>
  <c r="V47" i="135" l="1"/>
  <c r="V32" i="135"/>
  <c r="X50" i="135"/>
  <c r="X34" i="135"/>
  <c r="W34" i="135"/>
  <c r="X40" i="135"/>
  <c r="U40" i="135"/>
  <c r="X41" i="135"/>
  <c r="U41" i="135"/>
  <c r="W30" i="135"/>
  <c r="V30" i="135"/>
  <c r="X25" i="135"/>
  <c r="U25" i="135"/>
  <c r="W24" i="135"/>
  <c r="V24" i="135"/>
  <c r="U47" i="135" l="1"/>
  <c r="U42" i="135"/>
  <c r="U53" i="135"/>
  <c r="U36" i="135"/>
  <c r="U30" i="135"/>
  <c r="U29" i="135"/>
  <c r="U26" i="135"/>
  <c r="U24" i="135"/>
  <c r="J11" i="135"/>
  <c r="J12" i="135" s="1"/>
  <c r="J10" i="135"/>
  <c r="H11" i="135" l="1"/>
  <c r="H10" i="135"/>
  <c r="W34" i="134" l="1"/>
  <c r="V34" i="134"/>
  <c r="V33" i="134"/>
  <c r="W24" i="134" l="1"/>
  <c r="U24" i="134"/>
  <c r="V25" i="134" l="1"/>
  <c r="U40" i="134"/>
  <c r="X30" i="134" l="1"/>
  <c r="U26" i="134"/>
  <c r="V29" i="134"/>
  <c r="U29" i="134"/>
  <c r="V37" i="134" l="1"/>
  <c r="U36" i="134"/>
  <c r="U42" i="134"/>
  <c r="U46" i="134"/>
  <c r="U45" i="134"/>
  <c r="U49" i="134"/>
  <c r="V47" i="134"/>
  <c r="U47" i="134"/>
  <c r="X34" i="134"/>
  <c r="V32" i="134"/>
  <c r="X50" i="134"/>
  <c r="V50" i="134"/>
  <c r="U50" i="134"/>
  <c r="U41" i="134"/>
  <c r="V30" i="134" l="1"/>
  <c r="U30" i="134"/>
  <c r="U43" i="134"/>
  <c r="X28" i="134"/>
  <c r="U35" i="134" l="1"/>
  <c r="U51" i="134"/>
  <c r="U27" i="134"/>
  <c r="J11" i="134"/>
  <c r="J11" i="133"/>
  <c r="J10" i="134"/>
  <c r="J10" i="133"/>
  <c r="H11" i="134" l="1"/>
  <c r="H10" i="134"/>
  <c r="V56" i="133" l="1"/>
  <c r="V35" i="133" l="1"/>
  <c r="V29" i="133"/>
  <c r="U37" i="133"/>
  <c r="U43" i="133"/>
  <c r="U44" i="133"/>
  <c r="T43" i="133"/>
  <c r="U55" i="133"/>
  <c r="U47" i="133"/>
  <c r="U48" i="133"/>
  <c r="T48" i="133"/>
  <c r="U51" i="133"/>
  <c r="U35" i="133"/>
  <c r="W41" i="133"/>
  <c r="T42" i="133"/>
  <c r="U42" i="133"/>
  <c r="U26" i="133"/>
  <c r="W25" i="133"/>
  <c r="V25" i="133"/>
  <c r="U25" i="133"/>
  <c r="V24" i="133" l="1"/>
  <c r="U24" i="133"/>
  <c r="T41" i="133" l="1"/>
  <c r="W28" i="133"/>
  <c r="U27" i="133"/>
  <c r="H11" i="133"/>
  <c r="H10" i="133"/>
  <c r="U27" i="132" l="1"/>
  <c r="U24" i="132" l="1"/>
  <c r="W35" i="132"/>
  <c r="T45" i="132"/>
  <c r="V38" i="132"/>
  <c r="U38" i="132"/>
  <c r="U43" i="132"/>
  <c r="T43" i="132"/>
  <c r="U47" i="132"/>
  <c r="U46" i="132"/>
  <c r="U50" i="132"/>
  <c r="U48" i="132"/>
  <c r="T48" i="132"/>
  <c r="U32" i="132"/>
  <c r="U52" i="132"/>
  <c r="T52" i="132"/>
  <c r="W41" i="132"/>
  <c r="U35" i="132"/>
  <c r="V35" i="132"/>
  <c r="T42" i="132"/>
  <c r="W42" i="132"/>
  <c r="T41" i="132"/>
  <c r="V31" i="132"/>
  <c r="U31" i="132"/>
  <c r="T31" i="132"/>
  <c r="U29" i="132"/>
  <c r="T26" i="132"/>
  <c r="T24" i="132"/>
  <c r="O10" i="131"/>
  <c r="T37" i="132" l="1"/>
  <c r="T36" i="132"/>
  <c r="T50" i="132"/>
  <c r="T47" i="132"/>
  <c r="J11" i="132"/>
  <c r="J10" i="132"/>
  <c r="T25" i="132"/>
  <c r="L10" i="131" l="1"/>
  <c r="H11" i="132"/>
  <c r="H10" i="132"/>
  <c r="T43" i="131" l="1"/>
  <c r="U47" i="131"/>
  <c r="T47" i="131" l="1"/>
  <c r="W52" i="131"/>
  <c r="U52" i="131"/>
  <c r="V34" i="131"/>
  <c r="V35" i="131"/>
  <c r="U35" i="131"/>
  <c r="T35" i="131"/>
  <c r="W42" i="131"/>
  <c r="W41" i="131"/>
  <c r="V31" i="131"/>
  <c r="T31" i="131"/>
  <c r="U24" i="131"/>
  <c r="V24" i="131"/>
  <c r="T48" i="131"/>
  <c r="T37" i="131"/>
  <c r="T50" i="131"/>
  <c r="T38" i="131" l="1"/>
  <c r="T41" i="131"/>
  <c r="T26" i="131"/>
  <c r="T27" i="131"/>
  <c r="W28" i="131"/>
  <c r="T29" i="131"/>
  <c r="J11" i="131"/>
  <c r="J10" i="131"/>
  <c r="H11" i="131" l="1"/>
  <c r="H10" i="131"/>
  <c r="L10" i="130" l="1"/>
  <c r="H11" i="130" l="1"/>
  <c r="J11" i="130"/>
  <c r="H10" i="130"/>
  <c r="J10" i="130"/>
  <c r="V41" i="130" l="1"/>
  <c r="W43" i="130"/>
  <c r="U26" i="130"/>
  <c r="T26" i="130"/>
  <c r="U36" i="130"/>
  <c r="T36" i="130"/>
  <c r="W49" i="130"/>
  <c r="W41" i="130"/>
  <c r="T47" i="130"/>
  <c r="V48" i="130"/>
  <c r="T48" i="130"/>
  <c r="K33" i="130"/>
  <c r="L33" i="130"/>
  <c r="U52" i="130"/>
  <c r="T52" i="130"/>
  <c r="V34" i="130"/>
  <c r="V35" i="130"/>
  <c r="U35" i="130"/>
  <c r="T35" i="130"/>
  <c r="W51" i="130"/>
  <c r="T51" i="130"/>
  <c r="V31" i="130"/>
  <c r="T31" i="130"/>
  <c r="T44" i="130"/>
  <c r="T29" i="130"/>
  <c r="U25" i="130"/>
  <c r="T25" i="130"/>
  <c r="U24" i="130"/>
  <c r="V24" i="130"/>
  <c r="T38" i="130"/>
  <c r="J33" i="130" l="1"/>
  <c r="T24" i="129" l="1"/>
  <c r="U34" i="129"/>
  <c r="T34" i="129"/>
  <c r="V33" i="129"/>
  <c r="W42" i="129"/>
  <c r="T32" i="129"/>
  <c r="V31" i="129"/>
  <c r="U30" i="129"/>
  <c r="V28" i="129"/>
  <c r="T46" i="129"/>
  <c r="T36" i="129"/>
  <c r="T42" i="129"/>
  <c r="W52" i="129"/>
  <c r="U52" i="129"/>
  <c r="T52" i="129"/>
  <c r="V34" i="129"/>
  <c r="T40" i="129"/>
  <c r="U31" i="129"/>
  <c r="T31" i="129"/>
  <c r="T43" i="129"/>
  <c r="U26" i="129"/>
  <c r="T26" i="129"/>
  <c r="U25" i="129"/>
  <c r="T25" i="129"/>
  <c r="U24" i="129"/>
  <c r="W48" i="129"/>
  <c r="T47" i="129"/>
  <c r="T27" i="129"/>
  <c r="J11" i="129"/>
  <c r="J10" i="129"/>
  <c r="H11" i="129" l="1"/>
  <c r="H10" i="129"/>
  <c r="K30" i="128" l="1"/>
  <c r="J30" i="128" s="1"/>
  <c r="L30" i="128"/>
  <c r="U24" i="128" l="1"/>
  <c r="T27" i="128"/>
  <c r="U40" i="128"/>
  <c r="T39" i="128"/>
  <c r="T24" i="128"/>
  <c r="T46" i="128"/>
  <c r="W53" i="128"/>
  <c r="T50" i="128"/>
  <c r="S50" i="128"/>
  <c r="U49" i="128"/>
  <c r="W58" i="128"/>
  <c r="T58" i="128"/>
  <c r="S58" i="128"/>
  <c r="T38" i="128" l="1"/>
  <c r="W36" i="128"/>
  <c r="V36" i="128"/>
  <c r="U36" i="128"/>
  <c r="T36" i="128"/>
  <c r="S36" i="128"/>
  <c r="S57" i="128"/>
  <c r="W44" i="128"/>
  <c r="V44" i="128"/>
  <c r="U44" i="128"/>
  <c r="T44" i="128"/>
  <c r="S44" i="128"/>
  <c r="U31" i="128"/>
  <c r="T31" i="128"/>
  <c r="S31" i="128"/>
  <c r="U47" i="128"/>
  <c r="T47" i="128"/>
  <c r="K48" i="128"/>
  <c r="L48" i="128"/>
  <c r="T29" i="128"/>
  <c r="T26" i="128"/>
  <c r="S26" i="128"/>
  <c r="U25" i="128"/>
  <c r="J48" i="128" l="1"/>
  <c r="S53" i="128"/>
  <c r="S46" i="128"/>
  <c r="S52" i="128"/>
  <c r="S54" i="128"/>
  <c r="S24" i="128"/>
  <c r="J11" i="128"/>
  <c r="H11" i="128" s="1"/>
  <c r="J10" i="128"/>
  <c r="H10" i="128"/>
  <c r="J37" i="127" l="1"/>
  <c r="J11" i="127" l="1"/>
  <c r="T39" i="127"/>
  <c r="S39" i="127"/>
  <c r="T52" i="127" l="1"/>
  <c r="U48" i="127"/>
  <c r="T57" i="127"/>
  <c r="U54" i="127"/>
  <c r="S51" i="127"/>
  <c r="U36" i="127"/>
  <c r="V44" i="127"/>
  <c r="U44" i="127"/>
  <c r="T44" i="127"/>
  <c r="T47" i="127"/>
  <c r="J30" i="127"/>
  <c r="K30" i="127"/>
  <c r="L30" i="127"/>
  <c r="T26" i="127"/>
  <c r="S56" i="127"/>
  <c r="S46" i="127"/>
  <c r="S50" i="127"/>
  <c r="S49" i="127"/>
  <c r="S26" i="127"/>
  <c r="S27" i="127"/>
  <c r="S31" i="127"/>
  <c r="S28" i="127"/>
  <c r="S24" i="127"/>
  <c r="J10" i="127"/>
  <c r="H11" i="127"/>
  <c r="H10" i="127"/>
  <c r="L10" i="126" l="1"/>
  <c r="T26" i="126"/>
  <c r="S26" i="126"/>
  <c r="V43" i="126" l="1"/>
  <c r="T27" i="126"/>
  <c r="T42" i="126"/>
  <c r="U24" i="126"/>
  <c r="T24" i="126"/>
  <c r="S45" i="126"/>
  <c r="W51" i="126"/>
  <c r="T51" i="126"/>
  <c r="S52" i="126"/>
  <c r="W47" i="126"/>
  <c r="T50" i="126"/>
  <c r="S50" i="126"/>
  <c r="W56" i="126"/>
  <c r="T56" i="126"/>
  <c r="S56" i="126"/>
  <c r="U35" i="126"/>
  <c r="S35" i="126"/>
  <c r="W44" i="126"/>
  <c r="S44" i="126"/>
  <c r="U43" i="126"/>
  <c r="T43" i="126"/>
  <c r="S43" i="126"/>
  <c r="T38" i="126" l="1"/>
  <c r="S38" i="126"/>
  <c r="V30" i="126"/>
  <c r="U30" i="126"/>
  <c r="T30" i="126"/>
  <c r="S30" i="126"/>
  <c r="T46" i="126"/>
  <c r="J11" i="126"/>
  <c r="J10" i="126"/>
  <c r="H11" i="126" l="1"/>
  <c r="H10" i="126"/>
  <c r="U35" i="125" l="1"/>
  <c r="T35" i="125"/>
  <c r="S30" i="125" l="1"/>
  <c r="W51" i="125"/>
  <c r="W56" i="125"/>
  <c r="S56" i="125"/>
  <c r="S27" i="125"/>
  <c r="T42" i="125"/>
  <c r="T38" i="125"/>
  <c r="S38" i="125"/>
  <c r="T24" i="125"/>
  <c r="S24" i="125"/>
  <c r="S45" i="125"/>
  <c r="W27" i="125"/>
  <c r="S54" i="125"/>
  <c r="W47" i="125"/>
  <c r="S49" i="125"/>
  <c r="S48" i="125"/>
  <c r="S47" i="125"/>
  <c r="S53" i="125"/>
  <c r="S50" i="125"/>
  <c r="T44" i="125"/>
  <c r="T55" i="125"/>
  <c r="U25" i="125"/>
  <c r="U24" i="125"/>
  <c r="U43" i="125"/>
  <c r="T43" i="125"/>
  <c r="S43" i="125"/>
  <c r="T30" i="125"/>
  <c r="S28" i="125"/>
  <c r="S26" i="125"/>
  <c r="S25" i="125"/>
  <c r="S39" i="125" l="1"/>
  <c r="S31" i="125"/>
  <c r="S35" i="125"/>
  <c r="T46" i="125"/>
  <c r="J11" i="125"/>
  <c r="J10" i="125"/>
  <c r="S51" i="125" l="1"/>
  <c r="V43" i="125"/>
  <c r="U37" i="125"/>
  <c r="T37" i="125"/>
  <c r="H11" i="125"/>
  <c r="H10" i="125"/>
  <c r="J44" i="124" l="1"/>
  <c r="S47" i="124" l="1"/>
  <c r="T48" i="124"/>
  <c r="S59" i="124"/>
  <c r="R33" i="124"/>
  <c r="U39" i="124"/>
  <c r="T39" i="124"/>
  <c r="T37" i="124"/>
  <c r="S37" i="124"/>
  <c r="R46" i="124"/>
  <c r="W45" i="124"/>
  <c r="V45" i="124"/>
  <c r="T45" i="124"/>
  <c r="S45" i="124"/>
  <c r="R45" i="124"/>
  <c r="S25" i="124"/>
  <c r="T32" i="124" l="1"/>
  <c r="S32" i="124"/>
  <c r="S53" i="124"/>
  <c r="U56" i="124"/>
  <c r="K44" i="124"/>
  <c r="L44" i="124"/>
  <c r="U24" i="124"/>
  <c r="T24" i="124"/>
  <c r="R49" i="124"/>
  <c r="R52" i="124"/>
  <c r="R30" i="124"/>
  <c r="R32" i="124"/>
  <c r="J11" i="124"/>
  <c r="J10" i="124"/>
  <c r="H10" i="124" l="1"/>
  <c r="H11" i="124"/>
  <c r="S41" i="123" l="1"/>
  <c r="S40" i="123"/>
  <c r="V46" i="123"/>
  <c r="U56" i="123"/>
  <c r="S52" i="123"/>
  <c r="S51" i="123"/>
  <c r="R51" i="123"/>
  <c r="T35" i="123"/>
  <c r="U25" i="123"/>
  <c r="S25" i="123"/>
  <c r="R33" i="123"/>
  <c r="V32" i="123"/>
  <c r="S58" i="123"/>
  <c r="R58" i="123"/>
  <c r="K39" i="123"/>
  <c r="J39" i="123" s="1"/>
  <c r="L39" i="123"/>
  <c r="T37" i="123"/>
  <c r="S37" i="123"/>
  <c r="R57" i="123"/>
  <c r="T32" i="123"/>
  <c r="R26" i="123"/>
  <c r="W24" i="123"/>
  <c r="U24" i="123"/>
  <c r="T24" i="123"/>
  <c r="J10" i="123"/>
  <c r="R32" i="123"/>
  <c r="R24" i="123"/>
  <c r="R44" i="123"/>
  <c r="R40" i="123"/>
  <c r="R37" i="123"/>
  <c r="R55" i="123"/>
  <c r="R49" i="123"/>
  <c r="J11" i="123"/>
  <c r="H11" i="123" l="1"/>
  <c r="H10" i="123"/>
  <c r="S25" i="122" l="1"/>
  <c r="V44" i="122"/>
  <c r="R56" i="122"/>
  <c r="R49" i="122"/>
  <c r="R54" i="122"/>
  <c r="R44" i="122"/>
  <c r="W24" i="122"/>
  <c r="R57" i="122"/>
  <c r="S45" i="122"/>
  <c r="R45" i="122"/>
  <c r="U44" i="122"/>
  <c r="S44" i="122"/>
  <c r="S24" i="122"/>
  <c r="W40" i="122" l="1"/>
  <c r="S40" i="122"/>
  <c r="R40" i="122"/>
  <c r="R24" i="122"/>
  <c r="W46" i="122"/>
  <c r="R46" i="122"/>
  <c r="R51" i="122"/>
  <c r="T38" i="122"/>
  <c r="S38" i="122"/>
  <c r="R38" i="122"/>
  <c r="S58" i="122"/>
  <c r="R58" i="122"/>
  <c r="R34" i="122"/>
  <c r="W33" i="122"/>
  <c r="S33" i="122"/>
  <c r="R33" i="122"/>
  <c r="J11" i="122" l="1"/>
  <c r="J10" i="122"/>
  <c r="H11" i="122" l="1"/>
  <c r="H10" i="122"/>
  <c r="L11" i="121" l="1"/>
  <c r="L10" i="121"/>
  <c r="R47" i="121" l="1"/>
  <c r="J10" i="121"/>
  <c r="S41" i="121" l="1"/>
  <c r="R41" i="121"/>
  <c r="U56" i="121"/>
  <c r="R55" i="121"/>
  <c r="R39" i="121"/>
  <c r="W33" i="121"/>
  <c r="S33" i="121"/>
  <c r="W28" i="121"/>
  <c r="R31" i="121"/>
  <c r="U59" i="121"/>
  <c r="R57" i="121"/>
  <c r="S50" i="121"/>
  <c r="R50" i="121"/>
  <c r="R52" i="121"/>
  <c r="R32" i="121"/>
  <c r="R34" i="121"/>
  <c r="W36" i="121"/>
  <c r="R36" i="121"/>
  <c r="W24" i="121"/>
  <c r="R37" i="121"/>
  <c r="K37" i="121" s="1"/>
  <c r="J37" i="121" s="1"/>
  <c r="S59" i="121"/>
  <c r="R59" i="121"/>
  <c r="R58" i="121"/>
  <c r="S34" i="121"/>
  <c r="K46" i="121"/>
  <c r="L46" i="121"/>
  <c r="U47" i="121"/>
  <c r="S53" i="121"/>
  <c r="R56" i="121"/>
  <c r="T39" i="121"/>
  <c r="V45" i="121"/>
  <c r="T45" i="121"/>
  <c r="S45" i="121"/>
  <c r="R45" i="121"/>
  <c r="T33" i="121"/>
  <c r="R33" i="121"/>
  <c r="W30" i="121"/>
  <c r="R26" i="121"/>
  <c r="L37" i="121"/>
  <c r="T24" i="121"/>
  <c r="S24" i="121"/>
  <c r="R24" i="121"/>
  <c r="J46" i="121" l="1"/>
  <c r="R51" i="121"/>
  <c r="R49" i="121"/>
  <c r="R30" i="121"/>
  <c r="U35" i="121" l="1"/>
  <c r="J11" i="121"/>
  <c r="H11" i="121" l="1"/>
  <c r="H10" i="121"/>
  <c r="S47" i="120" l="1"/>
  <c r="T39" i="120"/>
  <c r="V41" i="120" l="1"/>
  <c r="V48" i="120"/>
  <c r="L10" i="120" l="1"/>
  <c r="R36" i="120" l="1"/>
  <c r="R57" i="120"/>
  <c r="K28" i="120"/>
  <c r="L28" i="120"/>
  <c r="U34" i="120"/>
  <c r="R58" i="120"/>
  <c r="Q58" i="120"/>
  <c r="R42" i="120"/>
  <c r="R41" i="120"/>
  <c r="R56" i="120"/>
  <c r="Q56" i="120"/>
  <c r="S52" i="120"/>
  <c r="S49" i="120"/>
  <c r="R48" i="120"/>
  <c r="Q48" i="120"/>
  <c r="U55" i="120"/>
  <c r="R55" i="120"/>
  <c r="R51" i="120"/>
  <c r="S39" i="120"/>
  <c r="R39" i="120"/>
  <c r="Q39" i="120"/>
  <c r="U45" i="120"/>
  <c r="T45" i="120"/>
  <c r="S45" i="120"/>
  <c r="R45" i="120"/>
  <c r="Q45" i="120"/>
  <c r="S33" i="120"/>
  <c r="R33" i="120"/>
  <c r="J28" i="120" l="1"/>
  <c r="T24" i="120"/>
  <c r="U24" i="120"/>
  <c r="R24" i="120"/>
  <c r="Q46" i="120"/>
  <c r="Q49" i="120"/>
  <c r="Q31" i="120"/>
  <c r="Q26" i="120"/>
  <c r="Q30" i="120"/>
  <c r="J11" i="120" l="1"/>
  <c r="J10" i="120"/>
  <c r="H11" i="120" l="1"/>
  <c r="H10" i="120"/>
  <c r="L10" i="119" l="1"/>
  <c r="R59" i="119" l="1"/>
  <c r="Q59" i="119"/>
  <c r="T40" i="119" l="1"/>
  <c r="R51" i="119" l="1"/>
  <c r="S50" i="119"/>
  <c r="R50" i="119"/>
  <c r="Q50" i="119"/>
  <c r="Q31" i="119"/>
  <c r="U28" i="119"/>
  <c r="Q29" i="119"/>
  <c r="Q32" i="119"/>
  <c r="U26" i="119"/>
  <c r="Q26" i="119"/>
  <c r="Q30" i="119"/>
  <c r="U24" i="119"/>
  <c r="R24" i="119"/>
  <c r="T24" i="119"/>
  <c r="S24" i="119"/>
  <c r="Q24" i="119"/>
  <c r="S59" i="119" l="1"/>
  <c r="Q43" i="119"/>
  <c r="U42" i="119"/>
  <c r="Q42" i="119"/>
  <c r="R47" i="119"/>
  <c r="Q47" i="119"/>
  <c r="S48" i="119"/>
  <c r="Q48" i="119"/>
  <c r="S53" i="119"/>
  <c r="R53" i="119"/>
  <c r="Q51" i="119"/>
  <c r="R56" i="119"/>
  <c r="R52" i="119"/>
  <c r="S40" i="119"/>
  <c r="R40" i="119"/>
  <c r="Q40" i="119"/>
  <c r="S46" i="119"/>
  <c r="R46" i="119"/>
  <c r="Q46" i="119"/>
  <c r="U27" i="119"/>
  <c r="Q25" i="119"/>
  <c r="Q56" i="119"/>
  <c r="Q52" i="119"/>
  <c r="R44" i="119"/>
  <c r="Q58" i="119"/>
  <c r="J10" i="119"/>
  <c r="J11" i="119"/>
  <c r="H11" i="119" l="1"/>
  <c r="H10" i="119"/>
  <c r="L10" i="118" l="1"/>
  <c r="Q34" i="118" l="1"/>
  <c r="Q44" i="118"/>
  <c r="U48" i="118"/>
  <c r="R48" i="118"/>
  <c r="Q48" i="118"/>
  <c r="R54" i="118"/>
  <c r="Q54" i="118"/>
  <c r="Q52" i="118"/>
  <c r="R51" i="118"/>
  <c r="Q51" i="118"/>
  <c r="T40" i="118"/>
  <c r="S40" i="118"/>
  <c r="Q40" i="118"/>
  <c r="S47" i="118"/>
  <c r="R47" i="118"/>
  <c r="Q47" i="118"/>
  <c r="R33" i="118"/>
  <c r="Q33" i="118"/>
  <c r="U26" i="118"/>
  <c r="Q26" i="118"/>
  <c r="U27" i="118"/>
  <c r="Q43" i="118"/>
  <c r="Q57" i="118"/>
  <c r="Q31" i="118"/>
  <c r="Q30" i="118"/>
  <c r="J11" i="118"/>
  <c r="J10" i="118"/>
  <c r="U61" i="118" l="1"/>
  <c r="Q60" i="118"/>
  <c r="Q59" i="118"/>
  <c r="R57" i="118"/>
  <c r="T54" i="118"/>
  <c r="S54" i="118"/>
  <c r="R53" i="118"/>
  <c r="Q53" i="118"/>
  <c r="R50" i="118"/>
  <c r="Q50" i="118"/>
  <c r="S49" i="118"/>
  <c r="Q49" i="118"/>
  <c r="T47" i="118"/>
  <c r="U43" i="118"/>
  <c r="S43" i="118"/>
  <c r="Q38" i="118"/>
  <c r="U37" i="118"/>
  <c r="Q37" i="118"/>
  <c r="Q32" i="118"/>
  <c r="U30" i="118"/>
  <c r="U28" i="118"/>
  <c r="U24" i="118"/>
  <c r="T24" i="118"/>
  <c r="S24" i="118"/>
  <c r="R24" i="118"/>
  <c r="Q24" i="118"/>
  <c r="H11" i="118"/>
  <c r="H10" i="118"/>
  <c r="K36" i="117" l="1"/>
  <c r="L36" i="117"/>
  <c r="Q59" i="117"/>
  <c r="U61" i="117"/>
  <c r="U33" i="117"/>
  <c r="Q34" i="117"/>
  <c r="U37" i="117"/>
  <c r="Q37" i="117"/>
  <c r="Q60" i="117"/>
  <c r="T54" i="117"/>
  <c r="S54" i="117"/>
  <c r="Q54" i="117"/>
  <c r="Q52" i="117"/>
  <c r="J36" i="117" l="1"/>
  <c r="U27" i="117"/>
  <c r="U30" i="117"/>
  <c r="Q30" i="117"/>
  <c r="R44" i="117"/>
  <c r="Q44" i="117"/>
  <c r="U43" i="117"/>
  <c r="S43" i="117"/>
  <c r="Q43" i="117"/>
  <c r="S40" i="117"/>
  <c r="T40" i="117"/>
  <c r="T47" i="117"/>
  <c r="S47" i="117"/>
  <c r="R47" i="117"/>
  <c r="Q47" i="117"/>
  <c r="U28" i="117"/>
  <c r="U26" i="117"/>
  <c r="Q26" i="117"/>
  <c r="U24" i="117"/>
  <c r="T24" i="117"/>
  <c r="S24" i="117"/>
  <c r="R24" i="117"/>
  <c r="Q24" i="117"/>
  <c r="R48" i="117" l="1"/>
  <c r="Q48" i="117"/>
  <c r="S49" i="117"/>
  <c r="Q49" i="117"/>
  <c r="R50" i="117"/>
  <c r="Q50" i="117"/>
  <c r="R57" i="117"/>
  <c r="Q57" i="117"/>
  <c r="R53" i="117"/>
  <c r="Q53" i="117"/>
  <c r="J11" i="117" l="1"/>
  <c r="J10" i="117"/>
  <c r="H10" i="117" l="1"/>
  <c r="H11" i="117" l="1"/>
  <c r="Q51" i="117" l="1"/>
  <c r="Q40" i="117"/>
  <c r="Q38" i="117"/>
  <c r="Q32" i="117" l="1"/>
  <c r="Q52" i="116" l="1"/>
  <c r="P52" i="116"/>
  <c r="U42" i="116"/>
  <c r="T53" i="116"/>
  <c r="R49" i="116" l="1"/>
  <c r="Q43" i="116"/>
  <c r="Q47" i="116"/>
  <c r="S48" i="116"/>
  <c r="Q57" i="116"/>
  <c r="R55" i="116"/>
  <c r="Q50" i="116"/>
  <c r="S38" i="116"/>
  <c r="P39" i="116"/>
  <c r="Q33" i="116"/>
  <c r="Q31" i="116"/>
  <c r="U26" i="116"/>
  <c r="Q26" i="116" l="1"/>
  <c r="Q30" i="116"/>
  <c r="Q25" i="116"/>
  <c r="P46" i="116" l="1"/>
  <c r="P56" i="116"/>
  <c r="P42" i="116"/>
  <c r="R29" i="116"/>
  <c r="U28" i="116"/>
  <c r="Q32" i="116"/>
  <c r="J11" i="116"/>
  <c r="J10" i="116"/>
  <c r="H11" i="116" l="1"/>
  <c r="H10" i="116"/>
  <c r="L10" i="115" l="1"/>
  <c r="L11" i="115" l="1"/>
  <c r="Q25" i="115"/>
  <c r="P39" i="115"/>
  <c r="U30" i="115"/>
  <c r="Q30" i="115"/>
  <c r="P30" i="115"/>
  <c r="Q43" i="115" l="1"/>
  <c r="Q54" i="115"/>
  <c r="S46" i="115"/>
  <c r="Q46" i="115"/>
  <c r="R46" i="115"/>
  <c r="P46" i="115"/>
  <c r="Q31" i="115" l="1"/>
  <c r="K32" i="115"/>
  <c r="J32" i="115" s="1"/>
  <c r="L32" i="115"/>
  <c r="U26" i="115"/>
  <c r="Q26" i="115"/>
  <c r="P26" i="115"/>
  <c r="T24" i="115"/>
  <c r="S24" i="115"/>
  <c r="R24" i="115"/>
  <c r="U24" i="115"/>
  <c r="Q24" i="115"/>
  <c r="P24" i="115"/>
  <c r="P43" i="115" l="1"/>
  <c r="P42" i="115"/>
  <c r="P49" i="115"/>
  <c r="P51" i="115"/>
  <c r="P38" i="115"/>
  <c r="J11" i="115"/>
  <c r="J10" i="115"/>
  <c r="H11" i="115" l="1"/>
  <c r="H10" i="115"/>
  <c r="J43" i="114" l="1"/>
  <c r="J29" i="114"/>
  <c r="K43" i="114" l="1"/>
  <c r="L43" i="114"/>
  <c r="U24" i="114"/>
  <c r="Q24" i="114"/>
  <c r="P24" i="114"/>
  <c r="K36" i="114" l="1"/>
  <c r="J36" i="114" s="1"/>
  <c r="L36" i="114"/>
  <c r="Q45" i="114"/>
  <c r="Q47" i="114"/>
  <c r="P47" i="114"/>
  <c r="S30" i="114"/>
  <c r="T48" i="114"/>
  <c r="P48" i="114"/>
  <c r="P51" i="114"/>
  <c r="P38" i="114"/>
  <c r="U44" i="114"/>
  <c r="P44" i="114"/>
  <c r="R44" i="114"/>
  <c r="Q44" i="114"/>
  <c r="R29" i="114"/>
  <c r="Q32" i="114"/>
  <c r="Q25" i="114"/>
  <c r="P31" i="114"/>
  <c r="U40" i="114" l="1"/>
  <c r="Q40" i="114"/>
  <c r="P40" i="114"/>
  <c r="Q26" i="114"/>
  <c r="P26" i="114"/>
  <c r="P25" i="114"/>
  <c r="P41" i="114"/>
  <c r="P37" i="114"/>
  <c r="P30" i="114"/>
  <c r="P32" i="114"/>
  <c r="P28" i="114"/>
  <c r="J11" i="114"/>
  <c r="J10" i="114"/>
  <c r="H11" i="114" l="1"/>
  <c r="H10" i="114"/>
  <c r="L11" i="113" l="1"/>
  <c r="L10" i="113"/>
  <c r="R33" i="113" l="1"/>
  <c r="U33" i="113"/>
  <c r="Q33" i="113"/>
  <c r="U35" i="113"/>
  <c r="R24" i="113"/>
  <c r="T26" i="113"/>
  <c r="Q32" i="113"/>
  <c r="P32" i="113"/>
  <c r="P31" i="113"/>
  <c r="Q26" i="113"/>
  <c r="P40" i="113"/>
  <c r="U39" i="113"/>
  <c r="S39" i="113"/>
  <c r="U24" i="113"/>
  <c r="T46" i="113"/>
  <c r="R43" i="113"/>
  <c r="P43" i="113"/>
  <c r="Q45" i="113"/>
  <c r="P45" i="113"/>
  <c r="U50" i="113"/>
  <c r="Q50" i="113"/>
  <c r="Q47" i="113"/>
  <c r="P46" i="113"/>
  <c r="P49" i="113"/>
  <c r="U42" i="113"/>
  <c r="P42" i="113"/>
  <c r="P37" i="113"/>
  <c r="R42" i="113"/>
  <c r="Q42" i="113"/>
  <c r="P53" i="113"/>
  <c r="Q44" i="113"/>
  <c r="J10" i="113"/>
  <c r="J11" i="113"/>
  <c r="H11" i="113" l="1"/>
  <c r="H10" i="113"/>
  <c r="P24" i="112" l="1"/>
  <c r="U24" i="112"/>
  <c r="J11" i="112"/>
  <c r="T26" i="112"/>
  <c r="S28" i="112"/>
  <c r="P25" i="112"/>
  <c r="P28" i="112"/>
  <c r="P33" i="112"/>
  <c r="P56" i="112"/>
  <c r="P34" i="112"/>
  <c r="P35" i="112"/>
  <c r="P55" i="112"/>
  <c r="S30" i="112"/>
  <c r="S40" i="112"/>
  <c r="P40" i="112"/>
  <c r="U39" i="112"/>
  <c r="S39" i="112"/>
  <c r="P39" i="112"/>
  <c r="Q43" i="112"/>
  <c r="P43" i="112"/>
  <c r="K44" i="112"/>
  <c r="L44" i="112"/>
  <c r="K45" i="112"/>
  <c r="L45" i="112"/>
  <c r="J45" i="112"/>
  <c r="S51" i="112"/>
  <c r="Q51" i="112"/>
  <c r="P51" i="112"/>
  <c r="Q48" i="112"/>
  <c r="P48" i="112"/>
  <c r="P47" i="112"/>
  <c r="P50" i="112"/>
  <c r="P37" i="112"/>
  <c r="U42" i="112"/>
  <c r="R42" i="112"/>
  <c r="Q42" i="112"/>
  <c r="P42" i="112"/>
  <c r="Q32" i="112"/>
  <c r="P32" i="112"/>
  <c r="J44" i="112"/>
  <c r="P53" i="112"/>
  <c r="P36" i="112"/>
  <c r="P31" i="112"/>
  <c r="P30" i="112"/>
  <c r="J10" i="112"/>
  <c r="O17" i="112"/>
  <c r="L10" i="112"/>
  <c r="O18" i="112"/>
  <c r="L11" i="112"/>
  <c r="H11" i="112"/>
  <c r="H10" i="112"/>
  <c r="O18" i="111"/>
  <c r="L11" i="111"/>
  <c r="O17" i="111"/>
  <c r="L10" i="111"/>
  <c r="J11" i="111"/>
  <c r="J10" i="111"/>
  <c r="H11" i="111"/>
  <c r="H10" i="111"/>
  <c r="P42" i="110"/>
  <c r="P24" i="110"/>
  <c r="O33" i="110"/>
  <c r="U24" i="110"/>
  <c r="T44" i="110"/>
  <c r="P44" i="110"/>
  <c r="P32" i="110"/>
  <c r="O32" i="110"/>
  <c r="J11" i="110"/>
  <c r="J10" i="110"/>
  <c r="H11" i="110"/>
  <c r="H10" i="110"/>
  <c r="T44" i="109"/>
  <c r="O53" i="109"/>
  <c r="P35" i="109"/>
  <c r="O35" i="109"/>
  <c r="O55" i="109"/>
  <c r="L27" i="109"/>
  <c r="O27" i="109"/>
  <c r="K27" i="109"/>
  <c r="J27" i="109"/>
  <c r="S26" i="109"/>
  <c r="S30" i="109"/>
  <c r="U24" i="109"/>
  <c r="P24" i="109"/>
  <c r="O24" i="109"/>
  <c r="P28" i="109"/>
  <c r="Q45" i="109"/>
  <c r="P45" i="109"/>
  <c r="O45" i="109"/>
  <c r="S51" i="109"/>
  <c r="P51" i="109"/>
  <c r="O51" i="109"/>
  <c r="P48" i="109"/>
  <c r="O48" i="109"/>
  <c r="O47" i="109"/>
  <c r="P50" i="109"/>
  <c r="Q44" i="109"/>
  <c r="O44" i="109"/>
  <c r="O39" i="109"/>
  <c r="P39" i="109"/>
  <c r="P42" i="109"/>
  <c r="U41" i="109"/>
  <c r="O41" i="109"/>
  <c r="R24" i="109"/>
  <c r="O40" i="109"/>
  <c r="O31" i="109"/>
  <c r="O32" i="109"/>
  <c r="J11" i="109"/>
  <c r="J10" i="109"/>
  <c r="H11" i="109"/>
  <c r="H10" i="109"/>
  <c r="Q26" i="108"/>
  <c r="O29" i="108"/>
  <c r="O35" i="108"/>
  <c r="S37" i="108"/>
  <c r="O37" i="108"/>
  <c r="P58" i="108"/>
  <c r="O59" i="108"/>
  <c r="P57" i="108"/>
  <c r="U48" i="108"/>
  <c r="O48" i="108"/>
  <c r="O49" i="108"/>
  <c r="U47" i="108"/>
  <c r="O47" i="108"/>
  <c r="R47" i="108"/>
  <c r="P47" i="108"/>
  <c r="P33" i="108"/>
  <c r="O33" i="108"/>
  <c r="O41" i="108"/>
  <c r="P40" i="108"/>
  <c r="O40" i="108"/>
  <c r="P46" i="108"/>
  <c r="P45" i="108"/>
  <c r="U44" i="108"/>
  <c r="S44" i="108"/>
  <c r="O44" i="108"/>
  <c r="U24" i="108"/>
  <c r="S24" i="108"/>
  <c r="R24" i="108"/>
  <c r="P24" i="108"/>
  <c r="O24" i="108"/>
  <c r="O53" i="108"/>
  <c r="O51" i="108"/>
  <c r="O43" i="108"/>
  <c r="O42" i="108"/>
  <c r="Q38" i="108"/>
  <c r="O34" i="108"/>
  <c r="O28" i="108"/>
  <c r="O27" i="108"/>
  <c r="O26" i="108"/>
  <c r="O25" i="108"/>
  <c r="O50" i="108"/>
  <c r="Q36" i="108"/>
  <c r="P25" i="108"/>
  <c r="O31" i="108"/>
  <c r="J11" i="108"/>
  <c r="J10" i="108"/>
  <c r="O56" i="108"/>
  <c r="P55" i="108"/>
  <c r="O54" i="108"/>
  <c r="P48" i="108"/>
  <c r="O45" i="108"/>
  <c r="O32" i="108"/>
  <c r="Q31" i="108"/>
  <c r="H11" i="108"/>
  <c r="H10" i="108"/>
  <c r="L10" i="107"/>
  <c r="L24" i="107"/>
  <c r="P33" i="107"/>
  <c r="N33" i="107"/>
  <c r="O33" i="107"/>
  <c r="Q26" i="107"/>
  <c r="N26" i="107"/>
  <c r="Q38" i="107"/>
  <c r="P25" i="107"/>
  <c r="N25" i="107"/>
  <c r="P48" i="107"/>
  <c r="N49" i="107"/>
  <c r="O54" i="107"/>
  <c r="P55" i="107"/>
  <c r="O56" i="107"/>
  <c r="O51" i="107"/>
  <c r="U47" i="107"/>
  <c r="P47" i="107"/>
  <c r="O47" i="107"/>
  <c r="N47" i="107"/>
  <c r="N41" i="107"/>
  <c r="O41" i="107"/>
  <c r="O45" i="107"/>
  <c r="N44" i="107"/>
  <c r="O44" i="107"/>
  <c r="U24" i="107"/>
  <c r="R24" i="107"/>
  <c r="P24" i="107"/>
  <c r="O50" i="107"/>
  <c r="N53" i="107"/>
  <c r="N40" i="107"/>
  <c r="N48" i="107"/>
  <c r="N51" i="107"/>
  <c r="N34" i="107"/>
  <c r="N24" i="107"/>
  <c r="J10" i="107"/>
  <c r="J11" i="107"/>
  <c r="P57" i="107"/>
  <c r="U46" i="107"/>
  <c r="U44" i="107"/>
  <c r="P44" i="107"/>
  <c r="N43" i="107"/>
  <c r="O32" i="107"/>
  <c r="Q31" i="107"/>
  <c r="N28" i="107"/>
  <c r="H11" i="107"/>
  <c r="H10" i="107"/>
  <c r="L10" i="106"/>
  <c r="N41" i="106"/>
  <c r="K27" i="106"/>
  <c r="J27" i="106"/>
  <c r="L27" i="106"/>
  <c r="N28" i="106"/>
  <c r="O32" i="106"/>
  <c r="N26" i="106"/>
  <c r="P25" i="106"/>
  <c r="Q31" i="106"/>
  <c r="O56" i="106"/>
  <c r="O50" i="106"/>
  <c r="P57" i="106"/>
  <c r="U47" i="106"/>
  <c r="P47" i="106"/>
  <c r="O47" i="106"/>
  <c r="N47" i="106"/>
  <c r="O41" i="106"/>
  <c r="K34" i="106"/>
  <c r="J34" i="106"/>
  <c r="L34" i="106"/>
  <c r="U46" i="106"/>
  <c r="U45" i="106"/>
  <c r="N44" i="106"/>
  <c r="U44" i="106"/>
  <c r="P44" i="106"/>
  <c r="O44" i="106"/>
  <c r="U24" i="106"/>
  <c r="N24" i="106"/>
  <c r="N53" i="106"/>
  <c r="N43" i="106"/>
  <c r="J11" i="106"/>
  <c r="H11" i="106"/>
  <c r="J10" i="106"/>
  <c r="H10" i="106"/>
  <c r="Q26" i="105"/>
  <c r="Q36" i="105"/>
  <c r="N33" i="105"/>
  <c r="K34" i="105"/>
  <c r="J34" i="105"/>
  <c r="L34" i="105"/>
  <c r="O31" i="105"/>
  <c r="O30" i="105"/>
  <c r="O28" i="105"/>
  <c r="N26" i="105"/>
  <c r="P25" i="105"/>
  <c r="N25" i="105"/>
  <c r="P35" i="105"/>
  <c r="O35" i="105"/>
  <c r="N35" i="105"/>
  <c r="N57" i="105"/>
  <c r="N56" i="105"/>
  <c r="P32" i="105"/>
  <c r="O32" i="105"/>
  <c r="N32" i="105"/>
  <c r="P46" i="105"/>
  <c r="P47" i="105"/>
  <c r="O46" i="105"/>
  <c r="N46" i="105"/>
  <c r="N47" i="105"/>
  <c r="O52" i="105"/>
  <c r="N52" i="105"/>
  <c r="N41" i="105"/>
  <c r="O48" i="105"/>
  <c r="N48" i="105"/>
  <c r="U42" i="105"/>
  <c r="U45" i="105"/>
  <c r="R45" i="105"/>
  <c r="P45" i="105"/>
  <c r="O45" i="105"/>
  <c r="N45" i="105"/>
  <c r="N38" i="105"/>
  <c r="U43" i="105"/>
  <c r="S43" i="105"/>
  <c r="N42" i="105"/>
  <c r="P42" i="105"/>
  <c r="O42" i="105"/>
  <c r="U24" i="105"/>
  <c r="T24" i="105"/>
  <c r="O24" i="105"/>
  <c r="N24" i="105"/>
  <c r="J10" i="105"/>
  <c r="H10" i="105"/>
  <c r="J11" i="105"/>
  <c r="N51" i="105"/>
  <c r="L10" i="56"/>
  <c r="H11" i="105"/>
  <c r="O11" i="56"/>
  <c r="O10" i="56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J247" i="105"/>
  <c r="K247" i="105"/>
  <c r="L246" i="105"/>
  <c r="K246" i="105"/>
  <c r="J246" i="105"/>
  <c r="L245" i="105"/>
  <c r="J245" i="105"/>
  <c r="K245" i="105"/>
  <c r="L244" i="105"/>
  <c r="K244" i="105"/>
  <c r="J244" i="105"/>
  <c r="L243" i="105"/>
  <c r="K243" i="105"/>
  <c r="J243" i="105"/>
  <c r="L242" i="105"/>
  <c r="K242" i="105"/>
  <c r="J242" i="105"/>
  <c r="L241" i="105"/>
  <c r="J241" i="105"/>
  <c r="K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L230" i="105"/>
  <c r="K230" i="105"/>
  <c r="J230" i="105"/>
  <c r="L229" i="105"/>
  <c r="K229" i="105"/>
  <c r="J229" i="105"/>
  <c r="L228" i="105"/>
  <c r="J228" i="105"/>
  <c r="K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L214" i="105"/>
  <c r="J214" i="105"/>
  <c r="K214" i="105"/>
  <c r="L213" i="105"/>
  <c r="K213" i="105"/>
  <c r="J213" i="105"/>
  <c r="L212" i="105"/>
  <c r="K212" i="105"/>
  <c r="J212" i="105"/>
  <c r="L211" i="105"/>
  <c r="J211" i="105"/>
  <c r="K211" i="105"/>
  <c r="L210" i="105"/>
  <c r="K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L198" i="105"/>
  <c r="K198" i="105"/>
  <c r="J198" i="105"/>
  <c r="L197" i="105"/>
  <c r="J197" i="105"/>
  <c r="K197" i="105"/>
  <c r="L196" i="105"/>
  <c r="J196" i="105"/>
  <c r="K196" i="105"/>
  <c r="L195" i="105"/>
  <c r="K195" i="105"/>
  <c r="J195" i="105"/>
  <c r="L194" i="105"/>
  <c r="K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J188" i="105"/>
  <c r="K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L182" i="105"/>
  <c r="K182" i="105"/>
  <c r="J182" i="105"/>
  <c r="L181" i="105"/>
  <c r="K181" i="105"/>
  <c r="J181" i="105"/>
  <c r="L180" i="105"/>
  <c r="J180" i="105"/>
  <c r="K180" i="105"/>
  <c r="L179" i="105"/>
  <c r="J179" i="105"/>
  <c r="K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J171" i="105"/>
  <c r="K171" i="105"/>
  <c r="L170" i="105"/>
  <c r="K170" i="105"/>
  <c r="J170" i="105"/>
  <c r="L169" i="105"/>
  <c r="K169" i="105"/>
  <c r="J169" i="105"/>
  <c r="L168" i="105"/>
  <c r="K168" i="105"/>
  <c r="J168" i="105"/>
  <c r="L167" i="105"/>
  <c r="J167" i="105"/>
  <c r="K167" i="105"/>
  <c r="L166" i="105"/>
  <c r="K166" i="105"/>
  <c r="J166" i="105"/>
  <c r="L165" i="105"/>
  <c r="K165" i="105"/>
  <c r="J165" i="105"/>
  <c r="L164" i="105"/>
  <c r="K164" i="105"/>
  <c r="J164" i="105"/>
  <c r="L163" i="105"/>
  <c r="J163" i="105"/>
  <c r="K163" i="105"/>
  <c r="L162" i="105"/>
  <c r="K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J156" i="105"/>
  <c r="K156" i="105"/>
  <c r="L155" i="105"/>
  <c r="K155" i="105"/>
  <c r="J155" i="105"/>
  <c r="L154" i="105"/>
  <c r="J154" i="105"/>
  <c r="K154" i="105"/>
  <c r="L153" i="105"/>
  <c r="K153" i="105"/>
  <c r="J153" i="105"/>
  <c r="L152" i="105"/>
  <c r="K152" i="105"/>
  <c r="J152" i="105"/>
  <c r="L151" i="105"/>
  <c r="K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J140" i="105"/>
  <c r="K140" i="105"/>
  <c r="L139" i="105"/>
  <c r="J139" i="105"/>
  <c r="K139" i="105"/>
  <c r="L138" i="105"/>
  <c r="K138" i="105"/>
  <c r="J138" i="105"/>
  <c r="L137" i="105"/>
  <c r="J137" i="105"/>
  <c r="K137" i="105"/>
  <c r="L136" i="105"/>
  <c r="K136" i="105"/>
  <c r="J136" i="105"/>
  <c r="L135" i="105"/>
  <c r="K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J123" i="105"/>
  <c r="K123" i="105"/>
  <c r="L122" i="105"/>
  <c r="J122" i="105"/>
  <c r="K122" i="105"/>
  <c r="L121" i="105"/>
  <c r="K121" i="105"/>
  <c r="J121" i="105"/>
  <c r="L120" i="105"/>
  <c r="J120" i="105"/>
  <c r="K120" i="105"/>
  <c r="L119" i="105"/>
  <c r="K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J106" i="105"/>
  <c r="K106" i="105"/>
  <c r="L105" i="105"/>
  <c r="J105" i="105"/>
  <c r="K105" i="105"/>
  <c r="L104" i="105"/>
  <c r="K104" i="105"/>
  <c r="J104" i="105"/>
  <c r="L103" i="105"/>
  <c r="J103" i="105"/>
  <c r="K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L97" i="105"/>
  <c r="J97" i="105"/>
  <c r="K97" i="105"/>
  <c r="L96" i="105"/>
  <c r="K96" i="105"/>
  <c r="J96" i="105"/>
  <c r="L95" i="105"/>
  <c r="K95" i="105"/>
  <c r="J95" i="105"/>
  <c r="L94" i="105"/>
  <c r="K94" i="105"/>
  <c r="J94" i="105"/>
  <c r="L93" i="105"/>
  <c r="K93" i="105"/>
  <c r="L92" i="105"/>
  <c r="K92" i="105"/>
  <c r="J92" i="105"/>
  <c r="L91" i="105"/>
  <c r="K91" i="105"/>
  <c r="J91" i="105"/>
  <c r="L90" i="105"/>
  <c r="K90" i="105"/>
  <c r="J90" i="105"/>
  <c r="L89" i="105"/>
  <c r="J89" i="105"/>
  <c r="K89" i="105"/>
  <c r="L88" i="105"/>
  <c r="K88" i="105"/>
  <c r="L87" i="105"/>
  <c r="K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J75" i="105"/>
  <c r="K75" i="105"/>
  <c r="L74" i="105"/>
  <c r="K74" i="105"/>
  <c r="J74" i="105"/>
  <c r="L73" i="105"/>
  <c r="J73" i="105"/>
  <c r="K73" i="105"/>
  <c r="L72" i="105"/>
  <c r="K72" i="105"/>
  <c r="J72" i="105"/>
  <c r="L71" i="105"/>
  <c r="K71" i="105"/>
  <c r="L70" i="105"/>
  <c r="J70" i="105"/>
  <c r="K70" i="105"/>
  <c r="L69" i="105"/>
  <c r="J69" i="105"/>
  <c r="K69" i="105"/>
  <c r="L68" i="105"/>
  <c r="K68" i="105"/>
  <c r="J68" i="105"/>
  <c r="L67" i="105"/>
  <c r="J67" i="105"/>
  <c r="K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J56" i="105"/>
  <c r="L55" i="105"/>
  <c r="K55" i="105"/>
  <c r="L54" i="105"/>
  <c r="K54" i="105"/>
  <c r="J54" i="105"/>
  <c r="L53" i="105"/>
  <c r="K53" i="105"/>
  <c r="J53" i="105"/>
  <c r="L52" i="105"/>
  <c r="K52" i="105"/>
  <c r="J52" i="105"/>
  <c r="L51" i="105"/>
  <c r="J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L43" i="105"/>
  <c r="K43" i="105"/>
  <c r="J43" i="105"/>
  <c r="L42" i="105"/>
  <c r="K42" i="105"/>
  <c r="J42" i="105"/>
  <c r="L41" i="105"/>
  <c r="K41" i="105"/>
  <c r="J41" i="105"/>
  <c r="L40" i="105"/>
  <c r="K40" i="105"/>
  <c r="J40" i="105"/>
  <c r="L39" i="105"/>
  <c r="K39" i="105"/>
  <c r="L38" i="105"/>
  <c r="K38" i="105"/>
  <c r="J38" i="105"/>
  <c r="L37" i="105"/>
  <c r="K37" i="105"/>
  <c r="J37" i="105"/>
  <c r="L36" i="105"/>
  <c r="K36" i="105"/>
  <c r="J36" i="105"/>
  <c r="L35" i="105"/>
  <c r="K35" i="105"/>
  <c r="L33" i="105"/>
  <c r="K33" i="105"/>
  <c r="J33" i="105"/>
  <c r="L32" i="105"/>
  <c r="K32" i="105"/>
  <c r="J32" i="105"/>
  <c r="L31" i="105"/>
  <c r="K31" i="105"/>
  <c r="L30" i="105"/>
  <c r="K30" i="105"/>
  <c r="J30" i="105"/>
  <c r="L29" i="105"/>
  <c r="K29" i="105"/>
  <c r="J29" i="105"/>
  <c r="L28" i="105"/>
  <c r="K28" i="105"/>
  <c r="J28" i="105"/>
  <c r="L27" i="105"/>
  <c r="K27" i="105"/>
  <c r="J27" i="105"/>
  <c r="L26" i="105"/>
  <c r="K26" i="105"/>
  <c r="J26" i="105"/>
  <c r="L25" i="105"/>
  <c r="K25" i="105"/>
  <c r="J25" i="105"/>
  <c r="L254" i="106"/>
  <c r="K254" i="106"/>
  <c r="J254" i="106"/>
  <c r="L253" i="106"/>
  <c r="J253" i="106"/>
  <c r="K253" i="106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J237" i="106"/>
  <c r="K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J221" i="106"/>
  <c r="K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J205" i="106"/>
  <c r="K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J189" i="106"/>
  <c r="K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J173" i="106"/>
  <c r="K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J157" i="106"/>
  <c r="K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J141" i="106"/>
  <c r="K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J125" i="106"/>
  <c r="K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J109" i="106"/>
  <c r="K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J93" i="106"/>
  <c r="K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J77" i="106"/>
  <c r="K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L60" i="106"/>
  <c r="K60" i="106"/>
  <c r="J60" i="106"/>
  <c r="L59" i="106"/>
  <c r="K59" i="106"/>
  <c r="J59" i="106"/>
  <c r="L58" i="106"/>
  <c r="K58" i="106"/>
  <c r="J58" i="106"/>
  <c r="L57" i="106"/>
  <c r="K57" i="106"/>
  <c r="J57" i="106"/>
  <c r="L56" i="106"/>
  <c r="K56" i="106"/>
  <c r="L55" i="106"/>
  <c r="K55" i="106"/>
  <c r="J55" i="106"/>
  <c r="L54" i="106"/>
  <c r="K54" i="106"/>
  <c r="J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L44" i="106"/>
  <c r="K44" i="106"/>
  <c r="J44" i="106"/>
  <c r="L43" i="106"/>
  <c r="K43" i="106"/>
  <c r="J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L26" i="106"/>
  <c r="K26" i="106"/>
  <c r="J26" i="106"/>
  <c r="L25" i="106"/>
  <c r="K25" i="106"/>
  <c r="J25" i="106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J239" i="107"/>
  <c r="K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J223" i="107"/>
  <c r="K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J207" i="107"/>
  <c r="K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J191" i="107"/>
  <c r="K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J175" i="107"/>
  <c r="K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J159" i="107"/>
  <c r="K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J143" i="107"/>
  <c r="K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J127" i="107"/>
  <c r="K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J111" i="107"/>
  <c r="K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J95" i="107"/>
  <c r="K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J79" i="107"/>
  <c r="K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J63" i="107"/>
  <c r="K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L57" i="107"/>
  <c r="K57" i="107"/>
  <c r="J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L46" i="107"/>
  <c r="K46" i="107"/>
  <c r="J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J39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L34" i="107"/>
  <c r="K34" i="107"/>
  <c r="J34" i="107"/>
  <c r="L33" i="107"/>
  <c r="K33" i="107"/>
  <c r="J33" i="107"/>
  <c r="L32" i="107"/>
  <c r="K32" i="107"/>
  <c r="J32" i="107"/>
  <c r="L31" i="107"/>
  <c r="K31" i="107"/>
  <c r="L30" i="107"/>
  <c r="K30" i="107"/>
  <c r="J30" i="107"/>
  <c r="L29" i="107"/>
  <c r="K29" i="107"/>
  <c r="J29" i="107"/>
  <c r="L28" i="107"/>
  <c r="K28" i="107"/>
  <c r="J28" i="107"/>
  <c r="L27" i="107"/>
  <c r="K27" i="107"/>
  <c r="J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49" i="109"/>
  <c r="K249" i="109"/>
  <c r="L248" i="109"/>
  <c r="K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L243" i="109"/>
  <c r="K243" i="109"/>
  <c r="L242" i="109"/>
  <c r="K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L237" i="109"/>
  <c r="J237" i="109"/>
  <c r="K237" i="109"/>
  <c r="L236" i="109"/>
  <c r="K236" i="109"/>
  <c r="L235" i="109"/>
  <c r="K235" i="109"/>
  <c r="J235" i="109"/>
  <c r="L234" i="109"/>
  <c r="K234" i="109"/>
  <c r="J234" i="109"/>
  <c r="L233" i="109"/>
  <c r="K233" i="109"/>
  <c r="L232" i="109"/>
  <c r="K232" i="109"/>
  <c r="L231" i="109"/>
  <c r="K231" i="109"/>
  <c r="J231" i="109"/>
  <c r="L230" i="109"/>
  <c r="K230" i="109"/>
  <c r="L229" i="109"/>
  <c r="K229" i="109"/>
  <c r="J229" i="109"/>
  <c r="L228" i="109"/>
  <c r="K228" i="109"/>
  <c r="L227" i="109"/>
  <c r="K227" i="109"/>
  <c r="J227" i="109"/>
  <c r="L226" i="109"/>
  <c r="K226" i="109"/>
  <c r="L225" i="109"/>
  <c r="K225" i="109"/>
  <c r="L224" i="109"/>
  <c r="K224" i="109"/>
  <c r="J224" i="109"/>
  <c r="L223" i="109"/>
  <c r="K223" i="109"/>
  <c r="L222" i="109"/>
  <c r="K222" i="109"/>
  <c r="L221" i="109"/>
  <c r="K221" i="109"/>
  <c r="J221" i="109"/>
  <c r="L220" i="109"/>
  <c r="K220" i="109"/>
  <c r="J220" i="109"/>
  <c r="L219" i="109"/>
  <c r="K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L211" i="109"/>
  <c r="K211" i="109"/>
  <c r="L210" i="109"/>
  <c r="K210" i="109"/>
  <c r="J210" i="109"/>
  <c r="L209" i="109"/>
  <c r="K209" i="109"/>
  <c r="L208" i="109"/>
  <c r="J208" i="109"/>
  <c r="K208" i="109"/>
  <c r="L207" i="109"/>
  <c r="K207" i="109"/>
  <c r="J207" i="109"/>
  <c r="L206" i="109"/>
  <c r="K206" i="109"/>
  <c r="J206" i="109"/>
  <c r="L205" i="109"/>
  <c r="K205" i="109"/>
  <c r="L204" i="109"/>
  <c r="K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L199" i="109"/>
  <c r="K199" i="109"/>
  <c r="J199" i="109"/>
  <c r="L198" i="109"/>
  <c r="K198" i="109"/>
  <c r="L197" i="109"/>
  <c r="K197" i="109"/>
  <c r="L196" i="109"/>
  <c r="K196" i="109"/>
  <c r="L195" i="109"/>
  <c r="K195" i="109"/>
  <c r="J195" i="109"/>
  <c r="L194" i="109"/>
  <c r="K194" i="109"/>
  <c r="L193" i="109"/>
  <c r="K193" i="109"/>
  <c r="J193" i="109"/>
  <c r="L192" i="109"/>
  <c r="K192" i="109"/>
  <c r="J192" i="109"/>
  <c r="L191" i="109"/>
  <c r="K191" i="109"/>
  <c r="L190" i="109"/>
  <c r="K190" i="109"/>
  <c r="J190" i="109"/>
  <c r="L189" i="109"/>
  <c r="K189" i="109"/>
  <c r="J189" i="109"/>
  <c r="L188" i="109"/>
  <c r="K188" i="109"/>
  <c r="L187" i="109"/>
  <c r="K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L182" i="109"/>
  <c r="K182" i="109"/>
  <c r="L181" i="109"/>
  <c r="K181" i="109"/>
  <c r="L180" i="109"/>
  <c r="K180" i="109"/>
  <c r="L179" i="109"/>
  <c r="K179" i="109"/>
  <c r="L178" i="109"/>
  <c r="K178" i="109"/>
  <c r="J178" i="109"/>
  <c r="L177" i="109"/>
  <c r="K177" i="109"/>
  <c r="L176" i="109"/>
  <c r="K176" i="109"/>
  <c r="J176" i="109"/>
  <c r="L175" i="109"/>
  <c r="K175" i="109"/>
  <c r="L174" i="109"/>
  <c r="K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L168" i="109"/>
  <c r="K168" i="109"/>
  <c r="L167" i="109"/>
  <c r="K167" i="109"/>
  <c r="J167" i="109"/>
  <c r="L166" i="109"/>
  <c r="K166" i="109"/>
  <c r="J166" i="109"/>
  <c r="L165" i="109"/>
  <c r="K165" i="109"/>
  <c r="L164" i="109"/>
  <c r="K164" i="109"/>
  <c r="L163" i="109"/>
  <c r="K163" i="109"/>
  <c r="L162" i="109"/>
  <c r="K162" i="109"/>
  <c r="J162" i="109"/>
  <c r="L161" i="109"/>
  <c r="K161" i="109"/>
  <c r="L160" i="109"/>
  <c r="K160" i="109"/>
  <c r="J160" i="109"/>
  <c r="L159" i="109"/>
  <c r="K159" i="109"/>
  <c r="L158" i="109"/>
  <c r="K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L153" i="109"/>
  <c r="K153" i="109"/>
  <c r="J153" i="109"/>
  <c r="L152" i="109"/>
  <c r="K152" i="109"/>
  <c r="J152" i="109"/>
  <c r="L151" i="109"/>
  <c r="K151" i="109"/>
  <c r="L150" i="109"/>
  <c r="K150" i="109"/>
  <c r="J150" i="109"/>
  <c r="L149" i="109"/>
  <c r="K149" i="109"/>
  <c r="J149" i="109"/>
  <c r="L148" i="109"/>
  <c r="K148" i="109"/>
  <c r="L147" i="109"/>
  <c r="K147" i="109"/>
  <c r="L146" i="109"/>
  <c r="K146" i="109"/>
  <c r="L145" i="109"/>
  <c r="K145" i="109"/>
  <c r="J145" i="109"/>
  <c r="L144" i="109"/>
  <c r="J144" i="109"/>
  <c r="K144" i="109"/>
  <c r="L143" i="109"/>
  <c r="K143" i="109"/>
  <c r="L142" i="109"/>
  <c r="K142" i="109"/>
  <c r="L141" i="109"/>
  <c r="K141" i="109"/>
  <c r="L140" i="109"/>
  <c r="K140" i="109"/>
  <c r="L139" i="109"/>
  <c r="K139" i="109"/>
  <c r="J139" i="109"/>
  <c r="L138" i="109"/>
  <c r="K138" i="109"/>
  <c r="L137" i="109"/>
  <c r="J137" i="109"/>
  <c r="K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L132" i="109"/>
  <c r="K132" i="109"/>
  <c r="L131" i="109"/>
  <c r="K131" i="109"/>
  <c r="J131" i="109"/>
  <c r="L130" i="109"/>
  <c r="K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L124" i="109"/>
  <c r="K124" i="109"/>
  <c r="L123" i="109"/>
  <c r="K123" i="109"/>
  <c r="J123" i="109"/>
  <c r="L122" i="109"/>
  <c r="K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L116" i="109"/>
  <c r="K116" i="109"/>
  <c r="L115" i="109"/>
  <c r="K115" i="109"/>
  <c r="L114" i="109"/>
  <c r="K114" i="109"/>
  <c r="L113" i="109"/>
  <c r="K113" i="109"/>
  <c r="L112" i="109"/>
  <c r="K112" i="109"/>
  <c r="L111" i="109"/>
  <c r="K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L102" i="109"/>
  <c r="K102" i="109"/>
  <c r="L101" i="109"/>
  <c r="K101" i="109"/>
  <c r="L100" i="109"/>
  <c r="K100" i="109"/>
  <c r="L99" i="109"/>
  <c r="K99" i="109"/>
  <c r="L98" i="109"/>
  <c r="J98" i="109"/>
  <c r="K98" i="109"/>
  <c r="L97" i="109"/>
  <c r="K97" i="109"/>
  <c r="L96" i="109"/>
  <c r="K96" i="109"/>
  <c r="J96" i="109"/>
  <c r="L95" i="109"/>
  <c r="K95" i="109"/>
  <c r="L94" i="109"/>
  <c r="K94" i="109"/>
  <c r="J94" i="109"/>
  <c r="L93" i="109"/>
  <c r="K93" i="109"/>
  <c r="J93" i="109"/>
  <c r="L92" i="109"/>
  <c r="J92" i="109"/>
  <c r="K92" i="109"/>
  <c r="L91" i="109"/>
  <c r="K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L84" i="109"/>
  <c r="K84" i="109"/>
  <c r="L83" i="109"/>
  <c r="K83" i="109"/>
  <c r="L82" i="109"/>
  <c r="K82" i="109"/>
  <c r="J82" i="109"/>
  <c r="L81" i="109"/>
  <c r="K81" i="109"/>
  <c r="J81" i="109"/>
  <c r="L80" i="109"/>
  <c r="K80" i="109"/>
  <c r="L79" i="109"/>
  <c r="K79" i="109"/>
  <c r="J79" i="109"/>
  <c r="L78" i="109"/>
  <c r="K78" i="109"/>
  <c r="J78" i="109"/>
  <c r="L77" i="109"/>
  <c r="K77" i="109"/>
  <c r="L76" i="109"/>
  <c r="K76" i="109"/>
  <c r="L75" i="109"/>
  <c r="K75" i="109"/>
  <c r="J75" i="109"/>
  <c r="L74" i="109"/>
  <c r="K74" i="109"/>
  <c r="L73" i="109"/>
  <c r="K73" i="109"/>
  <c r="J73" i="109"/>
  <c r="L72" i="109"/>
  <c r="K72" i="109"/>
  <c r="J72" i="109"/>
  <c r="L71" i="109"/>
  <c r="J71" i="109"/>
  <c r="K71" i="109"/>
  <c r="L70" i="109"/>
  <c r="K70" i="109"/>
  <c r="L69" i="109"/>
  <c r="K69" i="109"/>
  <c r="L68" i="109"/>
  <c r="K68" i="109"/>
  <c r="L67" i="109"/>
  <c r="K67" i="109"/>
  <c r="J67" i="109"/>
  <c r="L66" i="109"/>
  <c r="K66" i="109"/>
  <c r="J66" i="109"/>
  <c r="L65" i="109"/>
  <c r="K65" i="109"/>
  <c r="J65" i="109"/>
  <c r="L64" i="109"/>
  <c r="K64" i="109"/>
  <c r="L63" i="109"/>
  <c r="K63" i="109"/>
  <c r="L62" i="109"/>
  <c r="K62" i="109"/>
  <c r="L61" i="109"/>
  <c r="K61" i="109"/>
  <c r="L60" i="109"/>
  <c r="K60" i="109"/>
  <c r="L59" i="109"/>
  <c r="K59" i="109"/>
  <c r="J59" i="109"/>
  <c r="L58" i="109"/>
  <c r="K58" i="109"/>
  <c r="J58" i="109"/>
  <c r="L57" i="109"/>
  <c r="K57" i="109"/>
  <c r="J57" i="109"/>
  <c r="L56" i="109"/>
  <c r="K56" i="109"/>
  <c r="L55" i="109"/>
  <c r="K55" i="109"/>
  <c r="J55" i="109"/>
  <c r="L54" i="109"/>
  <c r="K54" i="109"/>
  <c r="L53" i="109"/>
  <c r="K53" i="109"/>
  <c r="J53" i="109"/>
  <c r="L52" i="109"/>
  <c r="K52" i="109"/>
  <c r="L51" i="109"/>
  <c r="K51" i="109"/>
  <c r="J51" i="109"/>
  <c r="L50" i="109"/>
  <c r="K50" i="109"/>
  <c r="L49" i="109"/>
  <c r="K49" i="109"/>
  <c r="L48" i="109"/>
  <c r="K48" i="109"/>
  <c r="L47" i="109"/>
  <c r="K47" i="109"/>
  <c r="L46" i="109"/>
  <c r="K46" i="109"/>
  <c r="L45" i="109"/>
  <c r="K45" i="109"/>
  <c r="J45" i="109"/>
  <c r="L44" i="109"/>
  <c r="K44" i="109"/>
  <c r="J44" i="109"/>
  <c r="L43" i="109"/>
  <c r="K43" i="109"/>
  <c r="L42" i="109"/>
  <c r="K42" i="109"/>
  <c r="J42" i="109"/>
  <c r="L41" i="109"/>
  <c r="K41" i="109"/>
  <c r="J41" i="109"/>
  <c r="L40" i="109"/>
  <c r="K40" i="109"/>
  <c r="L39" i="109"/>
  <c r="K39" i="109"/>
  <c r="J39" i="109"/>
  <c r="L38" i="109"/>
  <c r="K38" i="109"/>
  <c r="J38" i="109"/>
  <c r="L37" i="109"/>
  <c r="K37" i="109"/>
  <c r="L36" i="109"/>
  <c r="K36" i="109"/>
  <c r="L35" i="109"/>
  <c r="K35" i="109"/>
  <c r="J35" i="109"/>
  <c r="L34" i="109"/>
  <c r="K34" i="109"/>
  <c r="J34" i="109"/>
  <c r="L33" i="109"/>
  <c r="K33" i="109"/>
  <c r="L32" i="109"/>
  <c r="K32" i="109"/>
  <c r="L31" i="109"/>
  <c r="K31" i="109"/>
  <c r="J31" i="109"/>
  <c r="L30" i="109"/>
  <c r="K30" i="109"/>
  <c r="L29" i="109"/>
  <c r="K29" i="109"/>
  <c r="L28" i="109"/>
  <c r="K28" i="109"/>
  <c r="J28" i="109"/>
  <c r="L26" i="109"/>
  <c r="K26" i="109"/>
  <c r="L25" i="109"/>
  <c r="K25" i="109"/>
  <c r="J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L47" i="110"/>
  <c r="K47" i="110"/>
  <c r="J47" i="110"/>
  <c r="L46" i="110"/>
  <c r="K46" i="110"/>
  <c r="J46" i="110"/>
  <c r="L45" i="110"/>
  <c r="K45" i="110"/>
  <c r="L44" i="110"/>
  <c r="K44" i="110"/>
  <c r="J44" i="110"/>
  <c r="L43" i="110"/>
  <c r="K43" i="110"/>
  <c r="J43" i="110"/>
  <c r="L42" i="110"/>
  <c r="K42" i="110"/>
  <c r="L41" i="110"/>
  <c r="K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J35" i="110"/>
  <c r="K35" i="110"/>
  <c r="L34" i="110"/>
  <c r="K34" i="110"/>
  <c r="L33" i="110"/>
  <c r="K33" i="110"/>
  <c r="J33" i="110"/>
  <c r="L32" i="110"/>
  <c r="K32" i="110"/>
  <c r="J32" i="110"/>
  <c r="L31" i="110"/>
  <c r="K31" i="110"/>
  <c r="L30" i="110"/>
  <c r="K30" i="110"/>
  <c r="J30" i="110"/>
  <c r="L29" i="110"/>
  <c r="K29" i="110"/>
  <c r="J29" i="110"/>
  <c r="L28" i="110"/>
  <c r="K28" i="110"/>
  <c r="L27" i="110"/>
  <c r="K27" i="110"/>
  <c r="J27" i="110"/>
  <c r="L26" i="110"/>
  <c r="K26" i="110"/>
  <c r="J26" i="110"/>
  <c r="L25" i="110"/>
  <c r="K25" i="110"/>
  <c r="J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J248" i="112"/>
  <c r="K248" i="112"/>
  <c r="L247" i="112"/>
  <c r="K247" i="112"/>
  <c r="J247" i="112"/>
  <c r="L246" i="112"/>
  <c r="K246" i="112"/>
  <c r="J246" i="112"/>
  <c r="L245" i="112"/>
  <c r="J245" i="112"/>
  <c r="K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J232" i="112"/>
  <c r="K232" i="112"/>
  <c r="L231" i="112"/>
  <c r="K231" i="112"/>
  <c r="J231" i="112"/>
  <c r="L230" i="112"/>
  <c r="K230" i="112"/>
  <c r="J230" i="112"/>
  <c r="L229" i="112"/>
  <c r="J229" i="112"/>
  <c r="K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J218" i="112"/>
  <c r="K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L200" i="112"/>
  <c r="K200" i="112"/>
  <c r="J200" i="112"/>
  <c r="L199" i="112"/>
  <c r="J199" i="112"/>
  <c r="K199" i="112"/>
  <c r="L198" i="112"/>
  <c r="K198" i="112"/>
  <c r="J198" i="112"/>
  <c r="L197" i="112"/>
  <c r="K197" i="112"/>
  <c r="J197" i="112"/>
  <c r="L196" i="112"/>
  <c r="J196" i="112"/>
  <c r="K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J183" i="112"/>
  <c r="K183" i="112"/>
  <c r="L182" i="112"/>
  <c r="K182" i="112"/>
  <c r="J182" i="112"/>
  <c r="L181" i="112"/>
  <c r="K181" i="112"/>
  <c r="J181" i="112"/>
  <c r="L180" i="112"/>
  <c r="J180" i="112"/>
  <c r="K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J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J131" i="112"/>
  <c r="K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J120" i="112"/>
  <c r="K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L109" i="112"/>
  <c r="J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L88" i="112"/>
  <c r="K88" i="112"/>
  <c r="J88" i="112"/>
  <c r="L87" i="112"/>
  <c r="J87" i="112"/>
  <c r="K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L77" i="112"/>
  <c r="K77" i="112"/>
  <c r="J77" i="112"/>
  <c r="L76" i="112"/>
  <c r="J76" i="112"/>
  <c r="K76" i="112"/>
  <c r="L75" i="112"/>
  <c r="K75" i="112"/>
  <c r="J75" i="112"/>
  <c r="L74" i="112"/>
  <c r="K74" i="112"/>
  <c r="J74" i="112"/>
  <c r="L73" i="112"/>
  <c r="K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J65" i="112"/>
  <c r="K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J57" i="112"/>
  <c r="K57" i="112"/>
  <c r="L56" i="112"/>
  <c r="K56" i="112"/>
  <c r="L55" i="112"/>
  <c r="K55" i="112"/>
  <c r="L54" i="112"/>
  <c r="K54" i="112"/>
  <c r="J54" i="112"/>
  <c r="L53" i="112"/>
  <c r="J53" i="112"/>
  <c r="K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J47" i="112"/>
  <c r="K47" i="112"/>
  <c r="L46" i="112"/>
  <c r="K46" i="112"/>
  <c r="J46" i="112"/>
  <c r="L43" i="112"/>
  <c r="K43" i="112"/>
  <c r="J43" i="112"/>
  <c r="L42" i="112"/>
  <c r="L17" i="112"/>
  <c r="K42" i="112"/>
  <c r="L41" i="112"/>
  <c r="K41" i="112"/>
  <c r="J41" i="112"/>
  <c r="L40" i="112"/>
  <c r="K40" i="112"/>
  <c r="J40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J30" i="112"/>
  <c r="L29" i="112"/>
  <c r="K29" i="112"/>
  <c r="J29" i="112"/>
  <c r="L28" i="112"/>
  <c r="K28" i="112"/>
  <c r="L27" i="112"/>
  <c r="K27" i="112"/>
  <c r="J27" i="112"/>
  <c r="L26" i="112"/>
  <c r="L18" i="112"/>
  <c r="K26" i="112"/>
  <c r="J26" i="112"/>
  <c r="L25" i="112"/>
  <c r="K25" i="112"/>
  <c r="J25" i="112"/>
  <c r="L251" i="113"/>
  <c r="K251" i="113"/>
  <c r="J251" i="113" s="1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J246" i="113" s="1"/>
  <c r="K246" i="113"/>
  <c r="L245" i="113"/>
  <c r="J245" i="113" s="1"/>
  <c r="K245" i="113"/>
  <c r="L244" i="113"/>
  <c r="K244" i="113"/>
  <c r="J244" i="113" s="1"/>
  <c r="L243" i="113"/>
  <c r="K243" i="113"/>
  <c r="J243" i="113"/>
  <c r="L242" i="113"/>
  <c r="K242" i="113"/>
  <c r="J242" i="113"/>
  <c r="L241" i="113"/>
  <c r="K241" i="113"/>
  <c r="J241" i="113" s="1"/>
  <c r="L240" i="113"/>
  <c r="K240" i="113"/>
  <c r="J240" i="113" s="1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 s="1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 s="1"/>
  <c r="L229" i="113"/>
  <c r="K229" i="113"/>
  <c r="J229" i="113"/>
  <c r="L228" i="113"/>
  <c r="K228" i="113"/>
  <c r="J228" i="113" s="1"/>
  <c r="L227" i="113"/>
  <c r="K227" i="113"/>
  <c r="J227" i="113"/>
  <c r="L226" i="113"/>
  <c r="K226" i="113"/>
  <c r="J226" i="113"/>
  <c r="L225" i="113"/>
  <c r="K225" i="113"/>
  <c r="J225" i="113" s="1"/>
  <c r="L224" i="113"/>
  <c r="K224" i="113"/>
  <c r="J224" i="113" s="1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 s="1"/>
  <c r="L219" i="113"/>
  <c r="K219" i="113"/>
  <c r="J219" i="113" s="1"/>
  <c r="L218" i="113"/>
  <c r="K218" i="113"/>
  <c r="J218" i="113" s="1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 s="1"/>
  <c r="L213" i="113"/>
  <c r="K213" i="113"/>
  <c r="J213" i="113"/>
  <c r="L212" i="113"/>
  <c r="K212" i="113"/>
  <c r="J212" i="113" s="1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 s="1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 s="1"/>
  <c r="L203" i="113"/>
  <c r="K203" i="113"/>
  <c r="J203" i="113" s="1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 s="1"/>
  <c r="L196" i="113"/>
  <c r="K196" i="113"/>
  <c r="J196" i="113" s="1"/>
  <c r="L195" i="113"/>
  <c r="K195" i="113"/>
  <c r="J195" i="113"/>
  <c r="L194" i="113"/>
  <c r="K194" i="113"/>
  <c r="J194" i="113"/>
  <c r="L193" i="113"/>
  <c r="K193" i="113"/>
  <c r="J193" i="113" s="1"/>
  <c r="L192" i="113"/>
  <c r="K192" i="113"/>
  <c r="J192" i="113" s="1"/>
  <c r="L191" i="113"/>
  <c r="K191" i="113"/>
  <c r="J191" i="113" s="1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 s="1"/>
  <c r="L180" i="113"/>
  <c r="K180" i="113"/>
  <c r="J180" i="113" s="1"/>
  <c r="L179" i="113"/>
  <c r="K179" i="113"/>
  <c r="J179" i="113"/>
  <c r="L178" i="113"/>
  <c r="K178" i="113"/>
  <c r="J178" i="113"/>
  <c r="L177" i="113"/>
  <c r="K177" i="113"/>
  <c r="J177" i="113" s="1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 s="1"/>
  <c r="L169" i="113"/>
  <c r="K169" i="113"/>
  <c r="J169" i="113" s="1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 s="1"/>
  <c r="L164" i="113"/>
  <c r="K164" i="113"/>
  <c r="J164" i="113" s="1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 s="1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J154" i="113" s="1"/>
  <c r="K154" i="113"/>
  <c r="L153" i="113"/>
  <c r="K153" i="113"/>
  <c r="J153" i="113" s="1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 s="1"/>
  <c r="L148" i="113"/>
  <c r="K148" i="113"/>
  <c r="J148" i="113" s="1"/>
  <c r="L147" i="113"/>
  <c r="K147" i="113"/>
  <c r="J147" i="113"/>
  <c r="L146" i="113"/>
  <c r="K146" i="113"/>
  <c r="J146" i="113"/>
  <c r="L145" i="113"/>
  <c r="K145" i="113"/>
  <c r="J145" i="113" s="1"/>
  <c r="L144" i="113"/>
  <c r="K144" i="113"/>
  <c r="J144" i="113"/>
  <c r="L143" i="113"/>
  <c r="K143" i="113"/>
  <c r="J143" i="113" s="1"/>
  <c r="L142" i="113"/>
  <c r="J142" i="113" s="1"/>
  <c r="K142" i="113"/>
  <c r="L141" i="113"/>
  <c r="K141" i="113"/>
  <c r="J141" i="113"/>
  <c r="L140" i="113"/>
  <c r="K140" i="113"/>
  <c r="J140" i="113" s="1"/>
  <c r="L139" i="113"/>
  <c r="K139" i="113"/>
  <c r="J139" i="113"/>
  <c r="L138" i="113"/>
  <c r="K138" i="113"/>
  <c r="J138" i="113"/>
  <c r="L137" i="113"/>
  <c r="K137" i="113"/>
  <c r="J137" i="113" s="1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 s="1"/>
  <c r="L131" i="113"/>
  <c r="K131" i="113"/>
  <c r="J131" i="113" s="1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 s="1"/>
  <c r="L126" i="113"/>
  <c r="K126" i="113"/>
  <c r="J126" i="113" s="1"/>
  <c r="L125" i="113"/>
  <c r="K125" i="113"/>
  <c r="J125" i="113"/>
  <c r="L124" i="113"/>
  <c r="K124" i="113"/>
  <c r="J124" i="113" s="1"/>
  <c r="L123" i="113"/>
  <c r="K123" i="113"/>
  <c r="J123" i="113"/>
  <c r="L122" i="113"/>
  <c r="K122" i="113"/>
  <c r="J122" i="113"/>
  <c r="L121" i="113"/>
  <c r="K121" i="113"/>
  <c r="J121" i="113" s="1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 s="1"/>
  <c r="L115" i="113"/>
  <c r="K115" i="113"/>
  <c r="J115" i="113" s="1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 s="1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 s="1"/>
  <c r="L104" i="113"/>
  <c r="J104" i="113" s="1"/>
  <c r="K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 s="1"/>
  <c r="L99" i="113"/>
  <c r="K99" i="113"/>
  <c r="J99" i="113" s="1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 s="1"/>
  <c r="L93" i="113"/>
  <c r="K93" i="113"/>
  <c r="J93" i="113"/>
  <c r="L92" i="113"/>
  <c r="K92" i="113"/>
  <c r="L91" i="113"/>
  <c r="K91" i="113"/>
  <c r="J91" i="113"/>
  <c r="L90" i="113"/>
  <c r="K90" i="113"/>
  <c r="J90" i="113"/>
  <c r="L89" i="113"/>
  <c r="K89" i="113"/>
  <c r="J89" i="113" s="1"/>
  <c r="L88" i="113"/>
  <c r="K88" i="113"/>
  <c r="J88" i="113" s="1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 s="1"/>
  <c r="L82" i="113"/>
  <c r="K82" i="113"/>
  <c r="J82" i="113"/>
  <c r="L81" i="113"/>
  <c r="K81" i="113"/>
  <c r="L80" i="113"/>
  <c r="K80" i="113"/>
  <c r="J80" i="113"/>
  <c r="L79" i="113"/>
  <c r="K79" i="113"/>
  <c r="J79" i="113"/>
  <c r="L78" i="113"/>
  <c r="J78" i="113"/>
  <c r="K78" i="113"/>
  <c r="L77" i="113"/>
  <c r="K77" i="113"/>
  <c r="J77" i="113" s="1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 s="1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L66" i="113"/>
  <c r="K66" i="113"/>
  <c r="J66" i="113" s="1"/>
  <c r="L65" i="113"/>
  <c r="K65" i="113"/>
  <c r="J65" i="113" s="1"/>
  <c r="L64" i="113"/>
  <c r="K64" i="113"/>
  <c r="J64" i="113"/>
  <c r="L63" i="113"/>
  <c r="K63" i="113"/>
  <c r="J63" i="113"/>
  <c r="L62" i="113"/>
  <c r="K62" i="113"/>
  <c r="J62" i="113"/>
  <c r="L61" i="113"/>
  <c r="K61" i="113"/>
  <c r="J61" i="113" s="1"/>
  <c r="L60" i="113"/>
  <c r="K60" i="113"/>
  <c r="J60" i="113" s="1"/>
  <c r="L59" i="113"/>
  <c r="K59" i="113"/>
  <c r="J59" i="113"/>
  <c r="L58" i="113"/>
  <c r="K58" i="113"/>
  <c r="J58" i="113"/>
  <c r="L57" i="113"/>
  <c r="K57" i="113"/>
  <c r="J57" i="113"/>
  <c r="L56" i="113"/>
  <c r="K56" i="113"/>
  <c r="J56" i="113" s="1"/>
  <c r="L55" i="113"/>
  <c r="K55" i="113"/>
  <c r="J55" i="113" s="1"/>
  <c r="L54" i="113"/>
  <c r="K54" i="113"/>
  <c r="J54" i="113"/>
  <c r="L53" i="113"/>
  <c r="K53" i="113"/>
  <c r="J53" i="113"/>
  <c r="L52" i="113"/>
  <c r="K52" i="113"/>
  <c r="J52" i="113"/>
  <c r="L51" i="113"/>
  <c r="K51" i="113"/>
  <c r="J51" i="113" s="1"/>
  <c r="L50" i="113"/>
  <c r="K50" i="113"/>
  <c r="J50" i="113" s="1"/>
  <c r="L49" i="113"/>
  <c r="K49" i="113"/>
  <c r="J49" i="113" s="1"/>
  <c r="L48" i="113"/>
  <c r="K48" i="113"/>
  <c r="J48" i="113" s="1"/>
  <c r="L47" i="113"/>
  <c r="K47" i="113"/>
  <c r="J47" i="113"/>
  <c r="L46" i="113"/>
  <c r="K46" i="113"/>
  <c r="J46" i="113" s="1"/>
  <c r="L45" i="113"/>
  <c r="K45" i="113"/>
  <c r="J45" i="113"/>
  <c r="L44" i="113"/>
  <c r="K44" i="113"/>
  <c r="J44" i="113" s="1"/>
  <c r="L43" i="113"/>
  <c r="K43" i="113"/>
  <c r="L42" i="113"/>
  <c r="K42" i="113"/>
  <c r="J42" i="113" s="1"/>
  <c r="L41" i="113"/>
  <c r="K41" i="113"/>
  <c r="J41" i="113" s="1"/>
  <c r="L40" i="113"/>
  <c r="K40" i="113"/>
  <c r="J40" i="113"/>
  <c r="L39" i="113"/>
  <c r="K39" i="113"/>
  <c r="J39" i="113" s="1"/>
  <c r="L38" i="113"/>
  <c r="K38" i="113"/>
  <c r="J38" i="113"/>
  <c r="L37" i="113"/>
  <c r="L17" i="113" s="1"/>
  <c r="K37" i="113"/>
  <c r="J37" i="113" s="1"/>
  <c r="L36" i="113"/>
  <c r="K36" i="113"/>
  <c r="J36" i="113" s="1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 s="1"/>
  <c r="L29" i="113"/>
  <c r="K29" i="113"/>
  <c r="L28" i="113"/>
  <c r="K28" i="113"/>
  <c r="J28" i="113"/>
  <c r="L27" i="113"/>
  <c r="K27" i="113"/>
  <c r="J27" i="113"/>
  <c r="L26" i="113"/>
  <c r="K26" i="113"/>
  <c r="J26" i="113" s="1"/>
  <c r="L25" i="113"/>
  <c r="K25" i="113"/>
  <c r="L254" i="114"/>
  <c r="K254" i="114"/>
  <c r="J254" i="114"/>
  <c r="L253" i="114"/>
  <c r="K253" i="114"/>
  <c r="J253" i="114" s="1"/>
  <c r="L252" i="114"/>
  <c r="K252" i="114"/>
  <c r="J252" i="114" s="1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J244" i="114" s="1"/>
  <c r="K244" i="114"/>
  <c r="L243" i="114"/>
  <c r="K243" i="114"/>
  <c r="J243" i="114"/>
  <c r="L242" i="114"/>
  <c r="K242" i="114"/>
  <c r="J242" i="114"/>
  <c r="L241" i="114"/>
  <c r="K241" i="114"/>
  <c r="J241" i="114" s="1"/>
  <c r="L240" i="114"/>
  <c r="K240" i="114"/>
  <c r="J240" i="114"/>
  <c r="L239" i="114"/>
  <c r="K239" i="114"/>
  <c r="J239" i="114" s="1"/>
  <c r="L238" i="114"/>
  <c r="K238" i="114"/>
  <c r="J238" i="114"/>
  <c r="L237" i="114"/>
  <c r="K237" i="114"/>
  <c r="J237" i="114" s="1"/>
  <c r="L236" i="114"/>
  <c r="K236" i="114"/>
  <c r="J236" i="114" s="1"/>
  <c r="L235" i="114"/>
  <c r="K235" i="114"/>
  <c r="J235" i="114"/>
  <c r="L234" i="114"/>
  <c r="K234" i="114"/>
  <c r="J234" i="114"/>
  <c r="L233" i="114"/>
  <c r="J233" i="114" s="1"/>
  <c r="K233" i="114"/>
  <c r="L232" i="114"/>
  <c r="K232" i="114"/>
  <c r="L231" i="114"/>
  <c r="K231" i="114"/>
  <c r="J231" i="114"/>
  <c r="L230" i="114"/>
  <c r="J230" i="114" s="1"/>
  <c r="K230" i="114"/>
  <c r="L229" i="114"/>
  <c r="K229" i="114"/>
  <c r="J229" i="114"/>
  <c r="L228" i="114"/>
  <c r="K228" i="114"/>
  <c r="J228" i="114" s="1"/>
  <c r="L227" i="114"/>
  <c r="K227" i="114"/>
  <c r="L226" i="114"/>
  <c r="K226" i="114"/>
  <c r="J226" i="114"/>
  <c r="L225" i="114"/>
  <c r="K225" i="114"/>
  <c r="J225" i="114" s="1"/>
  <c r="L224" i="114"/>
  <c r="K224" i="114"/>
  <c r="J224" i="114"/>
  <c r="L223" i="114"/>
  <c r="K223" i="114"/>
  <c r="J223" i="114"/>
  <c r="L222" i="114"/>
  <c r="K222" i="114"/>
  <c r="J222" i="114" s="1"/>
  <c r="L221" i="114"/>
  <c r="K221" i="114"/>
  <c r="J221" i="114" s="1"/>
  <c r="L220" i="114"/>
  <c r="K220" i="114"/>
  <c r="J220" i="114"/>
  <c r="L219" i="114"/>
  <c r="J219" i="114" s="1"/>
  <c r="K219" i="114"/>
  <c r="L218" i="114"/>
  <c r="K218" i="114"/>
  <c r="J218" i="114"/>
  <c r="L217" i="114"/>
  <c r="K217" i="114"/>
  <c r="J217" i="114" s="1"/>
  <c r="L216" i="114"/>
  <c r="K216" i="114"/>
  <c r="J216" i="114"/>
  <c r="L215" i="114"/>
  <c r="K215" i="114"/>
  <c r="J215" i="114"/>
  <c r="L214" i="114"/>
  <c r="K214" i="114"/>
  <c r="J214" i="114" s="1"/>
  <c r="L213" i="114"/>
  <c r="K213" i="114"/>
  <c r="J213" i="114"/>
  <c r="L212" i="114"/>
  <c r="K212" i="114"/>
  <c r="J212" i="114"/>
  <c r="L211" i="114"/>
  <c r="K211" i="114"/>
  <c r="L210" i="114"/>
  <c r="K210" i="114"/>
  <c r="J210" i="114"/>
  <c r="L209" i="114"/>
  <c r="K209" i="114"/>
  <c r="J209" i="114" s="1"/>
  <c r="L208" i="114"/>
  <c r="K208" i="114"/>
  <c r="J208" i="114" s="1"/>
  <c r="L207" i="114"/>
  <c r="K207" i="114"/>
  <c r="J207" i="114"/>
  <c r="L206" i="114"/>
  <c r="K206" i="114"/>
  <c r="J206" i="114" s="1"/>
  <c r="L205" i="114"/>
  <c r="K205" i="114"/>
  <c r="J205" i="114" s="1"/>
  <c r="L204" i="114"/>
  <c r="K204" i="114"/>
  <c r="J204" i="114"/>
  <c r="L203" i="114"/>
  <c r="K203" i="114"/>
  <c r="J203" i="114" s="1"/>
  <c r="L202" i="114"/>
  <c r="K202" i="114"/>
  <c r="J202" i="114"/>
  <c r="L201" i="114"/>
  <c r="K201" i="114"/>
  <c r="J201" i="114"/>
  <c r="L200" i="114"/>
  <c r="K200" i="114"/>
  <c r="L199" i="114"/>
  <c r="K199" i="114"/>
  <c r="J199" i="114"/>
  <c r="L198" i="114"/>
  <c r="K198" i="114"/>
  <c r="J198" i="114"/>
  <c r="L197" i="114"/>
  <c r="J197" i="114" s="1"/>
  <c r="K197" i="114"/>
  <c r="L196" i="114"/>
  <c r="K196" i="114"/>
  <c r="J196" i="114"/>
  <c r="L195" i="114"/>
  <c r="K195" i="114"/>
  <c r="J195" i="114" s="1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J189" i="114" s="1"/>
  <c r="K189" i="114"/>
  <c r="L188" i="114"/>
  <c r="K188" i="114"/>
  <c r="J188" i="114"/>
  <c r="L187" i="114"/>
  <c r="K187" i="114"/>
  <c r="J187" i="114"/>
  <c r="L186" i="114"/>
  <c r="J186" i="114" s="1"/>
  <c r="K186" i="114"/>
  <c r="L185" i="114"/>
  <c r="K185" i="114"/>
  <c r="J185" i="114"/>
  <c r="L184" i="114"/>
  <c r="K184" i="114"/>
  <c r="J184" i="114" s="1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 s="1"/>
  <c r="L177" i="114"/>
  <c r="K177" i="114"/>
  <c r="J177" i="114"/>
  <c r="L176" i="114"/>
  <c r="K176" i="114"/>
  <c r="J176" i="114"/>
  <c r="L175" i="114"/>
  <c r="J175" i="114" s="1"/>
  <c r="K175" i="114"/>
  <c r="L174" i="114"/>
  <c r="K174" i="114"/>
  <c r="J174" i="114"/>
  <c r="L173" i="114"/>
  <c r="J173" i="114"/>
  <c r="K173" i="114"/>
  <c r="L172" i="114"/>
  <c r="K172" i="114"/>
  <c r="J172" i="114"/>
  <c r="L171" i="114"/>
  <c r="K171" i="114"/>
  <c r="J171" i="114"/>
  <c r="L170" i="114"/>
  <c r="K170" i="114"/>
  <c r="J170" i="114" s="1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 s="1"/>
  <c r="L161" i="114"/>
  <c r="K161" i="114"/>
  <c r="J161" i="114"/>
  <c r="L160" i="114"/>
  <c r="K160" i="114"/>
  <c r="J160" i="114"/>
  <c r="L159" i="114"/>
  <c r="J159" i="114" s="1"/>
  <c r="K159" i="114"/>
  <c r="L158" i="114"/>
  <c r="K158" i="114"/>
  <c r="J158" i="114"/>
  <c r="L157" i="114"/>
  <c r="J157" i="114"/>
  <c r="K157" i="114"/>
  <c r="L156" i="114"/>
  <c r="K156" i="114"/>
  <c r="J156" i="114"/>
  <c r="L155" i="114"/>
  <c r="K155" i="114"/>
  <c r="J155" i="114"/>
  <c r="L154" i="114"/>
  <c r="K154" i="114"/>
  <c r="J154" i="114" s="1"/>
  <c r="L153" i="114"/>
  <c r="K153" i="114"/>
  <c r="J153" i="114"/>
  <c r="L152" i="114"/>
  <c r="K152" i="114"/>
  <c r="J152" i="114" s="1"/>
  <c r="L151" i="114"/>
  <c r="K151" i="114"/>
  <c r="J151" i="114" s="1"/>
  <c r="L150" i="114"/>
  <c r="K150" i="114"/>
  <c r="J150" i="114"/>
  <c r="L149" i="114"/>
  <c r="K149" i="114"/>
  <c r="J149" i="114"/>
  <c r="L148" i="114"/>
  <c r="J148" i="114" s="1"/>
  <c r="K148" i="114"/>
  <c r="L147" i="114"/>
  <c r="K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 s="1"/>
  <c r="L140" i="114"/>
  <c r="K140" i="114"/>
  <c r="J140" i="114" s="1"/>
  <c r="L139" i="114"/>
  <c r="K139" i="114"/>
  <c r="J139" i="114"/>
  <c r="L138" i="114"/>
  <c r="K138" i="114"/>
  <c r="J138" i="114"/>
  <c r="L137" i="114"/>
  <c r="J137" i="114" s="1"/>
  <c r="K137" i="114"/>
  <c r="L136" i="114"/>
  <c r="K136" i="114"/>
  <c r="J136" i="114" s="1"/>
  <c r="L135" i="114"/>
  <c r="K135" i="114"/>
  <c r="J135" i="114"/>
  <c r="L134" i="114"/>
  <c r="J134" i="114" s="1"/>
  <c r="K134" i="114"/>
  <c r="L133" i="114"/>
  <c r="K133" i="114"/>
  <c r="J133" i="114"/>
  <c r="L132" i="114"/>
  <c r="K132" i="114"/>
  <c r="J132" i="114"/>
  <c r="L131" i="114"/>
  <c r="K131" i="114"/>
  <c r="L130" i="114"/>
  <c r="K130" i="114"/>
  <c r="J130" i="114"/>
  <c r="L129" i="114"/>
  <c r="K129" i="114"/>
  <c r="J129" i="114" s="1"/>
  <c r="L128" i="114"/>
  <c r="K128" i="114"/>
  <c r="J128" i="114"/>
  <c r="L127" i="114"/>
  <c r="K127" i="114"/>
  <c r="J127" i="114"/>
  <c r="L126" i="114"/>
  <c r="K126" i="114"/>
  <c r="J126" i="114" s="1"/>
  <c r="L125" i="114"/>
  <c r="K125" i="114"/>
  <c r="J125" i="114"/>
  <c r="L124" i="114"/>
  <c r="K124" i="114"/>
  <c r="J124" i="114"/>
  <c r="L123" i="114"/>
  <c r="J123" i="114" s="1"/>
  <c r="K123" i="114"/>
  <c r="L122" i="114"/>
  <c r="K122" i="114"/>
  <c r="J122" i="114"/>
  <c r="L121" i="114"/>
  <c r="K121" i="114"/>
  <c r="J121" i="114"/>
  <c r="L120" i="114"/>
  <c r="K120" i="114"/>
  <c r="J120" i="114" s="1"/>
  <c r="L119" i="114"/>
  <c r="K119" i="114"/>
  <c r="J119" i="114"/>
  <c r="L118" i="114"/>
  <c r="K118" i="114"/>
  <c r="J118" i="114" s="1"/>
  <c r="L117" i="114"/>
  <c r="K117" i="114"/>
  <c r="J117" i="114"/>
  <c r="L116" i="114"/>
  <c r="K116" i="114"/>
  <c r="J116" i="114"/>
  <c r="L115" i="114"/>
  <c r="K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 s="1"/>
  <c r="L106" i="114"/>
  <c r="K106" i="114"/>
  <c r="J106" i="114"/>
  <c r="L105" i="114"/>
  <c r="K105" i="114"/>
  <c r="J105" i="114"/>
  <c r="L104" i="114"/>
  <c r="K104" i="114"/>
  <c r="J104" i="114" s="1"/>
  <c r="L103" i="114"/>
  <c r="K103" i="114"/>
  <c r="J103" i="114"/>
  <c r="L102" i="114"/>
  <c r="K102" i="114"/>
  <c r="J102" i="114" s="1"/>
  <c r="L101" i="114"/>
  <c r="K101" i="114"/>
  <c r="J101" i="114" s="1"/>
  <c r="L100" i="114"/>
  <c r="K100" i="114"/>
  <c r="J100" i="114"/>
  <c r="L99" i="114"/>
  <c r="K99" i="114"/>
  <c r="J99" i="114" s="1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 s="1"/>
  <c r="L91" i="114"/>
  <c r="K91" i="114"/>
  <c r="J91" i="114" s="1"/>
  <c r="L90" i="114"/>
  <c r="K90" i="114"/>
  <c r="J90" i="114"/>
  <c r="L89" i="114"/>
  <c r="K89" i="114"/>
  <c r="J89" i="114"/>
  <c r="L88" i="114"/>
  <c r="K88" i="114"/>
  <c r="J88" i="114" s="1"/>
  <c r="L87" i="114"/>
  <c r="K87" i="114"/>
  <c r="J87" i="114"/>
  <c r="L86" i="114"/>
  <c r="K86" i="114"/>
  <c r="J86" i="114" s="1"/>
  <c r="L85" i="114"/>
  <c r="K85" i="114"/>
  <c r="J85" i="114"/>
  <c r="L84" i="114"/>
  <c r="K84" i="114"/>
  <c r="J84" i="114"/>
  <c r="L83" i="114"/>
  <c r="K83" i="114"/>
  <c r="J83" i="114" s="1"/>
  <c r="L82" i="114"/>
  <c r="K82" i="114"/>
  <c r="J82" i="114"/>
  <c r="L81" i="114"/>
  <c r="K81" i="114"/>
  <c r="J81" i="114"/>
  <c r="L80" i="114"/>
  <c r="K80" i="114"/>
  <c r="J80" i="114" s="1"/>
  <c r="L79" i="114"/>
  <c r="K79" i="114"/>
  <c r="J79" i="114" s="1"/>
  <c r="L78" i="114"/>
  <c r="K78" i="114"/>
  <c r="J78" i="114"/>
  <c r="L77" i="114"/>
  <c r="K77" i="114"/>
  <c r="J77" i="114"/>
  <c r="L76" i="114"/>
  <c r="K76" i="114"/>
  <c r="J76" i="114" s="1"/>
  <c r="L75" i="114"/>
  <c r="K75" i="114"/>
  <c r="J75" i="114" s="1"/>
  <c r="L74" i="114"/>
  <c r="K74" i="114"/>
  <c r="J74" i="114"/>
  <c r="L73" i="114"/>
  <c r="K73" i="114"/>
  <c r="J73" i="114"/>
  <c r="L72" i="114"/>
  <c r="K72" i="114"/>
  <c r="J72" i="114" s="1"/>
  <c r="L71" i="114"/>
  <c r="K71" i="114"/>
  <c r="J71" i="114"/>
  <c r="L70" i="114"/>
  <c r="K70" i="114"/>
  <c r="J70" i="114" s="1"/>
  <c r="L69" i="114"/>
  <c r="K69" i="114"/>
  <c r="J69" i="114" s="1"/>
  <c r="L68" i="114"/>
  <c r="K68" i="114"/>
  <c r="J68" i="114" s="1"/>
  <c r="L67" i="114"/>
  <c r="K67" i="114"/>
  <c r="J67" i="114" s="1"/>
  <c r="L66" i="114"/>
  <c r="K66" i="114"/>
  <c r="L65" i="114"/>
  <c r="K65" i="114"/>
  <c r="J65" i="114"/>
  <c r="L64" i="114"/>
  <c r="K64" i="114"/>
  <c r="J64" i="114"/>
  <c r="L63" i="114"/>
  <c r="K63" i="114"/>
  <c r="L62" i="114"/>
  <c r="K62" i="114"/>
  <c r="J62" i="114"/>
  <c r="L61" i="114"/>
  <c r="K61" i="114"/>
  <c r="J61" i="114"/>
  <c r="L60" i="114"/>
  <c r="K60" i="114"/>
  <c r="L57" i="114"/>
  <c r="K57" i="114"/>
  <c r="J57" i="114" s="1"/>
  <c r="L56" i="114"/>
  <c r="K56" i="114"/>
  <c r="J56" i="114" s="1"/>
  <c r="L59" i="114"/>
  <c r="K59" i="114"/>
  <c r="J59" i="114" s="1"/>
  <c r="L58" i="114"/>
  <c r="K58" i="114"/>
  <c r="J58" i="114" s="1"/>
  <c r="L55" i="114"/>
  <c r="K55" i="114"/>
  <c r="J55" i="114"/>
  <c r="L54" i="114"/>
  <c r="K54" i="114"/>
  <c r="J54" i="114"/>
  <c r="L53" i="114"/>
  <c r="K53" i="114"/>
  <c r="J53" i="114" s="1"/>
  <c r="L52" i="114"/>
  <c r="K52" i="114"/>
  <c r="J52" i="114"/>
  <c r="L51" i="114"/>
  <c r="K51" i="114"/>
  <c r="J51" i="114" s="1"/>
  <c r="L50" i="114"/>
  <c r="K50" i="114"/>
  <c r="J50" i="114"/>
  <c r="L49" i="114"/>
  <c r="K49" i="114"/>
  <c r="J49" i="114"/>
  <c r="L48" i="114"/>
  <c r="K48" i="114"/>
  <c r="J48" i="114"/>
  <c r="L47" i="114"/>
  <c r="K47" i="114"/>
  <c r="J47" i="114" s="1"/>
  <c r="L46" i="114"/>
  <c r="K46" i="114"/>
  <c r="J46" i="114"/>
  <c r="L45" i="114"/>
  <c r="K45" i="114"/>
  <c r="J45" i="114" s="1"/>
  <c r="L44" i="114"/>
  <c r="K44" i="114"/>
  <c r="L42" i="114"/>
  <c r="K42" i="114"/>
  <c r="J42" i="114" s="1"/>
  <c r="L41" i="114"/>
  <c r="K41" i="114"/>
  <c r="J41" i="114" s="1"/>
  <c r="L40" i="114"/>
  <c r="K40" i="114"/>
  <c r="J40" i="114" s="1"/>
  <c r="L39" i="114"/>
  <c r="K39" i="114"/>
  <c r="J39" i="114" s="1"/>
  <c r="L38" i="114"/>
  <c r="K38" i="114"/>
  <c r="J38" i="114" s="1"/>
  <c r="L37" i="114"/>
  <c r="L17" i="114" s="1"/>
  <c r="K37" i="114"/>
  <c r="J37" i="114" s="1"/>
  <c r="L35" i="114"/>
  <c r="K35" i="114"/>
  <c r="L34" i="114"/>
  <c r="K34" i="114"/>
  <c r="J34" i="114"/>
  <c r="L33" i="114"/>
  <c r="K33" i="114"/>
  <c r="J33" i="114" s="1"/>
  <c r="L32" i="114"/>
  <c r="K32" i="114"/>
  <c r="J32" i="114"/>
  <c r="L31" i="114"/>
  <c r="K31" i="114"/>
  <c r="J31" i="114"/>
  <c r="L30" i="114"/>
  <c r="K30" i="114"/>
  <c r="J30" i="114" s="1"/>
  <c r="L29" i="114"/>
  <c r="K29" i="114"/>
  <c r="L28" i="114"/>
  <c r="K28" i="114"/>
  <c r="L27" i="114"/>
  <c r="K27" i="114"/>
  <c r="J27" i="114" s="1"/>
  <c r="L26" i="114"/>
  <c r="K26" i="114"/>
  <c r="J26" i="114" s="1"/>
  <c r="L25" i="114"/>
  <c r="L18" i="114" s="1"/>
  <c r="K25" i="114"/>
  <c r="J25" i="114" s="1"/>
  <c r="L253" i="115"/>
  <c r="K253" i="115"/>
  <c r="J253" i="115"/>
  <c r="L252" i="115"/>
  <c r="J252" i="115" s="1"/>
  <c r="K252" i="115"/>
  <c r="L251" i="115"/>
  <c r="K251" i="115"/>
  <c r="J251" i="115" s="1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 s="1"/>
  <c r="L246" i="115"/>
  <c r="J246" i="115" s="1"/>
  <c r="K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 s="1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J236" i="115" s="1"/>
  <c r="K236" i="115"/>
  <c r="L235" i="115"/>
  <c r="K235" i="115"/>
  <c r="J235" i="115" s="1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 s="1"/>
  <c r="L219" i="115"/>
  <c r="K219" i="115"/>
  <c r="L218" i="115"/>
  <c r="K218" i="115"/>
  <c r="J218" i="115"/>
  <c r="L217" i="115"/>
  <c r="K217" i="115"/>
  <c r="J217" i="115"/>
  <c r="L216" i="115"/>
  <c r="K216" i="115"/>
  <c r="J216" i="115" s="1"/>
  <c r="L215" i="115"/>
  <c r="K215" i="115"/>
  <c r="J215" i="115"/>
  <c r="L214" i="115"/>
  <c r="J214" i="115" s="1"/>
  <c r="K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 s="1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J202" i="115"/>
  <c r="L201" i="115"/>
  <c r="K201" i="115"/>
  <c r="J201" i="115"/>
  <c r="L200" i="115"/>
  <c r="K200" i="115"/>
  <c r="J200" i="115" s="1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 s="1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J187" i="115"/>
  <c r="K187" i="115"/>
  <c r="L186" i="115"/>
  <c r="K186" i="115"/>
  <c r="J186" i="115"/>
  <c r="L185" i="115"/>
  <c r="K185" i="115"/>
  <c r="J185" i="115"/>
  <c r="L184" i="115"/>
  <c r="K184" i="115"/>
  <c r="J184" i="115" s="1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 s="1"/>
  <c r="L177" i="115"/>
  <c r="K177" i="115"/>
  <c r="J177" i="115"/>
  <c r="L176" i="115"/>
  <c r="K176" i="115"/>
  <c r="J176" i="115" s="1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J171" i="115"/>
  <c r="K171" i="115"/>
  <c r="L170" i="115"/>
  <c r="K170" i="115"/>
  <c r="J170" i="115" s="1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 s="1"/>
  <c r="L165" i="115"/>
  <c r="J165" i="115" s="1"/>
  <c r="K165" i="115"/>
  <c r="L164" i="115"/>
  <c r="K164" i="115"/>
  <c r="J164" i="115"/>
  <c r="L163" i="115"/>
  <c r="K163" i="115"/>
  <c r="J163" i="115"/>
  <c r="L162" i="115"/>
  <c r="K162" i="115"/>
  <c r="J162" i="115" s="1"/>
  <c r="L161" i="115"/>
  <c r="K161" i="115"/>
  <c r="J161" i="115"/>
  <c r="L160" i="115"/>
  <c r="K160" i="115"/>
  <c r="J160" i="115" s="1"/>
  <c r="L159" i="115"/>
  <c r="K159" i="115"/>
  <c r="J159" i="115" s="1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 s="1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 s="1"/>
  <c r="L148" i="115"/>
  <c r="K148" i="115"/>
  <c r="J148" i="115"/>
  <c r="L147" i="115"/>
  <c r="K147" i="115"/>
  <c r="J147" i="115"/>
  <c r="L146" i="115"/>
  <c r="K146" i="115"/>
  <c r="J146" i="115" s="1"/>
  <c r="L145" i="115"/>
  <c r="K145" i="115"/>
  <c r="J145" i="115"/>
  <c r="L144" i="115"/>
  <c r="K144" i="115"/>
  <c r="J144" i="115" s="1"/>
  <c r="L143" i="115"/>
  <c r="K143" i="115"/>
  <c r="J143" i="115" s="1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 s="1"/>
  <c r="L138" i="115"/>
  <c r="K138" i="115"/>
  <c r="J138" i="115" s="1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 s="1"/>
  <c r="L132" i="115"/>
  <c r="K132" i="115"/>
  <c r="J132" i="115" s="1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 s="1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 s="1"/>
  <c r="L122" i="115"/>
  <c r="K122" i="115"/>
  <c r="J122" i="115" s="1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 s="1"/>
  <c r="L116" i="115"/>
  <c r="K116" i="115"/>
  <c r="J116" i="115" s="1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 s="1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 s="1"/>
  <c r="L106" i="115"/>
  <c r="K106" i="115"/>
  <c r="J106" i="115" s="1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 s="1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 s="1"/>
  <c r="L95" i="115"/>
  <c r="K95" i="115"/>
  <c r="J95" i="115" s="1"/>
  <c r="L94" i="115"/>
  <c r="K94" i="115"/>
  <c r="J94" i="115" s="1"/>
  <c r="L93" i="115"/>
  <c r="K93" i="115"/>
  <c r="J93" i="115"/>
  <c r="L92" i="115"/>
  <c r="K92" i="115"/>
  <c r="J92" i="115"/>
  <c r="L91" i="115"/>
  <c r="K91" i="115"/>
  <c r="J91" i="115"/>
  <c r="L90" i="115"/>
  <c r="K90" i="115"/>
  <c r="J90" i="115" s="1"/>
  <c r="L89" i="115"/>
  <c r="J89" i="115" s="1"/>
  <c r="K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 s="1"/>
  <c r="L84" i="115"/>
  <c r="K84" i="115"/>
  <c r="J84" i="115" s="1"/>
  <c r="L83" i="115"/>
  <c r="K83" i="115"/>
  <c r="J83" i="115" s="1"/>
  <c r="L82" i="115"/>
  <c r="K82" i="115"/>
  <c r="J82" i="115"/>
  <c r="L81" i="115"/>
  <c r="K81" i="115"/>
  <c r="J81" i="115"/>
  <c r="L80" i="115"/>
  <c r="K80" i="115"/>
  <c r="J80" i="115" s="1"/>
  <c r="L79" i="115"/>
  <c r="K79" i="115"/>
  <c r="J79" i="115"/>
  <c r="L78" i="115"/>
  <c r="K78" i="115"/>
  <c r="J78" i="115" s="1"/>
  <c r="L77" i="115"/>
  <c r="K77" i="115"/>
  <c r="J77" i="115"/>
  <c r="L76" i="115"/>
  <c r="K76" i="115"/>
  <c r="J76" i="115"/>
  <c r="L75" i="115"/>
  <c r="K75" i="115"/>
  <c r="J75" i="115"/>
  <c r="L74" i="115"/>
  <c r="K74" i="115"/>
  <c r="J74" i="115" s="1"/>
  <c r="L73" i="115"/>
  <c r="K73" i="115"/>
  <c r="J73" i="115" s="1"/>
  <c r="L72" i="115"/>
  <c r="K72" i="115"/>
  <c r="J72" i="115"/>
  <c r="L71" i="115"/>
  <c r="K71" i="115"/>
  <c r="J71" i="115"/>
  <c r="L70" i="115"/>
  <c r="K70" i="115"/>
  <c r="J70" i="115"/>
  <c r="L69" i="115"/>
  <c r="K69" i="115"/>
  <c r="J69" i="115" s="1"/>
  <c r="L68" i="115"/>
  <c r="K68" i="115"/>
  <c r="J68" i="115"/>
  <c r="L67" i="115"/>
  <c r="K67" i="115"/>
  <c r="J67" i="115" s="1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 s="1"/>
  <c r="L61" i="115"/>
  <c r="K61" i="115"/>
  <c r="J61" i="115" s="1"/>
  <c r="L60" i="115"/>
  <c r="K60" i="115"/>
  <c r="J60" i="115"/>
  <c r="L59" i="115"/>
  <c r="K59" i="115"/>
  <c r="J59" i="115"/>
  <c r="L58" i="115"/>
  <c r="K58" i="115"/>
  <c r="J58" i="115" s="1"/>
  <c r="L41" i="115"/>
  <c r="K41" i="115"/>
  <c r="J41" i="115"/>
  <c r="L57" i="115"/>
  <c r="K57" i="115"/>
  <c r="J57" i="115"/>
  <c r="L56" i="115"/>
  <c r="K56" i="115"/>
  <c r="J56" i="115" s="1"/>
  <c r="L55" i="115"/>
  <c r="K55" i="115"/>
  <c r="J55" i="115"/>
  <c r="L54" i="115"/>
  <c r="K54" i="115"/>
  <c r="J54" i="115"/>
  <c r="L53" i="115"/>
  <c r="K53" i="115"/>
  <c r="J53" i="115"/>
  <c r="L52" i="115"/>
  <c r="K52" i="115"/>
  <c r="J52" i="115"/>
  <c r="L51" i="115"/>
  <c r="K51" i="115"/>
  <c r="J51" i="115" s="1"/>
  <c r="L50" i="115"/>
  <c r="K50" i="115"/>
  <c r="J50" i="115" s="1"/>
  <c r="L49" i="115"/>
  <c r="K49" i="115"/>
  <c r="J49" i="115"/>
  <c r="L48" i="115"/>
  <c r="K48" i="115"/>
  <c r="J48" i="115"/>
  <c r="L47" i="115"/>
  <c r="K47" i="115"/>
  <c r="J47" i="115" s="1"/>
  <c r="L46" i="115"/>
  <c r="K46" i="115"/>
  <c r="J46" i="115" s="1"/>
  <c r="L45" i="115"/>
  <c r="K45" i="115"/>
  <c r="J45" i="115"/>
  <c r="L44" i="115"/>
  <c r="K44" i="115"/>
  <c r="J44" i="115" s="1"/>
  <c r="L43" i="115"/>
  <c r="K43" i="115"/>
  <c r="J43" i="115" s="1"/>
  <c r="L42" i="115"/>
  <c r="K42" i="115"/>
  <c r="J42" i="115"/>
  <c r="L40" i="115"/>
  <c r="K40" i="115"/>
  <c r="J40" i="115"/>
  <c r="L39" i="115"/>
  <c r="K39" i="115"/>
  <c r="J39" i="115" s="1"/>
  <c r="L38" i="115"/>
  <c r="L17" i="115" s="1"/>
  <c r="L19" i="115" s="1"/>
  <c r="J25" i="64" s="1"/>
  <c r="K38" i="115"/>
  <c r="J38" i="115" s="1"/>
  <c r="L37" i="115"/>
  <c r="K37" i="115"/>
  <c r="J37" i="115" s="1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1" i="115"/>
  <c r="K31" i="115"/>
  <c r="J31" i="115" s="1"/>
  <c r="L30" i="115"/>
  <c r="K30" i="115"/>
  <c r="J30" i="115" s="1"/>
  <c r="L29" i="115"/>
  <c r="K29" i="115"/>
  <c r="J29" i="115"/>
  <c r="L28" i="115"/>
  <c r="K28" i="115"/>
  <c r="J28" i="115"/>
  <c r="L27" i="115"/>
  <c r="K27" i="115"/>
  <c r="J27" i="115" s="1"/>
  <c r="L26" i="115"/>
  <c r="K26" i="115"/>
  <c r="J26" i="115"/>
  <c r="L25" i="115"/>
  <c r="K25" i="115"/>
  <c r="J25" i="115" s="1"/>
  <c r="L251" i="116"/>
  <c r="K251" i="116"/>
  <c r="J251" i="116"/>
  <c r="L250" i="116"/>
  <c r="K250" i="116"/>
  <c r="L249" i="116"/>
  <c r="K249" i="116"/>
  <c r="J249" i="116" s="1"/>
  <c r="L248" i="116"/>
  <c r="K248" i="116"/>
  <c r="J248" i="116" s="1"/>
  <c r="L247" i="116"/>
  <c r="K247" i="116"/>
  <c r="J247" i="116"/>
  <c r="L246" i="116"/>
  <c r="K246" i="116"/>
  <c r="J246" i="116"/>
  <c r="L245" i="116"/>
  <c r="K245" i="116"/>
  <c r="J245" i="116" s="1"/>
  <c r="L244" i="116"/>
  <c r="K244" i="116"/>
  <c r="J244" i="116" s="1"/>
  <c r="L243" i="116"/>
  <c r="K243" i="116"/>
  <c r="L242" i="116"/>
  <c r="K242" i="116"/>
  <c r="L241" i="116"/>
  <c r="J241" i="116" s="1"/>
  <c r="K241" i="116"/>
  <c r="L240" i="116"/>
  <c r="K240" i="116"/>
  <c r="J240" i="116"/>
  <c r="L239" i="116"/>
  <c r="K239" i="116"/>
  <c r="J239" i="116" s="1"/>
  <c r="L238" i="116"/>
  <c r="K238" i="116"/>
  <c r="J238" i="116" s="1"/>
  <c r="L237" i="116"/>
  <c r="K237" i="116"/>
  <c r="J237" i="116" s="1"/>
  <c r="L236" i="116"/>
  <c r="K236" i="116"/>
  <c r="J236" i="116"/>
  <c r="L235" i="116"/>
  <c r="J235" i="116" s="1"/>
  <c r="K235" i="116"/>
  <c r="L234" i="116"/>
  <c r="K234" i="116"/>
  <c r="J234" i="116" s="1"/>
  <c r="L233" i="116"/>
  <c r="K233" i="116"/>
  <c r="J233" i="116" s="1"/>
  <c r="L232" i="116"/>
  <c r="K232" i="116"/>
  <c r="J232" i="116" s="1"/>
  <c r="L231" i="116"/>
  <c r="K231" i="116"/>
  <c r="J231" i="116"/>
  <c r="L230" i="116"/>
  <c r="K230" i="116"/>
  <c r="J230" i="116" s="1"/>
  <c r="L229" i="116"/>
  <c r="K229" i="116"/>
  <c r="J229" i="116" s="1"/>
  <c r="L228" i="116"/>
  <c r="K228" i="116"/>
  <c r="L227" i="116"/>
  <c r="K227" i="116"/>
  <c r="J227" i="116" s="1"/>
  <c r="L226" i="116"/>
  <c r="K226" i="116"/>
  <c r="J226" i="116"/>
  <c r="L225" i="116"/>
  <c r="K225" i="116"/>
  <c r="J225" i="116"/>
  <c r="L224" i="116"/>
  <c r="K224" i="116"/>
  <c r="J224" i="116" s="1"/>
  <c r="L223" i="116"/>
  <c r="K223" i="116"/>
  <c r="J223" i="116" s="1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L217" i="116"/>
  <c r="K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 s="1"/>
  <c r="L211" i="116"/>
  <c r="K211" i="116"/>
  <c r="L210" i="116"/>
  <c r="K210" i="116"/>
  <c r="J210" i="116"/>
  <c r="L209" i="116"/>
  <c r="J209" i="116" s="1"/>
  <c r="K209" i="116"/>
  <c r="L208" i="116"/>
  <c r="K208" i="116"/>
  <c r="J208" i="116"/>
  <c r="L207" i="116"/>
  <c r="K207" i="116"/>
  <c r="J207" i="116" s="1"/>
  <c r="L206" i="116"/>
  <c r="K206" i="116"/>
  <c r="J206" i="116" s="1"/>
  <c r="L205" i="116"/>
  <c r="K205" i="116"/>
  <c r="J205" i="116" s="1"/>
  <c r="L204" i="116"/>
  <c r="K204" i="116"/>
  <c r="J204" i="116" s="1"/>
  <c r="L203" i="116"/>
  <c r="K203" i="116"/>
  <c r="J203" i="116" s="1"/>
  <c r="L202" i="116"/>
  <c r="K202" i="116"/>
  <c r="J202" i="116"/>
  <c r="L201" i="116"/>
  <c r="K201" i="116"/>
  <c r="L200" i="116"/>
  <c r="K200" i="116"/>
  <c r="J200" i="116" s="1"/>
  <c r="L199" i="116"/>
  <c r="K199" i="116"/>
  <c r="J199" i="116"/>
  <c r="L198" i="116"/>
  <c r="K198" i="116"/>
  <c r="J198" i="116" s="1"/>
  <c r="L197" i="116"/>
  <c r="K197" i="116"/>
  <c r="J197" i="116" s="1"/>
  <c r="L196" i="116"/>
  <c r="K196" i="116"/>
  <c r="J196" i="116" s="1"/>
  <c r="L195" i="116"/>
  <c r="K195" i="116"/>
  <c r="J195" i="116"/>
  <c r="L194" i="116"/>
  <c r="K194" i="116"/>
  <c r="J194" i="116"/>
  <c r="L193" i="116"/>
  <c r="K193" i="116"/>
  <c r="J193" i="116" s="1"/>
  <c r="L192" i="116"/>
  <c r="K192" i="116"/>
  <c r="J192" i="116"/>
  <c r="L191" i="116"/>
  <c r="K191" i="116"/>
  <c r="L190" i="116"/>
  <c r="K190" i="116"/>
  <c r="J190" i="116" s="1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 s="1"/>
  <c r="L185" i="116"/>
  <c r="K185" i="116"/>
  <c r="J185" i="116" s="1"/>
  <c r="L184" i="116"/>
  <c r="K184" i="116"/>
  <c r="J184" i="116" s="1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 s="1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 s="1"/>
  <c r="L174" i="116"/>
  <c r="K174" i="116"/>
  <c r="J174" i="116" s="1"/>
  <c r="L173" i="116"/>
  <c r="K173" i="116"/>
  <c r="J173" i="116" s="1"/>
  <c r="L172" i="116"/>
  <c r="J172" i="116" s="1"/>
  <c r="K172" i="116"/>
  <c r="L171" i="116"/>
  <c r="K171" i="116"/>
  <c r="J171" i="116"/>
  <c r="L170" i="116"/>
  <c r="K170" i="116"/>
  <c r="J170" i="116"/>
  <c r="L169" i="116"/>
  <c r="K169" i="116"/>
  <c r="L168" i="116"/>
  <c r="K168" i="116"/>
  <c r="L167" i="116"/>
  <c r="K167" i="116"/>
  <c r="J167" i="116"/>
  <c r="L166" i="116"/>
  <c r="J166" i="116" s="1"/>
  <c r="K166" i="116"/>
  <c r="L165" i="116"/>
  <c r="K165" i="116"/>
  <c r="J165" i="116"/>
  <c r="L164" i="116"/>
  <c r="K164" i="116"/>
  <c r="J164" i="116" s="1"/>
  <c r="L163" i="116"/>
  <c r="K163" i="116"/>
  <c r="J163" i="116" s="1"/>
  <c r="L162" i="116"/>
  <c r="K162" i="116"/>
  <c r="J162" i="116" s="1"/>
  <c r="L161" i="116"/>
  <c r="K161" i="116"/>
  <c r="J161" i="116" s="1"/>
  <c r="L160" i="116"/>
  <c r="K160" i="116"/>
  <c r="J160" i="116" s="1"/>
  <c r="L159" i="116"/>
  <c r="K159" i="116"/>
  <c r="J159" i="116"/>
  <c r="L158" i="116"/>
  <c r="K158" i="116"/>
  <c r="L157" i="116"/>
  <c r="K157" i="116"/>
  <c r="J157" i="116" s="1"/>
  <c r="L156" i="116"/>
  <c r="K156" i="116"/>
  <c r="J156" i="116"/>
  <c r="L155" i="116"/>
  <c r="K155" i="116"/>
  <c r="J155" i="116" s="1"/>
  <c r="L154" i="116"/>
  <c r="K154" i="116"/>
  <c r="J154" i="116" s="1"/>
  <c r="L153" i="116"/>
  <c r="K153" i="116"/>
  <c r="J153" i="116" s="1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 s="1"/>
  <c r="L148" i="116"/>
  <c r="K148" i="116"/>
  <c r="J148" i="116" s="1"/>
  <c r="L147" i="116"/>
  <c r="K147" i="116"/>
  <c r="J147" i="116" s="1"/>
  <c r="L146" i="116"/>
  <c r="K146" i="116"/>
  <c r="J146" i="116" s="1"/>
  <c r="L145" i="116"/>
  <c r="K145" i="116"/>
  <c r="J145" i="116"/>
  <c r="L144" i="116"/>
  <c r="K144" i="116"/>
  <c r="J144" i="116"/>
  <c r="L143" i="116"/>
  <c r="J143" i="116" s="1"/>
  <c r="K143" i="116"/>
  <c r="L142" i="116"/>
  <c r="K142" i="116"/>
  <c r="J142" i="116" s="1"/>
  <c r="L141" i="116"/>
  <c r="J141" i="116" s="1"/>
  <c r="K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 s="1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 s="1"/>
  <c r="L125" i="116"/>
  <c r="K125" i="116"/>
  <c r="J125" i="116" s="1"/>
  <c r="L124" i="116"/>
  <c r="K124" i="116"/>
  <c r="J124" i="116" s="1"/>
  <c r="L123" i="116"/>
  <c r="K123" i="116"/>
  <c r="J123" i="116" s="1"/>
  <c r="L122" i="116"/>
  <c r="K122" i="116"/>
  <c r="J122" i="116"/>
  <c r="L121" i="116"/>
  <c r="K121" i="116"/>
  <c r="J121" i="116" s="1"/>
  <c r="L120" i="116"/>
  <c r="K120" i="116"/>
  <c r="J120" i="116" s="1"/>
  <c r="L119" i="116"/>
  <c r="K119" i="116"/>
  <c r="J119" i="116" s="1"/>
  <c r="L118" i="116"/>
  <c r="J118" i="116" s="1"/>
  <c r="K118" i="116"/>
  <c r="L117" i="116"/>
  <c r="K117" i="116"/>
  <c r="J117" i="116"/>
  <c r="L116" i="116"/>
  <c r="K116" i="116"/>
  <c r="J116" i="116"/>
  <c r="L115" i="116"/>
  <c r="K115" i="116"/>
  <c r="J115" i="116" s="1"/>
  <c r="L114" i="116"/>
  <c r="K114" i="116"/>
  <c r="J114" i="116" s="1"/>
  <c r="L113" i="116"/>
  <c r="K113" i="116"/>
  <c r="J113" i="116"/>
  <c r="L112" i="116"/>
  <c r="J112" i="116" s="1"/>
  <c r="K112" i="116"/>
  <c r="L111" i="116"/>
  <c r="K111" i="116"/>
  <c r="J111" i="116"/>
  <c r="L110" i="116"/>
  <c r="K110" i="116"/>
  <c r="J110" i="116" s="1"/>
  <c r="L109" i="116"/>
  <c r="K109" i="116"/>
  <c r="J109" i="116" s="1"/>
  <c r="L108" i="116"/>
  <c r="K108" i="116"/>
  <c r="J108" i="116" s="1"/>
  <c r="L107" i="116"/>
  <c r="K107" i="116"/>
  <c r="J107" i="116"/>
  <c r="L106" i="116"/>
  <c r="K106" i="116"/>
  <c r="J106" i="116" s="1"/>
  <c r="L105" i="116"/>
  <c r="K105" i="116"/>
  <c r="J105" i="116"/>
  <c r="L104" i="116"/>
  <c r="K104" i="116"/>
  <c r="L103" i="116"/>
  <c r="K103" i="116"/>
  <c r="L102" i="116"/>
  <c r="K102" i="116"/>
  <c r="J102" i="116"/>
  <c r="L101" i="116"/>
  <c r="K101" i="116"/>
  <c r="J101" i="116"/>
  <c r="L100" i="116"/>
  <c r="K100" i="116"/>
  <c r="J100" i="116" s="1"/>
  <c r="L99" i="116"/>
  <c r="K99" i="116"/>
  <c r="J99" i="116" s="1"/>
  <c r="L98" i="116"/>
  <c r="K98" i="116"/>
  <c r="J98" i="116" s="1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 s="1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 s="1"/>
  <c r="L87" i="116"/>
  <c r="K87" i="116"/>
  <c r="J87" i="116" s="1"/>
  <c r="L86" i="116"/>
  <c r="K86" i="116"/>
  <c r="J86" i="116" s="1"/>
  <c r="L85" i="116"/>
  <c r="K85" i="116"/>
  <c r="L84" i="116"/>
  <c r="K84" i="116"/>
  <c r="J84" i="116" s="1"/>
  <c r="L83" i="116"/>
  <c r="K83" i="116"/>
  <c r="J83" i="116" s="1"/>
  <c r="L82" i="116"/>
  <c r="K82" i="116"/>
  <c r="J82" i="116" s="1"/>
  <c r="L81" i="116"/>
  <c r="K81" i="116"/>
  <c r="J81" i="116" s="1"/>
  <c r="L80" i="116"/>
  <c r="K80" i="116"/>
  <c r="J80" i="116" s="1"/>
  <c r="L79" i="116"/>
  <c r="K79" i="116"/>
  <c r="J79" i="116" s="1"/>
  <c r="L78" i="116"/>
  <c r="K78" i="116"/>
  <c r="J78" i="116"/>
  <c r="L77" i="116"/>
  <c r="K77" i="116"/>
  <c r="J77" i="116" s="1"/>
  <c r="L76" i="116"/>
  <c r="K76" i="116"/>
  <c r="J76" i="116" s="1"/>
  <c r="L75" i="116"/>
  <c r="K75" i="116"/>
  <c r="L74" i="116"/>
  <c r="K74" i="116"/>
  <c r="J74" i="116" s="1"/>
  <c r="L73" i="116"/>
  <c r="K73" i="116"/>
  <c r="J73" i="116"/>
  <c r="L72" i="116"/>
  <c r="K72" i="116"/>
  <c r="J72" i="116" s="1"/>
  <c r="L71" i="116"/>
  <c r="K71" i="116"/>
  <c r="J71" i="116" s="1"/>
  <c r="L70" i="116"/>
  <c r="K70" i="116"/>
  <c r="L69" i="116"/>
  <c r="K69" i="116"/>
  <c r="L68" i="116"/>
  <c r="K68" i="116"/>
  <c r="J68" i="116"/>
  <c r="L67" i="116"/>
  <c r="K67" i="116"/>
  <c r="L66" i="116"/>
  <c r="K66" i="116"/>
  <c r="J66" i="116" s="1"/>
  <c r="L65" i="116"/>
  <c r="K65" i="116"/>
  <c r="J65" i="116" s="1"/>
  <c r="L64" i="116"/>
  <c r="K64" i="116"/>
  <c r="L63" i="116"/>
  <c r="K63" i="116"/>
  <c r="J63" i="116" s="1"/>
  <c r="L62" i="116"/>
  <c r="K62" i="116"/>
  <c r="J62" i="116" s="1"/>
  <c r="L61" i="116"/>
  <c r="K61" i="116"/>
  <c r="J61" i="116" s="1"/>
  <c r="L60" i="116"/>
  <c r="K60" i="116"/>
  <c r="J60" i="116"/>
  <c r="L59" i="116"/>
  <c r="K59" i="116"/>
  <c r="J59" i="116" s="1"/>
  <c r="L58" i="116"/>
  <c r="K58" i="116"/>
  <c r="J58" i="116" s="1"/>
  <c r="L57" i="116"/>
  <c r="K57" i="116"/>
  <c r="J57" i="116" s="1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 s="1"/>
  <c r="L52" i="116"/>
  <c r="K52" i="116"/>
  <c r="J52" i="116" s="1"/>
  <c r="L51" i="116"/>
  <c r="K51" i="116"/>
  <c r="L50" i="116"/>
  <c r="K50" i="116"/>
  <c r="J50" i="116" s="1"/>
  <c r="L49" i="116"/>
  <c r="K49" i="116"/>
  <c r="J49" i="116" s="1"/>
  <c r="L48" i="116"/>
  <c r="K48" i="116"/>
  <c r="J48" i="116" s="1"/>
  <c r="L47" i="116"/>
  <c r="K47" i="116"/>
  <c r="J47" i="116" s="1"/>
  <c r="L46" i="116"/>
  <c r="K46" i="116"/>
  <c r="L45" i="116"/>
  <c r="K45" i="116"/>
  <c r="J45" i="116" s="1"/>
  <c r="L44" i="116"/>
  <c r="K44" i="116"/>
  <c r="J44" i="116" s="1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L39" i="116"/>
  <c r="K39" i="116"/>
  <c r="L38" i="116"/>
  <c r="K38" i="116"/>
  <c r="J38" i="116" s="1"/>
  <c r="L37" i="116"/>
  <c r="K37" i="116"/>
  <c r="L36" i="116"/>
  <c r="K36" i="116"/>
  <c r="J36" i="116"/>
  <c r="L35" i="116"/>
  <c r="K35" i="116"/>
  <c r="J35" i="116" s="1"/>
  <c r="L34" i="116"/>
  <c r="K34" i="116"/>
  <c r="J34" i="116" s="1"/>
  <c r="L33" i="116"/>
  <c r="K33" i="116"/>
  <c r="J33" i="116" s="1"/>
  <c r="L32" i="116"/>
  <c r="K32" i="116"/>
  <c r="L31" i="116"/>
  <c r="K31" i="116"/>
  <c r="L30" i="116"/>
  <c r="K30" i="116"/>
  <c r="J30" i="116" s="1"/>
  <c r="L29" i="116"/>
  <c r="K29" i="116"/>
  <c r="J29" i="116" s="1"/>
  <c r="L28" i="116"/>
  <c r="K28" i="116"/>
  <c r="J28" i="116"/>
  <c r="L27" i="116"/>
  <c r="K27" i="116"/>
  <c r="J27" i="116" s="1"/>
  <c r="L26" i="116"/>
  <c r="K26" i="116"/>
  <c r="J26" i="116" s="1"/>
  <c r="L25" i="116"/>
  <c r="K25" i="116"/>
  <c r="J25" i="116" s="1"/>
  <c r="L252" i="117"/>
  <c r="K252" i="117"/>
  <c r="J252" i="117" s="1"/>
  <c r="L251" i="117"/>
  <c r="K251" i="117"/>
  <c r="J251" i="117"/>
  <c r="L250" i="117"/>
  <c r="K250" i="117"/>
  <c r="J250" i="117"/>
  <c r="L249" i="117"/>
  <c r="K249" i="117"/>
  <c r="L248" i="117"/>
  <c r="K248" i="117"/>
  <c r="J248" i="117"/>
  <c r="L247" i="117"/>
  <c r="K247" i="117"/>
  <c r="J247" i="117" s="1"/>
  <c r="L246" i="117"/>
  <c r="K246" i="117"/>
  <c r="L245" i="117"/>
  <c r="K245" i="117"/>
  <c r="J245" i="117"/>
  <c r="L244" i="117"/>
  <c r="K244" i="117"/>
  <c r="J244" i="117" s="1"/>
  <c r="L243" i="117"/>
  <c r="K243" i="117"/>
  <c r="J243" i="117"/>
  <c r="L242" i="117"/>
  <c r="K242" i="117"/>
  <c r="J242" i="117" s="1"/>
  <c r="L241" i="117"/>
  <c r="K241" i="117"/>
  <c r="J241" i="117" s="1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 s="1"/>
  <c r="L236" i="117"/>
  <c r="J236" i="117" s="1"/>
  <c r="K236" i="117"/>
  <c r="L235" i="117"/>
  <c r="K235" i="117"/>
  <c r="J235" i="117"/>
  <c r="L234" i="117"/>
  <c r="K234" i="117"/>
  <c r="J234" i="117"/>
  <c r="L233" i="117"/>
  <c r="K233" i="117"/>
  <c r="L232" i="117"/>
  <c r="K232" i="117"/>
  <c r="J232" i="117" s="1"/>
  <c r="L231" i="117"/>
  <c r="K231" i="117"/>
  <c r="J231" i="117" s="1"/>
  <c r="L230" i="117"/>
  <c r="K230" i="117"/>
  <c r="J230" i="117" s="1"/>
  <c r="L229" i="117"/>
  <c r="K229" i="117"/>
  <c r="J229" i="117" s="1"/>
  <c r="L228" i="117"/>
  <c r="K228" i="117"/>
  <c r="J228" i="117"/>
  <c r="L227" i="117"/>
  <c r="K227" i="117"/>
  <c r="J227" i="117" s="1"/>
  <c r="L226" i="117"/>
  <c r="K226" i="117"/>
  <c r="J226" i="117"/>
  <c r="L225" i="117"/>
  <c r="K225" i="117"/>
  <c r="J225" i="117"/>
  <c r="L224" i="117"/>
  <c r="K224" i="117"/>
  <c r="J224" i="117" s="1"/>
  <c r="L223" i="117"/>
  <c r="K223" i="117"/>
  <c r="J223" i="117"/>
  <c r="L222" i="117"/>
  <c r="K222" i="117"/>
  <c r="L221" i="117"/>
  <c r="K221" i="117"/>
  <c r="J221" i="117" s="1"/>
  <c r="L220" i="117"/>
  <c r="K220" i="117"/>
  <c r="J220" i="117"/>
  <c r="L219" i="117"/>
  <c r="K219" i="117"/>
  <c r="L218" i="117"/>
  <c r="K218" i="117"/>
  <c r="J218" i="117" s="1"/>
  <c r="L217" i="117"/>
  <c r="K217" i="117"/>
  <c r="L216" i="117"/>
  <c r="K216" i="117"/>
  <c r="J216" i="117"/>
  <c r="L215" i="117"/>
  <c r="K215" i="117"/>
  <c r="J215" i="117" s="1"/>
  <c r="L214" i="117"/>
  <c r="K214" i="117"/>
  <c r="J214" i="117"/>
  <c r="L213" i="117"/>
  <c r="K213" i="117"/>
  <c r="J213" i="117"/>
  <c r="L212" i="117"/>
  <c r="K212" i="117"/>
  <c r="J212" i="117" s="1"/>
  <c r="L211" i="117"/>
  <c r="K211" i="117"/>
  <c r="L210" i="117"/>
  <c r="K210" i="117"/>
  <c r="L209" i="117"/>
  <c r="K209" i="117"/>
  <c r="J209" i="117"/>
  <c r="L208" i="117"/>
  <c r="K208" i="117"/>
  <c r="L207" i="117"/>
  <c r="K207" i="117"/>
  <c r="J207" i="117"/>
  <c r="L206" i="117"/>
  <c r="K206" i="117"/>
  <c r="J206" i="117" s="1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L199" i="117"/>
  <c r="K199" i="117"/>
  <c r="J199" i="117" s="1"/>
  <c r="L198" i="117"/>
  <c r="K198" i="117"/>
  <c r="J198" i="117" s="1"/>
  <c r="L197" i="117"/>
  <c r="K197" i="117"/>
  <c r="L196" i="117"/>
  <c r="K196" i="117"/>
  <c r="J196" i="117"/>
  <c r="L195" i="117"/>
  <c r="K195" i="117"/>
  <c r="J195" i="117" s="1"/>
  <c r="L194" i="117"/>
  <c r="K194" i="117"/>
  <c r="J194" i="117"/>
  <c r="L193" i="117"/>
  <c r="K193" i="117"/>
  <c r="J193" i="117" s="1"/>
  <c r="L192" i="117"/>
  <c r="K192" i="117"/>
  <c r="J192" i="117" s="1"/>
  <c r="L191" i="117"/>
  <c r="K191" i="117"/>
  <c r="J191" i="117" s="1"/>
  <c r="L190" i="117"/>
  <c r="K190" i="117"/>
  <c r="J190" i="117"/>
  <c r="L189" i="117"/>
  <c r="K189" i="117"/>
  <c r="J189" i="117" s="1"/>
  <c r="L188" i="117"/>
  <c r="K188" i="117"/>
  <c r="J188" i="117" s="1"/>
  <c r="L187" i="117"/>
  <c r="K187" i="117"/>
  <c r="J187" i="117" s="1"/>
  <c r="L186" i="117"/>
  <c r="K186" i="117"/>
  <c r="L185" i="117"/>
  <c r="K185" i="117"/>
  <c r="J185" i="117"/>
  <c r="L184" i="117"/>
  <c r="K184" i="117"/>
  <c r="L183" i="117"/>
  <c r="K183" i="117"/>
  <c r="J183" i="117"/>
  <c r="L182" i="117"/>
  <c r="K182" i="117"/>
  <c r="J182" i="117"/>
  <c r="L181" i="117"/>
  <c r="K181" i="117"/>
  <c r="J181" i="117" s="1"/>
  <c r="L180" i="117"/>
  <c r="K180" i="117"/>
  <c r="J180" i="117" s="1"/>
  <c r="L179" i="117"/>
  <c r="K179" i="117"/>
  <c r="J179" i="117"/>
  <c r="L178" i="117"/>
  <c r="K178" i="117"/>
  <c r="J178" i="117" s="1"/>
  <c r="L177" i="117"/>
  <c r="K177" i="117"/>
  <c r="J177" i="117"/>
  <c r="L176" i="117"/>
  <c r="K176" i="117"/>
  <c r="J176" i="117"/>
  <c r="L175" i="117"/>
  <c r="K175" i="117"/>
  <c r="L174" i="117"/>
  <c r="K174" i="117"/>
  <c r="J174" i="117"/>
  <c r="L173" i="117"/>
  <c r="K173" i="117"/>
  <c r="L172" i="117"/>
  <c r="K172" i="117"/>
  <c r="L171" i="117"/>
  <c r="K171" i="117"/>
  <c r="J171" i="117"/>
  <c r="L170" i="117"/>
  <c r="K170" i="117"/>
  <c r="L169" i="117"/>
  <c r="K169" i="117"/>
  <c r="J169" i="117" s="1"/>
  <c r="L168" i="117"/>
  <c r="K168" i="117"/>
  <c r="L167" i="117"/>
  <c r="K167" i="117"/>
  <c r="J167" i="117"/>
  <c r="L166" i="117"/>
  <c r="K166" i="117"/>
  <c r="J166" i="117"/>
  <c r="L165" i="117"/>
  <c r="K165" i="117"/>
  <c r="J165" i="117" s="1"/>
  <c r="L164" i="117"/>
  <c r="K164" i="117"/>
  <c r="J164" i="117"/>
  <c r="L163" i="117"/>
  <c r="K163" i="117"/>
  <c r="J163" i="117" s="1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 s="1"/>
  <c r="L158" i="117"/>
  <c r="K158" i="117"/>
  <c r="J158" i="117"/>
  <c r="L157" i="117"/>
  <c r="K157" i="117"/>
  <c r="L156" i="117"/>
  <c r="K156" i="117"/>
  <c r="J156" i="117" s="1"/>
  <c r="L155" i="117"/>
  <c r="K155" i="117"/>
  <c r="J155" i="117"/>
  <c r="L154" i="117"/>
  <c r="K154" i="117"/>
  <c r="L153" i="117"/>
  <c r="K153" i="117"/>
  <c r="J153" i="117" s="1"/>
  <c r="L152" i="117"/>
  <c r="K152" i="117"/>
  <c r="J152" i="117" s="1"/>
  <c r="L151" i="117"/>
  <c r="K151" i="117"/>
  <c r="J151" i="117" s="1"/>
  <c r="L150" i="117"/>
  <c r="K150" i="117"/>
  <c r="J150" i="117"/>
  <c r="L149" i="117"/>
  <c r="K149" i="117"/>
  <c r="J149" i="117" s="1"/>
  <c r="L148" i="117"/>
  <c r="K148" i="117"/>
  <c r="J148" i="117"/>
  <c r="L147" i="117"/>
  <c r="K147" i="117"/>
  <c r="J147" i="117" s="1"/>
  <c r="L146" i="117"/>
  <c r="K146" i="117"/>
  <c r="J146" i="117" s="1"/>
  <c r="L145" i="117"/>
  <c r="K145" i="117"/>
  <c r="J145" i="117" s="1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 s="1"/>
  <c r="L140" i="117"/>
  <c r="K140" i="117"/>
  <c r="L139" i="117"/>
  <c r="K139" i="117"/>
  <c r="J139" i="117" s="1"/>
  <c r="L138" i="117"/>
  <c r="K138" i="117"/>
  <c r="L137" i="117"/>
  <c r="K137" i="117"/>
  <c r="J137" i="117"/>
  <c r="L136" i="117"/>
  <c r="K136" i="117"/>
  <c r="J136" i="117" s="1"/>
  <c r="L135" i="117"/>
  <c r="K135" i="117"/>
  <c r="J135" i="117" s="1"/>
  <c r="L134" i="117"/>
  <c r="K134" i="117"/>
  <c r="J134" i="117"/>
  <c r="L133" i="117"/>
  <c r="K133" i="117"/>
  <c r="J133" i="117" s="1"/>
  <c r="L132" i="117"/>
  <c r="K132" i="117"/>
  <c r="J132" i="117" s="1"/>
  <c r="L131" i="117"/>
  <c r="K131" i="117"/>
  <c r="J131" i="117"/>
  <c r="L130" i="117"/>
  <c r="K130" i="117"/>
  <c r="J130" i="117" s="1"/>
  <c r="L129" i="117"/>
  <c r="K129" i="117"/>
  <c r="J129" i="117" s="1"/>
  <c r="L128" i="117"/>
  <c r="K128" i="117"/>
  <c r="J128" i="117"/>
  <c r="L127" i="117"/>
  <c r="K127" i="117"/>
  <c r="L126" i="117"/>
  <c r="K126" i="117"/>
  <c r="J126" i="117" s="1"/>
  <c r="L125" i="117"/>
  <c r="K125" i="117"/>
  <c r="J125" i="117" s="1"/>
  <c r="L124" i="117"/>
  <c r="K124" i="117"/>
  <c r="J124" i="117"/>
  <c r="L123" i="117"/>
  <c r="K123" i="117"/>
  <c r="J123" i="117"/>
  <c r="L122" i="117"/>
  <c r="K122" i="117"/>
  <c r="J122" i="117" s="1"/>
  <c r="L121" i="117"/>
  <c r="K121" i="117"/>
  <c r="J121" i="117"/>
  <c r="L120" i="117"/>
  <c r="K120" i="117"/>
  <c r="L119" i="117"/>
  <c r="K119" i="117"/>
  <c r="J119" i="117" s="1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 s="1"/>
  <c r="L113" i="117"/>
  <c r="K113" i="117"/>
  <c r="J113" i="117" s="1"/>
  <c r="L112" i="117"/>
  <c r="K112" i="117"/>
  <c r="J112" i="117"/>
  <c r="L111" i="117"/>
  <c r="K111" i="117"/>
  <c r="L110" i="117"/>
  <c r="K110" i="117"/>
  <c r="J110" i="117"/>
  <c r="L109" i="117"/>
  <c r="K109" i="117"/>
  <c r="J109" i="117" s="1"/>
  <c r="L108" i="117"/>
  <c r="K108" i="117"/>
  <c r="J108" i="117" s="1"/>
  <c r="L107" i="117"/>
  <c r="K107" i="117"/>
  <c r="J107" i="117" s="1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 s="1"/>
  <c r="L102" i="117"/>
  <c r="K102" i="117"/>
  <c r="J102" i="117" s="1"/>
  <c r="L101" i="117"/>
  <c r="K101" i="117"/>
  <c r="L100" i="117"/>
  <c r="K100" i="117"/>
  <c r="L99" i="117"/>
  <c r="K99" i="117"/>
  <c r="J99" i="117"/>
  <c r="L98" i="117"/>
  <c r="K98" i="117"/>
  <c r="J98" i="117" s="1"/>
  <c r="L97" i="117"/>
  <c r="K97" i="117"/>
  <c r="J97" i="117"/>
  <c r="L96" i="117"/>
  <c r="K96" i="117"/>
  <c r="J96" i="117"/>
  <c r="L95" i="117"/>
  <c r="K95" i="117"/>
  <c r="L94" i="117"/>
  <c r="K94" i="117"/>
  <c r="J94" i="117" s="1"/>
  <c r="L93" i="117"/>
  <c r="K93" i="117"/>
  <c r="J93" i="117"/>
  <c r="L92" i="117"/>
  <c r="K92" i="117"/>
  <c r="L91" i="117"/>
  <c r="K91" i="117"/>
  <c r="J91" i="117" s="1"/>
  <c r="L90" i="117"/>
  <c r="K90" i="117"/>
  <c r="J90" i="117"/>
  <c r="L89" i="117"/>
  <c r="K89" i="117"/>
  <c r="L88" i="117"/>
  <c r="K88" i="117"/>
  <c r="L87" i="117"/>
  <c r="K87" i="117"/>
  <c r="J87" i="117" s="1"/>
  <c r="L86" i="117"/>
  <c r="K86" i="117"/>
  <c r="J86" i="117"/>
  <c r="L85" i="117"/>
  <c r="K85" i="117"/>
  <c r="J85" i="117"/>
  <c r="L84" i="117"/>
  <c r="K84" i="117"/>
  <c r="J84" i="117" s="1"/>
  <c r="L83" i="117"/>
  <c r="K83" i="117"/>
  <c r="J83" i="117" s="1"/>
  <c r="L82" i="117"/>
  <c r="K82" i="117"/>
  <c r="J82" i="117" s="1"/>
  <c r="L81" i="117"/>
  <c r="K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 s="1"/>
  <c r="L76" i="117"/>
  <c r="K76" i="117"/>
  <c r="L75" i="117"/>
  <c r="K75" i="117"/>
  <c r="J75" i="117" s="1"/>
  <c r="L74" i="117"/>
  <c r="K74" i="117"/>
  <c r="J74" i="117" s="1"/>
  <c r="L73" i="117"/>
  <c r="K73" i="117"/>
  <c r="J73" i="117" s="1"/>
  <c r="L72" i="117"/>
  <c r="K72" i="117"/>
  <c r="J72" i="117"/>
  <c r="L71" i="117"/>
  <c r="K71" i="117"/>
  <c r="L70" i="117"/>
  <c r="K70" i="117"/>
  <c r="J70" i="117" s="1"/>
  <c r="L69" i="117"/>
  <c r="K69" i="117"/>
  <c r="L68" i="117"/>
  <c r="K68" i="117"/>
  <c r="J68" i="117" s="1"/>
  <c r="L67" i="117"/>
  <c r="K67" i="117"/>
  <c r="J67" i="117"/>
  <c r="L66" i="117"/>
  <c r="K66" i="117"/>
  <c r="J66" i="117"/>
  <c r="L65" i="117"/>
  <c r="K65" i="117"/>
  <c r="J65" i="117" s="1"/>
  <c r="L64" i="117"/>
  <c r="K64" i="117"/>
  <c r="J64" i="117" s="1"/>
  <c r="L63" i="117"/>
  <c r="K63" i="117"/>
  <c r="J63" i="117" s="1"/>
  <c r="L62" i="117"/>
  <c r="K62" i="117"/>
  <c r="L61" i="117"/>
  <c r="K61" i="117"/>
  <c r="J61" i="117" s="1"/>
  <c r="L60" i="117"/>
  <c r="K60" i="117"/>
  <c r="J60" i="117" s="1"/>
  <c r="L59" i="117"/>
  <c r="K59" i="117"/>
  <c r="J59" i="117" s="1"/>
  <c r="L58" i="117"/>
  <c r="K58" i="117"/>
  <c r="J58" i="117" s="1"/>
  <c r="L57" i="117"/>
  <c r="K57" i="117"/>
  <c r="J57" i="117" s="1"/>
  <c r="L56" i="117"/>
  <c r="K56" i="117"/>
  <c r="J56" i="117" s="1"/>
  <c r="L55" i="117"/>
  <c r="K55" i="117"/>
  <c r="J55" i="117" s="1"/>
  <c r="L54" i="117"/>
  <c r="K54" i="117"/>
  <c r="L53" i="117"/>
  <c r="K53" i="117"/>
  <c r="L52" i="117"/>
  <c r="K52" i="117"/>
  <c r="J52" i="117" s="1"/>
  <c r="L51" i="117"/>
  <c r="K51" i="117"/>
  <c r="J51" i="117" s="1"/>
  <c r="L50" i="117"/>
  <c r="K50" i="117"/>
  <c r="J50" i="117" s="1"/>
  <c r="L49" i="117"/>
  <c r="K49" i="117"/>
  <c r="J49" i="117" s="1"/>
  <c r="L48" i="117"/>
  <c r="K48" i="117"/>
  <c r="L47" i="117"/>
  <c r="K47" i="117"/>
  <c r="J47" i="117" s="1"/>
  <c r="L46" i="117"/>
  <c r="K46" i="117"/>
  <c r="L45" i="117"/>
  <c r="K45" i="117"/>
  <c r="L44" i="117"/>
  <c r="K44" i="117"/>
  <c r="L43" i="117"/>
  <c r="K43" i="117"/>
  <c r="L42" i="117"/>
  <c r="K42" i="117"/>
  <c r="J42" i="117" s="1"/>
  <c r="L41" i="117"/>
  <c r="K41" i="117"/>
  <c r="J41" i="117" s="1"/>
  <c r="L40" i="117"/>
  <c r="K40" i="117"/>
  <c r="J40" i="117" s="1"/>
  <c r="L39" i="117"/>
  <c r="K39" i="117"/>
  <c r="J39" i="117" s="1"/>
  <c r="L38" i="117"/>
  <c r="K38" i="117"/>
  <c r="J38" i="117" s="1"/>
  <c r="L37" i="117"/>
  <c r="K37" i="117"/>
  <c r="L35" i="117"/>
  <c r="K35" i="117"/>
  <c r="J35" i="117" s="1"/>
  <c r="L34" i="117"/>
  <c r="K34" i="117"/>
  <c r="L33" i="117"/>
  <c r="K33" i="117"/>
  <c r="J33" i="117" s="1"/>
  <c r="L32" i="117"/>
  <c r="K32" i="117"/>
  <c r="J32" i="117" s="1"/>
  <c r="L31" i="117"/>
  <c r="K31" i="117"/>
  <c r="J31" i="117" s="1"/>
  <c r="L30" i="117"/>
  <c r="K30" i="117"/>
  <c r="L29" i="117"/>
  <c r="K29" i="117"/>
  <c r="J29" i="117" s="1"/>
  <c r="L28" i="117"/>
  <c r="K28" i="117"/>
  <c r="L27" i="117"/>
  <c r="K27" i="117"/>
  <c r="J27" i="117" s="1"/>
  <c r="L26" i="117"/>
  <c r="K26" i="117"/>
  <c r="J26" i="117"/>
  <c r="L25" i="117"/>
  <c r="K25" i="117"/>
  <c r="J25" i="117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 s="1"/>
  <c r="L75" i="118"/>
  <c r="K75" i="118"/>
  <c r="J75" i="118"/>
  <c r="L74" i="118"/>
  <c r="K74" i="118"/>
  <c r="J74" i="118"/>
  <c r="L73" i="118"/>
  <c r="K73" i="118"/>
  <c r="J73" i="118"/>
  <c r="L72" i="118"/>
  <c r="K72" i="118"/>
  <c r="J72" i="118" s="1"/>
  <c r="L71" i="118"/>
  <c r="K71" i="118"/>
  <c r="J71" i="118" s="1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 s="1"/>
  <c r="L64" i="118"/>
  <c r="K64" i="118"/>
  <c r="L63" i="118"/>
  <c r="K63" i="118"/>
  <c r="J63" i="118"/>
  <c r="L62" i="118"/>
  <c r="K62" i="118"/>
  <c r="J62" i="118"/>
  <c r="L61" i="118"/>
  <c r="K61" i="118"/>
  <c r="J61" i="118" s="1"/>
  <c r="L60" i="118"/>
  <c r="K60" i="118"/>
  <c r="J60" i="118" s="1"/>
  <c r="L59" i="118"/>
  <c r="K59" i="118"/>
  <c r="J59" i="118" s="1"/>
  <c r="L58" i="118"/>
  <c r="K58" i="118"/>
  <c r="J58" i="118"/>
  <c r="L57" i="118"/>
  <c r="K57" i="118"/>
  <c r="J57" i="118"/>
  <c r="L56" i="118"/>
  <c r="K56" i="118"/>
  <c r="J56" i="118"/>
  <c r="L55" i="118"/>
  <c r="K55" i="118"/>
  <c r="J55" i="118" s="1"/>
  <c r="L54" i="118"/>
  <c r="K54" i="118"/>
  <c r="J54" i="118"/>
  <c r="L53" i="118"/>
  <c r="K53" i="118"/>
  <c r="J53" i="118"/>
  <c r="L52" i="118"/>
  <c r="K52" i="118"/>
  <c r="J52" i="118"/>
  <c r="L51" i="118"/>
  <c r="K51" i="118"/>
  <c r="J51" i="118" s="1"/>
  <c r="L50" i="118"/>
  <c r="K50" i="118"/>
  <c r="J50" i="118" s="1"/>
  <c r="L49" i="118"/>
  <c r="K49" i="118"/>
  <c r="J49" i="118" s="1"/>
  <c r="L48" i="118"/>
  <c r="K48" i="118"/>
  <c r="J48" i="118" s="1"/>
  <c r="L47" i="118"/>
  <c r="K47" i="118"/>
  <c r="J47" i="118"/>
  <c r="L46" i="118"/>
  <c r="K46" i="118"/>
  <c r="J46" i="118"/>
  <c r="L45" i="118"/>
  <c r="K45" i="118"/>
  <c r="J45" i="118"/>
  <c r="L44" i="118"/>
  <c r="K44" i="118"/>
  <c r="J44" i="118" s="1"/>
  <c r="L43" i="118"/>
  <c r="K43" i="118"/>
  <c r="L42" i="118"/>
  <c r="K42" i="118"/>
  <c r="J42" i="118"/>
  <c r="L41" i="118"/>
  <c r="K41" i="118"/>
  <c r="J41" i="118"/>
  <c r="L40" i="118"/>
  <c r="K40" i="118"/>
  <c r="J40" i="118" s="1"/>
  <c r="L39" i="118"/>
  <c r="K39" i="118"/>
  <c r="J39" i="118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/>
  <c r="L34" i="118"/>
  <c r="K34" i="118"/>
  <c r="J34" i="118" s="1"/>
  <c r="L33" i="118"/>
  <c r="K33" i="118"/>
  <c r="J33" i="118" s="1"/>
  <c r="L32" i="118"/>
  <c r="K32" i="118"/>
  <c r="L31" i="118"/>
  <c r="K31" i="118"/>
  <c r="J31" i="118"/>
  <c r="L30" i="118"/>
  <c r="K30" i="118"/>
  <c r="J30" i="118"/>
  <c r="L29" i="118"/>
  <c r="K29" i="118"/>
  <c r="J29" i="118"/>
  <c r="L28" i="118"/>
  <c r="K28" i="118"/>
  <c r="J28" i="118"/>
  <c r="L27" i="118"/>
  <c r="K27" i="118"/>
  <c r="J27" i="118"/>
  <c r="L26" i="118"/>
  <c r="K26" i="118"/>
  <c r="J26" i="118" s="1"/>
  <c r="L25" i="118"/>
  <c r="K25" i="118"/>
  <c r="J25" i="118"/>
  <c r="L251" i="119"/>
  <c r="K251" i="119"/>
  <c r="J251" i="119"/>
  <c r="L250" i="119"/>
  <c r="K250" i="119"/>
  <c r="J250" i="119"/>
  <c r="L249" i="119"/>
  <c r="K249" i="119"/>
  <c r="J249" i="119" s="1"/>
  <c r="L248" i="119"/>
  <c r="K248" i="119"/>
  <c r="J248" i="119"/>
  <c r="L247" i="119"/>
  <c r="K247" i="119"/>
  <c r="J247" i="119"/>
  <c r="L246" i="119"/>
  <c r="K246" i="119"/>
  <c r="J246" i="119" s="1"/>
  <c r="L245" i="119"/>
  <c r="K245" i="119"/>
  <c r="J245" i="119"/>
  <c r="L244" i="119"/>
  <c r="K244" i="119"/>
  <c r="J244" i="119" s="1"/>
  <c r="L243" i="119"/>
  <c r="J243" i="119" s="1"/>
  <c r="K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 s="1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J233" i="119" s="1"/>
  <c r="K233" i="119"/>
  <c r="L232" i="119"/>
  <c r="K232" i="119"/>
  <c r="J232" i="119"/>
  <c r="L231" i="119"/>
  <c r="K231" i="119"/>
  <c r="J231" i="119"/>
  <c r="L230" i="119"/>
  <c r="K230" i="119"/>
  <c r="J230" i="119" s="1"/>
  <c r="L229" i="119"/>
  <c r="K229" i="119"/>
  <c r="J229" i="119"/>
  <c r="L228" i="119"/>
  <c r="K228" i="119"/>
  <c r="J228" i="119" s="1"/>
  <c r="L227" i="119"/>
  <c r="K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J222" i="119" s="1"/>
  <c r="K222" i="119"/>
  <c r="L221" i="119"/>
  <c r="J221" i="119" s="1"/>
  <c r="K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 s="1"/>
  <c r="L215" i="119"/>
  <c r="K215" i="119"/>
  <c r="J215" i="119"/>
  <c r="L214" i="119"/>
  <c r="K214" i="119"/>
  <c r="J214" i="119" s="1"/>
  <c r="L213" i="119"/>
  <c r="K213" i="119"/>
  <c r="J213" i="119"/>
  <c r="L212" i="119"/>
  <c r="K212" i="119"/>
  <c r="J212" i="119"/>
  <c r="L211" i="119"/>
  <c r="J211" i="119" s="1"/>
  <c r="K211" i="119"/>
  <c r="L210" i="119"/>
  <c r="K210" i="119"/>
  <c r="J210" i="119"/>
  <c r="L209" i="119"/>
  <c r="K209" i="119"/>
  <c r="J209" i="119" s="1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 s="1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J200" i="119" s="1"/>
  <c r="K200" i="119"/>
  <c r="L199" i="119"/>
  <c r="K199" i="119"/>
  <c r="J199" i="119"/>
  <c r="L198" i="119"/>
  <c r="K198" i="119"/>
  <c r="J198" i="119" s="1"/>
  <c r="L197" i="119"/>
  <c r="K197" i="119"/>
  <c r="J197" i="119"/>
  <c r="L196" i="119"/>
  <c r="K196" i="119"/>
  <c r="J196" i="119" s="1"/>
  <c r="L195" i="119"/>
  <c r="K195" i="119"/>
  <c r="J195" i="119" s="1"/>
  <c r="L194" i="119"/>
  <c r="J194" i="119" s="1"/>
  <c r="K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 s="1"/>
  <c r="L189" i="119"/>
  <c r="K189" i="119"/>
  <c r="J189" i="119"/>
  <c r="L188" i="119"/>
  <c r="K188" i="119"/>
  <c r="J188" i="119" s="1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J183" i="119" s="1"/>
  <c r="K183" i="119"/>
  <c r="L182" i="119"/>
  <c r="K182" i="119"/>
  <c r="J182" i="119" s="1"/>
  <c r="L181" i="119"/>
  <c r="K181" i="119"/>
  <c r="J181" i="119"/>
  <c r="L180" i="119"/>
  <c r="K180" i="119"/>
  <c r="J180" i="119" s="1"/>
  <c r="L179" i="119"/>
  <c r="K179" i="119"/>
  <c r="J179" i="119"/>
  <c r="L178" i="119"/>
  <c r="K178" i="119"/>
  <c r="J178" i="119" s="1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 s="1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J167" i="119" s="1"/>
  <c r="K167" i="119"/>
  <c r="L166" i="119"/>
  <c r="K166" i="119"/>
  <c r="J166" i="119" s="1"/>
  <c r="L165" i="119"/>
  <c r="K165" i="119"/>
  <c r="J165" i="119"/>
  <c r="L164" i="119"/>
  <c r="K164" i="119"/>
  <c r="J164" i="119"/>
  <c r="L163" i="119"/>
  <c r="K163" i="119"/>
  <c r="J163" i="119" s="1"/>
  <c r="L162" i="119"/>
  <c r="K162" i="119"/>
  <c r="J162" i="119"/>
  <c r="L161" i="119"/>
  <c r="K161" i="119"/>
  <c r="J161" i="119" s="1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J156" i="119" s="1"/>
  <c r="K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 s="1"/>
  <c r="L150" i="119"/>
  <c r="K150" i="119"/>
  <c r="J150" i="119" s="1"/>
  <c r="L149" i="119"/>
  <c r="K149" i="119"/>
  <c r="J149" i="119"/>
  <c r="L148" i="119"/>
  <c r="K148" i="119"/>
  <c r="J148" i="119" s="1"/>
  <c r="L147" i="119"/>
  <c r="K147" i="119"/>
  <c r="J147" i="119"/>
  <c r="L146" i="119"/>
  <c r="K146" i="119"/>
  <c r="J146" i="119"/>
  <c r="L145" i="119"/>
  <c r="K145" i="119"/>
  <c r="J145" i="119" s="1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J140" i="119" s="1"/>
  <c r="K140" i="119"/>
  <c r="L139" i="119"/>
  <c r="K139" i="119"/>
  <c r="J139" i="119" s="1"/>
  <c r="L138" i="119"/>
  <c r="K138" i="119"/>
  <c r="J138" i="119" s="1"/>
  <c r="L137" i="119"/>
  <c r="K137" i="119"/>
  <c r="J137" i="119"/>
  <c r="L136" i="119"/>
  <c r="K136" i="119"/>
  <c r="J136" i="119"/>
  <c r="L135" i="119"/>
  <c r="J135" i="119"/>
  <c r="K135" i="119"/>
  <c r="L134" i="119"/>
  <c r="K134" i="119"/>
  <c r="J134" i="119" s="1"/>
  <c r="L133" i="119"/>
  <c r="K133" i="119"/>
  <c r="J133" i="119"/>
  <c r="L132" i="119"/>
  <c r="K132" i="119"/>
  <c r="J132" i="119" s="1"/>
  <c r="L131" i="119"/>
  <c r="K131" i="119"/>
  <c r="J131" i="119"/>
  <c r="L130" i="119"/>
  <c r="K130" i="119"/>
  <c r="J130" i="119"/>
  <c r="L129" i="119"/>
  <c r="K129" i="119"/>
  <c r="L128" i="119"/>
  <c r="K128" i="119"/>
  <c r="J128" i="119"/>
  <c r="L127" i="119"/>
  <c r="K127" i="119"/>
  <c r="J127" i="119"/>
  <c r="L126" i="119"/>
  <c r="K126" i="119"/>
  <c r="J126" i="119" s="1"/>
  <c r="L125" i="119"/>
  <c r="K125" i="119"/>
  <c r="J125" i="119"/>
  <c r="L124" i="119"/>
  <c r="K124" i="119"/>
  <c r="J124" i="119"/>
  <c r="L123" i="119"/>
  <c r="K123" i="119"/>
  <c r="J123" i="119" s="1"/>
  <c r="L122" i="119"/>
  <c r="K122" i="119"/>
  <c r="J122" i="119"/>
  <c r="L121" i="119"/>
  <c r="K121" i="119"/>
  <c r="J121" i="119"/>
  <c r="L120" i="119"/>
  <c r="K120" i="119"/>
  <c r="J120" i="119" s="1"/>
  <c r="L119" i="119"/>
  <c r="K119" i="119"/>
  <c r="J119" i="119"/>
  <c r="L118" i="119"/>
  <c r="J118" i="119"/>
  <c r="K118" i="119"/>
  <c r="L117" i="119"/>
  <c r="K117" i="119"/>
  <c r="J117" i="119"/>
  <c r="L116" i="119"/>
  <c r="K116" i="119"/>
  <c r="J116" i="119"/>
  <c r="L115" i="119"/>
  <c r="K115" i="119"/>
  <c r="J115" i="119" s="1"/>
  <c r="L114" i="119"/>
  <c r="K114" i="119"/>
  <c r="J114" i="119"/>
  <c r="L113" i="119"/>
  <c r="K113" i="119"/>
  <c r="J113" i="119" s="1"/>
  <c r="L112" i="119"/>
  <c r="K112" i="119"/>
  <c r="J112" i="119" s="1"/>
  <c r="L111" i="119"/>
  <c r="J111" i="119" s="1"/>
  <c r="K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 s="1"/>
  <c r="L105" i="119"/>
  <c r="K105" i="119"/>
  <c r="J105" i="119"/>
  <c r="L104" i="119"/>
  <c r="K104" i="119"/>
  <c r="L103" i="119"/>
  <c r="K103" i="119"/>
  <c r="J103" i="119"/>
  <c r="L102" i="119"/>
  <c r="K102" i="119"/>
  <c r="J102" i="119" s="1"/>
  <c r="L101" i="119"/>
  <c r="K101" i="119"/>
  <c r="J101" i="119" s="1"/>
  <c r="L100" i="119"/>
  <c r="J100" i="119" s="1"/>
  <c r="K100" i="119"/>
  <c r="L99" i="119"/>
  <c r="K99" i="119"/>
  <c r="L98" i="119"/>
  <c r="K98" i="119"/>
  <c r="J98" i="119"/>
  <c r="L97" i="119"/>
  <c r="K97" i="119"/>
  <c r="J97" i="119" s="1"/>
  <c r="L96" i="119"/>
  <c r="K96" i="119"/>
  <c r="J96" i="119"/>
  <c r="L95" i="119"/>
  <c r="K95" i="119"/>
  <c r="J95" i="119" s="1"/>
  <c r="L94" i="119"/>
  <c r="K94" i="119"/>
  <c r="J94" i="119" s="1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J89" i="119" s="1"/>
  <c r="K89" i="119"/>
  <c r="L88" i="119"/>
  <c r="K88" i="119"/>
  <c r="J88" i="119" s="1"/>
  <c r="L87" i="119"/>
  <c r="K87" i="119"/>
  <c r="J87" i="119"/>
  <c r="L86" i="119"/>
  <c r="K86" i="119"/>
  <c r="J86" i="119" s="1"/>
  <c r="L85" i="119"/>
  <c r="K85" i="119"/>
  <c r="J85" i="119"/>
  <c r="L84" i="119"/>
  <c r="K84" i="119"/>
  <c r="J84" i="119" s="1"/>
  <c r="L83" i="119"/>
  <c r="J83" i="119" s="1"/>
  <c r="K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 s="1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J73" i="119" s="1"/>
  <c r="K73" i="119"/>
  <c r="L72" i="119"/>
  <c r="K72" i="119"/>
  <c r="J72" i="119" s="1"/>
  <c r="L71" i="119"/>
  <c r="K71" i="119"/>
  <c r="J71" i="119"/>
  <c r="L70" i="119"/>
  <c r="K70" i="119"/>
  <c r="J70" i="119" s="1"/>
  <c r="L69" i="119"/>
  <c r="K69" i="119"/>
  <c r="J69" i="119"/>
  <c r="L68" i="119"/>
  <c r="K68" i="119"/>
  <c r="J68" i="119" s="1"/>
  <c r="L67" i="119"/>
  <c r="K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 s="1"/>
  <c r="L62" i="119"/>
  <c r="J62" i="119" s="1"/>
  <c r="K62" i="119"/>
  <c r="L61" i="119"/>
  <c r="K61" i="119"/>
  <c r="J61" i="119" s="1"/>
  <c r="L60" i="119"/>
  <c r="K60" i="119"/>
  <c r="J60" i="119"/>
  <c r="L59" i="119"/>
  <c r="K59" i="119"/>
  <c r="J59" i="119" s="1"/>
  <c r="L58" i="119"/>
  <c r="K58" i="119"/>
  <c r="J58" i="119"/>
  <c r="L57" i="119"/>
  <c r="J57" i="119"/>
  <c r="K57" i="119"/>
  <c r="L56" i="119"/>
  <c r="K56" i="119"/>
  <c r="L55" i="119"/>
  <c r="K55" i="119"/>
  <c r="J55" i="119"/>
  <c r="L54" i="119"/>
  <c r="K54" i="119"/>
  <c r="J54" i="119" s="1"/>
  <c r="L53" i="119"/>
  <c r="K53" i="119"/>
  <c r="J53" i="119" s="1"/>
  <c r="L52" i="119"/>
  <c r="K52" i="119"/>
  <c r="J52" i="119"/>
  <c r="L51" i="119"/>
  <c r="K51" i="119"/>
  <c r="J51" i="119" s="1"/>
  <c r="L50" i="119"/>
  <c r="K50" i="119"/>
  <c r="J50" i="119" s="1"/>
  <c r="L49" i="119"/>
  <c r="K49" i="119"/>
  <c r="J49" i="119" s="1"/>
  <c r="L48" i="119"/>
  <c r="K48" i="119"/>
  <c r="J48" i="119"/>
  <c r="L47" i="119"/>
  <c r="K47" i="119"/>
  <c r="J47" i="119"/>
  <c r="L46" i="119"/>
  <c r="K46" i="119"/>
  <c r="J46" i="119" s="1"/>
  <c r="L45" i="119"/>
  <c r="K45" i="119"/>
  <c r="J45" i="119"/>
  <c r="L44" i="119"/>
  <c r="K44" i="119"/>
  <c r="J44" i="119" s="1"/>
  <c r="L43" i="119"/>
  <c r="K43" i="119"/>
  <c r="J43" i="119" s="1"/>
  <c r="L42" i="119"/>
  <c r="K42" i="119"/>
  <c r="J42" i="119"/>
  <c r="L41" i="119"/>
  <c r="K41" i="119"/>
  <c r="J41" i="119"/>
  <c r="L40" i="119"/>
  <c r="K40" i="119"/>
  <c r="J40" i="119" s="1"/>
  <c r="L39" i="119"/>
  <c r="L17" i="119" s="1"/>
  <c r="K39" i="119"/>
  <c r="J39" i="119" s="1"/>
  <c r="L38" i="119"/>
  <c r="K38" i="119"/>
  <c r="J38" i="119" s="1"/>
  <c r="L37" i="119"/>
  <c r="K37" i="119"/>
  <c r="J37" i="119"/>
  <c r="L36" i="119"/>
  <c r="K36" i="119"/>
  <c r="J36" i="119" s="1"/>
  <c r="L35" i="119"/>
  <c r="K35" i="119"/>
  <c r="J35" i="119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/>
  <c r="L30" i="119"/>
  <c r="K30" i="119"/>
  <c r="J30" i="119"/>
  <c r="L29" i="119"/>
  <c r="K29" i="119"/>
  <c r="J29" i="119"/>
  <c r="L28" i="119"/>
  <c r="K28" i="119"/>
  <c r="J28" i="119" s="1"/>
  <c r="L27" i="119"/>
  <c r="L18" i="119" s="1"/>
  <c r="K27" i="119"/>
  <c r="J27" i="119" s="1"/>
  <c r="L26" i="119"/>
  <c r="K26" i="119"/>
  <c r="J26" i="119" s="1"/>
  <c r="L25" i="119"/>
  <c r="K25" i="119"/>
  <c r="J25" i="119" s="1"/>
  <c r="L251" i="120"/>
  <c r="K251" i="120"/>
  <c r="J251" i="120" s="1"/>
  <c r="L250" i="120"/>
  <c r="K250" i="120"/>
  <c r="J250" i="120" s="1"/>
  <c r="L249" i="120"/>
  <c r="K249" i="120"/>
  <c r="J249" i="120" s="1"/>
  <c r="L248" i="120"/>
  <c r="K248" i="120"/>
  <c r="J248" i="120" s="1"/>
  <c r="L247" i="120"/>
  <c r="K247" i="120"/>
  <c r="L246" i="120"/>
  <c r="K246" i="120"/>
  <c r="L245" i="120"/>
  <c r="K245" i="120"/>
  <c r="L244" i="120"/>
  <c r="K244" i="120"/>
  <c r="L243" i="120"/>
  <c r="K243" i="120"/>
  <c r="J243" i="120"/>
  <c r="L242" i="120"/>
  <c r="K242" i="120"/>
  <c r="L241" i="120"/>
  <c r="K241" i="120"/>
  <c r="J241" i="120" s="1"/>
  <c r="L240" i="120"/>
  <c r="K240" i="120"/>
  <c r="J240" i="120"/>
  <c r="L239" i="120"/>
  <c r="K239" i="120"/>
  <c r="L238" i="120"/>
  <c r="K238" i="120"/>
  <c r="J238" i="120"/>
  <c r="L237" i="120"/>
  <c r="K237" i="120"/>
  <c r="J237" i="120" s="1"/>
  <c r="L236" i="120"/>
  <c r="K236" i="120"/>
  <c r="L235" i="120"/>
  <c r="J235" i="120" s="1"/>
  <c r="K235" i="120"/>
  <c r="L234" i="120"/>
  <c r="K234" i="120"/>
  <c r="L233" i="120"/>
  <c r="K233" i="120"/>
  <c r="J233" i="120" s="1"/>
  <c r="L232" i="120"/>
  <c r="J232" i="120" s="1"/>
  <c r="K232" i="120"/>
  <c r="L231" i="120"/>
  <c r="K231" i="120"/>
  <c r="L230" i="120"/>
  <c r="K230" i="120"/>
  <c r="J230" i="120"/>
  <c r="L229" i="120"/>
  <c r="K229" i="120"/>
  <c r="J229" i="120" s="1"/>
  <c r="L228" i="120"/>
  <c r="K228" i="120"/>
  <c r="L227" i="120"/>
  <c r="K227" i="120"/>
  <c r="J227" i="120" s="1"/>
  <c r="L226" i="120"/>
  <c r="K226" i="120"/>
  <c r="L225" i="120"/>
  <c r="K225" i="120"/>
  <c r="J225" i="120" s="1"/>
  <c r="L224" i="120"/>
  <c r="K224" i="120"/>
  <c r="L223" i="120"/>
  <c r="K223" i="120"/>
  <c r="J223" i="120" s="1"/>
  <c r="L222" i="120"/>
  <c r="K222" i="120"/>
  <c r="L221" i="120"/>
  <c r="J221" i="120" s="1"/>
  <c r="K221" i="120"/>
  <c r="L220" i="120"/>
  <c r="K220" i="120"/>
  <c r="J220" i="120" s="1"/>
  <c r="L219" i="120"/>
  <c r="K219" i="120"/>
  <c r="J219" i="120" s="1"/>
  <c r="L218" i="120"/>
  <c r="K218" i="120"/>
  <c r="L217" i="120"/>
  <c r="J217" i="120" s="1"/>
  <c r="K217" i="120"/>
  <c r="L216" i="120"/>
  <c r="K216" i="120"/>
  <c r="L215" i="120"/>
  <c r="K215" i="120"/>
  <c r="L214" i="120"/>
  <c r="K214" i="120"/>
  <c r="L213" i="120"/>
  <c r="K213" i="120"/>
  <c r="J213" i="120"/>
  <c r="L212" i="120"/>
  <c r="K212" i="120"/>
  <c r="L211" i="120"/>
  <c r="K211" i="120"/>
  <c r="J211" i="120" s="1"/>
  <c r="L210" i="120"/>
  <c r="K210" i="120"/>
  <c r="L209" i="120"/>
  <c r="K209" i="120"/>
  <c r="L208" i="120"/>
  <c r="K208" i="120"/>
  <c r="J208" i="120"/>
  <c r="L207" i="120"/>
  <c r="J207" i="120" s="1"/>
  <c r="K207" i="120"/>
  <c r="L206" i="120"/>
  <c r="K206" i="120"/>
  <c r="L205" i="120"/>
  <c r="K205" i="120"/>
  <c r="J205" i="120"/>
  <c r="L204" i="120"/>
  <c r="K204" i="120"/>
  <c r="L203" i="120"/>
  <c r="K203" i="120"/>
  <c r="J203" i="120" s="1"/>
  <c r="L202" i="120"/>
  <c r="K202" i="120"/>
  <c r="J202" i="120"/>
  <c r="L201" i="120"/>
  <c r="K201" i="120"/>
  <c r="L200" i="120"/>
  <c r="K200" i="120"/>
  <c r="J200" i="120" s="1"/>
  <c r="L199" i="120"/>
  <c r="K199" i="120"/>
  <c r="L198" i="120"/>
  <c r="K198" i="120"/>
  <c r="J198" i="120" s="1"/>
  <c r="L197" i="120"/>
  <c r="K197" i="120"/>
  <c r="L196" i="120"/>
  <c r="K196" i="120"/>
  <c r="L195" i="120"/>
  <c r="K195" i="120"/>
  <c r="L194" i="120"/>
  <c r="K194" i="120"/>
  <c r="J194" i="120" s="1"/>
  <c r="L193" i="120"/>
  <c r="K193" i="120"/>
  <c r="J193" i="120" s="1"/>
  <c r="L192" i="120"/>
  <c r="K192" i="120"/>
  <c r="J192" i="120" s="1"/>
  <c r="L191" i="120"/>
  <c r="K191" i="120"/>
  <c r="J191" i="120" s="1"/>
  <c r="L190" i="120"/>
  <c r="K190" i="120"/>
  <c r="J190" i="120" s="1"/>
  <c r="L189" i="120"/>
  <c r="J189" i="120" s="1"/>
  <c r="K189" i="120"/>
  <c r="L188" i="120"/>
  <c r="K188" i="120"/>
  <c r="L187" i="120"/>
  <c r="K187" i="120"/>
  <c r="J187" i="120" s="1"/>
  <c r="L186" i="120"/>
  <c r="K186" i="120"/>
  <c r="J186" i="120"/>
  <c r="L185" i="120"/>
  <c r="K185" i="120"/>
  <c r="L184" i="120"/>
  <c r="K184" i="120"/>
  <c r="J184" i="120"/>
  <c r="L183" i="120"/>
  <c r="K183" i="120"/>
  <c r="L182" i="120"/>
  <c r="K182" i="120"/>
  <c r="J182" i="120" s="1"/>
  <c r="L181" i="120"/>
  <c r="K181" i="120"/>
  <c r="L180" i="120"/>
  <c r="K180" i="120"/>
  <c r="J180" i="120"/>
  <c r="L179" i="120"/>
  <c r="K179" i="120"/>
  <c r="J179" i="120" s="1"/>
  <c r="L178" i="120"/>
  <c r="K178" i="120"/>
  <c r="J178" i="120" s="1"/>
  <c r="L177" i="120"/>
  <c r="K177" i="120"/>
  <c r="J177" i="120" s="1"/>
  <c r="L176" i="120"/>
  <c r="K176" i="120"/>
  <c r="L175" i="120"/>
  <c r="K175" i="120"/>
  <c r="L174" i="120"/>
  <c r="K174" i="120"/>
  <c r="L173" i="120"/>
  <c r="K173" i="120"/>
  <c r="L172" i="120"/>
  <c r="K172" i="120"/>
  <c r="J172" i="120" s="1"/>
  <c r="L171" i="120"/>
  <c r="K171" i="120"/>
  <c r="L170" i="120"/>
  <c r="K170" i="120"/>
  <c r="J170" i="120"/>
  <c r="L169" i="120"/>
  <c r="K169" i="120"/>
  <c r="L168" i="120"/>
  <c r="K168" i="120"/>
  <c r="J168" i="120" s="1"/>
  <c r="L167" i="120"/>
  <c r="K167" i="120"/>
  <c r="L166" i="120"/>
  <c r="K166" i="120"/>
  <c r="L165" i="120"/>
  <c r="K165" i="120"/>
  <c r="J165" i="120" s="1"/>
  <c r="L164" i="120"/>
  <c r="K164" i="120"/>
  <c r="J164" i="120" s="1"/>
  <c r="L163" i="120"/>
  <c r="K163" i="120"/>
  <c r="J163" i="120" s="1"/>
  <c r="L162" i="120"/>
  <c r="K162" i="120"/>
  <c r="L161" i="120"/>
  <c r="K161" i="120"/>
  <c r="J161" i="120" s="1"/>
  <c r="L160" i="120"/>
  <c r="K160" i="120"/>
  <c r="L159" i="120"/>
  <c r="K159" i="120"/>
  <c r="J159" i="120"/>
  <c r="L158" i="120"/>
  <c r="K158" i="120"/>
  <c r="J158" i="120" s="1"/>
  <c r="L157" i="120"/>
  <c r="K157" i="120"/>
  <c r="J157" i="120" s="1"/>
  <c r="L156" i="120"/>
  <c r="K156" i="120"/>
  <c r="L155" i="120"/>
  <c r="K155" i="120"/>
  <c r="J155" i="120" s="1"/>
  <c r="L154" i="120"/>
  <c r="K154" i="120"/>
  <c r="J154" i="120" s="1"/>
  <c r="L153" i="120"/>
  <c r="K153" i="120"/>
  <c r="J153" i="120" s="1"/>
  <c r="L152" i="120"/>
  <c r="K152" i="120"/>
  <c r="L151" i="120"/>
  <c r="K151" i="120"/>
  <c r="L150" i="120"/>
  <c r="K150" i="120"/>
  <c r="L149" i="120"/>
  <c r="K149" i="120"/>
  <c r="J149" i="120" s="1"/>
  <c r="L148" i="120"/>
  <c r="K148" i="120"/>
  <c r="L147" i="120"/>
  <c r="K147" i="120"/>
  <c r="J147" i="120" s="1"/>
  <c r="L146" i="120"/>
  <c r="K146" i="120"/>
  <c r="J146" i="120"/>
  <c r="L145" i="120"/>
  <c r="K145" i="120"/>
  <c r="L144" i="120"/>
  <c r="K144" i="120"/>
  <c r="J144" i="120" s="1"/>
  <c r="L143" i="120"/>
  <c r="K143" i="120"/>
  <c r="J143" i="120"/>
  <c r="L142" i="120"/>
  <c r="K142" i="120"/>
  <c r="J142" i="120" s="1"/>
  <c r="L141" i="120"/>
  <c r="K141" i="120"/>
  <c r="L140" i="120"/>
  <c r="K140" i="120"/>
  <c r="J140" i="120" s="1"/>
  <c r="L139" i="120"/>
  <c r="K139" i="120"/>
  <c r="J139" i="120" s="1"/>
  <c r="L138" i="120"/>
  <c r="K138" i="120"/>
  <c r="L137" i="120"/>
  <c r="K137" i="120"/>
  <c r="L136" i="120"/>
  <c r="K136" i="120"/>
  <c r="L135" i="120"/>
  <c r="K135" i="120"/>
  <c r="J135" i="120" s="1"/>
  <c r="L134" i="120"/>
  <c r="K134" i="120"/>
  <c r="J134" i="120" s="1"/>
  <c r="L133" i="120"/>
  <c r="K133" i="120"/>
  <c r="J133" i="120" s="1"/>
  <c r="L132" i="120"/>
  <c r="K132" i="120"/>
  <c r="L131" i="120"/>
  <c r="K131" i="120"/>
  <c r="J131" i="120" s="1"/>
  <c r="L130" i="120"/>
  <c r="K130" i="120"/>
  <c r="L129" i="120"/>
  <c r="K129" i="120"/>
  <c r="L128" i="120"/>
  <c r="K128" i="120"/>
  <c r="L127" i="120"/>
  <c r="K127" i="120"/>
  <c r="J127" i="120" s="1"/>
  <c r="L126" i="120"/>
  <c r="K126" i="120"/>
  <c r="J126" i="120" s="1"/>
  <c r="L125" i="120"/>
  <c r="K125" i="120"/>
  <c r="J125" i="120" s="1"/>
  <c r="L124" i="120"/>
  <c r="K124" i="120"/>
  <c r="J124" i="120" s="1"/>
  <c r="L123" i="120"/>
  <c r="K123" i="120"/>
  <c r="L122" i="120"/>
  <c r="K122" i="120"/>
  <c r="J122" i="120" s="1"/>
  <c r="L121" i="120"/>
  <c r="K121" i="120"/>
  <c r="J121" i="120" s="1"/>
  <c r="L120" i="120"/>
  <c r="K120" i="120"/>
  <c r="L119" i="120"/>
  <c r="J119" i="120" s="1"/>
  <c r="K119" i="120"/>
  <c r="L118" i="120"/>
  <c r="K118" i="120"/>
  <c r="J118" i="120"/>
  <c r="L117" i="120"/>
  <c r="K117" i="120"/>
  <c r="L116" i="120"/>
  <c r="K116" i="120"/>
  <c r="L115" i="120"/>
  <c r="K115" i="120"/>
  <c r="J115" i="120" s="1"/>
  <c r="L114" i="120"/>
  <c r="K114" i="120"/>
  <c r="L113" i="120"/>
  <c r="K113" i="120"/>
  <c r="J113" i="120" s="1"/>
  <c r="L112" i="120"/>
  <c r="K112" i="120"/>
  <c r="J112" i="120" s="1"/>
  <c r="L111" i="120"/>
  <c r="K111" i="120"/>
  <c r="L110" i="120"/>
  <c r="K110" i="120"/>
  <c r="J110" i="120" s="1"/>
  <c r="L109" i="120"/>
  <c r="K109" i="120"/>
  <c r="L108" i="120"/>
  <c r="K108" i="120"/>
  <c r="L107" i="120"/>
  <c r="J107" i="120" s="1"/>
  <c r="K107" i="120"/>
  <c r="L106" i="120"/>
  <c r="K106" i="120"/>
  <c r="J106" i="120" s="1"/>
  <c r="L105" i="120"/>
  <c r="K105" i="120"/>
  <c r="J105" i="120" s="1"/>
  <c r="L104" i="120"/>
  <c r="K104" i="120"/>
  <c r="L103" i="120"/>
  <c r="K103" i="120"/>
  <c r="L102" i="120"/>
  <c r="K102" i="120"/>
  <c r="J102" i="120" s="1"/>
  <c r="L101" i="120"/>
  <c r="K101" i="120"/>
  <c r="L100" i="120"/>
  <c r="K100" i="120"/>
  <c r="L99" i="120"/>
  <c r="J99" i="120" s="1"/>
  <c r="K99" i="120"/>
  <c r="L98" i="120"/>
  <c r="K98" i="120"/>
  <c r="L97" i="120"/>
  <c r="K97" i="120"/>
  <c r="J97" i="120" s="1"/>
  <c r="L96" i="120"/>
  <c r="K96" i="120"/>
  <c r="J96" i="120"/>
  <c r="L95" i="120"/>
  <c r="K95" i="120"/>
  <c r="L94" i="120"/>
  <c r="K94" i="120"/>
  <c r="J94" i="120" s="1"/>
  <c r="L93" i="120"/>
  <c r="K93" i="120"/>
  <c r="L92" i="120"/>
  <c r="K92" i="120"/>
  <c r="L91" i="120"/>
  <c r="K91" i="120"/>
  <c r="L90" i="120"/>
  <c r="K90" i="120"/>
  <c r="J90" i="120" s="1"/>
  <c r="L89" i="120"/>
  <c r="K89" i="120"/>
  <c r="J89" i="120" s="1"/>
  <c r="L88" i="120"/>
  <c r="K88" i="120"/>
  <c r="L87" i="120"/>
  <c r="K87" i="120"/>
  <c r="J87" i="120"/>
  <c r="L86" i="120"/>
  <c r="K86" i="120"/>
  <c r="J86" i="120" s="1"/>
  <c r="L85" i="120"/>
  <c r="K85" i="120"/>
  <c r="J85" i="120" s="1"/>
  <c r="L84" i="120"/>
  <c r="K84" i="120"/>
  <c r="L83" i="120"/>
  <c r="K83" i="120"/>
  <c r="J83" i="120" s="1"/>
  <c r="L82" i="120"/>
  <c r="K82" i="120"/>
  <c r="L81" i="120"/>
  <c r="K81" i="120"/>
  <c r="L80" i="120"/>
  <c r="K80" i="120"/>
  <c r="J80" i="120"/>
  <c r="L79" i="120"/>
  <c r="K79" i="120"/>
  <c r="L78" i="120"/>
  <c r="K78" i="120"/>
  <c r="L77" i="120"/>
  <c r="K77" i="120"/>
  <c r="L76" i="120"/>
  <c r="K76" i="120"/>
  <c r="J76" i="120"/>
  <c r="L75" i="120"/>
  <c r="K75" i="120"/>
  <c r="L74" i="120"/>
  <c r="K74" i="120"/>
  <c r="J74" i="120" s="1"/>
  <c r="L73" i="120"/>
  <c r="K73" i="120"/>
  <c r="L72" i="120"/>
  <c r="K72" i="120"/>
  <c r="J72" i="120" s="1"/>
  <c r="L71" i="120"/>
  <c r="K71" i="120"/>
  <c r="J71" i="120" s="1"/>
  <c r="L70" i="120"/>
  <c r="K70" i="120"/>
  <c r="L69" i="120"/>
  <c r="K69" i="120"/>
  <c r="J69" i="120" s="1"/>
  <c r="L68" i="120"/>
  <c r="K68" i="120"/>
  <c r="J68" i="120" s="1"/>
  <c r="L67" i="120"/>
  <c r="K67" i="120"/>
  <c r="J67" i="120" s="1"/>
  <c r="L66" i="120"/>
  <c r="K66" i="120"/>
  <c r="L65" i="120"/>
  <c r="K65" i="120"/>
  <c r="J65" i="120"/>
  <c r="L64" i="120"/>
  <c r="K64" i="120"/>
  <c r="J64" i="120" s="1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/>
  <c r="L57" i="120"/>
  <c r="K57" i="120"/>
  <c r="L56" i="120"/>
  <c r="K56" i="120"/>
  <c r="L55" i="120"/>
  <c r="K55" i="120"/>
  <c r="J55" i="120" s="1"/>
  <c r="L54" i="120"/>
  <c r="K54" i="120"/>
  <c r="J54" i="120" s="1"/>
  <c r="L53" i="120"/>
  <c r="K53" i="120"/>
  <c r="L52" i="120"/>
  <c r="K52" i="120"/>
  <c r="J52" i="120" s="1"/>
  <c r="L51" i="120"/>
  <c r="K51" i="120"/>
  <c r="J51" i="120" s="1"/>
  <c r="L50" i="120"/>
  <c r="K50" i="120"/>
  <c r="L49" i="120"/>
  <c r="K49" i="120"/>
  <c r="L48" i="120"/>
  <c r="K48" i="120"/>
  <c r="L47" i="120"/>
  <c r="K47" i="120"/>
  <c r="J47" i="120" s="1"/>
  <c r="L46" i="120"/>
  <c r="K46" i="120"/>
  <c r="J46" i="120" s="1"/>
  <c r="L45" i="120"/>
  <c r="K45" i="120"/>
  <c r="L44" i="120"/>
  <c r="K44" i="120"/>
  <c r="J44" i="120"/>
  <c r="L43" i="120"/>
  <c r="K43" i="120"/>
  <c r="L42" i="120"/>
  <c r="K42" i="120"/>
  <c r="L41" i="120"/>
  <c r="K41" i="120"/>
  <c r="L40" i="120"/>
  <c r="K40" i="120"/>
  <c r="L39" i="120"/>
  <c r="K39" i="120"/>
  <c r="J39" i="120" s="1"/>
  <c r="L38" i="120"/>
  <c r="K38" i="120"/>
  <c r="L37" i="120"/>
  <c r="K37" i="120"/>
  <c r="J37" i="120" s="1"/>
  <c r="L36" i="120"/>
  <c r="K36" i="120"/>
  <c r="L35" i="120"/>
  <c r="K35" i="120"/>
  <c r="J35" i="120"/>
  <c r="L34" i="120"/>
  <c r="K34" i="120"/>
  <c r="L33" i="120"/>
  <c r="K33" i="120"/>
  <c r="J33" i="120" s="1"/>
  <c r="L32" i="120"/>
  <c r="K32" i="120"/>
  <c r="J32" i="120"/>
  <c r="L31" i="120"/>
  <c r="K31" i="120"/>
  <c r="L30" i="120"/>
  <c r="K30" i="120"/>
  <c r="L29" i="120"/>
  <c r="K29" i="120"/>
  <c r="J29" i="120" s="1"/>
  <c r="L27" i="120"/>
  <c r="K27" i="120"/>
  <c r="L26" i="120"/>
  <c r="K26" i="120"/>
  <c r="L25" i="120"/>
  <c r="K25" i="120"/>
  <c r="L252" i="121"/>
  <c r="K252" i="121"/>
  <c r="J252" i="121" s="1"/>
  <c r="L251" i="121"/>
  <c r="K251" i="121"/>
  <c r="J251" i="121" s="1"/>
  <c r="L250" i="121"/>
  <c r="K250" i="121"/>
  <c r="J250" i="121" s="1"/>
  <c r="L249" i="121"/>
  <c r="K249" i="121"/>
  <c r="J249" i="121"/>
  <c r="L248" i="121"/>
  <c r="K248" i="121"/>
  <c r="J248" i="121" s="1"/>
  <c r="L247" i="121"/>
  <c r="K247" i="121"/>
  <c r="J247" i="121" s="1"/>
  <c r="L246" i="121"/>
  <c r="K246" i="121"/>
  <c r="L245" i="121"/>
  <c r="K245" i="121"/>
  <c r="J245" i="121" s="1"/>
  <c r="L244" i="121"/>
  <c r="K244" i="121"/>
  <c r="L243" i="121"/>
  <c r="K243" i="121"/>
  <c r="J243" i="121"/>
  <c r="L242" i="121"/>
  <c r="K242" i="121"/>
  <c r="J242" i="121" s="1"/>
  <c r="L241" i="121"/>
  <c r="K241" i="121"/>
  <c r="L240" i="121"/>
  <c r="K240" i="121"/>
  <c r="J240" i="121"/>
  <c r="L239" i="121"/>
  <c r="K239" i="121"/>
  <c r="J239" i="121" s="1"/>
  <c r="L238" i="121"/>
  <c r="K238" i="121"/>
  <c r="J238" i="121" s="1"/>
  <c r="L237" i="121"/>
  <c r="K237" i="121"/>
  <c r="L236" i="121"/>
  <c r="K236" i="121"/>
  <c r="J236" i="121"/>
  <c r="L235" i="121"/>
  <c r="K235" i="121"/>
  <c r="L234" i="121"/>
  <c r="K234" i="121"/>
  <c r="J234" i="121" s="1"/>
  <c r="L233" i="121"/>
  <c r="K233" i="121"/>
  <c r="J233" i="121"/>
  <c r="L232" i="121"/>
  <c r="K232" i="121"/>
  <c r="L231" i="121"/>
  <c r="K231" i="121"/>
  <c r="L230" i="121"/>
  <c r="K230" i="121"/>
  <c r="L229" i="121"/>
  <c r="K229" i="121"/>
  <c r="J229" i="121" s="1"/>
  <c r="L228" i="121"/>
  <c r="K228" i="121"/>
  <c r="J228" i="121"/>
  <c r="L227" i="121"/>
  <c r="K227" i="121"/>
  <c r="J227" i="121" s="1"/>
  <c r="L226" i="121"/>
  <c r="K226" i="121"/>
  <c r="J226" i="121" s="1"/>
  <c r="L225" i="121"/>
  <c r="K225" i="121"/>
  <c r="J225" i="121" s="1"/>
  <c r="L224" i="121"/>
  <c r="K224" i="121"/>
  <c r="J224" i="121"/>
  <c r="L223" i="121"/>
  <c r="K223" i="121"/>
  <c r="J223" i="121" s="1"/>
  <c r="L222" i="121"/>
  <c r="K222" i="121"/>
  <c r="J222" i="121" s="1"/>
  <c r="L221" i="121"/>
  <c r="K221" i="121"/>
  <c r="J221" i="121"/>
  <c r="L220" i="121"/>
  <c r="K220" i="121"/>
  <c r="J220" i="121"/>
  <c r="L219" i="121"/>
  <c r="K219" i="121"/>
  <c r="L218" i="121"/>
  <c r="K218" i="121"/>
  <c r="L217" i="121"/>
  <c r="K217" i="121"/>
  <c r="J217" i="121"/>
  <c r="L216" i="121"/>
  <c r="K216" i="121"/>
  <c r="J216" i="121" s="1"/>
  <c r="L215" i="121"/>
  <c r="K215" i="121"/>
  <c r="J215" i="121" s="1"/>
  <c r="L214" i="121"/>
  <c r="K214" i="121"/>
  <c r="L213" i="121"/>
  <c r="K213" i="121"/>
  <c r="J213" i="121" s="1"/>
  <c r="L212" i="121"/>
  <c r="K212" i="121"/>
  <c r="J212" i="121" s="1"/>
  <c r="L211" i="121"/>
  <c r="J211" i="121" s="1"/>
  <c r="K211" i="121"/>
  <c r="L210" i="121"/>
  <c r="K210" i="121"/>
  <c r="L209" i="121"/>
  <c r="K209" i="121"/>
  <c r="J209" i="121"/>
  <c r="L208" i="121"/>
  <c r="K208" i="121"/>
  <c r="L207" i="121"/>
  <c r="K207" i="121"/>
  <c r="J207" i="121"/>
  <c r="L206" i="121"/>
  <c r="K206" i="121"/>
  <c r="J206" i="121" s="1"/>
  <c r="L205" i="121"/>
  <c r="K205" i="121"/>
  <c r="L204" i="121"/>
  <c r="J204" i="121" s="1"/>
  <c r="K204" i="121"/>
  <c r="L203" i="121"/>
  <c r="K203" i="121"/>
  <c r="L202" i="121"/>
  <c r="K202" i="121"/>
  <c r="J202" i="121" s="1"/>
  <c r="L201" i="121"/>
  <c r="K201" i="121"/>
  <c r="J201" i="121"/>
  <c r="L200" i="121"/>
  <c r="K200" i="121"/>
  <c r="J200" i="121"/>
  <c r="L199" i="121"/>
  <c r="K199" i="121"/>
  <c r="L198" i="121"/>
  <c r="K198" i="121"/>
  <c r="J198" i="121" s="1"/>
  <c r="L197" i="121"/>
  <c r="K197" i="121"/>
  <c r="J197" i="121" s="1"/>
  <c r="L196" i="121"/>
  <c r="K196" i="121"/>
  <c r="L195" i="121"/>
  <c r="K195" i="121"/>
  <c r="J195" i="121"/>
  <c r="L194" i="121"/>
  <c r="K194" i="121"/>
  <c r="J194" i="121" s="1"/>
  <c r="L193" i="121"/>
  <c r="K193" i="121"/>
  <c r="J193" i="121"/>
  <c r="L192" i="121"/>
  <c r="K192" i="121"/>
  <c r="L191" i="121"/>
  <c r="K191" i="121"/>
  <c r="J191" i="121" s="1"/>
  <c r="L190" i="121"/>
  <c r="K190" i="121"/>
  <c r="L189" i="121"/>
  <c r="K189" i="121"/>
  <c r="J189" i="121" s="1"/>
  <c r="L188" i="121"/>
  <c r="K188" i="121"/>
  <c r="J188" i="121" s="1"/>
  <c r="L187" i="121"/>
  <c r="K187" i="121"/>
  <c r="L186" i="121"/>
  <c r="K186" i="121"/>
  <c r="J186" i="121" s="1"/>
  <c r="L185" i="121"/>
  <c r="K185" i="121"/>
  <c r="J185" i="121" s="1"/>
  <c r="L184" i="121"/>
  <c r="K184" i="121"/>
  <c r="L183" i="121"/>
  <c r="K183" i="121"/>
  <c r="J183" i="121"/>
  <c r="L182" i="121"/>
  <c r="K182" i="121"/>
  <c r="L181" i="121"/>
  <c r="K181" i="121"/>
  <c r="L180" i="121"/>
  <c r="K180" i="121"/>
  <c r="J180" i="121"/>
  <c r="L179" i="121"/>
  <c r="K179" i="121"/>
  <c r="J179" i="121" s="1"/>
  <c r="L178" i="121"/>
  <c r="K178" i="121"/>
  <c r="L177" i="121"/>
  <c r="K177" i="121"/>
  <c r="J177" i="121" s="1"/>
  <c r="L176" i="121"/>
  <c r="K176" i="121"/>
  <c r="J176" i="121"/>
  <c r="L175" i="121"/>
  <c r="K175" i="121"/>
  <c r="J175" i="121" s="1"/>
  <c r="L174" i="121"/>
  <c r="K174" i="121"/>
  <c r="J174" i="121"/>
  <c r="L173" i="121"/>
  <c r="K173" i="121"/>
  <c r="J173" i="121" s="1"/>
  <c r="L172" i="121"/>
  <c r="K172" i="121"/>
  <c r="J172" i="121" s="1"/>
  <c r="L171" i="121"/>
  <c r="K171" i="121"/>
  <c r="L170" i="121"/>
  <c r="K170" i="121"/>
  <c r="J170" i="121" s="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 s="1"/>
  <c r="L165" i="121"/>
  <c r="J165" i="121" s="1"/>
  <c r="K165" i="121"/>
  <c r="L164" i="121"/>
  <c r="K164" i="121"/>
  <c r="J164" i="121"/>
  <c r="L163" i="121"/>
  <c r="K163" i="121"/>
  <c r="L162" i="121"/>
  <c r="K162" i="121"/>
  <c r="J162" i="121" s="1"/>
  <c r="L161" i="121"/>
  <c r="K161" i="121"/>
  <c r="J161" i="121"/>
  <c r="L160" i="121"/>
  <c r="K160" i="121"/>
  <c r="J160" i="121"/>
  <c r="L159" i="121"/>
  <c r="K159" i="121"/>
  <c r="L158" i="121"/>
  <c r="K158" i="121"/>
  <c r="J158" i="121" s="1"/>
  <c r="L157" i="121"/>
  <c r="K157" i="121"/>
  <c r="J157" i="121" s="1"/>
  <c r="L156" i="121"/>
  <c r="K156" i="121"/>
  <c r="L155" i="121"/>
  <c r="K155" i="121"/>
  <c r="J155" i="121" s="1"/>
  <c r="L154" i="121"/>
  <c r="K154" i="121"/>
  <c r="J154" i="121"/>
  <c r="L153" i="121"/>
  <c r="K153" i="121"/>
  <c r="L152" i="121"/>
  <c r="K152" i="121"/>
  <c r="J152" i="121" s="1"/>
  <c r="L151" i="121"/>
  <c r="K151" i="121"/>
  <c r="J151" i="121" s="1"/>
  <c r="L150" i="121"/>
  <c r="K150" i="121"/>
  <c r="J150" i="121" s="1"/>
  <c r="L149" i="121"/>
  <c r="K149" i="121"/>
  <c r="J149" i="121" s="1"/>
  <c r="L148" i="121"/>
  <c r="K148" i="121"/>
  <c r="L147" i="121"/>
  <c r="K147" i="121"/>
  <c r="L146" i="121"/>
  <c r="K146" i="121"/>
  <c r="J146" i="121" s="1"/>
  <c r="L145" i="121"/>
  <c r="K145" i="121"/>
  <c r="J145" i="121" s="1"/>
  <c r="L144" i="121"/>
  <c r="K144" i="121"/>
  <c r="L143" i="121"/>
  <c r="K143" i="121"/>
  <c r="J143" i="121" s="1"/>
  <c r="L142" i="121"/>
  <c r="K142" i="121"/>
  <c r="J142" i="121" s="1"/>
  <c r="L141" i="121"/>
  <c r="K141" i="121"/>
  <c r="J141" i="121" s="1"/>
  <c r="L140" i="121"/>
  <c r="K140" i="121"/>
  <c r="J140" i="121"/>
  <c r="L139" i="121"/>
  <c r="K139" i="121"/>
  <c r="J139" i="121"/>
  <c r="L138" i="121"/>
  <c r="K138" i="121"/>
  <c r="L137" i="121"/>
  <c r="K137" i="121"/>
  <c r="L136" i="121"/>
  <c r="K136" i="121"/>
  <c r="J136" i="121" s="1"/>
  <c r="L135" i="121"/>
  <c r="K135" i="121"/>
  <c r="J135" i="121"/>
  <c r="L134" i="121"/>
  <c r="K134" i="121"/>
  <c r="J134" i="121"/>
  <c r="L133" i="121"/>
  <c r="K133" i="121"/>
  <c r="J133" i="121" s="1"/>
  <c r="L132" i="121"/>
  <c r="K132" i="121"/>
  <c r="J132" i="121" s="1"/>
  <c r="L131" i="121"/>
  <c r="K131" i="121"/>
  <c r="J131" i="121" s="1"/>
  <c r="L130" i="121"/>
  <c r="K130" i="121"/>
  <c r="J130" i="121" s="1"/>
  <c r="L129" i="121"/>
  <c r="K129" i="121"/>
  <c r="J129" i="121"/>
  <c r="L128" i="121"/>
  <c r="K128" i="121"/>
  <c r="J128" i="121"/>
  <c r="L127" i="121"/>
  <c r="K127" i="121"/>
  <c r="J127" i="121"/>
  <c r="L126" i="121"/>
  <c r="K126" i="121"/>
  <c r="L125" i="121"/>
  <c r="K125" i="121"/>
  <c r="L124" i="121"/>
  <c r="K124" i="121"/>
  <c r="J124" i="121" s="1"/>
  <c r="L123" i="121"/>
  <c r="K123" i="121"/>
  <c r="J123" i="121"/>
  <c r="L122" i="121"/>
  <c r="K122" i="121"/>
  <c r="J122" i="121" s="1"/>
  <c r="L121" i="121"/>
  <c r="K121" i="121"/>
  <c r="J121" i="121"/>
  <c r="L120" i="121"/>
  <c r="K120" i="121"/>
  <c r="J120" i="121" s="1"/>
  <c r="L119" i="121"/>
  <c r="K119" i="121"/>
  <c r="J119" i="121" s="1"/>
  <c r="L118" i="121"/>
  <c r="K118" i="121"/>
  <c r="J118" i="121" s="1"/>
  <c r="L117" i="121"/>
  <c r="K117" i="121"/>
  <c r="J117" i="121" s="1"/>
  <c r="L116" i="121"/>
  <c r="K116" i="121"/>
  <c r="J116" i="121"/>
  <c r="L115" i="121"/>
  <c r="K115" i="121"/>
  <c r="L114" i="121"/>
  <c r="K114" i="121"/>
  <c r="L113" i="121"/>
  <c r="K113" i="121"/>
  <c r="J113" i="121"/>
  <c r="L112" i="121"/>
  <c r="K112" i="121"/>
  <c r="L111" i="121"/>
  <c r="K111" i="121"/>
  <c r="L110" i="121"/>
  <c r="K110" i="121"/>
  <c r="J110" i="121" s="1"/>
  <c r="L109" i="121"/>
  <c r="K109" i="121"/>
  <c r="J109" i="121" s="1"/>
  <c r="L108" i="121"/>
  <c r="K108" i="121"/>
  <c r="J108" i="121"/>
  <c r="L107" i="121"/>
  <c r="K107" i="121"/>
  <c r="J107" i="121" s="1"/>
  <c r="L106" i="121"/>
  <c r="K106" i="121"/>
  <c r="J106" i="121"/>
  <c r="L105" i="121"/>
  <c r="K105" i="121"/>
  <c r="J105" i="121" s="1"/>
  <c r="L104" i="121"/>
  <c r="K104" i="121"/>
  <c r="L103" i="121"/>
  <c r="K103" i="121"/>
  <c r="J103" i="121"/>
  <c r="L102" i="121"/>
  <c r="K102" i="121"/>
  <c r="J102" i="121" s="1"/>
  <c r="L101" i="121"/>
  <c r="K101" i="121"/>
  <c r="J101" i="121" s="1"/>
  <c r="L100" i="121"/>
  <c r="K100" i="121"/>
  <c r="J100" i="121" s="1"/>
  <c r="L99" i="121"/>
  <c r="K99" i="121"/>
  <c r="J99" i="121"/>
  <c r="L98" i="121"/>
  <c r="K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/>
  <c r="L93" i="121"/>
  <c r="K93" i="121"/>
  <c r="L92" i="121"/>
  <c r="K92" i="121"/>
  <c r="L91" i="121"/>
  <c r="K91" i="121"/>
  <c r="J91" i="121" s="1"/>
  <c r="L90" i="121"/>
  <c r="K90" i="121"/>
  <c r="J90" i="121" s="1"/>
  <c r="L89" i="121"/>
  <c r="K89" i="121"/>
  <c r="J89" i="121" s="1"/>
  <c r="L88" i="121"/>
  <c r="K88" i="121"/>
  <c r="J88" i="121"/>
  <c r="L87" i="121"/>
  <c r="K87" i="121"/>
  <c r="J87" i="121"/>
  <c r="L86" i="121"/>
  <c r="K86" i="121"/>
  <c r="J86" i="121" s="1"/>
  <c r="L85" i="121"/>
  <c r="K85" i="121"/>
  <c r="L84" i="121"/>
  <c r="K84" i="121"/>
  <c r="J84" i="121" s="1"/>
  <c r="L83" i="121"/>
  <c r="K83" i="121"/>
  <c r="J83" i="121" s="1"/>
  <c r="L82" i="121"/>
  <c r="K82" i="121"/>
  <c r="J82" i="121" s="1"/>
  <c r="L81" i="121"/>
  <c r="K81" i="121"/>
  <c r="J81" i="121"/>
  <c r="L80" i="121"/>
  <c r="K80" i="121"/>
  <c r="J80" i="121"/>
  <c r="L79" i="121"/>
  <c r="K79" i="121"/>
  <c r="J79" i="121"/>
  <c r="L78" i="121"/>
  <c r="J78" i="121" s="1"/>
  <c r="K78" i="121"/>
  <c r="L77" i="121"/>
  <c r="K77" i="121"/>
  <c r="J77" i="121" s="1"/>
  <c r="L76" i="121"/>
  <c r="K76" i="121"/>
  <c r="L75" i="121"/>
  <c r="K75" i="121"/>
  <c r="J75" i="121"/>
  <c r="L74" i="121"/>
  <c r="K74" i="121"/>
  <c r="J74" i="121"/>
  <c r="L73" i="121"/>
  <c r="K73" i="121"/>
  <c r="J73" i="121" s="1"/>
  <c r="L72" i="121"/>
  <c r="J72" i="121" s="1"/>
  <c r="K72" i="121"/>
  <c r="L71" i="121"/>
  <c r="K71" i="121"/>
  <c r="J71" i="121" s="1"/>
  <c r="L70" i="121"/>
  <c r="K70" i="121"/>
  <c r="J70" i="121"/>
  <c r="L69" i="121"/>
  <c r="K69" i="121"/>
  <c r="J69" i="121" s="1"/>
  <c r="L68" i="121"/>
  <c r="K68" i="121"/>
  <c r="L67" i="121"/>
  <c r="K67" i="121"/>
  <c r="J67" i="121" s="1"/>
  <c r="L66" i="121"/>
  <c r="K66" i="121"/>
  <c r="L65" i="121"/>
  <c r="K65" i="121"/>
  <c r="J65" i="121" s="1"/>
  <c r="L64" i="121"/>
  <c r="K64" i="121"/>
  <c r="J64" i="121" s="1"/>
  <c r="L63" i="121"/>
  <c r="K63" i="121"/>
  <c r="J63" i="121"/>
  <c r="L62" i="121"/>
  <c r="K62" i="121"/>
  <c r="L61" i="121"/>
  <c r="K61" i="121"/>
  <c r="J61" i="121" s="1"/>
  <c r="L60" i="121"/>
  <c r="K60" i="121"/>
  <c r="J60" i="121" s="1"/>
  <c r="L59" i="121"/>
  <c r="K59" i="121"/>
  <c r="J59" i="121" s="1"/>
  <c r="L58" i="121"/>
  <c r="K58" i="121"/>
  <c r="J58" i="121" s="1"/>
  <c r="L57" i="121"/>
  <c r="K57" i="121"/>
  <c r="J57" i="121" s="1"/>
  <c r="L56" i="121"/>
  <c r="K56" i="121"/>
  <c r="J56" i="121" s="1"/>
  <c r="L55" i="121"/>
  <c r="K55" i="121"/>
  <c r="J55" i="121"/>
  <c r="L54" i="121"/>
  <c r="K54" i="121"/>
  <c r="L53" i="121"/>
  <c r="K53" i="121"/>
  <c r="J53" i="121" s="1"/>
  <c r="L52" i="121"/>
  <c r="K52" i="121"/>
  <c r="J52" i="121" s="1"/>
  <c r="L51" i="121"/>
  <c r="K51" i="121"/>
  <c r="L50" i="121"/>
  <c r="K50" i="121"/>
  <c r="L49" i="121"/>
  <c r="K49" i="121"/>
  <c r="L48" i="121"/>
  <c r="K48" i="121"/>
  <c r="J48" i="121" s="1"/>
  <c r="L47" i="121"/>
  <c r="K47" i="121"/>
  <c r="L45" i="121"/>
  <c r="K45" i="121"/>
  <c r="J45" i="121" s="1"/>
  <c r="L44" i="121"/>
  <c r="K44" i="121"/>
  <c r="J44" i="121" s="1"/>
  <c r="L43" i="121"/>
  <c r="K43" i="121"/>
  <c r="J43" i="121"/>
  <c r="L42" i="121"/>
  <c r="K42" i="121"/>
  <c r="L41" i="121"/>
  <c r="K41" i="121"/>
  <c r="L40" i="121"/>
  <c r="K40" i="121"/>
  <c r="J40" i="121" s="1"/>
  <c r="L39" i="121"/>
  <c r="K39" i="121"/>
  <c r="J39" i="121" s="1"/>
  <c r="L38" i="121"/>
  <c r="K38" i="121"/>
  <c r="J38" i="121" s="1"/>
  <c r="L36" i="121"/>
  <c r="K36" i="121"/>
  <c r="J36" i="121" s="1"/>
  <c r="L35" i="121"/>
  <c r="K35" i="121"/>
  <c r="J35" i="121" s="1"/>
  <c r="L34" i="121"/>
  <c r="K34" i="121"/>
  <c r="J34" i="121" s="1"/>
  <c r="L33" i="121"/>
  <c r="K33" i="121"/>
  <c r="L32" i="121"/>
  <c r="K32" i="121"/>
  <c r="J32" i="121" s="1"/>
  <c r="L31" i="121"/>
  <c r="K31" i="121"/>
  <c r="J31" i="121" s="1"/>
  <c r="L30" i="121"/>
  <c r="K30" i="121"/>
  <c r="J30" i="121" s="1"/>
  <c r="L29" i="121"/>
  <c r="K29" i="121"/>
  <c r="J29" i="121" s="1"/>
  <c r="L28" i="121"/>
  <c r="K28" i="121"/>
  <c r="J28" i="121" s="1"/>
  <c r="L27" i="121"/>
  <c r="K27" i="121"/>
  <c r="J27" i="121"/>
  <c r="L26" i="121"/>
  <c r="K26" i="121"/>
  <c r="J26" i="121" s="1"/>
  <c r="L25" i="121"/>
  <c r="K25" i="121"/>
  <c r="L251" i="122"/>
  <c r="K251" i="122"/>
  <c r="J251" i="122" s="1"/>
  <c r="L250" i="122"/>
  <c r="K250" i="122"/>
  <c r="J250" i="122" s="1"/>
  <c r="L249" i="122"/>
  <c r="K249" i="122"/>
  <c r="J249" i="122" s="1"/>
  <c r="L248" i="122"/>
  <c r="K248" i="122"/>
  <c r="J248" i="122"/>
  <c r="L247" i="122"/>
  <c r="K247" i="122"/>
  <c r="L246" i="122"/>
  <c r="K246" i="122"/>
  <c r="J246" i="122"/>
  <c r="L245" i="122"/>
  <c r="K245" i="122"/>
  <c r="J245" i="122" s="1"/>
  <c r="L244" i="122"/>
  <c r="J244" i="122" s="1"/>
  <c r="K244" i="122"/>
  <c r="L243" i="122"/>
  <c r="K243" i="122"/>
  <c r="J243" i="122"/>
  <c r="L242" i="122"/>
  <c r="K242" i="122"/>
  <c r="J242" i="122" s="1"/>
  <c r="L241" i="122"/>
  <c r="K241" i="122"/>
  <c r="J241" i="122"/>
  <c r="L240" i="122"/>
  <c r="K240" i="122"/>
  <c r="L239" i="122"/>
  <c r="K239" i="122"/>
  <c r="L238" i="122"/>
  <c r="K238" i="122"/>
  <c r="J238" i="122" s="1"/>
  <c r="L237" i="122"/>
  <c r="K237" i="122"/>
  <c r="J237" i="122" s="1"/>
  <c r="L236" i="122"/>
  <c r="J236" i="122" s="1"/>
  <c r="K236" i="122"/>
  <c r="L235" i="122"/>
  <c r="K235" i="122"/>
  <c r="J235" i="122" s="1"/>
  <c r="L234" i="122"/>
  <c r="K234" i="122"/>
  <c r="L233" i="122"/>
  <c r="K233" i="122"/>
  <c r="J233" i="122"/>
  <c r="L232" i="122"/>
  <c r="K232" i="122"/>
  <c r="J232" i="122" s="1"/>
  <c r="L231" i="122"/>
  <c r="J231" i="122" s="1"/>
  <c r="K231" i="122"/>
  <c r="L230" i="122"/>
  <c r="K230" i="122"/>
  <c r="J230" i="122"/>
  <c r="L229" i="122"/>
  <c r="K229" i="122"/>
  <c r="J229" i="122" s="1"/>
  <c r="L228" i="122"/>
  <c r="K228" i="122"/>
  <c r="J228" i="122" s="1"/>
  <c r="L227" i="122"/>
  <c r="K227" i="122"/>
  <c r="J227" i="122"/>
  <c r="L226" i="122"/>
  <c r="K226" i="122"/>
  <c r="J226" i="122"/>
  <c r="L225" i="122"/>
  <c r="J225" i="122" s="1"/>
  <c r="K225" i="122"/>
  <c r="L224" i="122"/>
  <c r="K224" i="122"/>
  <c r="J224" i="122" s="1"/>
  <c r="L223" i="122"/>
  <c r="K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 s="1"/>
  <c r="L218" i="122"/>
  <c r="K218" i="122"/>
  <c r="L217" i="122"/>
  <c r="K217" i="122"/>
  <c r="J217" i="122" s="1"/>
  <c r="L216" i="122"/>
  <c r="K216" i="122"/>
  <c r="J216" i="122"/>
  <c r="L215" i="122"/>
  <c r="K215" i="122"/>
  <c r="J215" i="122"/>
  <c r="L214" i="122"/>
  <c r="K214" i="122"/>
  <c r="L213" i="122"/>
  <c r="K213" i="122"/>
  <c r="J213" i="122" s="1"/>
  <c r="L212" i="122"/>
  <c r="K212" i="122"/>
  <c r="J212" i="122"/>
  <c r="L211" i="122"/>
  <c r="K211" i="122"/>
  <c r="J211" i="122"/>
  <c r="L210" i="122"/>
  <c r="K210" i="122"/>
  <c r="J210" i="122"/>
  <c r="L209" i="122"/>
  <c r="K209" i="122"/>
  <c r="J209" i="122" s="1"/>
  <c r="L208" i="122"/>
  <c r="K208" i="122"/>
  <c r="J208" i="122" s="1"/>
  <c r="L207" i="122"/>
  <c r="K207" i="122"/>
  <c r="J207" i="122" s="1"/>
  <c r="L206" i="122"/>
  <c r="K206" i="122"/>
  <c r="L205" i="122"/>
  <c r="K205" i="122"/>
  <c r="J205" i="122" s="1"/>
  <c r="L204" i="122"/>
  <c r="K204" i="122"/>
  <c r="J204" i="122"/>
  <c r="L203" i="122"/>
  <c r="K203" i="122"/>
  <c r="L202" i="122"/>
  <c r="K202" i="122"/>
  <c r="J202" i="122"/>
  <c r="L201" i="122"/>
  <c r="K201" i="122"/>
  <c r="J201" i="122"/>
  <c r="L200" i="122"/>
  <c r="K200" i="122"/>
  <c r="L199" i="122"/>
  <c r="K199" i="122"/>
  <c r="J199" i="122" s="1"/>
  <c r="L198" i="122"/>
  <c r="K198" i="122"/>
  <c r="J198" i="122" s="1"/>
  <c r="L197" i="122"/>
  <c r="K197" i="122"/>
  <c r="J197" i="122"/>
  <c r="L196" i="122"/>
  <c r="K196" i="122"/>
  <c r="J196" i="122" s="1"/>
  <c r="L195" i="122"/>
  <c r="K195" i="122"/>
  <c r="J195" i="122"/>
  <c r="L194" i="122"/>
  <c r="K194" i="122"/>
  <c r="J194" i="122" s="1"/>
  <c r="L193" i="122"/>
  <c r="K193" i="122"/>
  <c r="J193" i="122" s="1"/>
  <c r="L192" i="122"/>
  <c r="K192" i="122"/>
  <c r="J192" i="122"/>
  <c r="L191" i="122"/>
  <c r="K191" i="122"/>
  <c r="J191" i="122" s="1"/>
  <c r="L190" i="122"/>
  <c r="K190" i="122"/>
  <c r="J190" i="122" s="1"/>
  <c r="L189" i="122"/>
  <c r="K189" i="122"/>
  <c r="J189" i="122"/>
  <c r="L188" i="122"/>
  <c r="K188" i="122"/>
  <c r="J188" i="122" s="1"/>
  <c r="L187" i="122"/>
  <c r="K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K182" i="122"/>
  <c r="L181" i="122"/>
  <c r="K181" i="122"/>
  <c r="J181" i="122" s="1"/>
  <c r="L180" i="122"/>
  <c r="K180" i="122"/>
  <c r="J180" i="122" s="1"/>
  <c r="L179" i="122"/>
  <c r="K179" i="122"/>
  <c r="J179" i="122"/>
  <c r="L178" i="122"/>
  <c r="K178" i="122"/>
  <c r="J178" i="122"/>
  <c r="L177" i="122"/>
  <c r="K177" i="122"/>
  <c r="J177" i="122"/>
  <c r="L176" i="122"/>
  <c r="K176" i="122"/>
  <c r="J176" i="122" s="1"/>
  <c r="L175" i="122"/>
  <c r="K175" i="122"/>
  <c r="J175" i="122"/>
  <c r="L174" i="122"/>
  <c r="K174" i="122"/>
  <c r="J174" i="122" s="1"/>
  <c r="L173" i="122"/>
  <c r="K173" i="122"/>
  <c r="J173" i="122"/>
  <c r="L172" i="122"/>
  <c r="K172" i="122"/>
  <c r="J172" i="122"/>
  <c r="L171" i="122"/>
  <c r="K171" i="122"/>
  <c r="J171" i="122" s="1"/>
  <c r="L170" i="122"/>
  <c r="K170" i="122"/>
  <c r="J170" i="122"/>
  <c r="L169" i="122"/>
  <c r="K169" i="122"/>
  <c r="L168" i="122"/>
  <c r="K168" i="122"/>
  <c r="J168" i="122"/>
  <c r="L167" i="122"/>
  <c r="K167" i="122"/>
  <c r="J167" i="122"/>
  <c r="L166" i="122"/>
  <c r="K166" i="122"/>
  <c r="J166" i="122"/>
  <c r="L165" i="122"/>
  <c r="K165" i="122"/>
  <c r="J165" i="122" s="1"/>
  <c r="L164" i="122"/>
  <c r="K164" i="122"/>
  <c r="J164" i="122" s="1"/>
  <c r="L163" i="122"/>
  <c r="K163" i="122"/>
  <c r="L162" i="122"/>
  <c r="K162" i="122"/>
  <c r="J162" i="122" s="1"/>
  <c r="L161" i="122"/>
  <c r="K161" i="122"/>
  <c r="J161" i="122"/>
  <c r="L160" i="122"/>
  <c r="K160" i="122"/>
  <c r="L159" i="122"/>
  <c r="K159" i="122"/>
  <c r="J159" i="122"/>
  <c r="L158" i="122"/>
  <c r="K158" i="122"/>
  <c r="J158" i="122" s="1"/>
  <c r="L157" i="122"/>
  <c r="K157" i="122"/>
  <c r="J157" i="122" s="1"/>
  <c r="L156" i="122"/>
  <c r="K156" i="122"/>
  <c r="J156" i="122" s="1"/>
  <c r="L155" i="122"/>
  <c r="K155" i="122"/>
  <c r="L154" i="122"/>
  <c r="K154" i="122"/>
  <c r="J154" i="122"/>
  <c r="L153" i="122"/>
  <c r="K153" i="122"/>
  <c r="J153" i="122" s="1"/>
  <c r="L152" i="122"/>
  <c r="K152" i="122"/>
  <c r="J152" i="122"/>
  <c r="L151" i="122"/>
  <c r="K151" i="122"/>
  <c r="J151" i="122" s="1"/>
  <c r="L150" i="122"/>
  <c r="K150" i="122"/>
  <c r="J150" i="122" s="1"/>
  <c r="L149" i="122"/>
  <c r="K149" i="122"/>
  <c r="L148" i="122"/>
  <c r="K148" i="122"/>
  <c r="J148" i="122"/>
  <c r="L147" i="122"/>
  <c r="K147" i="122"/>
  <c r="L146" i="122"/>
  <c r="K146" i="122"/>
  <c r="J146" i="122"/>
  <c r="L145" i="122"/>
  <c r="K145" i="122"/>
  <c r="J145" i="122" s="1"/>
  <c r="L144" i="122"/>
  <c r="K144" i="122"/>
  <c r="L143" i="122"/>
  <c r="K143" i="122"/>
  <c r="J143" i="122"/>
  <c r="L142" i="122"/>
  <c r="K142" i="122"/>
  <c r="J142" i="122" s="1"/>
  <c r="L141" i="122"/>
  <c r="K141" i="122"/>
  <c r="J141" i="122" s="1"/>
  <c r="L140" i="122"/>
  <c r="K140" i="122"/>
  <c r="J140" i="122"/>
  <c r="L139" i="122"/>
  <c r="K139" i="122"/>
  <c r="J139" i="122" s="1"/>
  <c r="L138" i="122"/>
  <c r="K138" i="122"/>
  <c r="L137" i="122"/>
  <c r="K137" i="122"/>
  <c r="J137" i="122" s="1"/>
  <c r="L136" i="122"/>
  <c r="K136" i="122"/>
  <c r="J136" i="122" s="1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 s="1"/>
  <c r="L131" i="122"/>
  <c r="K131" i="122"/>
  <c r="L130" i="122"/>
  <c r="K130" i="122"/>
  <c r="J130" i="122" s="1"/>
  <c r="L129" i="122"/>
  <c r="K129" i="122"/>
  <c r="J129" i="122"/>
  <c r="L128" i="122"/>
  <c r="K128" i="122"/>
  <c r="J128" i="122"/>
  <c r="L127" i="122"/>
  <c r="K127" i="122"/>
  <c r="L126" i="122"/>
  <c r="K126" i="122"/>
  <c r="J126" i="122" s="1"/>
  <c r="L125" i="122"/>
  <c r="K125" i="122"/>
  <c r="J125" i="122" s="1"/>
  <c r="L124" i="122"/>
  <c r="K124" i="122"/>
  <c r="J124" i="122"/>
  <c r="L123" i="122"/>
  <c r="K123" i="122"/>
  <c r="J123" i="122" s="1"/>
  <c r="L122" i="122"/>
  <c r="K122" i="122"/>
  <c r="J122" i="122"/>
  <c r="L121" i="122"/>
  <c r="K121" i="122"/>
  <c r="J121" i="122"/>
  <c r="L120" i="122"/>
  <c r="K120" i="122"/>
  <c r="J120" i="122" s="1"/>
  <c r="L119" i="122"/>
  <c r="K119" i="122"/>
  <c r="L118" i="122"/>
  <c r="K118" i="122"/>
  <c r="J118" i="122"/>
  <c r="L117" i="122"/>
  <c r="K117" i="122"/>
  <c r="J117" i="122"/>
  <c r="L116" i="122"/>
  <c r="K116" i="122"/>
  <c r="L115" i="122"/>
  <c r="K115" i="122"/>
  <c r="J115" i="122"/>
  <c r="L114" i="122"/>
  <c r="K114" i="122"/>
  <c r="J114" i="122" s="1"/>
  <c r="L113" i="122"/>
  <c r="K113" i="122"/>
  <c r="J113" i="122" s="1"/>
  <c r="L112" i="122"/>
  <c r="K112" i="122"/>
  <c r="J112" i="122"/>
  <c r="L111" i="122"/>
  <c r="K111" i="122"/>
  <c r="J111" i="122" s="1"/>
  <c r="L110" i="122"/>
  <c r="K110" i="122"/>
  <c r="J110" i="122"/>
  <c r="L109" i="122"/>
  <c r="K109" i="122"/>
  <c r="J109" i="122" s="1"/>
  <c r="L108" i="122"/>
  <c r="K108" i="122"/>
  <c r="J108" i="122"/>
  <c r="L107" i="122"/>
  <c r="J107" i="122" s="1"/>
  <c r="K107" i="122"/>
  <c r="L106" i="122"/>
  <c r="K106" i="122"/>
  <c r="J106" i="122" s="1"/>
  <c r="L105" i="122"/>
  <c r="K105" i="122"/>
  <c r="L104" i="122"/>
  <c r="K104" i="122"/>
  <c r="J104" i="122"/>
  <c r="L103" i="122"/>
  <c r="K103" i="122"/>
  <c r="J103" i="122" s="1"/>
  <c r="L102" i="122"/>
  <c r="K102" i="122"/>
  <c r="J102" i="122"/>
  <c r="L101" i="122"/>
  <c r="K101" i="122"/>
  <c r="J101" i="122" s="1"/>
  <c r="L100" i="122"/>
  <c r="K100" i="122"/>
  <c r="J100" i="122" s="1"/>
  <c r="L99" i="122"/>
  <c r="K99" i="122"/>
  <c r="J99" i="122" s="1"/>
  <c r="L98" i="122"/>
  <c r="K98" i="122"/>
  <c r="J98" i="122" s="1"/>
  <c r="L97" i="122"/>
  <c r="K97" i="122"/>
  <c r="J97" i="122"/>
  <c r="L96" i="122"/>
  <c r="K96" i="122"/>
  <c r="J96" i="122"/>
  <c r="L95" i="122"/>
  <c r="K95" i="122"/>
  <c r="J95" i="122" s="1"/>
  <c r="L94" i="122"/>
  <c r="K94" i="122"/>
  <c r="J94" i="122" s="1"/>
  <c r="L93" i="122"/>
  <c r="K93" i="122"/>
  <c r="L92" i="122"/>
  <c r="K92" i="122"/>
  <c r="J92" i="122" s="1"/>
  <c r="L91" i="122"/>
  <c r="K91" i="122"/>
  <c r="J91" i="122"/>
  <c r="L90" i="122"/>
  <c r="K90" i="122"/>
  <c r="J90" i="122"/>
  <c r="L89" i="122"/>
  <c r="K89" i="122"/>
  <c r="L88" i="122"/>
  <c r="K88" i="122"/>
  <c r="J88" i="122"/>
  <c r="L87" i="122"/>
  <c r="K87" i="122"/>
  <c r="J87" i="122" s="1"/>
  <c r="L86" i="122"/>
  <c r="K86" i="122"/>
  <c r="J86" i="122"/>
  <c r="L85" i="122"/>
  <c r="K85" i="122"/>
  <c r="J85" i="122"/>
  <c r="L84" i="122"/>
  <c r="K84" i="122"/>
  <c r="J84" i="122" s="1"/>
  <c r="L83" i="122"/>
  <c r="K83" i="122"/>
  <c r="L82" i="122"/>
  <c r="K82" i="122"/>
  <c r="J82" i="122" s="1"/>
  <c r="L81" i="122"/>
  <c r="K81" i="122"/>
  <c r="L80" i="122"/>
  <c r="K80" i="122"/>
  <c r="L79" i="122"/>
  <c r="K79" i="122"/>
  <c r="J79" i="122" s="1"/>
  <c r="L78" i="122"/>
  <c r="K78" i="122"/>
  <c r="J78" i="122" s="1"/>
  <c r="L77" i="122"/>
  <c r="K77" i="122"/>
  <c r="J77" i="122" s="1"/>
  <c r="L76" i="122"/>
  <c r="K76" i="122"/>
  <c r="J76" i="122" s="1"/>
  <c r="L75" i="122"/>
  <c r="K75" i="122"/>
  <c r="J75" i="122" s="1"/>
  <c r="L74" i="122"/>
  <c r="K74" i="122"/>
  <c r="J74" i="122" s="1"/>
  <c r="L73" i="122"/>
  <c r="K73" i="122"/>
  <c r="J73" i="122" s="1"/>
  <c r="L72" i="122"/>
  <c r="K72" i="122"/>
  <c r="J72" i="122"/>
  <c r="L71" i="122"/>
  <c r="K71" i="122"/>
  <c r="J71" i="122" s="1"/>
  <c r="L70" i="122"/>
  <c r="K70" i="122"/>
  <c r="L69" i="122"/>
  <c r="K69" i="122"/>
  <c r="J69" i="122"/>
  <c r="L68" i="122"/>
  <c r="K68" i="122"/>
  <c r="L67" i="122"/>
  <c r="K67" i="122"/>
  <c r="J67" i="122" s="1"/>
  <c r="L66" i="122"/>
  <c r="K66" i="122"/>
  <c r="J66" i="122"/>
  <c r="L65" i="122"/>
  <c r="K65" i="122"/>
  <c r="J65" i="122" s="1"/>
  <c r="L64" i="122"/>
  <c r="K64" i="122"/>
  <c r="J64" i="122" s="1"/>
  <c r="L63" i="122"/>
  <c r="K63" i="122"/>
  <c r="J63" i="122"/>
  <c r="L62" i="122"/>
  <c r="K62" i="122"/>
  <c r="J62" i="122" s="1"/>
  <c r="L61" i="122"/>
  <c r="K61" i="122"/>
  <c r="J61" i="122" s="1"/>
  <c r="L60" i="122"/>
  <c r="K60" i="122"/>
  <c r="J60" i="122" s="1"/>
  <c r="L59" i="122"/>
  <c r="K59" i="122"/>
  <c r="J59" i="122" s="1"/>
  <c r="L58" i="122"/>
  <c r="K58" i="122"/>
  <c r="J58" i="122" s="1"/>
  <c r="L57" i="122"/>
  <c r="K57" i="122"/>
  <c r="L56" i="122"/>
  <c r="K56" i="122"/>
  <c r="J56" i="122" s="1"/>
  <c r="L55" i="122"/>
  <c r="K55" i="122"/>
  <c r="J55" i="122" s="1"/>
  <c r="L54" i="122"/>
  <c r="K54" i="122"/>
  <c r="J54" i="122" s="1"/>
  <c r="L53" i="122"/>
  <c r="K53" i="122"/>
  <c r="L52" i="122"/>
  <c r="K52" i="122"/>
  <c r="J52" i="122" s="1"/>
  <c r="L51" i="122"/>
  <c r="K51" i="122"/>
  <c r="J51" i="122" s="1"/>
  <c r="L50" i="122"/>
  <c r="K50" i="122"/>
  <c r="L49" i="122"/>
  <c r="K49" i="122"/>
  <c r="J49" i="122" s="1"/>
  <c r="L48" i="122"/>
  <c r="K48" i="122"/>
  <c r="J48" i="122" s="1"/>
  <c r="L47" i="122"/>
  <c r="K47" i="122"/>
  <c r="J47" i="122" s="1"/>
  <c r="L46" i="122"/>
  <c r="K46" i="122"/>
  <c r="J46" i="122" s="1"/>
  <c r="L45" i="122"/>
  <c r="K45" i="122"/>
  <c r="J45" i="122"/>
  <c r="L44" i="122"/>
  <c r="K44" i="122"/>
  <c r="J44" i="122" s="1"/>
  <c r="L43" i="122"/>
  <c r="K43" i="122"/>
  <c r="J43" i="122" s="1"/>
  <c r="L42" i="122"/>
  <c r="K42" i="122"/>
  <c r="J42" i="122"/>
  <c r="L41" i="122"/>
  <c r="K41" i="122"/>
  <c r="J41" i="122" s="1"/>
  <c r="L40" i="122"/>
  <c r="K40" i="122"/>
  <c r="J40" i="122" s="1"/>
  <c r="L39" i="122"/>
  <c r="K39" i="122"/>
  <c r="J39" i="122" s="1"/>
  <c r="L38" i="122"/>
  <c r="K38" i="122"/>
  <c r="J38" i="122" s="1"/>
  <c r="L37" i="122"/>
  <c r="K37" i="122"/>
  <c r="J37" i="122" s="1"/>
  <c r="L36" i="122"/>
  <c r="K36" i="122"/>
  <c r="J36" i="122" s="1"/>
  <c r="L35" i="122"/>
  <c r="K35" i="122"/>
  <c r="J35" i="122" s="1"/>
  <c r="L34" i="122"/>
  <c r="K34" i="122"/>
  <c r="J34" i="122" s="1"/>
  <c r="L33" i="122"/>
  <c r="K33" i="122"/>
  <c r="J33" i="122" s="1"/>
  <c r="L32" i="122"/>
  <c r="K32" i="122"/>
  <c r="J32" i="122" s="1"/>
  <c r="L31" i="122"/>
  <c r="J31" i="122" s="1"/>
  <c r="K31" i="122"/>
  <c r="L30" i="122"/>
  <c r="K30" i="122"/>
  <c r="L29" i="122"/>
  <c r="K29" i="122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L252" i="123"/>
  <c r="K252" i="123"/>
  <c r="J252" i="123" s="1"/>
  <c r="L251" i="123"/>
  <c r="K251" i="123"/>
  <c r="J251" i="123"/>
  <c r="L250" i="123"/>
  <c r="K250" i="123"/>
  <c r="J250" i="123" s="1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 s="1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 s="1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 s="1"/>
  <c r="L234" i="123"/>
  <c r="K234" i="123"/>
  <c r="J234" i="123" s="1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 s="1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 s="1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 s="1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J214" i="123" s="1"/>
  <c r="K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 s="1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 s="1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 s="1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 s="1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J181" i="123" s="1"/>
  <c r="K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 s="1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 s="1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 s="1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J160" i="123" s="1"/>
  <c r="K160" i="123"/>
  <c r="L159" i="123"/>
  <c r="K159" i="123"/>
  <c r="J159" i="123"/>
  <c r="L158" i="123"/>
  <c r="K158" i="123"/>
  <c r="J158" i="123"/>
  <c r="L157" i="123"/>
  <c r="K157" i="123"/>
  <c r="J157" i="123" s="1"/>
  <c r="L156" i="123"/>
  <c r="K156" i="123"/>
  <c r="J156" i="123"/>
  <c r="L155" i="123"/>
  <c r="K155" i="123"/>
  <c r="J155" i="123"/>
  <c r="L154" i="123"/>
  <c r="K154" i="123"/>
  <c r="J154" i="123" s="1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J149" i="123" s="1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 s="1"/>
  <c r="L142" i="123"/>
  <c r="K142" i="123"/>
  <c r="J142" i="123"/>
  <c r="L141" i="123"/>
  <c r="K141" i="123"/>
  <c r="J141" i="123" s="1"/>
  <c r="L140" i="123"/>
  <c r="K140" i="123"/>
  <c r="J140" i="123"/>
  <c r="L139" i="123"/>
  <c r="K139" i="123"/>
  <c r="J139" i="123"/>
  <c r="L138" i="123"/>
  <c r="J138" i="123" s="1"/>
  <c r="K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J133" i="123" s="1"/>
  <c r="L132" i="123"/>
  <c r="K132" i="123"/>
  <c r="J132" i="123" s="1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 s="1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 s="1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 s="1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 s="1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 s="1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 s="1"/>
  <c r="L99" i="123"/>
  <c r="K99" i="123"/>
  <c r="J99" i="123"/>
  <c r="L98" i="123"/>
  <c r="K98" i="123"/>
  <c r="J98" i="123"/>
  <c r="L97" i="123"/>
  <c r="K97" i="123"/>
  <c r="J97" i="123"/>
  <c r="L96" i="123"/>
  <c r="K96" i="123"/>
  <c r="J96" i="123" s="1"/>
  <c r="L95" i="123"/>
  <c r="K95" i="123"/>
  <c r="J95" i="123" s="1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 s="1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J84" i="123" s="1"/>
  <c r="K84" i="123"/>
  <c r="L83" i="123"/>
  <c r="K83" i="123"/>
  <c r="J83" i="123"/>
  <c r="L82" i="123"/>
  <c r="K82" i="123"/>
  <c r="J82" i="123"/>
  <c r="L81" i="123"/>
  <c r="K81" i="123"/>
  <c r="J81" i="123"/>
  <c r="L80" i="123"/>
  <c r="K80" i="123"/>
  <c r="J80" i="123" s="1"/>
  <c r="L79" i="123"/>
  <c r="K79" i="123"/>
  <c r="J79" i="123"/>
  <c r="L78" i="123"/>
  <c r="K78" i="123"/>
  <c r="J78" i="123" s="1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L72" i="123"/>
  <c r="K72" i="123"/>
  <c r="J72" i="123" s="1"/>
  <c r="L71" i="123"/>
  <c r="K71" i="123"/>
  <c r="J71" i="123"/>
  <c r="L70" i="123"/>
  <c r="K70" i="123"/>
  <c r="J70" i="123"/>
  <c r="L69" i="123"/>
  <c r="K69" i="123"/>
  <c r="J69" i="123" s="1"/>
  <c r="L68" i="123"/>
  <c r="K68" i="123"/>
  <c r="J68" i="123"/>
  <c r="L67" i="123"/>
  <c r="K67" i="123"/>
  <c r="J67" i="123" s="1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 s="1"/>
  <c r="L61" i="123"/>
  <c r="K61" i="123"/>
  <c r="J61" i="123" s="1"/>
  <c r="L60" i="123"/>
  <c r="K60" i="123"/>
  <c r="J60" i="123"/>
  <c r="L59" i="123"/>
  <c r="K59" i="123"/>
  <c r="J59" i="123"/>
  <c r="L58" i="123"/>
  <c r="K58" i="123"/>
  <c r="J58" i="123" s="1"/>
  <c r="L57" i="123"/>
  <c r="K57" i="123"/>
  <c r="J57" i="123" s="1"/>
  <c r="L56" i="123"/>
  <c r="K56" i="123"/>
  <c r="J56" i="123"/>
  <c r="L55" i="123"/>
  <c r="K55" i="123"/>
  <c r="J55" i="123" s="1"/>
  <c r="L54" i="123"/>
  <c r="K54" i="123"/>
  <c r="J54" i="123" s="1"/>
  <c r="L53" i="123"/>
  <c r="K53" i="123"/>
  <c r="J53" i="123"/>
  <c r="L52" i="123"/>
  <c r="K52" i="123"/>
  <c r="J52" i="123"/>
  <c r="L51" i="123"/>
  <c r="K51" i="123"/>
  <c r="J51" i="123" s="1"/>
  <c r="L50" i="123"/>
  <c r="K50" i="123"/>
  <c r="J50" i="123"/>
  <c r="L49" i="123"/>
  <c r="K49" i="123"/>
  <c r="J49" i="123" s="1"/>
  <c r="L48" i="123"/>
  <c r="J48" i="123" s="1"/>
  <c r="K48" i="123"/>
  <c r="L47" i="123"/>
  <c r="K47" i="123"/>
  <c r="J47" i="123"/>
  <c r="L46" i="123"/>
  <c r="K46" i="123"/>
  <c r="J46" i="123" s="1"/>
  <c r="L45" i="123"/>
  <c r="K45" i="123"/>
  <c r="J45" i="123"/>
  <c r="L44" i="123"/>
  <c r="K44" i="123"/>
  <c r="J44" i="123"/>
  <c r="L43" i="123"/>
  <c r="K43" i="123"/>
  <c r="J43" i="123"/>
  <c r="L42" i="123"/>
  <c r="K42" i="123"/>
  <c r="J42" i="123" s="1"/>
  <c r="L41" i="123"/>
  <c r="K41" i="123"/>
  <c r="J41" i="123" s="1"/>
  <c r="L40" i="123"/>
  <c r="K40" i="123"/>
  <c r="J40" i="123"/>
  <c r="L38" i="123"/>
  <c r="K38" i="123"/>
  <c r="J38" i="123"/>
  <c r="L37" i="123"/>
  <c r="K37" i="123"/>
  <c r="J37" i="123" s="1"/>
  <c r="L36" i="123"/>
  <c r="K36" i="123"/>
  <c r="J36" i="123" s="1"/>
  <c r="L35" i="123"/>
  <c r="K35" i="123"/>
  <c r="L34" i="123"/>
  <c r="K34" i="123"/>
  <c r="L33" i="123"/>
  <c r="K33" i="123"/>
  <c r="J33" i="123" s="1"/>
  <c r="L32" i="123"/>
  <c r="K32" i="123"/>
  <c r="J32" i="123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 s="1"/>
  <c r="L26" i="123"/>
  <c r="K26" i="123"/>
  <c r="J26" i="123" s="1"/>
  <c r="L25" i="123"/>
  <c r="K25" i="123"/>
  <c r="J25" i="123"/>
  <c r="L253" i="124"/>
  <c r="K253" i="124"/>
  <c r="J253" i="124"/>
  <c r="L252" i="124"/>
  <c r="K252" i="124"/>
  <c r="J252" i="124"/>
  <c r="L251" i="124"/>
  <c r="K251" i="124"/>
  <c r="J251" i="124"/>
  <c r="L250" i="124"/>
  <c r="K250" i="124"/>
  <c r="L249" i="124"/>
  <c r="J249" i="124"/>
  <c r="K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J233" i="124"/>
  <c r="K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L217" i="124"/>
  <c r="J217" i="124"/>
  <c r="K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L153" i="124"/>
  <c r="J153" i="124"/>
  <c r="K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J79" i="124"/>
  <c r="K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L59" i="124"/>
  <c r="K59" i="124"/>
  <c r="J59" i="124" s="1"/>
  <c r="L58" i="124"/>
  <c r="K58" i="124"/>
  <c r="L57" i="124"/>
  <c r="K57" i="124"/>
  <c r="J57" i="124"/>
  <c r="L56" i="124"/>
  <c r="K56" i="124"/>
  <c r="J56" i="124" s="1"/>
  <c r="L55" i="124"/>
  <c r="K55" i="124"/>
  <c r="J55" i="124"/>
  <c r="L54" i="124"/>
  <c r="K54" i="124"/>
  <c r="J54" i="124"/>
  <c r="L53" i="124"/>
  <c r="K53" i="124"/>
  <c r="J53" i="124" s="1"/>
  <c r="L52" i="124"/>
  <c r="K52" i="124"/>
  <c r="J52" i="124"/>
  <c r="L51" i="124"/>
  <c r="K51" i="124"/>
  <c r="J51" i="124"/>
  <c r="L50" i="124"/>
  <c r="K50" i="124"/>
  <c r="J50" i="124"/>
  <c r="L49" i="124"/>
  <c r="K49" i="124"/>
  <c r="J49" i="124"/>
  <c r="L48" i="124"/>
  <c r="K48" i="124"/>
  <c r="J48" i="124"/>
  <c r="L47" i="124"/>
  <c r="K47" i="124"/>
  <c r="J47" i="124" s="1"/>
  <c r="L46" i="124"/>
  <c r="K46" i="124"/>
  <c r="J46" i="124" s="1"/>
  <c r="L45" i="124"/>
  <c r="K45" i="124"/>
  <c r="J45" i="124"/>
  <c r="L43" i="124"/>
  <c r="K43" i="124"/>
  <c r="J43" i="124"/>
  <c r="L42" i="124"/>
  <c r="K42" i="124"/>
  <c r="J42" i="124" s="1"/>
  <c r="L41" i="124"/>
  <c r="K41" i="124"/>
  <c r="J41" i="124" s="1"/>
  <c r="L40" i="124"/>
  <c r="K40" i="124"/>
  <c r="J40" i="124"/>
  <c r="L39" i="124"/>
  <c r="K39" i="124"/>
  <c r="J39" i="124" s="1"/>
  <c r="L38" i="124"/>
  <c r="K38" i="124"/>
  <c r="J38" i="124"/>
  <c r="L37" i="124"/>
  <c r="K37" i="124"/>
  <c r="J37" i="124" s="1"/>
  <c r="L36" i="124"/>
  <c r="K36" i="124"/>
  <c r="J36" i="124" s="1"/>
  <c r="L35" i="124"/>
  <c r="K35" i="124"/>
  <c r="J35" i="124"/>
  <c r="L34" i="124"/>
  <c r="K34" i="124"/>
  <c r="J34" i="124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/>
  <c r="L27" i="124"/>
  <c r="K27" i="124"/>
  <c r="J27" i="124"/>
  <c r="L26" i="124"/>
  <c r="K26" i="124"/>
  <c r="J26" i="124"/>
  <c r="L25" i="124"/>
  <c r="K25" i="124"/>
  <c r="J25" i="124" s="1"/>
  <c r="L249" i="125"/>
  <c r="K249" i="125"/>
  <c r="J249" i="125"/>
  <c r="L248" i="125"/>
  <c r="K248" i="125"/>
  <c r="J248" i="125"/>
  <c r="L247" i="125"/>
  <c r="K247" i="125"/>
  <c r="J247" i="125"/>
  <c r="L246" i="125"/>
  <c r="K246" i="125"/>
  <c r="J246" i="125" s="1"/>
  <c r="L245" i="125"/>
  <c r="K245" i="125"/>
  <c r="J245" i="125" s="1"/>
  <c r="L244" i="125"/>
  <c r="K244" i="125"/>
  <c r="J244" i="125" s="1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 s="1"/>
  <c r="L239" i="125"/>
  <c r="J239" i="125" s="1"/>
  <c r="K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 s="1"/>
  <c r="L234" i="125"/>
  <c r="K234" i="125"/>
  <c r="J234" i="125" s="1"/>
  <c r="L233" i="125"/>
  <c r="J233" i="125" s="1"/>
  <c r="K233" i="125"/>
  <c r="L232" i="125"/>
  <c r="K232" i="125"/>
  <c r="J232" i="125"/>
  <c r="L231" i="125"/>
  <c r="K231" i="125"/>
  <c r="J231" i="125"/>
  <c r="L230" i="125"/>
  <c r="K230" i="125"/>
  <c r="J230" i="125" s="1"/>
  <c r="L229" i="125"/>
  <c r="K229" i="125"/>
  <c r="J229" i="125" s="1"/>
  <c r="L228" i="125"/>
  <c r="K228" i="125"/>
  <c r="J228" i="125" s="1"/>
  <c r="L227" i="125"/>
  <c r="K227" i="125"/>
  <c r="J227" i="125" s="1"/>
  <c r="L226" i="125"/>
  <c r="K226" i="125"/>
  <c r="J226" i="125" s="1"/>
  <c r="L225" i="125"/>
  <c r="K225" i="125"/>
  <c r="J225" i="125"/>
  <c r="L224" i="125"/>
  <c r="K224" i="125"/>
  <c r="L223" i="125"/>
  <c r="K223" i="125"/>
  <c r="J223" i="125"/>
  <c r="L222" i="125"/>
  <c r="K222" i="125"/>
  <c r="J222" i="125"/>
  <c r="L221" i="125"/>
  <c r="K221" i="125"/>
  <c r="J221" i="125" s="1"/>
  <c r="L220" i="125"/>
  <c r="K220" i="125"/>
  <c r="J220" i="125"/>
  <c r="L219" i="125"/>
  <c r="K219" i="125"/>
  <c r="J219" i="125" s="1"/>
  <c r="L218" i="125"/>
  <c r="K218" i="125"/>
  <c r="J218" i="125"/>
  <c r="L217" i="125"/>
  <c r="K217" i="125"/>
  <c r="J217" i="125" s="1"/>
  <c r="L216" i="125"/>
  <c r="K216" i="125"/>
  <c r="J216" i="125"/>
  <c r="L215" i="125"/>
  <c r="J215" i="125" s="1"/>
  <c r="K215" i="125"/>
  <c r="L214" i="125"/>
  <c r="K214" i="125"/>
  <c r="J214" i="125"/>
  <c r="L213" i="125"/>
  <c r="K213" i="125"/>
  <c r="J213" i="125" s="1"/>
  <c r="L212" i="125"/>
  <c r="K212" i="125"/>
  <c r="J212" i="125"/>
  <c r="L211" i="125"/>
  <c r="K211" i="125"/>
  <c r="J211" i="125" s="1"/>
  <c r="L210" i="125"/>
  <c r="K210" i="125"/>
  <c r="J210" i="125"/>
  <c r="L209" i="125"/>
  <c r="K209" i="125"/>
  <c r="J209" i="125" s="1"/>
  <c r="L208" i="125"/>
  <c r="K208" i="125"/>
  <c r="J208" i="125" s="1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 s="1"/>
  <c r="L202" i="125"/>
  <c r="K202" i="125"/>
  <c r="J202" i="125" s="1"/>
  <c r="L201" i="125"/>
  <c r="K201" i="125"/>
  <c r="J201" i="125"/>
  <c r="L200" i="125"/>
  <c r="K200" i="125"/>
  <c r="J200" i="125" s="1"/>
  <c r="L199" i="125"/>
  <c r="K199" i="125"/>
  <c r="J199" i="125"/>
  <c r="L198" i="125"/>
  <c r="K198" i="125"/>
  <c r="J198" i="125"/>
  <c r="L197" i="125"/>
  <c r="K197" i="125"/>
  <c r="J197" i="125" s="1"/>
  <c r="L196" i="125"/>
  <c r="K196" i="125"/>
  <c r="J196" i="125"/>
  <c r="L195" i="125"/>
  <c r="K195" i="125"/>
  <c r="J195" i="125"/>
  <c r="L194" i="125"/>
  <c r="K194" i="125"/>
  <c r="J194" i="125" s="1"/>
  <c r="L193" i="125"/>
  <c r="K193" i="125"/>
  <c r="J193" i="125"/>
  <c r="L192" i="125"/>
  <c r="K192" i="125"/>
  <c r="J192" i="125" s="1"/>
  <c r="L191" i="125"/>
  <c r="J191" i="125" s="1"/>
  <c r="K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 s="1"/>
  <c r="L185" i="125"/>
  <c r="K185" i="125"/>
  <c r="J185" i="125" s="1"/>
  <c r="L184" i="125"/>
  <c r="K184" i="125"/>
  <c r="J184" i="125"/>
  <c r="L183" i="125"/>
  <c r="K183" i="125"/>
  <c r="J183" i="125" s="1"/>
  <c r="L182" i="125"/>
  <c r="K182" i="125"/>
  <c r="J182" i="125"/>
  <c r="L181" i="125"/>
  <c r="K181" i="125"/>
  <c r="J181" i="125" s="1"/>
  <c r="L180" i="125"/>
  <c r="K180" i="125"/>
  <c r="J180" i="125"/>
  <c r="L179" i="125"/>
  <c r="K179" i="125"/>
  <c r="J179" i="125"/>
  <c r="L178" i="125"/>
  <c r="K178" i="125"/>
  <c r="J178" i="125" s="1"/>
  <c r="L177" i="125"/>
  <c r="K177" i="125"/>
  <c r="J177" i="125" s="1"/>
  <c r="L176" i="125"/>
  <c r="K176" i="125"/>
  <c r="J176" i="125" s="1"/>
  <c r="L175" i="125"/>
  <c r="K175" i="125"/>
  <c r="J175" i="125"/>
  <c r="L174" i="125"/>
  <c r="K174" i="125"/>
  <c r="J174" i="125"/>
  <c r="L173" i="125"/>
  <c r="K173" i="125"/>
  <c r="J173" i="125" s="1"/>
  <c r="L172" i="125"/>
  <c r="K172" i="125"/>
  <c r="J172" i="125"/>
  <c r="L171" i="125"/>
  <c r="K171" i="125"/>
  <c r="J171" i="125"/>
  <c r="L170" i="125"/>
  <c r="K170" i="125"/>
  <c r="L169" i="125"/>
  <c r="K169" i="125"/>
  <c r="J169" i="125"/>
  <c r="L168" i="125"/>
  <c r="K168" i="125"/>
  <c r="J168" i="125"/>
  <c r="L167" i="125"/>
  <c r="K167" i="125"/>
  <c r="J167" i="125" s="1"/>
  <c r="L166" i="125"/>
  <c r="K166" i="125"/>
  <c r="J166" i="125" s="1"/>
  <c r="L165" i="125"/>
  <c r="K165" i="125"/>
  <c r="J165" i="125" s="1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 s="1"/>
  <c r="L160" i="125"/>
  <c r="K160" i="125"/>
  <c r="J160" i="125" s="1"/>
  <c r="L159" i="125"/>
  <c r="K159" i="125"/>
  <c r="J159" i="125"/>
  <c r="L158" i="125"/>
  <c r="K158" i="125"/>
  <c r="J158" i="125" s="1"/>
  <c r="L157" i="125"/>
  <c r="K157" i="125"/>
  <c r="J157" i="125"/>
  <c r="L156" i="125"/>
  <c r="K156" i="125"/>
  <c r="J156" i="125"/>
  <c r="L155" i="125"/>
  <c r="K155" i="125"/>
  <c r="J155" i="125" s="1"/>
  <c r="L154" i="125"/>
  <c r="K154" i="125"/>
  <c r="J154" i="125" s="1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 s="1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 s="1"/>
  <c r="L143" i="125"/>
  <c r="K143" i="125"/>
  <c r="L142" i="125"/>
  <c r="K142" i="125"/>
  <c r="J142" i="125" s="1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 s="1"/>
  <c r="L137" i="125"/>
  <c r="K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 s="1"/>
  <c r="L132" i="125"/>
  <c r="K132" i="125"/>
  <c r="J132" i="125"/>
  <c r="L131" i="125"/>
  <c r="K131" i="125"/>
  <c r="J131" i="125" s="1"/>
  <c r="L130" i="125"/>
  <c r="K130" i="125"/>
  <c r="J130" i="125"/>
  <c r="L129" i="125"/>
  <c r="K129" i="125"/>
  <c r="J129" i="125"/>
  <c r="L128" i="125"/>
  <c r="K128" i="125"/>
  <c r="J128" i="125"/>
  <c r="L127" i="125"/>
  <c r="K127" i="125"/>
  <c r="J127" i="125" s="1"/>
  <c r="L126" i="125"/>
  <c r="K126" i="125"/>
  <c r="J126" i="125" s="1"/>
  <c r="L125" i="125"/>
  <c r="K125" i="125"/>
  <c r="L124" i="125"/>
  <c r="K124" i="125"/>
  <c r="J124" i="125"/>
  <c r="L123" i="125"/>
  <c r="K123" i="125"/>
  <c r="J123" i="125"/>
  <c r="L122" i="125"/>
  <c r="K122" i="125"/>
  <c r="J122" i="125" s="1"/>
  <c r="L121" i="125"/>
  <c r="K121" i="125"/>
  <c r="J121" i="125"/>
  <c r="L120" i="125"/>
  <c r="K120" i="125"/>
  <c r="J120" i="125"/>
  <c r="L119" i="125"/>
  <c r="K119" i="125"/>
  <c r="L118" i="125"/>
  <c r="K118" i="125"/>
  <c r="J118" i="125"/>
  <c r="L117" i="125"/>
  <c r="K117" i="125"/>
  <c r="J117" i="125" s="1"/>
  <c r="L116" i="125"/>
  <c r="K116" i="125"/>
  <c r="J116" i="125"/>
  <c r="L115" i="125"/>
  <c r="K115" i="125"/>
  <c r="J115" i="125"/>
  <c r="L114" i="125"/>
  <c r="K114" i="125"/>
  <c r="J114" i="125" s="1"/>
  <c r="L113" i="125"/>
  <c r="K113" i="125"/>
  <c r="J113" i="125" s="1"/>
  <c r="L112" i="125"/>
  <c r="K112" i="125"/>
  <c r="J112" i="125"/>
  <c r="L111" i="125"/>
  <c r="K111" i="125"/>
  <c r="J111" i="125" s="1"/>
  <c r="L110" i="125"/>
  <c r="K110" i="125"/>
  <c r="J110" i="125" s="1"/>
  <c r="L109" i="125"/>
  <c r="K109" i="125"/>
  <c r="J109" i="125"/>
  <c r="L108" i="125"/>
  <c r="K108" i="125"/>
  <c r="J108" i="125" s="1"/>
  <c r="L107" i="125"/>
  <c r="K107" i="125"/>
  <c r="J107" i="125"/>
  <c r="L106" i="125"/>
  <c r="K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 s="1"/>
  <c r="L101" i="125"/>
  <c r="K101" i="125"/>
  <c r="J101" i="125" s="1"/>
  <c r="L100" i="125"/>
  <c r="J100" i="125" s="1"/>
  <c r="K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 s="1"/>
  <c r="L95" i="125"/>
  <c r="K95" i="125"/>
  <c r="J95" i="125" s="1"/>
  <c r="L94" i="125"/>
  <c r="K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 s="1"/>
  <c r="L89" i="125"/>
  <c r="K89" i="125"/>
  <c r="J89" i="125"/>
  <c r="L88" i="125"/>
  <c r="K88" i="125"/>
  <c r="J88" i="125" s="1"/>
  <c r="L87" i="125"/>
  <c r="K87" i="125"/>
  <c r="J87" i="125"/>
  <c r="L86" i="125"/>
  <c r="K86" i="125"/>
  <c r="J86" i="125"/>
  <c r="L85" i="125"/>
  <c r="K85" i="125"/>
  <c r="J85" i="125" s="1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/>
  <c r="L79" i="125"/>
  <c r="K79" i="125"/>
  <c r="L78" i="125"/>
  <c r="K78" i="125"/>
  <c r="J78" i="125" s="1"/>
  <c r="L77" i="125"/>
  <c r="K77" i="125"/>
  <c r="J77" i="125"/>
  <c r="L76" i="125"/>
  <c r="K76" i="125"/>
  <c r="J76" i="125" s="1"/>
  <c r="L75" i="125"/>
  <c r="K75" i="125"/>
  <c r="J75" i="125"/>
  <c r="L74" i="125"/>
  <c r="K74" i="125"/>
  <c r="J74" i="125"/>
  <c r="L73" i="125"/>
  <c r="K73" i="125"/>
  <c r="J73" i="125" s="1"/>
  <c r="L72" i="125"/>
  <c r="K72" i="125"/>
  <c r="J72" i="125"/>
  <c r="L71" i="125"/>
  <c r="K71" i="125"/>
  <c r="J71" i="125" s="1"/>
  <c r="L70" i="125"/>
  <c r="K70" i="125"/>
  <c r="J70" i="125"/>
  <c r="L69" i="125"/>
  <c r="K69" i="125"/>
  <c r="J69" i="125" s="1"/>
  <c r="L68" i="125"/>
  <c r="K68" i="125"/>
  <c r="J68" i="125"/>
  <c r="L67" i="125"/>
  <c r="K67" i="125"/>
  <c r="J67" i="125"/>
  <c r="L66" i="125"/>
  <c r="K66" i="125"/>
  <c r="J66" i="125"/>
  <c r="L65" i="125"/>
  <c r="K65" i="125"/>
  <c r="J65" i="125" s="1"/>
  <c r="L64" i="125"/>
  <c r="K64" i="125"/>
  <c r="J64" i="125"/>
  <c r="L63" i="125"/>
  <c r="K63" i="125"/>
  <c r="J63" i="125" s="1"/>
  <c r="L62" i="125"/>
  <c r="K62" i="125"/>
  <c r="J62" i="125" s="1"/>
  <c r="L61" i="125"/>
  <c r="K61" i="125"/>
  <c r="J61" i="125"/>
  <c r="L60" i="125"/>
  <c r="K60" i="125"/>
  <c r="J60" i="125" s="1"/>
  <c r="L59" i="125"/>
  <c r="K59" i="125"/>
  <c r="J59" i="125" s="1"/>
  <c r="L58" i="125"/>
  <c r="K58" i="125"/>
  <c r="J58" i="125" s="1"/>
  <c r="L57" i="125"/>
  <c r="K57" i="125"/>
  <c r="L56" i="125"/>
  <c r="K56" i="125"/>
  <c r="J56" i="125" s="1"/>
  <c r="L55" i="125"/>
  <c r="K55" i="125"/>
  <c r="L54" i="125"/>
  <c r="K54" i="125"/>
  <c r="J54" i="125"/>
  <c r="L53" i="125"/>
  <c r="K53" i="125"/>
  <c r="J53" i="125" s="1"/>
  <c r="L52" i="125"/>
  <c r="K52" i="125"/>
  <c r="J52" i="125" s="1"/>
  <c r="L51" i="125"/>
  <c r="K51" i="125"/>
  <c r="L50" i="125"/>
  <c r="K50" i="125"/>
  <c r="J50" i="125" s="1"/>
  <c r="L49" i="125"/>
  <c r="K49" i="125"/>
  <c r="J49" i="125" s="1"/>
  <c r="L48" i="125"/>
  <c r="K48" i="125"/>
  <c r="J48" i="125" s="1"/>
  <c r="L47" i="125"/>
  <c r="K47" i="125"/>
  <c r="J47" i="125" s="1"/>
  <c r="L46" i="125"/>
  <c r="K46" i="125"/>
  <c r="J46" i="125" s="1"/>
  <c r="L45" i="125"/>
  <c r="K45" i="125"/>
  <c r="J45" i="125" s="1"/>
  <c r="L44" i="125"/>
  <c r="K44" i="125"/>
  <c r="J44" i="125" s="1"/>
  <c r="L43" i="125"/>
  <c r="K43" i="125"/>
  <c r="J43" i="125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 s="1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 s="1"/>
  <c r="L34" i="125"/>
  <c r="K34" i="125"/>
  <c r="J34" i="125"/>
  <c r="L33" i="125"/>
  <c r="K33" i="125"/>
  <c r="J33" i="125"/>
  <c r="L32" i="125"/>
  <c r="K32" i="125"/>
  <c r="L31" i="125"/>
  <c r="K31" i="125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L25" i="125"/>
  <c r="K25" i="125"/>
  <c r="J25" i="125" s="1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 s="1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 s="1"/>
  <c r="L55" i="126"/>
  <c r="K55" i="126"/>
  <c r="J55" i="126" s="1"/>
  <c r="L54" i="126"/>
  <c r="K54" i="126"/>
  <c r="J54" i="126"/>
  <c r="L53" i="126"/>
  <c r="K53" i="126"/>
  <c r="J53" i="126" s="1"/>
  <c r="L52" i="126"/>
  <c r="K52" i="126"/>
  <c r="J52" i="126" s="1"/>
  <c r="L51" i="126"/>
  <c r="K51" i="126"/>
  <c r="J51" i="126" s="1"/>
  <c r="L50" i="126"/>
  <c r="K50" i="126"/>
  <c r="J50" i="126" s="1"/>
  <c r="L49" i="126"/>
  <c r="K49" i="126"/>
  <c r="J49" i="126"/>
  <c r="L48" i="126"/>
  <c r="K48" i="126"/>
  <c r="J48" i="126"/>
  <c r="L47" i="126"/>
  <c r="K47" i="126"/>
  <c r="J47" i="126" s="1"/>
  <c r="L46" i="126"/>
  <c r="K46" i="126"/>
  <c r="J46" i="126"/>
  <c r="L45" i="126"/>
  <c r="K45" i="126"/>
  <c r="J45" i="126" s="1"/>
  <c r="L44" i="126"/>
  <c r="K44" i="126"/>
  <c r="J44" i="126" s="1"/>
  <c r="L43" i="126"/>
  <c r="K43" i="126"/>
  <c r="J43" i="126" s="1"/>
  <c r="L42" i="126"/>
  <c r="K42" i="126"/>
  <c r="J42" i="126" s="1"/>
  <c r="L41" i="126"/>
  <c r="K41" i="126"/>
  <c r="J41" i="126"/>
  <c r="L40" i="126"/>
  <c r="K40" i="126"/>
  <c r="J40" i="126"/>
  <c r="L39" i="126"/>
  <c r="K39" i="126"/>
  <c r="J39" i="126"/>
  <c r="L38" i="126"/>
  <c r="K38" i="126"/>
  <c r="J38" i="126" s="1"/>
  <c r="L37" i="126"/>
  <c r="K37" i="126"/>
  <c r="J37" i="126" s="1"/>
  <c r="L36" i="126"/>
  <c r="K36" i="126"/>
  <c r="J36" i="126"/>
  <c r="L35" i="126"/>
  <c r="K35" i="126"/>
  <c r="J35" i="126" s="1"/>
  <c r="L34" i="126"/>
  <c r="K34" i="126"/>
  <c r="J34" i="126" s="1"/>
  <c r="L33" i="126"/>
  <c r="K33" i="126"/>
  <c r="J33" i="126"/>
  <c r="L32" i="126"/>
  <c r="K32" i="126"/>
  <c r="J32" i="126"/>
  <c r="L31" i="126"/>
  <c r="K31" i="126"/>
  <c r="J31" i="126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 s="1"/>
  <c r="L26" i="126"/>
  <c r="K26" i="126"/>
  <c r="J26" i="126"/>
  <c r="L25" i="126"/>
  <c r="K25" i="126"/>
  <c r="J25" i="126"/>
  <c r="L253" i="127"/>
  <c r="K253" i="127"/>
  <c r="J253" i="127"/>
  <c r="L252" i="127"/>
  <c r="K252" i="127"/>
  <c r="J252" i="127"/>
  <c r="L251" i="127"/>
  <c r="K251" i="127"/>
  <c r="J251" i="127"/>
  <c r="L250" i="127"/>
  <c r="J250" i="127"/>
  <c r="K250" i="127"/>
  <c r="L249" i="127"/>
  <c r="J249" i="127"/>
  <c r="K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J234" i="127"/>
  <c r="K234" i="127"/>
  <c r="L233" i="127"/>
  <c r="J233" i="127"/>
  <c r="K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J218" i="127"/>
  <c r="K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J208" i="127"/>
  <c r="K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J202" i="127"/>
  <c r="K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J192" i="127"/>
  <c r="K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J186" i="127"/>
  <c r="K186" i="127"/>
  <c r="L185" i="127"/>
  <c r="K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J176" i="127"/>
  <c r="K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J170" i="127"/>
  <c r="K170" i="127"/>
  <c r="L169" i="127"/>
  <c r="J169" i="127"/>
  <c r="K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J154" i="127"/>
  <c r="K154" i="127"/>
  <c r="L153" i="127"/>
  <c r="J153" i="127"/>
  <c r="K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J144" i="127"/>
  <c r="K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J138" i="127"/>
  <c r="K138" i="127"/>
  <c r="L137" i="127"/>
  <c r="J137" i="127"/>
  <c r="K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J128" i="127"/>
  <c r="K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J122" i="127"/>
  <c r="K122" i="127"/>
  <c r="L121" i="127"/>
  <c r="J121" i="127"/>
  <c r="K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J106" i="127"/>
  <c r="K106" i="127"/>
  <c r="L105" i="127"/>
  <c r="J105" i="127"/>
  <c r="K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J96" i="127"/>
  <c r="K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J90" i="127"/>
  <c r="K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J74" i="127"/>
  <c r="K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J64" i="127"/>
  <c r="K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 s="1"/>
  <c r="L58" i="127"/>
  <c r="K58" i="127"/>
  <c r="J58" i="127" s="1"/>
  <c r="L57" i="127"/>
  <c r="K57" i="127"/>
  <c r="J57" i="127" s="1"/>
  <c r="L56" i="127"/>
  <c r="K56" i="127"/>
  <c r="J56" i="127"/>
  <c r="L55" i="127"/>
  <c r="K55" i="127"/>
  <c r="J55" i="127"/>
  <c r="L54" i="127"/>
  <c r="K54" i="127"/>
  <c r="J54" i="127" s="1"/>
  <c r="L53" i="127"/>
  <c r="K53" i="127"/>
  <c r="J53" i="127" s="1"/>
  <c r="L52" i="127"/>
  <c r="K52" i="127"/>
  <c r="J52" i="127" s="1"/>
  <c r="L51" i="127"/>
  <c r="K51" i="127"/>
  <c r="J51" i="127" s="1"/>
  <c r="L50" i="127"/>
  <c r="K50" i="127"/>
  <c r="J50" i="127"/>
  <c r="L49" i="127"/>
  <c r="K49" i="127"/>
  <c r="J49" i="127"/>
  <c r="L48" i="127"/>
  <c r="K48" i="127"/>
  <c r="J48" i="127" s="1"/>
  <c r="L47" i="127"/>
  <c r="K47" i="127"/>
  <c r="J47" i="127" s="1"/>
  <c r="L46" i="127"/>
  <c r="K46" i="127"/>
  <c r="J46" i="127"/>
  <c r="L45" i="127"/>
  <c r="K45" i="127"/>
  <c r="J45" i="127"/>
  <c r="L44" i="127"/>
  <c r="K44" i="127"/>
  <c r="J44" i="127"/>
  <c r="L43" i="127"/>
  <c r="K43" i="127"/>
  <c r="J43" i="127" s="1"/>
  <c r="L42" i="127"/>
  <c r="K42" i="127"/>
  <c r="J42" i="127" s="1"/>
  <c r="L41" i="127"/>
  <c r="K41" i="127"/>
  <c r="L40" i="127"/>
  <c r="K40" i="127"/>
  <c r="J40" i="127"/>
  <c r="L39" i="127"/>
  <c r="K39" i="127"/>
  <c r="J39" i="127" s="1"/>
  <c r="L38" i="127"/>
  <c r="K38" i="127"/>
  <c r="J38" i="127" s="1"/>
  <c r="L37" i="127"/>
  <c r="K37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/>
  <c r="L29" i="127"/>
  <c r="K29" i="127"/>
  <c r="J29" i="127"/>
  <c r="L28" i="127"/>
  <c r="K28" i="127"/>
  <c r="J28" i="127" s="1"/>
  <c r="L27" i="127"/>
  <c r="K27" i="127"/>
  <c r="J27" i="127"/>
  <c r="L26" i="127"/>
  <c r="K26" i="127"/>
  <c r="J26" i="127" s="1"/>
  <c r="L25" i="127"/>
  <c r="K25" i="127"/>
  <c r="J25" i="127" s="1"/>
  <c r="L251" i="128"/>
  <c r="K251" i="128"/>
  <c r="J251" i="128" s="1"/>
  <c r="L250" i="128"/>
  <c r="K250" i="128"/>
  <c r="J250" i="128"/>
  <c r="L249" i="128"/>
  <c r="K249" i="128"/>
  <c r="J249" i="128" s="1"/>
  <c r="L248" i="128"/>
  <c r="K248" i="128"/>
  <c r="J248" i="128" s="1"/>
  <c r="L247" i="128"/>
  <c r="K247" i="128"/>
  <c r="J247" i="128" s="1"/>
  <c r="L246" i="128"/>
  <c r="K246" i="128"/>
  <c r="L245" i="128"/>
  <c r="K245" i="128"/>
  <c r="J245" i="128" s="1"/>
  <c r="L244" i="128"/>
  <c r="K244" i="128"/>
  <c r="J244" i="128" s="1"/>
  <c r="L243" i="128"/>
  <c r="K243" i="128"/>
  <c r="J243" i="128" s="1"/>
  <c r="L242" i="128"/>
  <c r="K242" i="128"/>
  <c r="L241" i="128"/>
  <c r="K241" i="128"/>
  <c r="J241" i="128"/>
  <c r="L240" i="128"/>
  <c r="K240" i="128"/>
  <c r="L239" i="128"/>
  <c r="K239" i="128"/>
  <c r="L238" i="128"/>
  <c r="K238" i="128"/>
  <c r="J238" i="128"/>
  <c r="L237" i="128"/>
  <c r="K237" i="128"/>
  <c r="L236" i="128"/>
  <c r="K236" i="128"/>
  <c r="L235" i="128"/>
  <c r="K235" i="128"/>
  <c r="L234" i="128"/>
  <c r="K234" i="128"/>
  <c r="J234" i="128" s="1"/>
  <c r="L233" i="128"/>
  <c r="K233" i="128"/>
  <c r="J233" i="128" s="1"/>
  <c r="L232" i="128"/>
  <c r="K232" i="128"/>
  <c r="L231" i="128"/>
  <c r="K231" i="128"/>
  <c r="L230" i="128"/>
  <c r="K230" i="128"/>
  <c r="J230" i="128"/>
  <c r="L229" i="128"/>
  <c r="K229" i="128"/>
  <c r="J229" i="128"/>
  <c r="L228" i="128"/>
  <c r="K228" i="128"/>
  <c r="L227" i="128"/>
  <c r="K227" i="128"/>
  <c r="J227" i="128"/>
  <c r="L226" i="128"/>
  <c r="K226" i="128"/>
  <c r="J226" i="128" s="1"/>
  <c r="L225" i="128"/>
  <c r="K225" i="128"/>
  <c r="L224" i="128"/>
  <c r="K224" i="128"/>
  <c r="L223" i="128"/>
  <c r="K223" i="128"/>
  <c r="J223" i="128" s="1"/>
  <c r="L222" i="128"/>
  <c r="K222" i="128"/>
  <c r="J222" i="128" s="1"/>
  <c r="L221" i="128"/>
  <c r="K221" i="128"/>
  <c r="J221" i="128" s="1"/>
  <c r="L220" i="128"/>
  <c r="K220" i="128"/>
  <c r="J220" i="128" s="1"/>
  <c r="L219" i="128"/>
  <c r="K219" i="128"/>
  <c r="L218" i="128"/>
  <c r="K218" i="128"/>
  <c r="L217" i="128"/>
  <c r="K217" i="128"/>
  <c r="J217" i="128" s="1"/>
  <c r="L216" i="128"/>
  <c r="K216" i="128"/>
  <c r="J216" i="128" s="1"/>
  <c r="L215" i="128"/>
  <c r="K215" i="128"/>
  <c r="J215" i="128" s="1"/>
  <c r="L214" i="128"/>
  <c r="K214" i="128"/>
  <c r="J214" i="128" s="1"/>
  <c r="L213" i="128"/>
  <c r="K213" i="128"/>
  <c r="J213" i="128" s="1"/>
  <c r="L212" i="128"/>
  <c r="K212" i="128"/>
  <c r="L211" i="128"/>
  <c r="K211" i="128"/>
  <c r="J211" i="128" s="1"/>
  <c r="L210" i="128"/>
  <c r="K210" i="128"/>
  <c r="L209" i="128"/>
  <c r="K209" i="128"/>
  <c r="L208" i="128"/>
  <c r="K208" i="128"/>
  <c r="L207" i="128"/>
  <c r="K207" i="128"/>
  <c r="L206" i="128"/>
  <c r="K206" i="128"/>
  <c r="L205" i="128"/>
  <c r="K205" i="128"/>
  <c r="L204" i="128"/>
  <c r="K204" i="128"/>
  <c r="J204" i="128" s="1"/>
  <c r="L203" i="128"/>
  <c r="K203" i="128"/>
  <c r="J203" i="128" s="1"/>
  <c r="L202" i="128"/>
  <c r="K202" i="128"/>
  <c r="L201" i="128"/>
  <c r="K201" i="128"/>
  <c r="J201" i="128"/>
  <c r="L200" i="128"/>
  <c r="K200" i="128"/>
  <c r="L199" i="128"/>
  <c r="K199" i="128"/>
  <c r="J199" i="128" s="1"/>
  <c r="L198" i="128"/>
  <c r="K198" i="128"/>
  <c r="J198" i="128"/>
  <c r="L197" i="128"/>
  <c r="K197" i="128"/>
  <c r="J197" i="128" s="1"/>
  <c r="L196" i="128"/>
  <c r="K196" i="128"/>
  <c r="J196" i="128" s="1"/>
  <c r="L195" i="128"/>
  <c r="K195" i="128"/>
  <c r="L194" i="128"/>
  <c r="K194" i="128"/>
  <c r="J194" i="128" s="1"/>
  <c r="L193" i="128"/>
  <c r="K193" i="128"/>
  <c r="L192" i="128"/>
  <c r="K192" i="128"/>
  <c r="L191" i="128"/>
  <c r="K191" i="128"/>
  <c r="J191" i="128"/>
  <c r="L190" i="128"/>
  <c r="K190" i="128"/>
  <c r="J190" i="128" s="1"/>
  <c r="L189" i="128"/>
  <c r="K189" i="128"/>
  <c r="J189" i="128" s="1"/>
  <c r="L188" i="128"/>
  <c r="K188" i="128"/>
  <c r="J188" i="128" s="1"/>
  <c r="L187" i="128"/>
  <c r="K187" i="128"/>
  <c r="L186" i="128"/>
  <c r="K186" i="128"/>
  <c r="L185" i="128"/>
  <c r="K185" i="128"/>
  <c r="L184" i="128"/>
  <c r="K184" i="128"/>
  <c r="J184" i="128"/>
  <c r="L183" i="128"/>
  <c r="K183" i="128"/>
  <c r="J183" i="128" s="1"/>
  <c r="L182" i="128"/>
  <c r="K182" i="128"/>
  <c r="J182" i="128" s="1"/>
  <c r="L181" i="128"/>
  <c r="K181" i="128"/>
  <c r="J181" i="128" s="1"/>
  <c r="L180" i="128"/>
  <c r="J180" i="128" s="1"/>
  <c r="K180" i="128"/>
  <c r="L179" i="128"/>
  <c r="K179" i="128"/>
  <c r="J179" i="128"/>
  <c r="L178" i="128"/>
  <c r="K178" i="128"/>
  <c r="J178" i="128" s="1"/>
  <c r="L177" i="128"/>
  <c r="K177" i="128"/>
  <c r="J177" i="128" s="1"/>
  <c r="L176" i="128"/>
  <c r="K176" i="128"/>
  <c r="L175" i="128"/>
  <c r="K175" i="128"/>
  <c r="J175" i="128"/>
  <c r="L174" i="128"/>
  <c r="K174" i="128"/>
  <c r="J174" i="128" s="1"/>
  <c r="L173" i="128"/>
  <c r="K173" i="128"/>
  <c r="L172" i="128"/>
  <c r="K172" i="128"/>
  <c r="J172" i="128" s="1"/>
  <c r="L171" i="128"/>
  <c r="K171" i="128"/>
  <c r="L170" i="128"/>
  <c r="K170" i="128"/>
  <c r="L169" i="128"/>
  <c r="K169" i="128"/>
  <c r="J169" i="128"/>
  <c r="L168" i="128"/>
  <c r="K168" i="128"/>
  <c r="L167" i="128"/>
  <c r="K167" i="128"/>
  <c r="L166" i="128"/>
  <c r="K166" i="128"/>
  <c r="J166" i="128" s="1"/>
  <c r="L165" i="128"/>
  <c r="K165" i="128"/>
  <c r="J165" i="128"/>
  <c r="L164" i="128"/>
  <c r="K164" i="128"/>
  <c r="J164" i="128" s="1"/>
  <c r="L163" i="128"/>
  <c r="K163" i="128"/>
  <c r="J163" i="128"/>
  <c r="L162" i="128"/>
  <c r="K162" i="128"/>
  <c r="J162" i="128" s="1"/>
  <c r="L161" i="128"/>
  <c r="K161" i="128"/>
  <c r="L160" i="128"/>
  <c r="K160" i="128"/>
  <c r="L159" i="128"/>
  <c r="K159" i="128"/>
  <c r="L158" i="128"/>
  <c r="K158" i="128"/>
  <c r="J158" i="128" s="1"/>
  <c r="L157" i="128"/>
  <c r="K157" i="128"/>
  <c r="L156" i="128"/>
  <c r="K156" i="128"/>
  <c r="J156" i="128" s="1"/>
  <c r="L155" i="128"/>
  <c r="K155" i="128"/>
  <c r="L154" i="128"/>
  <c r="K154" i="128"/>
  <c r="L153" i="128"/>
  <c r="K153" i="128"/>
  <c r="J153" i="128" s="1"/>
  <c r="L152" i="128"/>
  <c r="K152" i="128"/>
  <c r="J152" i="128" s="1"/>
  <c r="L151" i="128"/>
  <c r="K151" i="128"/>
  <c r="J151" i="128" s="1"/>
  <c r="L150" i="128"/>
  <c r="K150" i="128"/>
  <c r="J150" i="128" s="1"/>
  <c r="L149" i="128"/>
  <c r="K149" i="128"/>
  <c r="J149" i="128" s="1"/>
  <c r="L148" i="128"/>
  <c r="K148" i="128"/>
  <c r="L147" i="128"/>
  <c r="K147" i="128"/>
  <c r="L146" i="128"/>
  <c r="K146" i="128"/>
  <c r="J146" i="128" s="1"/>
  <c r="L145" i="128"/>
  <c r="K145" i="128"/>
  <c r="L144" i="128"/>
  <c r="K144" i="128"/>
  <c r="L143" i="128"/>
  <c r="K143" i="128"/>
  <c r="J143" i="128" s="1"/>
  <c r="L142" i="128"/>
  <c r="K142" i="128"/>
  <c r="J142" i="128" s="1"/>
  <c r="L141" i="128"/>
  <c r="K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L135" i="128"/>
  <c r="K135" i="128"/>
  <c r="L134" i="128"/>
  <c r="K134" i="128"/>
  <c r="L133" i="128"/>
  <c r="K133" i="128"/>
  <c r="J133" i="128"/>
  <c r="L132" i="128"/>
  <c r="K132" i="128"/>
  <c r="J132" i="128"/>
  <c r="L131" i="128"/>
  <c r="K131" i="128"/>
  <c r="L130" i="128"/>
  <c r="K130" i="128"/>
  <c r="J130" i="128" s="1"/>
  <c r="L129" i="128"/>
  <c r="K129" i="128"/>
  <c r="L128" i="128"/>
  <c r="K128" i="128"/>
  <c r="L127" i="128"/>
  <c r="K127" i="128"/>
  <c r="L126" i="128"/>
  <c r="K126" i="128"/>
  <c r="J126" i="128"/>
  <c r="L125" i="128"/>
  <c r="K125" i="128"/>
  <c r="J125" i="128" s="1"/>
  <c r="L124" i="128"/>
  <c r="K124" i="128"/>
  <c r="L123" i="128"/>
  <c r="K123" i="128"/>
  <c r="L122" i="128"/>
  <c r="K122" i="128"/>
  <c r="J122" i="128" s="1"/>
  <c r="L121" i="128"/>
  <c r="K121" i="128"/>
  <c r="J121" i="128" s="1"/>
  <c r="L120" i="128"/>
  <c r="K120" i="128"/>
  <c r="J120" i="128" s="1"/>
  <c r="L119" i="128"/>
  <c r="K119" i="128"/>
  <c r="J119" i="128" s="1"/>
  <c r="L118" i="128"/>
  <c r="K118" i="128"/>
  <c r="J118" i="128" s="1"/>
  <c r="L117" i="128"/>
  <c r="K117" i="128"/>
  <c r="J117" i="128" s="1"/>
  <c r="L116" i="128"/>
  <c r="K116" i="128"/>
  <c r="J116" i="128" s="1"/>
  <c r="L115" i="128"/>
  <c r="K115" i="128"/>
  <c r="J115" i="128" s="1"/>
  <c r="L114" i="128"/>
  <c r="K114" i="128"/>
  <c r="L113" i="128"/>
  <c r="K113" i="128"/>
  <c r="L112" i="128"/>
  <c r="K112" i="128"/>
  <c r="L111" i="128"/>
  <c r="K111" i="128"/>
  <c r="J111" i="128"/>
  <c r="L110" i="128"/>
  <c r="K110" i="128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L104" i="128"/>
  <c r="K104" i="128"/>
  <c r="J104" i="128" s="1"/>
  <c r="L103" i="128"/>
  <c r="K103" i="128"/>
  <c r="L102" i="128"/>
  <c r="K102" i="128"/>
  <c r="J102" i="128" s="1"/>
  <c r="L101" i="128"/>
  <c r="K101" i="128"/>
  <c r="J101" i="128" s="1"/>
  <c r="L100" i="128"/>
  <c r="K100" i="128"/>
  <c r="J100" i="128"/>
  <c r="L99" i="128"/>
  <c r="K99" i="128"/>
  <c r="L98" i="128"/>
  <c r="K98" i="128"/>
  <c r="J98" i="128" s="1"/>
  <c r="L97" i="128"/>
  <c r="K97" i="128"/>
  <c r="L96" i="128"/>
  <c r="K96" i="128"/>
  <c r="L95" i="128"/>
  <c r="K95" i="128"/>
  <c r="J95" i="128" s="1"/>
  <c r="L94" i="128"/>
  <c r="K94" i="128"/>
  <c r="J94" i="128" s="1"/>
  <c r="L93" i="128"/>
  <c r="K93" i="128"/>
  <c r="J93" i="128" s="1"/>
  <c r="L92" i="128"/>
  <c r="K92" i="128"/>
  <c r="L91" i="128"/>
  <c r="K91" i="128"/>
  <c r="J91" i="128" s="1"/>
  <c r="L90" i="128"/>
  <c r="K90" i="128"/>
  <c r="L89" i="128"/>
  <c r="K89" i="128"/>
  <c r="J89" i="128"/>
  <c r="L88" i="128"/>
  <c r="K88" i="128"/>
  <c r="L87" i="128"/>
  <c r="K87" i="128"/>
  <c r="J87" i="128" s="1"/>
  <c r="L86" i="128"/>
  <c r="K86" i="128"/>
  <c r="J86" i="128"/>
  <c r="L85" i="128"/>
  <c r="K85" i="128"/>
  <c r="L84" i="128"/>
  <c r="K84" i="128"/>
  <c r="J84" i="128" s="1"/>
  <c r="L83" i="128"/>
  <c r="K83" i="128"/>
  <c r="L82" i="128"/>
  <c r="K82" i="128"/>
  <c r="J82" i="128" s="1"/>
  <c r="L81" i="128"/>
  <c r="K81" i="128"/>
  <c r="J81" i="128" s="1"/>
  <c r="L80" i="128"/>
  <c r="K80" i="128"/>
  <c r="L79" i="128"/>
  <c r="K79" i="128"/>
  <c r="J79" i="128" s="1"/>
  <c r="L78" i="128"/>
  <c r="K78" i="128"/>
  <c r="J78" i="128" s="1"/>
  <c r="L77" i="128"/>
  <c r="K77" i="128"/>
  <c r="L76" i="128"/>
  <c r="K76" i="128"/>
  <c r="L75" i="128"/>
  <c r="K75" i="128"/>
  <c r="L74" i="128"/>
  <c r="K74" i="128"/>
  <c r="L73" i="128"/>
  <c r="K73" i="128"/>
  <c r="L72" i="128"/>
  <c r="K72" i="128"/>
  <c r="J72" i="128"/>
  <c r="L71" i="128"/>
  <c r="K71" i="128"/>
  <c r="J71" i="128" s="1"/>
  <c r="L70" i="128"/>
  <c r="K70" i="128"/>
  <c r="J70" i="128" s="1"/>
  <c r="L69" i="128"/>
  <c r="K69" i="128"/>
  <c r="L68" i="128"/>
  <c r="K68" i="128"/>
  <c r="L67" i="128"/>
  <c r="K67" i="128"/>
  <c r="L66" i="128"/>
  <c r="K66" i="128"/>
  <c r="L65" i="128"/>
  <c r="K65" i="128"/>
  <c r="L64" i="128"/>
  <c r="K64" i="128"/>
  <c r="L63" i="128"/>
  <c r="K63" i="128"/>
  <c r="J63" i="128" s="1"/>
  <c r="L62" i="128"/>
  <c r="K62" i="128"/>
  <c r="L61" i="128"/>
  <c r="K61" i="128"/>
  <c r="L60" i="128"/>
  <c r="K60" i="128"/>
  <c r="J60" i="128" s="1"/>
  <c r="L59" i="128"/>
  <c r="K59" i="128"/>
  <c r="J59" i="128" s="1"/>
  <c r="L58" i="128"/>
  <c r="K58" i="128"/>
  <c r="L57" i="128"/>
  <c r="K57" i="128"/>
  <c r="J57" i="128" s="1"/>
  <c r="L56" i="128"/>
  <c r="K56" i="128"/>
  <c r="L55" i="128"/>
  <c r="K55" i="128"/>
  <c r="L54" i="128"/>
  <c r="K54" i="128"/>
  <c r="L53" i="128"/>
  <c r="K53" i="128"/>
  <c r="L52" i="128"/>
  <c r="K52" i="128"/>
  <c r="J52" i="128" s="1"/>
  <c r="L51" i="128"/>
  <c r="K51" i="128"/>
  <c r="J51" i="128" s="1"/>
  <c r="L50" i="128"/>
  <c r="K50" i="128"/>
  <c r="J50" i="128" s="1"/>
  <c r="L49" i="128"/>
  <c r="K49" i="128"/>
  <c r="L47" i="128"/>
  <c r="K47" i="128"/>
  <c r="L46" i="128"/>
  <c r="K46" i="128"/>
  <c r="L45" i="128"/>
  <c r="K45" i="128"/>
  <c r="L44" i="128"/>
  <c r="K44" i="128"/>
  <c r="J44" i="128" s="1"/>
  <c r="L43" i="128"/>
  <c r="K43" i="128"/>
  <c r="L42" i="128"/>
  <c r="K42" i="128"/>
  <c r="J42" i="128"/>
  <c r="L41" i="128"/>
  <c r="K41" i="128"/>
  <c r="L40" i="128"/>
  <c r="K40" i="128"/>
  <c r="J40" i="128" s="1"/>
  <c r="L39" i="128"/>
  <c r="K39" i="128"/>
  <c r="L38" i="128"/>
  <c r="K38" i="128"/>
  <c r="L37" i="128"/>
  <c r="K37" i="128"/>
  <c r="L36" i="128"/>
  <c r="K36" i="128"/>
  <c r="L35" i="128"/>
  <c r="K35" i="128"/>
  <c r="L34" i="128"/>
  <c r="K34" i="128"/>
  <c r="J34" i="128"/>
  <c r="L33" i="128"/>
  <c r="K33" i="128"/>
  <c r="L32" i="128"/>
  <c r="K32" i="128"/>
  <c r="L31" i="128"/>
  <c r="K31" i="128"/>
  <c r="J31" i="128" s="1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K25" i="128"/>
  <c r="J25" i="128" s="1"/>
  <c r="L245" i="129"/>
  <c r="K245" i="129"/>
  <c r="J245" i="129" s="1"/>
  <c r="L244" i="129"/>
  <c r="K244" i="129"/>
  <c r="L243" i="129"/>
  <c r="K243" i="129"/>
  <c r="J243" i="129"/>
  <c r="L242" i="129"/>
  <c r="K242" i="129"/>
  <c r="J242" i="129" s="1"/>
  <c r="L241" i="129"/>
  <c r="K241" i="129"/>
  <c r="L240" i="129"/>
  <c r="K240" i="129"/>
  <c r="J240" i="129" s="1"/>
  <c r="L239" i="129"/>
  <c r="K239" i="129"/>
  <c r="J239" i="129" s="1"/>
  <c r="L238" i="129"/>
  <c r="K238" i="129"/>
  <c r="L237" i="129"/>
  <c r="K237" i="129"/>
  <c r="L236" i="129"/>
  <c r="K236" i="129"/>
  <c r="J236" i="129"/>
  <c r="L235" i="129"/>
  <c r="K235" i="129"/>
  <c r="J235" i="129" s="1"/>
  <c r="L234" i="129"/>
  <c r="K234" i="129"/>
  <c r="L233" i="129"/>
  <c r="K233" i="129"/>
  <c r="L232" i="129"/>
  <c r="K232" i="129"/>
  <c r="J232" i="129"/>
  <c r="L231" i="129"/>
  <c r="J231" i="129" s="1"/>
  <c r="K231" i="129"/>
  <c r="L230" i="129"/>
  <c r="K230" i="129"/>
  <c r="L229" i="129"/>
  <c r="K229" i="129"/>
  <c r="L228" i="129"/>
  <c r="K228" i="129"/>
  <c r="L227" i="129"/>
  <c r="K227" i="129"/>
  <c r="J227" i="129" s="1"/>
  <c r="L226" i="129"/>
  <c r="K226" i="129"/>
  <c r="L225" i="129"/>
  <c r="K225" i="129"/>
  <c r="J225" i="129" s="1"/>
  <c r="L224" i="129"/>
  <c r="K224" i="129"/>
  <c r="L223" i="129"/>
  <c r="K223" i="129"/>
  <c r="L222" i="129"/>
  <c r="K222" i="129"/>
  <c r="L221" i="129"/>
  <c r="K221" i="129"/>
  <c r="J221" i="129" s="1"/>
  <c r="L220" i="129"/>
  <c r="K220" i="129"/>
  <c r="J220" i="129" s="1"/>
  <c r="L219" i="129"/>
  <c r="K219" i="129"/>
  <c r="J219" i="129" s="1"/>
  <c r="L218" i="129"/>
  <c r="K218" i="129"/>
  <c r="J218" i="129" s="1"/>
  <c r="L217" i="129"/>
  <c r="K217" i="129"/>
  <c r="J217" i="129" s="1"/>
  <c r="L216" i="129"/>
  <c r="K216" i="129"/>
  <c r="L215" i="129"/>
  <c r="K215" i="129"/>
  <c r="L214" i="129"/>
  <c r="K214" i="129"/>
  <c r="J214" i="129" s="1"/>
  <c r="L213" i="129"/>
  <c r="K213" i="129"/>
  <c r="L212" i="129"/>
  <c r="K212" i="129"/>
  <c r="J212" i="129" s="1"/>
  <c r="L211" i="129"/>
  <c r="K211" i="129"/>
  <c r="J211" i="129" s="1"/>
  <c r="L210" i="129"/>
  <c r="K210" i="129"/>
  <c r="L209" i="129"/>
  <c r="K209" i="129"/>
  <c r="L208" i="129"/>
  <c r="K208" i="129"/>
  <c r="L207" i="129"/>
  <c r="K207" i="129"/>
  <c r="L206" i="129"/>
  <c r="K206" i="129"/>
  <c r="J206" i="129" s="1"/>
  <c r="L205" i="129"/>
  <c r="K205" i="129"/>
  <c r="J205" i="129"/>
  <c r="L204" i="129"/>
  <c r="K204" i="129"/>
  <c r="L203" i="129"/>
  <c r="J203" i="129" s="1"/>
  <c r="K203" i="129"/>
  <c r="L202" i="129"/>
  <c r="K202" i="129"/>
  <c r="L201" i="129"/>
  <c r="K201" i="129"/>
  <c r="L200" i="129"/>
  <c r="K200" i="129"/>
  <c r="L199" i="129"/>
  <c r="K199" i="129"/>
  <c r="J199" i="129" s="1"/>
  <c r="L198" i="129"/>
  <c r="K198" i="129"/>
  <c r="J198" i="129" s="1"/>
  <c r="L197" i="129"/>
  <c r="K197" i="129"/>
  <c r="L196" i="129"/>
  <c r="K196" i="129"/>
  <c r="L195" i="129"/>
  <c r="K195" i="129"/>
  <c r="L194" i="129"/>
  <c r="K194" i="129"/>
  <c r="L193" i="129"/>
  <c r="K193" i="129"/>
  <c r="L192" i="129"/>
  <c r="K192" i="129"/>
  <c r="J192" i="129" s="1"/>
  <c r="L191" i="129"/>
  <c r="K191" i="129"/>
  <c r="J191" i="129" s="1"/>
  <c r="L190" i="129"/>
  <c r="K190" i="129"/>
  <c r="L189" i="129"/>
  <c r="K189" i="129"/>
  <c r="L188" i="129"/>
  <c r="K188" i="129"/>
  <c r="L187" i="129"/>
  <c r="K187" i="129"/>
  <c r="L186" i="129"/>
  <c r="K186" i="129"/>
  <c r="L185" i="129"/>
  <c r="K185" i="129"/>
  <c r="L184" i="129"/>
  <c r="K184" i="129"/>
  <c r="J184" i="129" s="1"/>
  <c r="L183" i="129"/>
  <c r="K183" i="129"/>
  <c r="L182" i="129"/>
  <c r="K182" i="129"/>
  <c r="J182" i="129" s="1"/>
  <c r="L181" i="129"/>
  <c r="K181" i="129"/>
  <c r="L180" i="129"/>
  <c r="K180" i="129"/>
  <c r="J180" i="129" s="1"/>
  <c r="L179" i="129"/>
  <c r="K179" i="129"/>
  <c r="L178" i="129"/>
  <c r="K178" i="129"/>
  <c r="L177" i="129"/>
  <c r="K177" i="129"/>
  <c r="L176" i="129"/>
  <c r="K176" i="129"/>
  <c r="J176" i="129" s="1"/>
  <c r="L175" i="129"/>
  <c r="K175" i="129"/>
  <c r="L174" i="129"/>
  <c r="K174" i="129"/>
  <c r="L173" i="129"/>
  <c r="K173" i="129"/>
  <c r="L172" i="129"/>
  <c r="K172" i="129"/>
  <c r="J172" i="129" s="1"/>
  <c r="L171" i="129"/>
  <c r="K171" i="129"/>
  <c r="L170" i="129"/>
  <c r="K170" i="129"/>
  <c r="L169" i="129"/>
  <c r="K169" i="129"/>
  <c r="J169" i="129" s="1"/>
  <c r="L168" i="129"/>
  <c r="K168" i="129"/>
  <c r="L167" i="129"/>
  <c r="K167" i="129"/>
  <c r="L166" i="129"/>
  <c r="K166" i="129"/>
  <c r="L165" i="129"/>
  <c r="K165" i="129"/>
  <c r="L164" i="129"/>
  <c r="K164" i="129"/>
  <c r="J164" i="129" s="1"/>
  <c r="L163" i="129"/>
  <c r="K163" i="129"/>
  <c r="L162" i="129"/>
  <c r="K162" i="129"/>
  <c r="L161" i="129"/>
  <c r="K161" i="129"/>
  <c r="J161" i="129" s="1"/>
  <c r="L160" i="129"/>
  <c r="K160" i="129"/>
  <c r="J160" i="129" s="1"/>
  <c r="L159" i="129"/>
  <c r="K159" i="129"/>
  <c r="L158" i="129"/>
  <c r="K158" i="129"/>
  <c r="J158" i="129" s="1"/>
  <c r="L157" i="129"/>
  <c r="K157" i="129"/>
  <c r="L156" i="129"/>
  <c r="K156" i="129"/>
  <c r="L155" i="129"/>
  <c r="K155" i="129"/>
  <c r="J155" i="129" s="1"/>
  <c r="L154" i="129"/>
  <c r="K154" i="129"/>
  <c r="L153" i="129"/>
  <c r="K153" i="129"/>
  <c r="L152" i="129"/>
  <c r="K152" i="129"/>
  <c r="L151" i="129"/>
  <c r="K151" i="129"/>
  <c r="J151" i="129"/>
  <c r="L150" i="129"/>
  <c r="K150" i="129"/>
  <c r="L149" i="129"/>
  <c r="K149" i="129"/>
  <c r="L148" i="129"/>
  <c r="K148" i="129"/>
  <c r="L147" i="129"/>
  <c r="K147" i="129"/>
  <c r="L146" i="129"/>
  <c r="K146" i="129"/>
  <c r="J146" i="129" s="1"/>
  <c r="L145" i="129"/>
  <c r="K145" i="129"/>
  <c r="J145" i="129" s="1"/>
  <c r="L144" i="129"/>
  <c r="K144" i="129"/>
  <c r="L143" i="129"/>
  <c r="K143" i="129"/>
  <c r="L142" i="129"/>
  <c r="K142" i="129"/>
  <c r="L141" i="129"/>
  <c r="K141" i="129"/>
  <c r="L140" i="129"/>
  <c r="K140" i="129"/>
  <c r="L139" i="129"/>
  <c r="K139" i="129"/>
  <c r="L138" i="129"/>
  <c r="K138" i="129"/>
  <c r="J138" i="129" s="1"/>
  <c r="L137" i="129"/>
  <c r="K137" i="129"/>
  <c r="L136" i="129"/>
  <c r="K136" i="129"/>
  <c r="L135" i="129"/>
  <c r="K135" i="129"/>
  <c r="L134" i="129"/>
  <c r="K134" i="129"/>
  <c r="J134" i="129" s="1"/>
  <c r="L133" i="129"/>
  <c r="K133" i="129"/>
  <c r="J133" i="129" s="1"/>
  <c r="L132" i="129"/>
  <c r="K132" i="129"/>
  <c r="L131" i="129"/>
  <c r="K131" i="129"/>
  <c r="L130" i="129"/>
  <c r="K130" i="129"/>
  <c r="L129" i="129"/>
  <c r="K129" i="129"/>
  <c r="L128" i="129"/>
  <c r="K128" i="129"/>
  <c r="L127" i="129"/>
  <c r="K127" i="129"/>
  <c r="J127" i="129" s="1"/>
  <c r="L126" i="129"/>
  <c r="K126" i="129"/>
  <c r="L125" i="129"/>
  <c r="K125" i="129"/>
  <c r="J125" i="129" s="1"/>
  <c r="L124" i="129"/>
  <c r="K124" i="129"/>
  <c r="L123" i="129"/>
  <c r="K123" i="129"/>
  <c r="L122" i="129"/>
  <c r="K122" i="129"/>
  <c r="L121" i="129"/>
  <c r="K121" i="129"/>
  <c r="L120" i="129"/>
  <c r="K120" i="129"/>
  <c r="L119" i="129"/>
  <c r="K119" i="129"/>
  <c r="J119" i="129" s="1"/>
  <c r="L118" i="129"/>
  <c r="K118" i="129"/>
  <c r="J118" i="129" s="1"/>
  <c r="L117" i="129"/>
  <c r="K117" i="129"/>
  <c r="L116" i="129"/>
  <c r="K116" i="129"/>
  <c r="L115" i="129"/>
  <c r="K115" i="129"/>
  <c r="L114" i="129"/>
  <c r="K114" i="129"/>
  <c r="L113" i="129"/>
  <c r="K113" i="129"/>
  <c r="L112" i="129"/>
  <c r="K112" i="129"/>
  <c r="L111" i="129"/>
  <c r="K111" i="129"/>
  <c r="L110" i="129"/>
  <c r="K110" i="129"/>
  <c r="L109" i="129"/>
  <c r="K109" i="129"/>
  <c r="J109" i="129" s="1"/>
  <c r="L108" i="129"/>
  <c r="K108" i="129"/>
  <c r="L107" i="129"/>
  <c r="K107" i="129"/>
  <c r="L106" i="129"/>
  <c r="K106" i="129"/>
  <c r="L105" i="129"/>
  <c r="K105" i="129"/>
  <c r="L104" i="129"/>
  <c r="K104" i="129"/>
  <c r="J104" i="129" s="1"/>
  <c r="L103" i="129"/>
  <c r="K103" i="129"/>
  <c r="L102" i="129"/>
  <c r="K102" i="129"/>
  <c r="J102" i="129"/>
  <c r="L101" i="129"/>
  <c r="K101" i="129"/>
  <c r="J101" i="129" s="1"/>
  <c r="L100" i="129"/>
  <c r="K100" i="129"/>
  <c r="L99" i="129"/>
  <c r="K99" i="129"/>
  <c r="L98" i="129"/>
  <c r="K98" i="129"/>
  <c r="L97" i="129"/>
  <c r="K97" i="129"/>
  <c r="L96" i="129"/>
  <c r="K96" i="129"/>
  <c r="L95" i="129"/>
  <c r="K95" i="129"/>
  <c r="L94" i="129"/>
  <c r="K94" i="129"/>
  <c r="J94" i="129" s="1"/>
  <c r="L93" i="129"/>
  <c r="K93" i="129"/>
  <c r="L92" i="129"/>
  <c r="K92" i="129"/>
  <c r="L91" i="129"/>
  <c r="K91" i="129"/>
  <c r="L90" i="129"/>
  <c r="K90" i="129"/>
  <c r="L89" i="129"/>
  <c r="K89" i="129"/>
  <c r="L88" i="129"/>
  <c r="K88" i="129"/>
  <c r="L87" i="129"/>
  <c r="K87" i="129"/>
  <c r="L86" i="129"/>
  <c r="K86" i="129"/>
  <c r="J86" i="129" s="1"/>
  <c r="L85" i="129"/>
  <c r="K85" i="129"/>
  <c r="J85" i="129" s="1"/>
  <c r="L84" i="129"/>
  <c r="K84" i="129"/>
  <c r="L83" i="129"/>
  <c r="K83" i="129"/>
  <c r="J83" i="129" s="1"/>
  <c r="L82" i="129"/>
  <c r="K82" i="129"/>
  <c r="J82" i="129" s="1"/>
  <c r="L81" i="129"/>
  <c r="K81" i="129"/>
  <c r="L80" i="129"/>
  <c r="K80" i="129"/>
  <c r="J80" i="129" s="1"/>
  <c r="L79" i="129"/>
  <c r="K79" i="129"/>
  <c r="J79" i="129"/>
  <c r="L78" i="129"/>
  <c r="K78" i="129"/>
  <c r="L77" i="129"/>
  <c r="K77" i="129"/>
  <c r="L76" i="129"/>
  <c r="K76" i="129"/>
  <c r="L75" i="129"/>
  <c r="K75" i="129"/>
  <c r="J75" i="129"/>
  <c r="L74" i="129"/>
  <c r="K74" i="129"/>
  <c r="L73" i="129"/>
  <c r="K73" i="129"/>
  <c r="J73" i="129" s="1"/>
  <c r="L72" i="129"/>
  <c r="K72" i="129"/>
  <c r="J72" i="129"/>
  <c r="L71" i="129"/>
  <c r="K71" i="129"/>
  <c r="L70" i="129"/>
  <c r="K70" i="129"/>
  <c r="L69" i="129"/>
  <c r="K69" i="129"/>
  <c r="J69" i="129" s="1"/>
  <c r="L68" i="129"/>
  <c r="K68" i="129"/>
  <c r="J68" i="129" s="1"/>
  <c r="L67" i="129"/>
  <c r="K67" i="129"/>
  <c r="J67" i="129" s="1"/>
  <c r="L66" i="129"/>
  <c r="K66" i="129"/>
  <c r="J66" i="129" s="1"/>
  <c r="L65" i="129"/>
  <c r="K65" i="129"/>
  <c r="L64" i="129"/>
  <c r="K64" i="129"/>
  <c r="L63" i="129"/>
  <c r="K63" i="129"/>
  <c r="L62" i="129"/>
  <c r="K62" i="129"/>
  <c r="L61" i="129"/>
  <c r="K61" i="129"/>
  <c r="L60" i="129"/>
  <c r="K60" i="129"/>
  <c r="J60" i="129"/>
  <c r="L59" i="129"/>
  <c r="K59" i="129"/>
  <c r="L58" i="129"/>
  <c r="K58" i="129"/>
  <c r="L57" i="129"/>
  <c r="K57" i="129"/>
  <c r="L56" i="129"/>
  <c r="K56" i="129"/>
  <c r="L55" i="129"/>
  <c r="K55" i="129"/>
  <c r="L54" i="129"/>
  <c r="K54" i="129"/>
  <c r="L53" i="129"/>
  <c r="K53" i="129"/>
  <c r="J53" i="129" s="1"/>
  <c r="L52" i="129"/>
  <c r="K52" i="129"/>
  <c r="J52" i="129" s="1"/>
  <c r="L51" i="129"/>
  <c r="K51" i="129"/>
  <c r="L50" i="129"/>
  <c r="K50" i="129"/>
  <c r="J50" i="129" s="1"/>
  <c r="L49" i="129"/>
  <c r="K49" i="129"/>
  <c r="L48" i="129"/>
  <c r="K48" i="129"/>
  <c r="L47" i="129"/>
  <c r="K47" i="129"/>
  <c r="L46" i="129"/>
  <c r="K46" i="129"/>
  <c r="L45" i="129"/>
  <c r="K45" i="129"/>
  <c r="L44" i="129"/>
  <c r="K44" i="129"/>
  <c r="L43" i="129"/>
  <c r="K43" i="129"/>
  <c r="L42" i="129"/>
  <c r="K42" i="129"/>
  <c r="L41" i="129"/>
  <c r="K41" i="129"/>
  <c r="L40" i="129"/>
  <c r="K40" i="129"/>
  <c r="L39" i="129"/>
  <c r="K39" i="129"/>
  <c r="L38" i="129"/>
  <c r="K38" i="129"/>
  <c r="L37" i="129"/>
  <c r="K37" i="129"/>
  <c r="L36" i="129"/>
  <c r="K36" i="129"/>
  <c r="L35" i="129"/>
  <c r="K35" i="129"/>
  <c r="L34" i="129"/>
  <c r="K34" i="129"/>
  <c r="L33" i="129"/>
  <c r="K33" i="129"/>
  <c r="L32" i="129"/>
  <c r="K32" i="129"/>
  <c r="L31" i="129"/>
  <c r="K31" i="129"/>
  <c r="L30" i="129"/>
  <c r="K30" i="129"/>
  <c r="L29" i="129"/>
  <c r="K29" i="129"/>
  <c r="L28" i="129"/>
  <c r="K28" i="129"/>
  <c r="J28" i="129" s="1"/>
  <c r="L27" i="129"/>
  <c r="K27" i="129"/>
  <c r="L26" i="129"/>
  <c r="K26" i="129"/>
  <c r="L25" i="129"/>
  <c r="K25" i="129"/>
  <c r="L252" i="130"/>
  <c r="K252" i="130"/>
  <c r="L251" i="130"/>
  <c r="K251" i="130"/>
  <c r="J251" i="130" s="1"/>
  <c r="L250" i="130"/>
  <c r="K250" i="130"/>
  <c r="L249" i="130"/>
  <c r="K249" i="130"/>
  <c r="J249" i="130" s="1"/>
  <c r="L248" i="130"/>
  <c r="K248" i="130"/>
  <c r="L247" i="130"/>
  <c r="K247" i="130"/>
  <c r="J247" i="130" s="1"/>
  <c r="L246" i="130"/>
  <c r="K246" i="130"/>
  <c r="L245" i="130"/>
  <c r="K245" i="130"/>
  <c r="J245" i="130" s="1"/>
  <c r="L244" i="130"/>
  <c r="K244" i="130"/>
  <c r="J244" i="130"/>
  <c r="L243" i="130"/>
  <c r="K243" i="130"/>
  <c r="J243" i="130" s="1"/>
  <c r="L242" i="130"/>
  <c r="K242" i="130"/>
  <c r="L241" i="130"/>
  <c r="K241" i="130"/>
  <c r="L240" i="130"/>
  <c r="K240" i="130"/>
  <c r="L239" i="130"/>
  <c r="K239" i="130"/>
  <c r="L238" i="130"/>
  <c r="K238" i="130"/>
  <c r="J238" i="130"/>
  <c r="L237" i="130"/>
  <c r="K237" i="130"/>
  <c r="L236" i="130"/>
  <c r="K236" i="130"/>
  <c r="J236" i="130" s="1"/>
  <c r="L235" i="130"/>
  <c r="K235" i="130"/>
  <c r="J235" i="130" s="1"/>
  <c r="L234" i="130"/>
  <c r="K234" i="130"/>
  <c r="L233" i="130"/>
  <c r="K233" i="130"/>
  <c r="J233" i="130"/>
  <c r="L232" i="130"/>
  <c r="K232" i="130"/>
  <c r="L231" i="130"/>
  <c r="K231" i="130"/>
  <c r="J231" i="130" s="1"/>
  <c r="L230" i="130"/>
  <c r="K230" i="130"/>
  <c r="L229" i="130"/>
  <c r="K229" i="130"/>
  <c r="J229" i="130" s="1"/>
  <c r="L228" i="130"/>
  <c r="K228" i="130"/>
  <c r="J228" i="130" s="1"/>
  <c r="L227" i="130"/>
  <c r="K227" i="130"/>
  <c r="J227" i="130" s="1"/>
  <c r="L226" i="130"/>
  <c r="K226" i="130"/>
  <c r="J226" i="130" s="1"/>
  <c r="L225" i="130"/>
  <c r="K225" i="130"/>
  <c r="L224" i="130"/>
  <c r="K224" i="130"/>
  <c r="J224" i="130" s="1"/>
  <c r="L223" i="130"/>
  <c r="K223" i="130"/>
  <c r="J223" i="130"/>
  <c r="L222" i="130"/>
  <c r="K222" i="130"/>
  <c r="J222" i="130" s="1"/>
  <c r="L221" i="130"/>
  <c r="K221" i="130"/>
  <c r="J221" i="130" s="1"/>
  <c r="L220" i="130"/>
  <c r="K220" i="130"/>
  <c r="L219" i="130"/>
  <c r="K219" i="130"/>
  <c r="J219" i="130" s="1"/>
  <c r="L218" i="130"/>
  <c r="K218" i="130"/>
  <c r="L217" i="130"/>
  <c r="K217" i="130"/>
  <c r="J217" i="130"/>
  <c r="L216" i="130"/>
  <c r="K216" i="130"/>
  <c r="J216" i="130"/>
  <c r="L215" i="130"/>
  <c r="K215" i="130"/>
  <c r="L214" i="130"/>
  <c r="K214" i="130"/>
  <c r="L213" i="130"/>
  <c r="K213" i="130"/>
  <c r="J213" i="130"/>
  <c r="L212" i="130"/>
  <c r="K212" i="130"/>
  <c r="J212" i="130" s="1"/>
  <c r="L211" i="130"/>
  <c r="K211" i="130"/>
  <c r="L210" i="130"/>
  <c r="K210" i="130"/>
  <c r="J210" i="130" s="1"/>
  <c r="L209" i="130"/>
  <c r="K209" i="130"/>
  <c r="L208" i="130"/>
  <c r="K208" i="130"/>
  <c r="L207" i="130"/>
  <c r="K207" i="130"/>
  <c r="L206" i="130"/>
  <c r="K206" i="130"/>
  <c r="J206" i="130" s="1"/>
  <c r="L205" i="130"/>
  <c r="K205" i="130"/>
  <c r="J205" i="130" s="1"/>
  <c r="L204" i="130"/>
  <c r="J204" i="130" s="1"/>
  <c r="K204" i="130"/>
  <c r="L203" i="130"/>
  <c r="K203" i="130"/>
  <c r="J203" i="130" s="1"/>
  <c r="L202" i="130"/>
  <c r="K202" i="130"/>
  <c r="L201" i="130"/>
  <c r="K201" i="130"/>
  <c r="J201" i="130" s="1"/>
  <c r="L200" i="130"/>
  <c r="K200" i="130"/>
  <c r="J200" i="130" s="1"/>
  <c r="L199" i="130"/>
  <c r="K199" i="130"/>
  <c r="J199" i="130" s="1"/>
  <c r="L198" i="130"/>
  <c r="K198" i="130"/>
  <c r="L197" i="130"/>
  <c r="K197" i="130"/>
  <c r="J197" i="130"/>
  <c r="L196" i="130"/>
  <c r="K196" i="130"/>
  <c r="L195" i="130"/>
  <c r="K195" i="130"/>
  <c r="J195" i="130" s="1"/>
  <c r="L194" i="130"/>
  <c r="K194" i="130"/>
  <c r="L193" i="130"/>
  <c r="K193" i="130"/>
  <c r="L192" i="130"/>
  <c r="K192" i="130"/>
  <c r="J192" i="130"/>
  <c r="L191" i="130"/>
  <c r="J191" i="130" s="1"/>
  <c r="K191" i="130"/>
  <c r="L190" i="130"/>
  <c r="K190" i="130"/>
  <c r="J190" i="130"/>
  <c r="L189" i="130"/>
  <c r="K189" i="130"/>
  <c r="J189" i="130" s="1"/>
  <c r="L188" i="130"/>
  <c r="K188" i="130"/>
  <c r="J188" i="130" s="1"/>
  <c r="L187" i="130"/>
  <c r="K187" i="130"/>
  <c r="L186" i="130"/>
  <c r="K186" i="130"/>
  <c r="J186" i="130" s="1"/>
  <c r="L185" i="130"/>
  <c r="K185" i="130"/>
  <c r="J185" i="130" s="1"/>
  <c r="L184" i="130"/>
  <c r="J184" i="130" s="1"/>
  <c r="K184" i="130"/>
  <c r="L183" i="130"/>
  <c r="K183" i="130"/>
  <c r="J183" i="130" s="1"/>
  <c r="L182" i="130"/>
  <c r="K182" i="130"/>
  <c r="L181" i="130"/>
  <c r="K181" i="130"/>
  <c r="J181" i="130" s="1"/>
  <c r="L180" i="130"/>
  <c r="K180" i="130"/>
  <c r="J180" i="130" s="1"/>
  <c r="L179" i="130"/>
  <c r="K179" i="130"/>
  <c r="L178" i="130"/>
  <c r="K178" i="130"/>
  <c r="J178" i="130" s="1"/>
  <c r="L177" i="130"/>
  <c r="K177" i="130"/>
  <c r="L176" i="130"/>
  <c r="K176" i="130"/>
  <c r="J176" i="130"/>
  <c r="L175" i="130"/>
  <c r="K175" i="130"/>
  <c r="L174" i="130"/>
  <c r="K174" i="130"/>
  <c r="J174" i="130" s="1"/>
  <c r="L173" i="130"/>
  <c r="K173" i="130"/>
  <c r="L172" i="130"/>
  <c r="K172" i="130"/>
  <c r="J172" i="130" s="1"/>
  <c r="L171" i="130"/>
  <c r="K171" i="130"/>
  <c r="L170" i="130"/>
  <c r="K170" i="130"/>
  <c r="J170" i="130" s="1"/>
  <c r="L169" i="130"/>
  <c r="K169" i="130"/>
  <c r="L168" i="130"/>
  <c r="K168" i="130"/>
  <c r="J168" i="130" s="1"/>
  <c r="L167" i="130"/>
  <c r="K167" i="130"/>
  <c r="L166" i="130"/>
  <c r="K166" i="130"/>
  <c r="L165" i="130"/>
  <c r="K165" i="130"/>
  <c r="J165" i="130" s="1"/>
  <c r="L164" i="130"/>
  <c r="K164" i="130"/>
  <c r="L163" i="130"/>
  <c r="K163" i="130"/>
  <c r="J163" i="130" s="1"/>
  <c r="L162" i="130"/>
  <c r="K162" i="130"/>
  <c r="L161" i="130"/>
  <c r="K161" i="130"/>
  <c r="J161" i="130" s="1"/>
  <c r="L160" i="130"/>
  <c r="K160" i="130"/>
  <c r="J160" i="130" s="1"/>
  <c r="L159" i="130"/>
  <c r="K159" i="130"/>
  <c r="L158" i="130"/>
  <c r="K158" i="130"/>
  <c r="J158" i="130" s="1"/>
  <c r="L157" i="130"/>
  <c r="K157" i="130"/>
  <c r="L156" i="130"/>
  <c r="K156" i="130"/>
  <c r="L155" i="130"/>
  <c r="K155" i="130"/>
  <c r="L154" i="130"/>
  <c r="K154" i="130"/>
  <c r="J154" i="130" s="1"/>
  <c r="L153" i="130"/>
  <c r="K153" i="130"/>
  <c r="J153" i="130" s="1"/>
  <c r="L152" i="130"/>
  <c r="K152" i="130"/>
  <c r="J152" i="130"/>
  <c r="L151" i="130"/>
  <c r="K151" i="130"/>
  <c r="J151" i="130" s="1"/>
  <c r="L150" i="130"/>
  <c r="K150" i="130"/>
  <c r="L149" i="130"/>
  <c r="K149" i="130"/>
  <c r="J149" i="130" s="1"/>
  <c r="L148" i="130"/>
  <c r="K148" i="130"/>
  <c r="L147" i="130"/>
  <c r="K147" i="130"/>
  <c r="J147" i="130" s="1"/>
  <c r="L146" i="130"/>
  <c r="K146" i="130"/>
  <c r="L145" i="130"/>
  <c r="K145" i="130"/>
  <c r="J145" i="130" s="1"/>
  <c r="L144" i="130"/>
  <c r="K144" i="130"/>
  <c r="J144" i="130" s="1"/>
  <c r="L143" i="130"/>
  <c r="K143" i="130"/>
  <c r="L142" i="130"/>
  <c r="K142" i="130"/>
  <c r="J142" i="130"/>
  <c r="L141" i="130"/>
  <c r="K141" i="130"/>
  <c r="L140" i="130"/>
  <c r="K140" i="130"/>
  <c r="J140" i="130" s="1"/>
  <c r="L139" i="130"/>
  <c r="K139" i="130"/>
  <c r="J139" i="130" s="1"/>
  <c r="L138" i="130"/>
  <c r="K138" i="130"/>
  <c r="J138" i="130" s="1"/>
  <c r="L137" i="130"/>
  <c r="K137" i="130"/>
  <c r="J137" i="130" s="1"/>
  <c r="L136" i="130"/>
  <c r="K136" i="130"/>
  <c r="J136" i="130"/>
  <c r="L135" i="130"/>
  <c r="K135" i="130"/>
  <c r="L134" i="130"/>
  <c r="K134" i="130"/>
  <c r="L133" i="130"/>
  <c r="K133" i="130"/>
  <c r="L132" i="130"/>
  <c r="K132" i="130"/>
  <c r="J132" i="130" s="1"/>
  <c r="L131" i="130"/>
  <c r="K131" i="130"/>
  <c r="J131" i="130" s="1"/>
  <c r="L130" i="130"/>
  <c r="K130" i="130"/>
  <c r="L129" i="130"/>
  <c r="K129" i="130"/>
  <c r="J129" i="130" s="1"/>
  <c r="L128" i="130"/>
  <c r="K128" i="130"/>
  <c r="J128" i="130"/>
  <c r="L127" i="130"/>
  <c r="K127" i="130"/>
  <c r="L126" i="130"/>
  <c r="K126" i="130"/>
  <c r="L125" i="130"/>
  <c r="K125" i="130"/>
  <c r="J125" i="130" s="1"/>
  <c r="L124" i="130"/>
  <c r="K124" i="130"/>
  <c r="J124" i="130"/>
  <c r="L123" i="130"/>
  <c r="K123" i="130"/>
  <c r="L122" i="130"/>
  <c r="K122" i="130"/>
  <c r="J122" i="130" s="1"/>
  <c r="L121" i="130"/>
  <c r="K121" i="130"/>
  <c r="J121" i="130"/>
  <c r="L120" i="130"/>
  <c r="K120" i="130"/>
  <c r="J120" i="130" s="1"/>
  <c r="L119" i="130"/>
  <c r="K119" i="130"/>
  <c r="L118" i="130"/>
  <c r="K118" i="130"/>
  <c r="J118" i="130" s="1"/>
  <c r="L117" i="130"/>
  <c r="K117" i="130"/>
  <c r="L116" i="130"/>
  <c r="K116" i="130"/>
  <c r="L115" i="130"/>
  <c r="K115" i="130"/>
  <c r="L114" i="130"/>
  <c r="K114" i="130"/>
  <c r="J114" i="130" s="1"/>
  <c r="L113" i="130"/>
  <c r="K113" i="130"/>
  <c r="J113" i="130"/>
  <c r="L112" i="130"/>
  <c r="K112" i="130"/>
  <c r="L111" i="130"/>
  <c r="K111" i="130"/>
  <c r="J111" i="130" s="1"/>
  <c r="L110" i="130"/>
  <c r="K110" i="130"/>
  <c r="J110" i="130" s="1"/>
  <c r="L109" i="130"/>
  <c r="K109" i="130"/>
  <c r="J109" i="130" s="1"/>
  <c r="L108" i="130"/>
  <c r="K108" i="130"/>
  <c r="L107" i="130"/>
  <c r="K107" i="130"/>
  <c r="J107" i="130" s="1"/>
  <c r="L106" i="130"/>
  <c r="K106" i="130"/>
  <c r="L105" i="130"/>
  <c r="K105" i="130"/>
  <c r="L104" i="130"/>
  <c r="K104" i="130"/>
  <c r="J104" i="130" s="1"/>
  <c r="L103" i="130"/>
  <c r="K103" i="130"/>
  <c r="J103" i="130" s="1"/>
  <c r="L102" i="130"/>
  <c r="K102" i="130"/>
  <c r="L101" i="130"/>
  <c r="K101" i="130"/>
  <c r="L100" i="130"/>
  <c r="K100" i="130"/>
  <c r="L99" i="130"/>
  <c r="K99" i="130"/>
  <c r="J99" i="130" s="1"/>
  <c r="L98" i="130"/>
  <c r="K98" i="130"/>
  <c r="J98" i="130"/>
  <c r="L97" i="130"/>
  <c r="K97" i="130"/>
  <c r="L96" i="130"/>
  <c r="K96" i="130"/>
  <c r="J96" i="130" s="1"/>
  <c r="L95" i="130"/>
  <c r="K95" i="130"/>
  <c r="L94" i="130"/>
  <c r="K94" i="130"/>
  <c r="J94" i="130" s="1"/>
  <c r="L93" i="130"/>
  <c r="K93" i="130"/>
  <c r="J93" i="130" s="1"/>
  <c r="L92" i="130"/>
  <c r="K92" i="130"/>
  <c r="J92" i="130" s="1"/>
  <c r="L91" i="130"/>
  <c r="K91" i="130"/>
  <c r="J91" i="130"/>
  <c r="L90" i="130"/>
  <c r="K90" i="130"/>
  <c r="J90" i="130" s="1"/>
  <c r="L89" i="130"/>
  <c r="K89" i="130"/>
  <c r="L88" i="130"/>
  <c r="K88" i="130"/>
  <c r="J88" i="130" s="1"/>
  <c r="L87" i="130"/>
  <c r="K87" i="130"/>
  <c r="J87" i="130"/>
  <c r="L86" i="130"/>
  <c r="K86" i="130"/>
  <c r="J86" i="130" s="1"/>
  <c r="L85" i="130"/>
  <c r="K85" i="130"/>
  <c r="J85" i="130" s="1"/>
  <c r="L84" i="130"/>
  <c r="K84" i="130"/>
  <c r="L83" i="130"/>
  <c r="K83" i="130"/>
  <c r="L82" i="130"/>
  <c r="K82" i="130"/>
  <c r="J82" i="130" s="1"/>
  <c r="L81" i="130"/>
  <c r="K81" i="130"/>
  <c r="L80" i="130"/>
  <c r="K80" i="130"/>
  <c r="L79" i="130"/>
  <c r="K79" i="130"/>
  <c r="J79" i="130" s="1"/>
  <c r="L78" i="130"/>
  <c r="K78" i="130"/>
  <c r="L77" i="130"/>
  <c r="K77" i="130"/>
  <c r="J77" i="130" s="1"/>
  <c r="L76" i="130"/>
  <c r="K76" i="130"/>
  <c r="J76" i="130" s="1"/>
  <c r="L75" i="130"/>
  <c r="K75" i="130"/>
  <c r="J75" i="130" s="1"/>
  <c r="L74" i="130"/>
  <c r="K74" i="130"/>
  <c r="L73" i="130"/>
  <c r="K73" i="130"/>
  <c r="J73" i="130" s="1"/>
  <c r="L72" i="130"/>
  <c r="K72" i="130"/>
  <c r="J72" i="130"/>
  <c r="L71" i="130"/>
  <c r="J71" i="130" s="1"/>
  <c r="K71" i="130"/>
  <c r="L70" i="130"/>
  <c r="J70" i="130" s="1"/>
  <c r="K70" i="130"/>
  <c r="L69" i="130"/>
  <c r="K69" i="130"/>
  <c r="J69" i="130" s="1"/>
  <c r="L68" i="130"/>
  <c r="K68" i="130"/>
  <c r="L67" i="130"/>
  <c r="K67" i="130"/>
  <c r="J67" i="130" s="1"/>
  <c r="L66" i="130"/>
  <c r="K66" i="130"/>
  <c r="J66" i="130" s="1"/>
  <c r="L65" i="130"/>
  <c r="K65" i="130"/>
  <c r="J65" i="130" s="1"/>
  <c r="L64" i="130"/>
  <c r="K64" i="130"/>
  <c r="J64" i="130" s="1"/>
  <c r="L63" i="130"/>
  <c r="K63" i="130"/>
  <c r="J63" i="130" s="1"/>
  <c r="L62" i="130"/>
  <c r="K62" i="130"/>
  <c r="J62" i="130" s="1"/>
  <c r="L61" i="130"/>
  <c r="K61" i="130"/>
  <c r="J61" i="130" s="1"/>
  <c r="L60" i="130"/>
  <c r="J60" i="130" s="1"/>
  <c r="K60" i="130"/>
  <c r="L59" i="130"/>
  <c r="K59" i="130"/>
  <c r="J59" i="130" s="1"/>
  <c r="L58" i="130"/>
  <c r="K58" i="130"/>
  <c r="J58" i="130" s="1"/>
  <c r="L57" i="130"/>
  <c r="K57" i="130"/>
  <c r="J57" i="130" s="1"/>
  <c r="L56" i="130"/>
  <c r="K56" i="130"/>
  <c r="J56" i="130" s="1"/>
  <c r="L55" i="130"/>
  <c r="K55" i="130"/>
  <c r="J55" i="130" s="1"/>
  <c r="L54" i="130"/>
  <c r="K54" i="130"/>
  <c r="L53" i="130"/>
  <c r="K53" i="130"/>
  <c r="L52" i="130"/>
  <c r="K52" i="130"/>
  <c r="L51" i="130"/>
  <c r="K51" i="130"/>
  <c r="J51" i="130" s="1"/>
  <c r="L50" i="130"/>
  <c r="K50" i="130"/>
  <c r="J50" i="130" s="1"/>
  <c r="L49" i="130"/>
  <c r="K49" i="130"/>
  <c r="J49" i="130" s="1"/>
  <c r="L48" i="130"/>
  <c r="K48" i="130"/>
  <c r="L47" i="130"/>
  <c r="K47" i="130"/>
  <c r="J47" i="130" s="1"/>
  <c r="L46" i="130"/>
  <c r="K46" i="130"/>
  <c r="L45" i="130"/>
  <c r="K45" i="130"/>
  <c r="L44" i="130"/>
  <c r="K44" i="130"/>
  <c r="L43" i="130"/>
  <c r="K43" i="130"/>
  <c r="J43" i="130" s="1"/>
  <c r="L42" i="130"/>
  <c r="K42" i="130"/>
  <c r="L41" i="130"/>
  <c r="K41" i="130"/>
  <c r="J41" i="130" s="1"/>
  <c r="L40" i="130"/>
  <c r="K40" i="130"/>
  <c r="L39" i="130"/>
  <c r="K39" i="130"/>
  <c r="L38" i="130"/>
  <c r="K38" i="130"/>
  <c r="L37" i="130"/>
  <c r="K37" i="130"/>
  <c r="J37" i="130" s="1"/>
  <c r="L36" i="130"/>
  <c r="K36" i="130"/>
  <c r="J36" i="130" s="1"/>
  <c r="L35" i="130"/>
  <c r="K35" i="130"/>
  <c r="J35" i="130" s="1"/>
  <c r="L34" i="130"/>
  <c r="K34" i="130"/>
  <c r="L32" i="130"/>
  <c r="K32" i="130"/>
  <c r="J32" i="130" s="1"/>
  <c r="L31" i="130"/>
  <c r="K31" i="130"/>
  <c r="L30" i="130"/>
  <c r="K30" i="130"/>
  <c r="L29" i="130"/>
  <c r="K29" i="130"/>
  <c r="L28" i="130"/>
  <c r="K28" i="130"/>
  <c r="J28" i="130" s="1"/>
  <c r="L27" i="130"/>
  <c r="K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K55" i="131"/>
  <c r="J55" i="131" s="1"/>
  <c r="L54" i="131"/>
  <c r="K54" i="131"/>
  <c r="J54" i="131" s="1"/>
  <c r="L53" i="131"/>
  <c r="K53" i="131"/>
  <c r="J53" i="131"/>
  <c r="L52" i="131"/>
  <c r="K52" i="131"/>
  <c r="J52" i="131" s="1"/>
  <c r="L51" i="131"/>
  <c r="K51" i="131"/>
  <c r="J51" i="131" s="1"/>
  <c r="L50" i="131"/>
  <c r="K50" i="131"/>
  <c r="J50" i="131" s="1"/>
  <c r="L49" i="131"/>
  <c r="K49" i="131"/>
  <c r="J49" i="131" s="1"/>
  <c r="L48" i="131"/>
  <c r="K48" i="131"/>
  <c r="J48" i="131" s="1"/>
  <c r="L47" i="131"/>
  <c r="K47" i="131"/>
  <c r="J47" i="131"/>
  <c r="L46" i="131"/>
  <c r="K46" i="131"/>
  <c r="J46" i="131" s="1"/>
  <c r="L45" i="131"/>
  <c r="K45" i="131"/>
  <c r="J45" i="131" s="1"/>
  <c r="L44" i="131"/>
  <c r="K44" i="131"/>
  <c r="J44" i="131"/>
  <c r="L43" i="131"/>
  <c r="K43" i="131"/>
  <c r="J43" i="131" s="1"/>
  <c r="L42" i="131"/>
  <c r="K42" i="131"/>
  <c r="J42" i="131" s="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/>
  <c r="L36" i="131"/>
  <c r="K36" i="131"/>
  <c r="J36" i="13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 s="1"/>
  <c r="L27" i="131"/>
  <c r="K27" i="131"/>
  <c r="J27" i="131"/>
  <c r="L26" i="131"/>
  <c r="K26" i="131"/>
  <c r="J26" i="131" s="1"/>
  <c r="L25" i="131"/>
  <c r="K25" i="131"/>
  <c r="J25" i="13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 s="1"/>
  <c r="L86" i="132"/>
  <c r="K86" i="132"/>
  <c r="J86" i="132" s="1"/>
  <c r="L85" i="132"/>
  <c r="K85" i="132"/>
  <c r="J85" i="132" s="1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 s="1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/>
  <c r="L72" i="132"/>
  <c r="K72" i="132"/>
  <c r="J72" i="132"/>
  <c r="L71" i="132"/>
  <c r="K71" i="132"/>
  <c r="J71" i="132" s="1"/>
  <c r="L70" i="132"/>
  <c r="K70" i="132"/>
  <c r="L69" i="132"/>
  <c r="K69" i="132"/>
  <c r="J69" i="132" s="1"/>
  <c r="L68" i="132"/>
  <c r="K68" i="132"/>
  <c r="J68" i="132"/>
  <c r="L67" i="132"/>
  <c r="K67" i="132"/>
  <c r="J67" i="132"/>
  <c r="L66" i="132"/>
  <c r="J66" i="132"/>
  <c r="K66" i="132"/>
  <c r="L65" i="132"/>
  <c r="K65" i="132"/>
  <c r="J65" i="132"/>
  <c r="L64" i="132"/>
  <c r="K64" i="132"/>
  <c r="J64" i="132"/>
  <c r="L63" i="132"/>
  <c r="K63" i="132"/>
  <c r="J63" i="132" s="1"/>
  <c r="L62" i="132"/>
  <c r="K62" i="132"/>
  <c r="J62" i="132" s="1"/>
  <c r="L61" i="132"/>
  <c r="K61" i="132"/>
  <c r="J61" i="132"/>
  <c r="L60" i="132"/>
  <c r="K60" i="132"/>
  <c r="J60" i="132" s="1"/>
  <c r="L59" i="132"/>
  <c r="J59" i="132"/>
  <c r="K59" i="132"/>
  <c r="L58" i="132"/>
  <c r="K58" i="132"/>
  <c r="J58" i="132"/>
  <c r="L57" i="132"/>
  <c r="K57" i="132"/>
  <c r="J57" i="132" s="1"/>
  <c r="L56" i="132"/>
  <c r="K56" i="132"/>
  <c r="J56" i="132"/>
  <c r="L55" i="132"/>
  <c r="K55" i="132"/>
  <c r="J55" i="132" s="1"/>
  <c r="L54" i="132"/>
  <c r="K54" i="132"/>
  <c r="J54" i="132" s="1"/>
  <c r="L53" i="132"/>
  <c r="K53" i="132"/>
  <c r="J53" i="132" s="1"/>
  <c r="L52" i="132"/>
  <c r="K52" i="132"/>
  <c r="J52" i="132" s="1"/>
  <c r="L51" i="132"/>
  <c r="K51" i="132"/>
  <c r="J51" i="132"/>
  <c r="L50" i="132"/>
  <c r="K50" i="132"/>
  <c r="J50" i="132" s="1"/>
  <c r="L49" i="132"/>
  <c r="K49" i="132"/>
  <c r="J49" i="132"/>
  <c r="L48" i="132"/>
  <c r="K48" i="132"/>
  <c r="J48" i="132" s="1"/>
  <c r="L47" i="132"/>
  <c r="K47" i="132"/>
  <c r="J47" i="132" s="1"/>
  <c r="L46" i="132"/>
  <c r="K46" i="132"/>
  <c r="J46" i="132" s="1"/>
  <c r="L45" i="132"/>
  <c r="K45" i="132"/>
  <c r="J45" i="132" s="1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J38" i="132" s="1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/>
  <c r="L32" i="132"/>
  <c r="K32" i="132"/>
  <c r="J32" i="132" s="1"/>
  <c r="L31" i="132"/>
  <c r="K31" i="132"/>
  <c r="J31" i="132"/>
  <c r="L30" i="132"/>
  <c r="K30" i="132"/>
  <c r="J30" i="132" s="1"/>
  <c r="L29" i="132"/>
  <c r="K29" i="132"/>
  <c r="J29" i="132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1" i="133"/>
  <c r="K251" i="133"/>
  <c r="J251" i="133"/>
  <c r="L250" i="133"/>
  <c r="K250" i="133"/>
  <c r="J250" i="133"/>
  <c r="L249" i="133"/>
  <c r="K249" i="133"/>
  <c r="J249" i="133" s="1"/>
  <c r="L248" i="133"/>
  <c r="J248" i="133"/>
  <c r="K248" i="133"/>
  <c r="L247" i="133"/>
  <c r="K247" i="133"/>
  <c r="L246" i="133"/>
  <c r="K246" i="133"/>
  <c r="J246" i="133"/>
  <c r="L245" i="133"/>
  <c r="K245" i="133"/>
  <c r="J245" i="133" s="1"/>
  <c r="L244" i="133"/>
  <c r="K244" i="133"/>
  <c r="J244" i="133" s="1"/>
  <c r="L243" i="133"/>
  <c r="K243" i="133"/>
  <c r="J243" i="133"/>
  <c r="L242" i="133"/>
  <c r="K242" i="133"/>
  <c r="J242" i="133" s="1"/>
  <c r="L241" i="133"/>
  <c r="J241" i="133" s="1"/>
  <c r="K241" i="133"/>
  <c r="L240" i="133"/>
  <c r="K240" i="133"/>
  <c r="J240" i="133"/>
  <c r="L239" i="133"/>
  <c r="K239" i="133"/>
  <c r="J239" i="133"/>
  <c r="L238" i="133"/>
  <c r="K238" i="133"/>
  <c r="L237" i="133"/>
  <c r="K237" i="133"/>
  <c r="L236" i="133"/>
  <c r="K236" i="133"/>
  <c r="J236" i="133" s="1"/>
  <c r="L235" i="133"/>
  <c r="K235" i="133"/>
  <c r="L234" i="133"/>
  <c r="J234" i="133" s="1"/>
  <c r="K234" i="133"/>
  <c r="L233" i="133"/>
  <c r="K233" i="133"/>
  <c r="L232" i="133"/>
  <c r="K232" i="133"/>
  <c r="J232" i="133" s="1"/>
  <c r="L231" i="133"/>
  <c r="K231" i="133"/>
  <c r="L230" i="133"/>
  <c r="K230" i="133"/>
  <c r="J230" i="133" s="1"/>
  <c r="L229" i="133"/>
  <c r="K229" i="133"/>
  <c r="J229" i="133" s="1"/>
  <c r="L228" i="133"/>
  <c r="K228" i="133"/>
  <c r="J228" i="133" s="1"/>
  <c r="L227" i="133"/>
  <c r="K227" i="133"/>
  <c r="J227" i="133" s="1"/>
  <c r="L226" i="133"/>
  <c r="K226" i="133"/>
  <c r="L225" i="133"/>
  <c r="K225" i="133"/>
  <c r="J225" i="133" s="1"/>
  <c r="L224" i="133"/>
  <c r="K224" i="133"/>
  <c r="J224" i="133" s="1"/>
  <c r="L223" i="133"/>
  <c r="K223" i="133"/>
  <c r="J223" i="133" s="1"/>
  <c r="L222" i="133"/>
  <c r="K222" i="133"/>
  <c r="L221" i="133"/>
  <c r="K221" i="133"/>
  <c r="L220" i="133"/>
  <c r="K220" i="133"/>
  <c r="J220" i="133" s="1"/>
  <c r="L219" i="133"/>
  <c r="K219" i="133"/>
  <c r="L218" i="133"/>
  <c r="K218" i="133"/>
  <c r="J218" i="133"/>
  <c r="L217" i="133"/>
  <c r="K217" i="133"/>
  <c r="J217" i="133" s="1"/>
  <c r="L216" i="133"/>
  <c r="K216" i="133"/>
  <c r="J216" i="133" s="1"/>
  <c r="L215" i="133"/>
  <c r="K215" i="133"/>
  <c r="L214" i="133"/>
  <c r="K214" i="133"/>
  <c r="J214" i="133" s="1"/>
  <c r="L213" i="133"/>
  <c r="K213" i="133"/>
  <c r="J213" i="133" s="1"/>
  <c r="L212" i="133"/>
  <c r="K212" i="133"/>
  <c r="J212" i="133" s="1"/>
  <c r="L211" i="133"/>
  <c r="J211" i="133" s="1"/>
  <c r="K211" i="133"/>
  <c r="L210" i="133"/>
  <c r="K210" i="133"/>
  <c r="J210" i="133" s="1"/>
  <c r="L209" i="133"/>
  <c r="K209" i="133"/>
  <c r="J209" i="133" s="1"/>
  <c r="L208" i="133"/>
  <c r="K208" i="133"/>
  <c r="J208" i="133" s="1"/>
  <c r="L207" i="133"/>
  <c r="K207" i="133"/>
  <c r="J207" i="133"/>
  <c r="L206" i="133"/>
  <c r="K206" i="133"/>
  <c r="J206" i="133" s="1"/>
  <c r="L205" i="133"/>
  <c r="K205" i="133"/>
  <c r="J205" i="133" s="1"/>
  <c r="L204" i="133"/>
  <c r="K204" i="133"/>
  <c r="L203" i="133"/>
  <c r="K203" i="133"/>
  <c r="J203" i="133" s="1"/>
  <c r="L202" i="133"/>
  <c r="K202" i="133"/>
  <c r="J202" i="133" s="1"/>
  <c r="L201" i="133"/>
  <c r="K201" i="133"/>
  <c r="L200" i="133"/>
  <c r="K200" i="133"/>
  <c r="J200" i="133" s="1"/>
  <c r="L199" i="133"/>
  <c r="K199" i="133"/>
  <c r="L198" i="133"/>
  <c r="K198" i="133"/>
  <c r="J198" i="133"/>
  <c r="L197" i="133"/>
  <c r="K197" i="133"/>
  <c r="L196" i="133"/>
  <c r="K196" i="133"/>
  <c r="J196" i="133" s="1"/>
  <c r="L195" i="133"/>
  <c r="K195" i="133"/>
  <c r="L194" i="133"/>
  <c r="K194" i="133"/>
  <c r="L193" i="133"/>
  <c r="K193" i="133"/>
  <c r="J193" i="133" s="1"/>
  <c r="L192" i="133"/>
  <c r="K192" i="133"/>
  <c r="J192" i="133" s="1"/>
  <c r="L191" i="133"/>
  <c r="K191" i="133"/>
  <c r="J191" i="133" s="1"/>
  <c r="L190" i="133"/>
  <c r="K190" i="133"/>
  <c r="L189" i="133"/>
  <c r="K189" i="133"/>
  <c r="J189" i="133" s="1"/>
  <c r="L188" i="133"/>
  <c r="K188" i="133"/>
  <c r="J188" i="133" s="1"/>
  <c r="L187" i="133"/>
  <c r="K187" i="133"/>
  <c r="L186" i="133"/>
  <c r="K186" i="133"/>
  <c r="J186" i="133"/>
  <c r="L185" i="133"/>
  <c r="K185" i="133"/>
  <c r="J185" i="133"/>
  <c r="L184" i="133"/>
  <c r="K184" i="133"/>
  <c r="J184" i="133" s="1"/>
  <c r="L183" i="133"/>
  <c r="K183" i="133"/>
  <c r="L182" i="133"/>
  <c r="K182" i="133"/>
  <c r="J182" i="133" s="1"/>
  <c r="L181" i="133"/>
  <c r="K181" i="133"/>
  <c r="J181" i="133" s="1"/>
  <c r="L180" i="133"/>
  <c r="K180" i="133"/>
  <c r="J180" i="133"/>
  <c r="L179" i="133"/>
  <c r="K179" i="133"/>
  <c r="J179" i="133"/>
  <c r="L178" i="133"/>
  <c r="K178" i="133"/>
  <c r="L177" i="133"/>
  <c r="K177" i="133"/>
  <c r="L176" i="133"/>
  <c r="K176" i="133"/>
  <c r="L175" i="133"/>
  <c r="K175" i="133"/>
  <c r="L174" i="133"/>
  <c r="K174" i="133"/>
  <c r="L173" i="133"/>
  <c r="K173" i="133"/>
  <c r="J173" i="133"/>
  <c r="L172" i="133"/>
  <c r="K172" i="133"/>
  <c r="J172" i="133"/>
  <c r="L171" i="133"/>
  <c r="K171" i="133"/>
  <c r="L170" i="133"/>
  <c r="K170" i="133"/>
  <c r="J170" i="133"/>
  <c r="L169" i="133"/>
  <c r="K169" i="133"/>
  <c r="L168" i="133"/>
  <c r="K168" i="133"/>
  <c r="L167" i="133"/>
  <c r="K167" i="133"/>
  <c r="L166" i="133"/>
  <c r="K166" i="133"/>
  <c r="J166" i="133" s="1"/>
  <c r="L165" i="133"/>
  <c r="K165" i="133"/>
  <c r="J165" i="133"/>
  <c r="L164" i="133"/>
  <c r="K164" i="133"/>
  <c r="J164" i="133" s="1"/>
  <c r="L163" i="133"/>
  <c r="K163" i="133"/>
  <c r="J163" i="133"/>
  <c r="L162" i="133"/>
  <c r="K162" i="133"/>
  <c r="L161" i="133"/>
  <c r="K161" i="133"/>
  <c r="L160" i="133"/>
  <c r="K160" i="133"/>
  <c r="J160" i="133" s="1"/>
  <c r="L159" i="133"/>
  <c r="K159" i="133"/>
  <c r="J159" i="133"/>
  <c r="L158" i="133"/>
  <c r="K158" i="133"/>
  <c r="L157" i="133"/>
  <c r="K157" i="133"/>
  <c r="J157" i="133"/>
  <c r="L156" i="133"/>
  <c r="K156" i="133"/>
  <c r="J156" i="133" s="1"/>
  <c r="L155" i="133"/>
  <c r="K155" i="133"/>
  <c r="L154" i="133"/>
  <c r="J154" i="133" s="1"/>
  <c r="K154" i="133"/>
  <c r="L153" i="133"/>
  <c r="K153" i="133"/>
  <c r="J153" i="133"/>
  <c r="L152" i="133"/>
  <c r="K152" i="133"/>
  <c r="J152" i="133" s="1"/>
  <c r="L151" i="133"/>
  <c r="K151" i="133"/>
  <c r="L150" i="133"/>
  <c r="K150" i="133"/>
  <c r="J150" i="133" s="1"/>
  <c r="L149" i="133"/>
  <c r="K149" i="133"/>
  <c r="J149" i="133" s="1"/>
  <c r="L148" i="133"/>
  <c r="K148" i="133"/>
  <c r="L147" i="133"/>
  <c r="K147" i="133"/>
  <c r="J147" i="133" s="1"/>
  <c r="L146" i="133"/>
  <c r="K146" i="133"/>
  <c r="J146" i="133" s="1"/>
  <c r="L145" i="133"/>
  <c r="K145" i="133"/>
  <c r="L144" i="133"/>
  <c r="K144" i="133"/>
  <c r="L143" i="133"/>
  <c r="K143" i="133"/>
  <c r="J143" i="133"/>
  <c r="L142" i="133"/>
  <c r="K142" i="133"/>
  <c r="J142" i="133" s="1"/>
  <c r="L141" i="133"/>
  <c r="J141" i="133" s="1"/>
  <c r="K141" i="133"/>
  <c r="L140" i="133"/>
  <c r="K140" i="133"/>
  <c r="J140" i="133" s="1"/>
  <c r="L139" i="133"/>
  <c r="K139" i="133"/>
  <c r="J139" i="133" s="1"/>
  <c r="L138" i="133"/>
  <c r="K138" i="133"/>
  <c r="L137" i="133"/>
  <c r="K137" i="133"/>
  <c r="J137" i="133" s="1"/>
  <c r="L136" i="133"/>
  <c r="K136" i="133"/>
  <c r="J136" i="133" s="1"/>
  <c r="L135" i="133"/>
  <c r="K135" i="133"/>
  <c r="J135" i="133" s="1"/>
  <c r="L134" i="133"/>
  <c r="K134" i="133"/>
  <c r="L133" i="133"/>
  <c r="K133" i="133"/>
  <c r="L132" i="133"/>
  <c r="K132" i="133"/>
  <c r="J132" i="133" s="1"/>
  <c r="L131" i="133"/>
  <c r="K131" i="133"/>
  <c r="L130" i="133"/>
  <c r="K130" i="133"/>
  <c r="J130" i="133"/>
  <c r="L129" i="133"/>
  <c r="K129" i="133"/>
  <c r="L128" i="133"/>
  <c r="K128" i="133"/>
  <c r="L127" i="133"/>
  <c r="K127" i="133"/>
  <c r="J127" i="133" s="1"/>
  <c r="L126" i="133"/>
  <c r="K126" i="133"/>
  <c r="L125" i="133"/>
  <c r="K125" i="133"/>
  <c r="J125" i="133"/>
  <c r="L124" i="133"/>
  <c r="K124" i="133"/>
  <c r="J124" i="133" s="1"/>
  <c r="L123" i="133"/>
  <c r="K123" i="133"/>
  <c r="L122" i="133"/>
  <c r="K122" i="133"/>
  <c r="J122" i="133" s="1"/>
  <c r="L121" i="133"/>
  <c r="K121" i="133"/>
  <c r="J121" i="133" s="1"/>
  <c r="L120" i="133"/>
  <c r="K120" i="133"/>
  <c r="J120" i="133" s="1"/>
  <c r="L119" i="133"/>
  <c r="K119" i="133"/>
  <c r="J119" i="133" s="1"/>
  <c r="L118" i="133"/>
  <c r="K118" i="133"/>
  <c r="L117" i="133"/>
  <c r="K117" i="133"/>
  <c r="J117" i="133" s="1"/>
  <c r="L116" i="133"/>
  <c r="K116" i="133"/>
  <c r="J116" i="133"/>
  <c r="L115" i="133"/>
  <c r="K115" i="133"/>
  <c r="J115" i="133" s="1"/>
  <c r="L114" i="133"/>
  <c r="K114" i="133"/>
  <c r="J114" i="133"/>
  <c r="L113" i="133"/>
  <c r="K113" i="133"/>
  <c r="J113" i="133" s="1"/>
  <c r="L112" i="133"/>
  <c r="K112" i="133"/>
  <c r="J112" i="133" s="1"/>
  <c r="L111" i="133"/>
  <c r="K111" i="133"/>
  <c r="L110" i="133"/>
  <c r="K110" i="133"/>
  <c r="L109" i="133"/>
  <c r="K109" i="133"/>
  <c r="J109" i="133" s="1"/>
  <c r="L108" i="133"/>
  <c r="K108" i="133"/>
  <c r="L107" i="133"/>
  <c r="K107" i="133"/>
  <c r="J107" i="133" s="1"/>
  <c r="L106" i="133"/>
  <c r="K106" i="133"/>
  <c r="J106" i="133"/>
  <c r="L105" i="133"/>
  <c r="K105" i="133"/>
  <c r="J105" i="133" s="1"/>
  <c r="L104" i="133"/>
  <c r="K104" i="133"/>
  <c r="L103" i="133"/>
  <c r="K103" i="133"/>
  <c r="L102" i="133"/>
  <c r="K102" i="133"/>
  <c r="L101" i="133"/>
  <c r="K101" i="133"/>
  <c r="L100" i="133"/>
  <c r="K100" i="133"/>
  <c r="J100" i="133"/>
  <c r="L99" i="133"/>
  <c r="K99" i="133"/>
  <c r="J99" i="133"/>
  <c r="L98" i="133"/>
  <c r="K98" i="133"/>
  <c r="J98" i="133" s="1"/>
  <c r="L97" i="133"/>
  <c r="K97" i="133"/>
  <c r="L96" i="133"/>
  <c r="K96" i="133"/>
  <c r="L95" i="133"/>
  <c r="K95" i="133"/>
  <c r="L94" i="133"/>
  <c r="K94" i="133"/>
  <c r="J94" i="133" s="1"/>
  <c r="L93" i="133"/>
  <c r="K93" i="133"/>
  <c r="J93" i="133"/>
  <c r="L92" i="133"/>
  <c r="K92" i="133"/>
  <c r="L91" i="133"/>
  <c r="K91" i="133"/>
  <c r="L90" i="133"/>
  <c r="K90" i="133"/>
  <c r="J90" i="133" s="1"/>
  <c r="L89" i="133"/>
  <c r="K89" i="133"/>
  <c r="L88" i="133"/>
  <c r="K88" i="133"/>
  <c r="J88" i="133" s="1"/>
  <c r="L87" i="133"/>
  <c r="K87" i="133"/>
  <c r="J87" i="133" s="1"/>
  <c r="L86" i="133"/>
  <c r="K86" i="133"/>
  <c r="J86" i="133" s="1"/>
  <c r="L85" i="133"/>
  <c r="K85" i="133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 s="1"/>
  <c r="L80" i="133"/>
  <c r="K80" i="133"/>
  <c r="J80" i="133" s="1"/>
  <c r="L79" i="133"/>
  <c r="K79" i="133"/>
  <c r="J79" i="133" s="1"/>
  <c r="L78" i="133"/>
  <c r="K78" i="133"/>
  <c r="J78" i="133" s="1"/>
  <c r="L77" i="133"/>
  <c r="K77" i="133"/>
  <c r="J77" i="133"/>
  <c r="L76" i="133"/>
  <c r="K76" i="133"/>
  <c r="L75" i="133"/>
  <c r="K75" i="133"/>
  <c r="L74" i="133"/>
  <c r="K74" i="133"/>
  <c r="J74" i="133" s="1"/>
  <c r="L73" i="133"/>
  <c r="K73" i="133"/>
  <c r="J73" i="133" s="1"/>
  <c r="L72" i="133"/>
  <c r="K72" i="133"/>
  <c r="L71" i="133"/>
  <c r="K71" i="133"/>
  <c r="L70" i="133"/>
  <c r="K70" i="133"/>
  <c r="J70" i="133" s="1"/>
  <c r="L69" i="133"/>
  <c r="K69" i="133"/>
  <c r="L68" i="133"/>
  <c r="K68" i="133"/>
  <c r="L67" i="133"/>
  <c r="K67" i="133"/>
  <c r="J67" i="133" s="1"/>
  <c r="L66" i="133"/>
  <c r="K66" i="133"/>
  <c r="J66" i="133"/>
  <c r="L65" i="133"/>
  <c r="K65" i="133"/>
  <c r="J65" i="133" s="1"/>
  <c r="L64" i="133"/>
  <c r="K64" i="133"/>
  <c r="J64" i="133" s="1"/>
  <c r="L63" i="133"/>
  <c r="K63" i="133"/>
  <c r="L62" i="133"/>
  <c r="K62" i="133"/>
  <c r="L61" i="133"/>
  <c r="K61" i="133"/>
  <c r="J61" i="133" s="1"/>
  <c r="L60" i="133"/>
  <c r="K60" i="133"/>
  <c r="L59" i="133"/>
  <c r="K59" i="133"/>
  <c r="L58" i="133"/>
  <c r="K58" i="133"/>
  <c r="J58" i="133" s="1"/>
  <c r="L57" i="133"/>
  <c r="K57" i="133"/>
  <c r="J57" i="133" s="1"/>
  <c r="L56" i="133"/>
  <c r="K56" i="133"/>
  <c r="J56" i="133" s="1"/>
  <c r="L55" i="133"/>
  <c r="K55" i="133"/>
  <c r="L54" i="133"/>
  <c r="K54" i="133"/>
  <c r="J54" i="133" s="1"/>
  <c r="L53" i="133"/>
  <c r="K53" i="133"/>
  <c r="J53" i="133"/>
  <c r="L52" i="133"/>
  <c r="K52" i="133"/>
  <c r="L51" i="133"/>
  <c r="K51" i="133"/>
  <c r="J51" i="133" s="1"/>
  <c r="L50" i="133"/>
  <c r="K50" i="133"/>
  <c r="L49" i="133"/>
  <c r="K49" i="133"/>
  <c r="J49" i="133" s="1"/>
  <c r="L48" i="133"/>
  <c r="K48" i="133"/>
  <c r="L47" i="133"/>
  <c r="K47" i="133"/>
  <c r="L46" i="133"/>
  <c r="K46" i="133"/>
  <c r="J46" i="133"/>
  <c r="L45" i="133"/>
  <c r="K45" i="133"/>
  <c r="J45" i="133" s="1"/>
  <c r="L44" i="133"/>
  <c r="K44" i="133"/>
  <c r="J44" i="133" s="1"/>
  <c r="L43" i="133"/>
  <c r="K43" i="133"/>
  <c r="J43" i="133" s="1"/>
  <c r="L42" i="133"/>
  <c r="K42" i="133"/>
  <c r="J42" i="133" s="1"/>
  <c r="L41" i="133"/>
  <c r="K41" i="133"/>
  <c r="J41" i="133" s="1"/>
  <c r="L40" i="133"/>
  <c r="K40" i="133"/>
  <c r="J40" i="133" s="1"/>
  <c r="L39" i="133"/>
  <c r="K39" i="133"/>
  <c r="J39" i="133"/>
  <c r="L38" i="133"/>
  <c r="K38" i="133"/>
  <c r="L37" i="133"/>
  <c r="K37" i="133"/>
  <c r="J37" i="133" s="1"/>
  <c r="L36" i="133"/>
  <c r="K36" i="133"/>
  <c r="J36" i="133" s="1"/>
  <c r="L35" i="133"/>
  <c r="K35" i="133"/>
  <c r="J35" i="133" s="1"/>
  <c r="L34" i="133"/>
  <c r="K34" i="133"/>
  <c r="L33" i="133"/>
  <c r="K33" i="133"/>
  <c r="L32" i="133"/>
  <c r="K32" i="133"/>
  <c r="J32" i="133"/>
  <c r="L31" i="133"/>
  <c r="K31" i="133"/>
  <c r="J31" i="133" s="1"/>
  <c r="L30" i="133"/>
  <c r="K30" i="133"/>
  <c r="J30" i="133" s="1"/>
  <c r="L29" i="133"/>
  <c r="K29" i="133"/>
  <c r="L28" i="133"/>
  <c r="K28" i="133"/>
  <c r="J28" i="133" s="1"/>
  <c r="L27" i="133"/>
  <c r="J27" i="133" s="1"/>
  <c r="K27" i="133"/>
  <c r="L26" i="133"/>
  <c r="K26" i="133"/>
  <c r="L25" i="133"/>
  <c r="K25" i="133"/>
  <c r="J25" i="133" s="1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 s="1"/>
  <c r="L246" i="134"/>
  <c r="K246" i="134"/>
  <c r="J246" i="134"/>
  <c r="L245" i="134"/>
  <c r="K245" i="134"/>
  <c r="J245" i="134" s="1"/>
  <c r="L244" i="134"/>
  <c r="K244" i="134"/>
  <c r="J244" i="134"/>
  <c r="L243" i="134"/>
  <c r="K243" i="134"/>
  <c r="J243" i="134" s="1"/>
  <c r="L242" i="134"/>
  <c r="K242" i="134"/>
  <c r="J242" i="134" s="1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 s="1"/>
  <c r="L236" i="134"/>
  <c r="J236" i="134"/>
  <c r="K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/>
  <c r="L227" i="134"/>
  <c r="K227" i="134"/>
  <c r="J227" i="134"/>
  <c r="L226" i="134"/>
  <c r="K226" i="134"/>
  <c r="J226" i="134" s="1"/>
  <c r="L225" i="134"/>
  <c r="K225" i="134"/>
  <c r="J225" i="134" s="1"/>
  <c r="L224" i="134"/>
  <c r="K224" i="134"/>
  <c r="J224" i="134"/>
  <c r="L223" i="134"/>
  <c r="K223" i="134"/>
  <c r="J223" i="134"/>
  <c r="L222" i="134"/>
  <c r="K222" i="134"/>
  <c r="J222" i="134"/>
  <c r="L221" i="134"/>
  <c r="K221" i="134"/>
  <c r="L220" i="134"/>
  <c r="K220" i="134"/>
  <c r="J220" i="134" s="1"/>
  <c r="L219" i="134"/>
  <c r="K219" i="134"/>
  <c r="J219" i="134"/>
  <c r="L218" i="134"/>
  <c r="K218" i="134"/>
  <c r="J218" i="134"/>
  <c r="L217" i="134"/>
  <c r="K217" i="134"/>
  <c r="J217" i="134" s="1"/>
  <c r="L216" i="134"/>
  <c r="K216" i="134"/>
  <c r="J216" i="134"/>
  <c r="L215" i="134"/>
  <c r="K215" i="134"/>
  <c r="J215" i="134"/>
  <c r="L214" i="134"/>
  <c r="J214" i="134" s="1"/>
  <c r="K214" i="134"/>
  <c r="L213" i="134"/>
  <c r="K213" i="134"/>
  <c r="J213" i="134" s="1"/>
  <c r="L212" i="134"/>
  <c r="K212" i="134"/>
  <c r="J212" i="134"/>
  <c r="L211" i="134"/>
  <c r="K211" i="134"/>
  <c r="J211" i="134"/>
  <c r="L210" i="134"/>
  <c r="K210" i="134"/>
  <c r="J210" i="134" s="1"/>
  <c r="L209" i="134"/>
  <c r="K209" i="134"/>
  <c r="J209" i="134" s="1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 s="1"/>
  <c r="L204" i="134"/>
  <c r="K204" i="134"/>
  <c r="J204" i="134" s="1"/>
  <c r="L203" i="134"/>
  <c r="J203" i="134" s="1"/>
  <c r="K203" i="134"/>
  <c r="L202" i="134"/>
  <c r="K202" i="134"/>
  <c r="J202" i="134"/>
  <c r="L201" i="134"/>
  <c r="K201" i="134"/>
  <c r="J201" i="134" s="1"/>
  <c r="L200" i="134"/>
  <c r="K200" i="134"/>
  <c r="J200" i="134"/>
  <c r="L199" i="134"/>
  <c r="K199" i="134"/>
  <c r="J199" i="134"/>
  <c r="L198" i="134"/>
  <c r="K198" i="134"/>
  <c r="J198" i="134" s="1"/>
  <c r="L197" i="134"/>
  <c r="K197" i="134"/>
  <c r="J197" i="134" s="1"/>
  <c r="L196" i="134"/>
  <c r="K196" i="134"/>
  <c r="J196" i="134"/>
  <c r="L195" i="134"/>
  <c r="K195" i="134"/>
  <c r="J195" i="134" s="1"/>
  <c r="L194" i="134"/>
  <c r="K194" i="134"/>
  <c r="J194" i="134" s="1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 s="1"/>
  <c r="L187" i="134"/>
  <c r="K187" i="134"/>
  <c r="J187" i="134" s="1"/>
  <c r="L186" i="134"/>
  <c r="K186" i="134"/>
  <c r="J186" i="134"/>
  <c r="L185" i="134"/>
  <c r="K185" i="134"/>
  <c r="J185" i="134" s="1"/>
  <c r="L184" i="134"/>
  <c r="K184" i="134"/>
  <c r="J184" i="134"/>
  <c r="L183" i="134"/>
  <c r="K183" i="134"/>
  <c r="J183" i="134"/>
  <c r="L182" i="134"/>
  <c r="K182" i="134"/>
  <c r="J182" i="134" s="1"/>
  <c r="L181" i="134"/>
  <c r="K181" i="134"/>
  <c r="J181" i="134" s="1"/>
  <c r="L180" i="134"/>
  <c r="K180" i="134"/>
  <c r="J180" i="134"/>
  <c r="L179" i="134"/>
  <c r="K179" i="134"/>
  <c r="J179" i="134"/>
  <c r="L178" i="134"/>
  <c r="K178" i="134"/>
  <c r="J178" i="134" s="1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L172" i="134"/>
  <c r="K172" i="134"/>
  <c r="J172" i="134" s="1"/>
  <c r="L171" i="134"/>
  <c r="K171" i="134"/>
  <c r="J171" i="134" s="1"/>
  <c r="L170" i="134"/>
  <c r="K170" i="134"/>
  <c r="J170" i="134"/>
  <c r="L169" i="134"/>
  <c r="K169" i="134"/>
  <c r="J169" i="134" s="1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 s="1"/>
  <c r="L164" i="134"/>
  <c r="K164" i="134"/>
  <c r="J164" i="134"/>
  <c r="L163" i="134"/>
  <c r="K163" i="134"/>
  <c r="J163" i="134"/>
  <c r="L162" i="134"/>
  <c r="K162" i="134"/>
  <c r="J162" i="134" s="1"/>
  <c r="L161" i="134"/>
  <c r="K161" i="134"/>
  <c r="J161" i="134"/>
  <c r="L160" i="134"/>
  <c r="K160" i="134"/>
  <c r="J160" i="134" s="1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 s="1"/>
  <c r="L155" i="134"/>
  <c r="K155" i="134"/>
  <c r="J155" i="134" s="1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 s="1"/>
  <c r="L148" i="134"/>
  <c r="K148" i="134"/>
  <c r="J148" i="134"/>
  <c r="L147" i="134"/>
  <c r="K147" i="134"/>
  <c r="J147" i="134"/>
  <c r="L146" i="134"/>
  <c r="K146" i="134"/>
  <c r="J146" i="134" s="1"/>
  <c r="L145" i="134"/>
  <c r="K145" i="134"/>
  <c r="J145" i="134"/>
  <c r="L144" i="134"/>
  <c r="K144" i="134"/>
  <c r="J144" i="134" s="1"/>
  <c r="L143" i="134"/>
  <c r="K143" i="134"/>
  <c r="J143" i="134"/>
  <c r="L142" i="134"/>
  <c r="K142" i="134"/>
  <c r="J142" i="134"/>
  <c r="L141" i="134"/>
  <c r="K141" i="134"/>
  <c r="L140" i="134"/>
  <c r="K140" i="134"/>
  <c r="J140" i="134" s="1"/>
  <c r="L139" i="134"/>
  <c r="K139" i="134"/>
  <c r="J139" i="134"/>
  <c r="L138" i="134"/>
  <c r="K138" i="134"/>
  <c r="J138" i="134"/>
  <c r="L137" i="134"/>
  <c r="K137" i="134"/>
  <c r="J137" i="134" s="1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 s="1"/>
  <c r="L132" i="134"/>
  <c r="K132" i="134"/>
  <c r="J132" i="134"/>
  <c r="L131" i="134"/>
  <c r="K131" i="134"/>
  <c r="J131" i="134"/>
  <c r="L130" i="134"/>
  <c r="K130" i="134"/>
  <c r="J130" i="134" s="1"/>
  <c r="L129" i="134"/>
  <c r="K129" i="134"/>
  <c r="J129" i="134"/>
  <c r="L128" i="134"/>
  <c r="K128" i="134"/>
  <c r="J128" i="134" s="1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 s="1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 s="1"/>
  <c r="L116" i="134"/>
  <c r="K116" i="134"/>
  <c r="L115" i="134"/>
  <c r="K115" i="134"/>
  <c r="J115" i="134"/>
  <c r="L114" i="134"/>
  <c r="K114" i="134"/>
  <c r="J114" i="134" s="1"/>
  <c r="L113" i="134"/>
  <c r="K113" i="134"/>
  <c r="J113" i="134"/>
  <c r="L112" i="134"/>
  <c r="K112" i="134"/>
  <c r="J112" i="134"/>
  <c r="L111" i="134"/>
  <c r="K111" i="134"/>
  <c r="L110" i="134"/>
  <c r="K110" i="134"/>
  <c r="J110" i="134"/>
  <c r="L109" i="134"/>
  <c r="K109" i="134"/>
  <c r="J109" i="134"/>
  <c r="L108" i="134"/>
  <c r="K108" i="134"/>
  <c r="J108" i="134" s="1"/>
  <c r="L107" i="134"/>
  <c r="K107" i="134"/>
  <c r="J107" i="134"/>
  <c r="L106" i="134"/>
  <c r="K106" i="134"/>
  <c r="J106" i="134" s="1"/>
  <c r="L105" i="134"/>
  <c r="K105" i="134"/>
  <c r="J105" i="134" s="1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 s="1"/>
  <c r="L100" i="134"/>
  <c r="K100" i="134"/>
  <c r="J100" i="134"/>
  <c r="L99" i="134"/>
  <c r="K99" i="134"/>
  <c r="J99" i="134" s="1"/>
  <c r="L98" i="134"/>
  <c r="K98" i="134"/>
  <c r="J98" i="134" s="1"/>
  <c r="L97" i="134"/>
  <c r="K97" i="134"/>
  <c r="J97" i="134"/>
  <c r="L96" i="134"/>
  <c r="K96" i="134"/>
  <c r="J96" i="134" s="1"/>
  <c r="L95" i="134"/>
  <c r="K95" i="134"/>
  <c r="J95" i="134"/>
  <c r="L94" i="134"/>
  <c r="K94" i="134"/>
  <c r="J94" i="134"/>
  <c r="L93" i="134"/>
  <c r="K93" i="134"/>
  <c r="J93" i="134"/>
  <c r="L92" i="134"/>
  <c r="K92" i="134"/>
  <c r="J92" i="134" s="1"/>
  <c r="L91" i="134"/>
  <c r="K91" i="134"/>
  <c r="J91" i="134"/>
  <c r="L90" i="134"/>
  <c r="K90" i="134"/>
  <c r="J90" i="134"/>
  <c r="L89" i="134"/>
  <c r="J89" i="134" s="1"/>
  <c r="K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 s="1"/>
  <c r="L83" i="134"/>
  <c r="K83" i="134"/>
  <c r="J83" i="134"/>
  <c r="L82" i="134"/>
  <c r="K82" i="134"/>
  <c r="J82" i="134" s="1"/>
  <c r="L81" i="134"/>
  <c r="K81" i="134"/>
  <c r="J81" i="134"/>
  <c r="L80" i="134"/>
  <c r="K80" i="134"/>
  <c r="J80" i="134"/>
  <c r="L79" i="134"/>
  <c r="K79" i="134"/>
  <c r="J79" i="134"/>
  <c r="L78" i="134"/>
  <c r="K78" i="134"/>
  <c r="J78" i="134" s="1"/>
  <c r="L77" i="134"/>
  <c r="K77" i="134"/>
  <c r="L76" i="134"/>
  <c r="K76" i="134"/>
  <c r="J76" i="134" s="1"/>
  <c r="L75" i="134"/>
  <c r="K75" i="134"/>
  <c r="J75" i="134"/>
  <c r="L74" i="134"/>
  <c r="K74" i="134"/>
  <c r="L73" i="134"/>
  <c r="K73" i="134"/>
  <c r="J73" i="134"/>
  <c r="L72" i="134"/>
  <c r="K72" i="134"/>
  <c r="J72" i="134" s="1"/>
  <c r="L71" i="134"/>
  <c r="K71" i="134"/>
  <c r="J71" i="134"/>
  <c r="L70" i="134"/>
  <c r="K70" i="134"/>
  <c r="J70" i="134"/>
  <c r="L69" i="134"/>
  <c r="K69" i="134"/>
  <c r="J69" i="134"/>
  <c r="L68" i="134"/>
  <c r="K68" i="134"/>
  <c r="J68" i="134" s="1"/>
  <c r="L67" i="134"/>
  <c r="K67" i="134"/>
  <c r="J67" i="134"/>
  <c r="L66" i="134"/>
  <c r="K66" i="134"/>
  <c r="J66" i="134" s="1"/>
  <c r="L65" i="134"/>
  <c r="K65" i="134"/>
  <c r="J65" i="134" s="1"/>
  <c r="L64" i="134"/>
  <c r="K64" i="134"/>
  <c r="J64" i="134" s="1"/>
  <c r="L63" i="134"/>
  <c r="K63" i="134"/>
  <c r="J63" i="134" s="1"/>
  <c r="L62" i="134"/>
  <c r="K62" i="134"/>
  <c r="J62" i="134"/>
  <c r="L61" i="134"/>
  <c r="K61" i="134"/>
  <c r="J61" i="134" s="1"/>
  <c r="L60" i="134"/>
  <c r="K60" i="134"/>
  <c r="J60" i="134" s="1"/>
  <c r="L59" i="134"/>
  <c r="K59" i="134"/>
  <c r="J59" i="134"/>
  <c r="L58" i="134"/>
  <c r="K58" i="134"/>
  <c r="J58" i="134" s="1"/>
  <c r="L57" i="134"/>
  <c r="K57" i="134"/>
  <c r="J57" i="134"/>
  <c r="L56" i="134"/>
  <c r="K56" i="134"/>
  <c r="J56" i="134" s="1"/>
  <c r="L55" i="134"/>
  <c r="K55" i="134"/>
  <c r="J55" i="134" s="1"/>
  <c r="L54" i="134"/>
  <c r="K54" i="134"/>
  <c r="J54" i="134" s="1"/>
  <c r="L53" i="134"/>
  <c r="K53" i="134"/>
  <c r="J53" i="134" s="1"/>
  <c r="L52" i="134"/>
  <c r="K52" i="134"/>
  <c r="L51" i="134"/>
  <c r="K51" i="134"/>
  <c r="J51" i="134" s="1"/>
  <c r="L50" i="134"/>
  <c r="K50" i="134"/>
  <c r="J50" i="134" s="1"/>
  <c r="L49" i="134"/>
  <c r="K49" i="134"/>
  <c r="J49" i="134" s="1"/>
  <c r="L48" i="134"/>
  <c r="K48" i="134"/>
  <c r="J48" i="134" s="1"/>
  <c r="L47" i="134"/>
  <c r="K47" i="134"/>
  <c r="J47" i="134" s="1"/>
  <c r="L46" i="134"/>
  <c r="K46" i="134"/>
  <c r="J46" i="134" s="1"/>
  <c r="L45" i="134"/>
  <c r="K45" i="134"/>
  <c r="J45" i="134" s="1"/>
  <c r="L44" i="134"/>
  <c r="K44" i="134"/>
  <c r="J44" i="134" s="1"/>
  <c r="L43" i="134"/>
  <c r="K43" i="134"/>
  <c r="J43" i="134" s="1"/>
  <c r="L42" i="134"/>
  <c r="K42" i="134"/>
  <c r="J42" i="134" s="1"/>
  <c r="L41" i="134"/>
  <c r="K41" i="134"/>
  <c r="J41" i="134" s="1"/>
  <c r="L40" i="134"/>
  <c r="K40" i="134"/>
  <c r="J40" i="134" s="1"/>
  <c r="L39" i="134"/>
  <c r="K39" i="134"/>
  <c r="J39" i="134" s="1"/>
  <c r="L38" i="134"/>
  <c r="K38" i="134"/>
  <c r="J38" i="134"/>
  <c r="L37" i="134"/>
  <c r="L17" i="134" s="1"/>
  <c r="K37" i="134"/>
  <c r="L36" i="134"/>
  <c r="K36" i="134"/>
  <c r="J36" i="134" s="1"/>
  <c r="L35" i="134"/>
  <c r="K35" i="134"/>
  <c r="J35" i="134" s="1"/>
  <c r="L34" i="134"/>
  <c r="K34" i="134"/>
  <c r="J34" i="134" s="1"/>
  <c r="L33" i="134"/>
  <c r="K33" i="134"/>
  <c r="J33" i="134" s="1"/>
  <c r="L32" i="134"/>
  <c r="K32" i="134"/>
  <c r="J32" i="134" s="1"/>
  <c r="L31" i="134"/>
  <c r="K31" i="134"/>
  <c r="J31" i="134" s="1"/>
  <c r="L30" i="134"/>
  <c r="K30" i="134"/>
  <c r="J30" i="134" s="1"/>
  <c r="L29" i="134"/>
  <c r="K29" i="134"/>
  <c r="L28" i="134"/>
  <c r="K28" i="134"/>
  <c r="J28" i="134" s="1"/>
  <c r="L27" i="134"/>
  <c r="K27" i="134"/>
  <c r="J27" i="134"/>
  <c r="L26" i="134"/>
  <c r="K26" i="134"/>
  <c r="J26" i="134" s="1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 s="1"/>
  <c r="L57" i="135"/>
  <c r="K57" i="135"/>
  <c r="J57" i="135" s="1"/>
  <c r="L56" i="135"/>
  <c r="K56" i="135"/>
  <c r="J56" i="135" s="1"/>
  <c r="L55" i="135"/>
  <c r="K55" i="135"/>
  <c r="J55" i="135"/>
  <c r="L54" i="135"/>
  <c r="K54" i="135"/>
  <c r="J54" i="135" s="1"/>
  <c r="L53" i="135"/>
  <c r="K53" i="135"/>
  <c r="J53" i="135" s="1"/>
  <c r="L52" i="135"/>
  <c r="K52" i="135"/>
  <c r="J52" i="135" s="1"/>
  <c r="L51" i="135"/>
  <c r="K51" i="135"/>
  <c r="J51" i="135"/>
  <c r="L50" i="135"/>
  <c r="K50" i="135"/>
  <c r="J50" i="135" s="1"/>
  <c r="L49" i="135"/>
  <c r="K49" i="135"/>
  <c r="J49" i="135"/>
  <c r="L48" i="135"/>
  <c r="K48" i="135"/>
  <c r="J48" i="135" s="1"/>
  <c r="L47" i="135"/>
  <c r="K47" i="135"/>
  <c r="J47" i="135" s="1"/>
  <c r="L46" i="135"/>
  <c r="K46" i="135"/>
  <c r="J46" i="135" s="1"/>
  <c r="L45" i="135"/>
  <c r="K45" i="135"/>
  <c r="J45" i="135"/>
  <c r="L44" i="135"/>
  <c r="K44" i="135"/>
  <c r="J44" i="135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 s="1"/>
  <c r="L39" i="135"/>
  <c r="K39" i="135"/>
  <c r="J39" i="135"/>
  <c r="L38" i="135"/>
  <c r="K38" i="135"/>
  <c r="J38" i="135" s="1"/>
  <c r="L37" i="135"/>
  <c r="K37" i="135"/>
  <c r="J37" i="135" s="1"/>
  <c r="L36" i="135"/>
  <c r="K36" i="135"/>
  <c r="J36" i="135" s="1"/>
  <c r="L35" i="135"/>
  <c r="K35" i="135"/>
  <c r="J35" i="135"/>
  <c r="L34" i="135"/>
  <c r="K34" i="135"/>
  <c r="J34" i="135" s="1"/>
  <c r="L33" i="135"/>
  <c r="K33" i="135"/>
  <c r="J33" i="135"/>
  <c r="L32" i="135"/>
  <c r="K32" i="135"/>
  <c r="J32" i="135" s="1"/>
  <c r="L31" i="135"/>
  <c r="K31" i="135"/>
  <c r="J31" i="135" s="1"/>
  <c r="L30" i="135"/>
  <c r="K30" i="135"/>
  <c r="J30" i="135" s="1"/>
  <c r="L29" i="135"/>
  <c r="K29" i="135"/>
  <c r="J29" i="135" s="1"/>
  <c r="L28" i="135"/>
  <c r="K28" i="135"/>
  <c r="J28" i="135"/>
  <c r="L27" i="135"/>
  <c r="K27" i="135"/>
  <c r="J27" i="135"/>
  <c r="L26" i="135"/>
  <c r="K26" i="135"/>
  <c r="J26" i="135" s="1"/>
  <c r="L25" i="135"/>
  <c r="K25" i="135"/>
  <c r="J25" i="135" s="1"/>
  <c r="L252" i="136"/>
  <c r="K252" i="136"/>
  <c r="L251" i="136"/>
  <c r="K251" i="136"/>
  <c r="J251" i="136"/>
  <c r="L250" i="136"/>
  <c r="J250" i="136"/>
  <c r="K250" i="136"/>
  <c r="L249" i="136"/>
  <c r="K249" i="136"/>
  <c r="J249" i="136"/>
  <c r="L248" i="136"/>
  <c r="J248" i="136"/>
  <c r="K248" i="136"/>
  <c r="L247" i="136"/>
  <c r="K247" i="136"/>
  <c r="J247" i="136"/>
  <c r="L246" i="136"/>
  <c r="J246" i="136"/>
  <c r="K246" i="136"/>
  <c r="L245" i="136"/>
  <c r="K245" i="136"/>
  <c r="J245" i="136"/>
  <c r="L244" i="136"/>
  <c r="J244" i="136"/>
  <c r="K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J234" i="136"/>
  <c r="K234" i="136"/>
  <c r="L233" i="136"/>
  <c r="K233" i="136"/>
  <c r="J233" i="136"/>
  <c r="L232" i="136"/>
  <c r="J232" i="136"/>
  <c r="K232" i="136"/>
  <c r="L231" i="136"/>
  <c r="K231" i="136"/>
  <c r="J231" i="136"/>
  <c r="L230" i="136"/>
  <c r="J230" i="136"/>
  <c r="K230" i="136"/>
  <c r="L229" i="136"/>
  <c r="K229" i="136"/>
  <c r="J229" i="136"/>
  <c r="L228" i="136"/>
  <c r="J228" i="136"/>
  <c r="K228" i="136"/>
  <c r="L227" i="136"/>
  <c r="K227" i="136"/>
  <c r="J227" i="136"/>
  <c r="L226" i="136"/>
  <c r="K226" i="136"/>
  <c r="J226" i="136"/>
  <c r="L225" i="136"/>
  <c r="K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L219" i="136"/>
  <c r="K219" i="136"/>
  <c r="J219" i="136"/>
  <c r="L218" i="136"/>
  <c r="J218" i="136"/>
  <c r="K218" i="136"/>
  <c r="L217" i="136"/>
  <c r="K217" i="136"/>
  <c r="J217" i="136"/>
  <c r="L216" i="136"/>
  <c r="J216" i="136"/>
  <c r="K216" i="136"/>
  <c r="L215" i="136"/>
  <c r="K215" i="136"/>
  <c r="J215" i="136"/>
  <c r="L214" i="136"/>
  <c r="J214" i="136"/>
  <c r="K214" i="136"/>
  <c r="L213" i="136"/>
  <c r="K213" i="136"/>
  <c r="J213" i="136"/>
  <c r="L212" i="136"/>
  <c r="J212" i="136"/>
  <c r="K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L203" i="136"/>
  <c r="K203" i="136"/>
  <c r="J203" i="136"/>
  <c r="L202" i="136"/>
  <c r="J202" i="136"/>
  <c r="K202" i="136"/>
  <c r="L201" i="136"/>
  <c r="K201" i="136"/>
  <c r="J201" i="136"/>
  <c r="L200" i="136"/>
  <c r="J200" i="136"/>
  <c r="K200" i="136"/>
  <c r="L199" i="136"/>
  <c r="K199" i="136"/>
  <c r="J199" i="136"/>
  <c r="L198" i="136"/>
  <c r="J198" i="136"/>
  <c r="K198" i="136"/>
  <c r="L197" i="136"/>
  <c r="K197" i="136"/>
  <c r="J197" i="136"/>
  <c r="L196" i="136"/>
  <c r="J196" i="136"/>
  <c r="K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J186" i="136"/>
  <c r="K186" i="136"/>
  <c r="L185" i="136"/>
  <c r="K185" i="136"/>
  <c r="J185" i="136"/>
  <c r="L184" i="136"/>
  <c r="J184" i="136"/>
  <c r="K184" i="136"/>
  <c r="L183" i="136"/>
  <c r="K183" i="136"/>
  <c r="J183" i="136"/>
  <c r="L182" i="136"/>
  <c r="J182" i="136"/>
  <c r="K182" i="136"/>
  <c r="L181" i="136"/>
  <c r="K181" i="136"/>
  <c r="J181" i="136"/>
  <c r="L180" i="136"/>
  <c r="J180" i="136"/>
  <c r="K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J170" i="136"/>
  <c r="K170" i="136"/>
  <c r="L169" i="136"/>
  <c r="K169" i="136"/>
  <c r="J169" i="136"/>
  <c r="L168" i="136"/>
  <c r="J168" i="136"/>
  <c r="K168" i="136"/>
  <c r="L167" i="136"/>
  <c r="K167" i="136"/>
  <c r="J167" i="136"/>
  <c r="L166" i="136"/>
  <c r="J166" i="136"/>
  <c r="K166" i="136"/>
  <c r="L165" i="136"/>
  <c r="K165" i="136"/>
  <c r="J165" i="136"/>
  <c r="L164" i="136"/>
  <c r="J164" i="136"/>
  <c r="K164" i="136"/>
  <c r="L163" i="136"/>
  <c r="K163" i="136"/>
  <c r="J163" i="136"/>
  <c r="L162" i="136"/>
  <c r="K162" i="136"/>
  <c r="J162" i="136"/>
  <c r="L161" i="136"/>
  <c r="K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J154" i="136"/>
  <c r="K154" i="136"/>
  <c r="L153" i="136"/>
  <c r="K153" i="136"/>
  <c r="J153" i="136"/>
  <c r="L152" i="136"/>
  <c r="J152" i="136"/>
  <c r="K152" i="136"/>
  <c r="L151" i="136"/>
  <c r="K151" i="136"/>
  <c r="J151" i="136"/>
  <c r="L150" i="136"/>
  <c r="J150" i="136"/>
  <c r="K150" i="136"/>
  <c r="L149" i="136"/>
  <c r="K149" i="136"/>
  <c r="J149" i="136"/>
  <c r="L148" i="136"/>
  <c r="J148" i="136"/>
  <c r="K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J138" i="136"/>
  <c r="K138" i="136"/>
  <c r="L137" i="136"/>
  <c r="K137" i="136"/>
  <c r="J137" i="136"/>
  <c r="L136" i="136"/>
  <c r="J136" i="136"/>
  <c r="K136" i="136"/>
  <c r="L135" i="136"/>
  <c r="K135" i="136"/>
  <c r="J135" i="136"/>
  <c r="L134" i="136"/>
  <c r="J134" i="136"/>
  <c r="K134" i="136"/>
  <c r="L133" i="136"/>
  <c r="K133" i="136"/>
  <c r="J133" i="136"/>
  <c r="L132" i="136"/>
  <c r="J132" i="136"/>
  <c r="K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L123" i="136"/>
  <c r="K123" i="136"/>
  <c r="J123" i="136"/>
  <c r="L122" i="136"/>
  <c r="J122" i="136"/>
  <c r="K122" i="136"/>
  <c r="L121" i="136"/>
  <c r="K121" i="136"/>
  <c r="J121" i="136"/>
  <c r="L120" i="136"/>
  <c r="J120" i="136"/>
  <c r="K120" i="136"/>
  <c r="L119" i="136"/>
  <c r="K119" i="136"/>
  <c r="J119" i="136"/>
  <c r="L118" i="136"/>
  <c r="J118" i="136"/>
  <c r="K118" i="136"/>
  <c r="L117" i="136"/>
  <c r="K117" i="136"/>
  <c r="J117" i="136"/>
  <c r="L116" i="136"/>
  <c r="J116" i="136"/>
  <c r="K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J106" i="136"/>
  <c r="K106" i="136"/>
  <c r="L105" i="136"/>
  <c r="K105" i="136"/>
  <c r="J105" i="136"/>
  <c r="L104" i="136"/>
  <c r="J104" i="136"/>
  <c r="K104" i="136"/>
  <c r="L103" i="136"/>
  <c r="K103" i="136"/>
  <c r="J103" i="136"/>
  <c r="L102" i="136"/>
  <c r="J102" i="136"/>
  <c r="K102" i="136"/>
  <c r="L101" i="136"/>
  <c r="K101" i="136"/>
  <c r="J101" i="136"/>
  <c r="L100" i="136"/>
  <c r="J100" i="136"/>
  <c r="K100" i="136"/>
  <c r="L99" i="136"/>
  <c r="K99" i="136"/>
  <c r="J99" i="136"/>
  <c r="L98" i="136"/>
  <c r="K98" i="136"/>
  <c r="J98" i="136"/>
  <c r="L97" i="136"/>
  <c r="K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L91" i="136"/>
  <c r="K91" i="136"/>
  <c r="J91" i="136"/>
  <c r="L90" i="136"/>
  <c r="J90" i="136"/>
  <c r="K90" i="136"/>
  <c r="L89" i="136"/>
  <c r="K89" i="136"/>
  <c r="J89" i="136"/>
  <c r="L88" i="136"/>
  <c r="J88" i="136"/>
  <c r="K88" i="136"/>
  <c r="L87" i="136"/>
  <c r="J87" i="136"/>
  <c r="K87" i="136"/>
  <c r="L86" i="136"/>
  <c r="J86" i="136"/>
  <c r="K86" i="136"/>
  <c r="L85" i="136"/>
  <c r="K85" i="136"/>
  <c r="J85" i="136"/>
  <c r="L84" i="136"/>
  <c r="J84" i="136"/>
  <c r="K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L75" i="136"/>
  <c r="K75" i="136"/>
  <c r="J75" i="136"/>
  <c r="L74" i="136"/>
  <c r="J74" i="136"/>
  <c r="K74" i="136"/>
  <c r="L73" i="136"/>
  <c r="K73" i="136"/>
  <c r="J73" i="136"/>
  <c r="L72" i="136"/>
  <c r="J72" i="136"/>
  <c r="K72" i="136"/>
  <c r="L71" i="136"/>
  <c r="K71" i="136"/>
  <c r="J71" i="136"/>
  <c r="L70" i="136"/>
  <c r="J70" i="136"/>
  <c r="K70" i="136"/>
  <c r="L69" i="136"/>
  <c r="K69" i="136"/>
  <c r="J69" i="136"/>
  <c r="L68" i="136"/>
  <c r="J68" i="136"/>
  <c r="K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 s="1"/>
  <c r="L57" i="136"/>
  <c r="K57" i="136"/>
  <c r="J57" i="136" s="1"/>
  <c r="L56" i="136"/>
  <c r="K56" i="136"/>
  <c r="J56" i="136" s="1"/>
  <c r="L55" i="136"/>
  <c r="K55" i="136"/>
  <c r="J55" i="136" s="1"/>
  <c r="L54" i="136"/>
  <c r="K54" i="136"/>
  <c r="J54" i="136" s="1"/>
  <c r="L53" i="136"/>
  <c r="K53" i="136"/>
  <c r="J53" i="136"/>
  <c r="L52" i="136"/>
  <c r="J52" i="136"/>
  <c r="K52" i="136"/>
  <c r="L51" i="136"/>
  <c r="K51" i="136"/>
  <c r="J51" i="136" s="1"/>
  <c r="L50" i="136"/>
  <c r="K50" i="136"/>
  <c r="J50" i="136" s="1"/>
  <c r="L49" i="136"/>
  <c r="K49" i="136"/>
  <c r="J49" i="136"/>
  <c r="L48" i="136"/>
  <c r="K48" i="136"/>
  <c r="J48" i="136"/>
  <c r="L47" i="136"/>
  <c r="K47" i="136"/>
  <c r="J47" i="136" s="1"/>
  <c r="L46" i="136"/>
  <c r="K46" i="136"/>
  <c r="J46" i="136" s="1"/>
  <c r="L45" i="136"/>
  <c r="K45" i="136"/>
  <c r="J45" i="136" s="1"/>
  <c r="L44" i="136"/>
  <c r="K44" i="136"/>
  <c r="J44" i="136"/>
  <c r="L43" i="136"/>
  <c r="K43" i="136"/>
  <c r="J43" i="136"/>
  <c r="L42" i="136"/>
  <c r="K42" i="136"/>
  <c r="J42" i="136" s="1"/>
  <c r="L41" i="136"/>
  <c r="K41" i="136"/>
  <c r="J41" i="136"/>
  <c r="L40" i="136"/>
  <c r="K40" i="136"/>
  <c r="J40" i="136" s="1"/>
  <c r="L39" i="136"/>
  <c r="K39" i="136"/>
  <c r="J39" i="136" s="1"/>
  <c r="L38" i="136"/>
  <c r="K38" i="136"/>
  <c r="J38" i="136" s="1"/>
  <c r="L37" i="136"/>
  <c r="K37" i="136"/>
  <c r="J37" i="136" s="1"/>
  <c r="L36" i="136"/>
  <c r="K36" i="136"/>
  <c r="J36" i="136" s="1"/>
  <c r="L35" i="136"/>
  <c r="K35" i="136"/>
  <c r="J35" i="136" s="1"/>
  <c r="L34" i="136"/>
  <c r="K34" i="136"/>
  <c r="L33" i="136"/>
  <c r="K33" i="136"/>
  <c r="J33" i="136" s="1"/>
  <c r="L32" i="136"/>
  <c r="K32" i="136"/>
  <c r="J32" i="136"/>
  <c r="L31" i="136"/>
  <c r="K31" i="136"/>
  <c r="J31" i="136"/>
  <c r="L30" i="136"/>
  <c r="K30" i="136"/>
  <c r="J30" i="136"/>
  <c r="L29" i="136"/>
  <c r="K29" i="136"/>
  <c r="J29" i="136" s="1"/>
  <c r="L28" i="136"/>
  <c r="K28" i="136"/>
  <c r="J28" i="136" s="1"/>
  <c r="L27" i="136"/>
  <c r="K27" i="136"/>
  <c r="J27" i="136"/>
  <c r="L26" i="136"/>
  <c r="K26" i="136"/>
  <c r="J26" i="136" s="1"/>
  <c r="L25" i="136"/>
  <c r="K25" i="136"/>
  <c r="J25" i="136" s="1"/>
  <c r="L250" i="137"/>
  <c r="K250" i="137"/>
  <c r="J250" i="137" s="1"/>
  <c r="L249" i="137"/>
  <c r="K249" i="137"/>
  <c r="J249" i="137" s="1"/>
  <c r="L248" i="137"/>
  <c r="K248" i="137"/>
  <c r="L247" i="137"/>
  <c r="K247" i="137"/>
  <c r="J247" i="137" s="1"/>
  <c r="L246" i="137"/>
  <c r="K246" i="137"/>
  <c r="J246" i="137" s="1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 s="1"/>
  <c r="L241" i="137"/>
  <c r="K241" i="137"/>
  <c r="J241" i="137"/>
  <c r="L240" i="137"/>
  <c r="K240" i="137"/>
  <c r="J240" i="137"/>
  <c r="L239" i="137"/>
  <c r="K239" i="137"/>
  <c r="J239" i="137"/>
  <c r="L238" i="137"/>
  <c r="K238" i="137"/>
  <c r="L237" i="137"/>
  <c r="K237" i="137"/>
  <c r="J237" i="137"/>
  <c r="L236" i="137"/>
  <c r="K236" i="137"/>
  <c r="J236" i="137" s="1"/>
  <c r="L235" i="137"/>
  <c r="K235" i="137"/>
  <c r="J235" i="137"/>
  <c r="L234" i="137"/>
  <c r="K234" i="137"/>
  <c r="J234" i="137" s="1"/>
  <c r="L233" i="137"/>
  <c r="K233" i="137"/>
  <c r="J233" i="137" s="1"/>
  <c r="L232" i="137"/>
  <c r="K232" i="137"/>
  <c r="L231" i="137"/>
  <c r="K231" i="137"/>
  <c r="J231" i="137"/>
  <c r="L230" i="137"/>
  <c r="K230" i="137"/>
  <c r="J230" i="137" s="1"/>
  <c r="L229" i="137"/>
  <c r="K229" i="137"/>
  <c r="J229" i="137" s="1"/>
  <c r="L228" i="137"/>
  <c r="K228" i="137"/>
  <c r="J228" i="137"/>
  <c r="L227" i="137"/>
  <c r="K227" i="137"/>
  <c r="J227" i="137" s="1"/>
  <c r="L226" i="137"/>
  <c r="K226" i="137"/>
  <c r="J226" i="137"/>
  <c r="L225" i="137"/>
  <c r="K225" i="137"/>
  <c r="J225" i="137"/>
  <c r="L224" i="137"/>
  <c r="K224" i="137"/>
  <c r="J224" i="137" s="1"/>
  <c r="L223" i="137"/>
  <c r="K223" i="137"/>
  <c r="J223" i="137" s="1"/>
  <c r="L222" i="137"/>
  <c r="K222" i="137"/>
  <c r="J222" i="137" s="1"/>
  <c r="L221" i="137"/>
  <c r="K221" i="137"/>
  <c r="J221" i="137" s="1"/>
  <c r="L220" i="137"/>
  <c r="K220" i="137"/>
  <c r="J220" i="137" s="1"/>
  <c r="L219" i="137"/>
  <c r="K219" i="137"/>
  <c r="J219" i="137"/>
  <c r="L218" i="137"/>
  <c r="K218" i="137"/>
  <c r="J218" i="137" s="1"/>
  <c r="L217" i="137"/>
  <c r="K217" i="137"/>
  <c r="J217" i="137" s="1"/>
  <c r="L216" i="137"/>
  <c r="J216" i="137" s="1"/>
  <c r="K216" i="137"/>
  <c r="L215" i="137"/>
  <c r="K215" i="137"/>
  <c r="J215" i="137"/>
  <c r="L214" i="137"/>
  <c r="K214" i="137"/>
  <c r="J214" i="137" s="1"/>
  <c r="L213" i="137"/>
  <c r="K213" i="137"/>
  <c r="J213" i="137"/>
  <c r="L212" i="137"/>
  <c r="K212" i="137"/>
  <c r="J212" i="137"/>
  <c r="L211" i="137"/>
  <c r="K211" i="137"/>
  <c r="L210" i="137"/>
  <c r="K210" i="137"/>
  <c r="J210" i="137" s="1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J205" i="137" s="1"/>
  <c r="K205" i="137"/>
  <c r="L204" i="137"/>
  <c r="K204" i="137"/>
  <c r="J204" i="137" s="1"/>
  <c r="L203" i="137"/>
  <c r="K203" i="137"/>
  <c r="J203" i="137"/>
  <c r="L202" i="137"/>
  <c r="K202" i="137"/>
  <c r="J202" i="137" s="1"/>
  <c r="L201" i="137"/>
  <c r="K201" i="137"/>
  <c r="J201" i="137"/>
  <c r="L200" i="137"/>
  <c r="K200" i="137"/>
  <c r="J200" i="137" s="1"/>
  <c r="L199" i="137"/>
  <c r="K199" i="137"/>
  <c r="J199" i="137" s="1"/>
  <c r="L198" i="137"/>
  <c r="K198" i="137"/>
  <c r="J198" i="137" s="1"/>
  <c r="L197" i="137"/>
  <c r="K197" i="137"/>
  <c r="J197" i="137"/>
  <c r="L196" i="137"/>
  <c r="K196" i="137"/>
  <c r="J196" i="137"/>
  <c r="L195" i="137"/>
  <c r="K195" i="137"/>
  <c r="J195" i="137" s="1"/>
  <c r="L194" i="137"/>
  <c r="K194" i="137"/>
  <c r="J194" i="137" s="1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 s="1"/>
  <c r="L187" i="137"/>
  <c r="K187" i="137"/>
  <c r="J187" i="137"/>
  <c r="L186" i="137"/>
  <c r="K186" i="137"/>
  <c r="L185" i="137"/>
  <c r="K185" i="137"/>
  <c r="J185" i="137"/>
  <c r="L184" i="137"/>
  <c r="K184" i="137"/>
  <c r="J184" i="137" s="1"/>
  <c r="L183" i="137"/>
  <c r="K183" i="137"/>
  <c r="J183" i="137" s="1"/>
  <c r="L182" i="137"/>
  <c r="K182" i="137"/>
  <c r="J182" i="137" s="1"/>
  <c r="L181" i="137"/>
  <c r="K181" i="137"/>
  <c r="J181" i="137"/>
  <c r="L180" i="137"/>
  <c r="K180" i="137"/>
  <c r="J180" i="137" s="1"/>
  <c r="L179" i="137"/>
  <c r="K179" i="137"/>
  <c r="J179" i="137" s="1"/>
  <c r="L178" i="137"/>
  <c r="K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L173" i="137"/>
  <c r="K173" i="137"/>
  <c r="J173" i="137" s="1"/>
  <c r="L172" i="137"/>
  <c r="K172" i="137"/>
  <c r="J172" i="137" s="1"/>
  <c r="L171" i="137"/>
  <c r="K171" i="137"/>
  <c r="J171" i="137"/>
  <c r="L170" i="137"/>
  <c r="K170" i="137"/>
  <c r="J170" i="137" s="1"/>
  <c r="L169" i="137"/>
  <c r="K169" i="137"/>
  <c r="J169" i="137"/>
  <c r="L168" i="137"/>
  <c r="K168" i="137"/>
  <c r="J168" i="137" s="1"/>
  <c r="L167" i="137"/>
  <c r="K167" i="137"/>
  <c r="L166" i="137"/>
  <c r="K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 s="1"/>
  <c r="L161" i="137"/>
  <c r="J161" i="137" s="1"/>
  <c r="K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 s="1"/>
  <c r="L155" i="137"/>
  <c r="K155" i="137"/>
  <c r="J155" i="137" s="1"/>
  <c r="L154" i="137"/>
  <c r="K154" i="137"/>
  <c r="J154" i="137" s="1"/>
  <c r="L153" i="137"/>
  <c r="K153" i="137"/>
  <c r="J153" i="137" s="1"/>
  <c r="L152" i="137"/>
  <c r="K152" i="137"/>
  <c r="J152" i="137" s="1"/>
  <c r="L151" i="137"/>
  <c r="K151" i="137"/>
  <c r="J151" i="137" s="1"/>
  <c r="L150" i="137"/>
  <c r="K150" i="137"/>
  <c r="L149" i="137"/>
  <c r="K149" i="137"/>
  <c r="J149" i="137"/>
  <c r="L148" i="137"/>
  <c r="K148" i="137"/>
  <c r="J148" i="137" s="1"/>
  <c r="L147" i="137"/>
  <c r="K147" i="137"/>
  <c r="L146" i="137"/>
  <c r="K146" i="137"/>
  <c r="J146" i="137"/>
  <c r="L145" i="137"/>
  <c r="K145" i="137"/>
  <c r="L144" i="137"/>
  <c r="K144" i="137"/>
  <c r="J144" i="137"/>
  <c r="L143" i="137"/>
  <c r="K143" i="137"/>
  <c r="J143" i="137"/>
  <c r="L142" i="137"/>
  <c r="K142" i="137"/>
  <c r="J142" i="137" s="1"/>
  <c r="L141" i="137"/>
  <c r="K141" i="137"/>
  <c r="J141" i="137"/>
  <c r="L140" i="137"/>
  <c r="K140" i="137"/>
  <c r="J140" i="137" s="1"/>
  <c r="L139" i="137"/>
  <c r="K139" i="137"/>
  <c r="J139" i="137" s="1"/>
  <c r="L138" i="137"/>
  <c r="K138" i="137"/>
  <c r="J138" i="137" s="1"/>
  <c r="L137" i="137"/>
  <c r="K137" i="137"/>
  <c r="J137" i="137"/>
  <c r="L136" i="137"/>
  <c r="K136" i="137"/>
  <c r="L135" i="137"/>
  <c r="K135" i="137"/>
  <c r="J135" i="137"/>
  <c r="L134" i="137"/>
  <c r="K134" i="137"/>
  <c r="J134" i="137" s="1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 s="1"/>
  <c r="L129" i="137"/>
  <c r="K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 s="1"/>
  <c r="L123" i="137"/>
  <c r="K123" i="137"/>
  <c r="J123" i="137" s="1"/>
  <c r="L122" i="137"/>
  <c r="K122" i="137"/>
  <c r="J122" i="137" s="1"/>
  <c r="L121" i="137"/>
  <c r="K121" i="137"/>
  <c r="J121" i="137"/>
  <c r="L120" i="137"/>
  <c r="K120" i="137"/>
  <c r="J120" i="137" s="1"/>
  <c r="L119" i="137"/>
  <c r="K119" i="137"/>
  <c r="J119" i="137"/>
  <c r="L118" i="137"/>
  <c r="K118" i="137"/>
  <c r="J118" i="137" s="1"/>
  <c r="L117" i="137"/>
  <c r="K117" i="137"/>
  <c r="J117" i="137"/>
  <c r="L116" i="137"/>
  <c r="K116" i="137"/>
  <c r="J116" i="137"/>
  <c r="L115" i="137"/>
  <c r="K115" i="137"/>
  <c r="J115" i="137" s="1"/>
  <c r="L114" i="137"/>
  <c r="K114" i="137"/>
  <c r="J114" i="137"/>
  <c r="L113" i="137"/>
  <c r="K113" i="137"/>
  <c r="J113" i="137" s="1"/>
  <c r="L112" i="137"/>
  <c r="K112" i="137"/>
  <c r="L111" i="137"/>
  <c r="K111" i="137"/>
  <c r="J111" i="137" s="1"/>
  <c r="L110" i="137"/>
  <c r="K110" i="137"/>
  <c r="J110" i="137"/>
  <c r="L109" i="137"/>
  <c r="K109" i="137"/>
  <c r="J109" i="137"/>
  <c r="L108" i="137"/>
  <c r="K108" i="137"/>
  <c r="J108" i="137" s="1"/>
  <c r="L107" i="137"/>
  <c r="K107" i="137"/>
  <c r="J107" i="137" s="1"/>
  <c r="L106" i="137"/>
  <c r="K106" i="137"/>
  <c r="J106" i="137" s="1"/>
  <c r="L105" i="137"/>
  <c r="K105" i="137"/>
  <c r="J105" i="137" s="1"/>
  <c r="L104" i="137"/>
  <c r="K104" i="137"/>
  <c r="J104" i="137" s="1"/>
  <c r="L103" i="137"/>
  <c r="K103" i="137"/>
  <c r="J103" i="137"/>
  <c r="L102" i="137"/>
  <c r="K102" i="137"/>
  <c r="J102" i="137" s="1"/>
  <c r="L101" i="137"/>
  <c r="K101" i="137"/>
  <c r="J101" i="137"/>
  <c r="L100" i="137"/>
  <c r="K100" i="137"/>
  <c r="J100" i="137"/>
  <c r="L99" i="137"/>
  <c r="K99" i="137"/>
  <c r="J99" i="137" s="1"/>
  <c r="L98" i="137"/>
  <c r="K98" i="137"/>
  <c r="J98" i="137"/>
  <c r="L97" i="137"/>
  <c r="K97" i="137"/>
  <c r="J97" i="137" s="1"/>
  <c r="L96" i="137"/>
  <c r="K96" i="137"/>
  <c r="J96" i="137" s="1"/>
  <c r="L95" i="137"/>
  <c r="K95" i="137"/>
  <c r="J95" i="137"/>
  <c r="L94" i="137"/>
  <c r="K94" i="137"/>
  <c r="J94" i="137"/>
  <c r="L93" i="137"/>
  <c r="K93" i="137"/>
  <c r="J93" i="137"/>
  <c r="L92" i="137"/>
  <c r="K92" i="137"/>
  <c r="J92" i="137" s="1"/>
  <c r="L91" i="137"/>
  <c r="K91" i="137"/>
  <c r="J91" i="137"/>
  <c r="L90" i="137"/>
  <c r="K90" i="137"/>
  <c r="J90" i="137" s="1"/>
  <c r="L89" i="137"/>
  <c r="K89" i="137"/>
  <c r="J89" i="137"/>
  <c r="L88" i="137"/>
  <c r="K88" i="137"/>
  <c r="J88" i="137" s="1"/>
  <c r="L87" i="137"/>
  <c r="K87" i="137"/>
  <c r="J87" i="137" s="1"/>
  <c r="L86" i="137"/>
  <c r="K86" i="137"/>
  <c r="L85" i="137"/>
  <c r="K85" i="137"/>
  <c r="J85" i="137"/>
  <c r="L84" i="137"/>
  <c r="K84" i="137"/>
  <c r="J84" i="137" s="1"/>
  <c r="L83" i="137"/>
  <c r="K83" i="137"/>
  <c r="J83" i="137" s="1"/>
  <c r="L82" i="137"/>
  <c r="K82" i="137"/>
  <c r="J82" i="137"/>
  <c r="L81" i="137"/>
  <c r="K81" i="137"/>
  <c r="J81" i="137" s="1"/>
  <c r="L80" i="137"/>
  <c r="K80" i="137"/>
  <c r="L79" i="137"/>
  <c r="K79" i="137"/>
  <c r="J79" i="137"/>
  <c r="L78" i="137"/>
  <c r="K78" i="137"/>
  <c r="J78" i="137" s="1"/>
  <c r="L77" i="137"/>
  <c r="K77" i="137"/>
  <c r="J77" i="137"/>
  <c r="L76" i="137"/>
  <c r="K76" i="137"/>
  <c r="J76" i="137" s="1"/>
  <c r="L75" i="137"/>
  <c r="K75" i="137"/>
  <c r="J75" i="137" s="1"/>
  <c r="L74" i="137"/>
  <c r="K74" i="137"/>
  <c r="J74" i="137" s="1"/>
  <c r="L73" i="137"/>
  <c r="K73" i="137"/>
  <c r="J73" i="137"/>
  <c r="L72" i="137"/>
  <c r="K72" i="137"/>
  <c r="J72" i="137" s="1"/>
  <c r="L71" i="137"/>
  <c r="K71" i="137"/>
  <c r="J71" i="137" s="1"/>
  <c r="L70" i="137"/>
  <c r="K70" i="137"/>
  <c r="L69" i="137"/>
  <c r="K69" i="137"/>
  <c r="J69" i="137"/>
  <c r="L68" i="137"/>
  <c r="K68" i="137"/>
  <c r="L67" i="137"/>
  <c r="K67" i="137"/>
  <c r="J67" i="137"/>
  <c r="L66" i="137"/>
  <c r="K66" i="137"/>
  <c r="J66" i="137"/>
  <c r="L65" i="137"/>
  <c r="K65" i="137"/>
  <c r="J65" i="137" s="1"/>
  <c r="L64" i="137"/>
  <c r="K64" i="137"/>
  <c r="J64" i="137" s="1"/>
  <c r="L63" i="137"/>
  <c r="K63" i="137"/>
  <c r="J63" i="137" s="1"/>
  <c r="L62" i="137"/>
  <c r="K62" i="137"/>
  <c r="J62" i="137" s="1"/>
  <c r="L61" i="137"/>
  <c r="K61" i="137"/>
  <c r="J61" i="137" s="1"/>
  <c r="L60" i="137"/>
  <c r="K60" i="137"/>
  <c r="J60" i="137" s="1"/>
  <c r="L59" i="137"/>
  <c r="K59" i="137"/>
  <c r="J59" i="137"/>
  <c r="L58" i="137"/>
  <c r="K58" i="137"/>
  <c r="J58" i="137" s="1"/>
  <c r="L57" i="137"/>
  <c r="K57" i="137"/>
  <c r="J57" i="137" s="1"/>
  <c r="L56" i="137"/>
  <c r="K56" i="137"/>
  <c r="L55" i="137"/>
  <c r="K55" i="137"/>
  <c r="J55" i="137" s="1"/>
  <c r="L54" i="137"/>
  <c r="K54" i="137"/>
  <c r="J54" i="137" s="1"/>
  <c r="L53" i="137"/>
  <c r="K53" i="137"/>
  <c r="J53" i="137" s="1"/>
  <c r="L52" i="137"/>
  <c r="K52" i="137"/>
  <c r="J52" i="137"/>
  <c r="L51" i="137"/>
  <c r="K51" i="137"/>
  <c r="J51" i="137" s="1"/>
  <c r="L50" i="137"/>
  <c r="K50" i="137"/>
  <c r="J50" i="137" s="1"/>
  <c r="L49" i="137"/>
  <c r="K49" i="137"/>
  <c r="J49" i="137" s="1"/>
  <c r="L48" i="137"/>
  <c r="K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 s="1"/>
  <c r="L38" i="137"/>
  <c r="K38" i="137"/>
  <c r="J38" i="137" s="1"/>
  <c r="L37" i="137"/>
  <c r="K37" i="137"/>
  <c r="J37" i="137"/>
  <c r="L36" i="137"/>
  <c r="K36" i="137"/>
  <c r="J36" i="137" s="1"/>
  <c r="L35" i="137"/>
  <c r="K35" i="137"/>
  <c r="J35" i="137" s="1"/>
  <c r="L34" i="137"/>
  <c r="K34" i="137"/>
  <c r="J34" i="137" s="1"/>
  <c r="L33" i="137"/>
  <c r="K33" i="137"/>
  <c r="J33" i="137" s="1"/>
  <c r="L32" i="137"/>
  <c r="K32" i="137"/>
  <c r="L31" i="137"/>
  <c r="K31" i="137"/>
  <c r="J31" i="137" s="1"/>
  <c r="L30" i="137"/>
  <c r="K30" i="137"/>
  <c r="J30" i="137" s="1"/>
  <c r="L29" i="137"/>
  <c r="K29" i="137"/>
  <c r="J29" i="137" s="1"/>
  <c r="L28" i="137"/>
  <c r="K28" i="137"/>
  <c r="J28" i="137" s="1"/>
  <c r="L27" i="137"/>
  <c r="K27" i="137"/>
  <c r="L26" i="137"/>
  <c r="K26" i="137"/>
  <c r="J26" i="137" s="1"/>
  <c r="L25" i="137"/>
  <c r="K25" i="137"/>
  <c r="J25" i="137" s="1"/>
  <c r="L251" i="138"/>
  <c r="K251" i="138"/>
  <c r="J251" i="138" s="1"/>
  <c r="L250" i="138"/>
  <c r="K250" i="138"/>
  <c r="L249" i="138"/>
  <c r="K249" i="138"/>
  <c r="J249" i="138" s="1"/>
  <c r="L248" i="138"/>
  <c r="J248" i="138" s="1"/>
  <c r="K248" i="138"/>
  <c r="L247" i="138"/>
  <c r="K247" i="138"/>
  <c r="J247" i="138" s="1"/>
  <c r="L246" i="138"/>
  <c r="K246" i="138"/>
  <c r="L245" i="138"/>
  <c r="J245" i="138" s="1"/>
  <c r="K245" i="138"/>
  <c r="L244" i="138"/>
  <c r="K244" i="138"/>
  <c r="J244" i="138" s="1"/>
  <c r="L243" i="138"/>
  <c r="K243" i="138"/>
  <c r="L242" i="138"/>
  <c r="K242" i="138"/>
  <c r="J242" i="138" s="1"/>
  <c r="L241" i="138"/>
  <c r="K241" i="138"/>
  <c r="J241" i="138" s="1"/>
  <c r="L240" i="138"/>
  <c r="K240" i="138"/>
  <c r="L239" i="138"/>
  <c r="K239" i="138"/>
  <c r="L238" i="138"/>
  <c r="K238" i="138"/>
  <c r="J238" i="138" s="1"/>
  <c r="L237" i="138"/>
  <c r="K237" i="138"/>
  <c r="J237" i="138" s="1"/>
  <c r="L236" i="138"/>
  <c r="K236" i="138"/>
  <c r="J236" i="138" s="1"/>
  <c r="L235" i="138"/>
  <c r="J235" i="138" s="1"/>
  <c r="K235" i="138"/>
  <c r="L234" i="138"/>
  <c r="J234" i="138" s="1"/>
  <c r="K234" i="138"/>
  <c r="L233" i="138"/>
  <c r="K233" i="138"/>
  <c r="J233" i="138" s="1"/>
  <c r="L232" i="138"/>
  <c r="K232" i="138"/>
  <c r="L231" i="138"/>
  <c r="K231" i="138"/>
  <c r="J231" i="138" s="1"/>
  <c r="L230" i="138"/>
  <c r="K230" i="138"/>
  <c r="L229" i="138"/>
  <c r="K229" i="138"/>
  <c r="J229" i="138"/>
  <c r="L228" i="138"/>
  <c r="K228" i="138"/>
  <c r="J228" i="138" s="1"/>
  <c r="L227" i="138"/>
  <c r="K227" i="138"/>
  <c r="L226" i="138"/>
  <c r="K226" i="138"/>
  <c r="J226" i="138"/>
  <c r="L225" i="138"/>
  <c r="K225" i="138"/>
  <c r="J225" i="138" s="1"/>
  <c r="L224" i="138"/>
  <c r="K224" i="138"/>
  <c r="J224" i="138" s="1"/>
  <c r="L223" i="138"/>
  <c r="K223" i="138"/>
  <c r="J223" i="138" s="1"/>
  <c r="L222" i="138"/>
  <c r="K222" i="138"/>
  <c r="J222" i="138" s="1"/>
  <c r="L221" i="138"/>
  <c r="K221" i="138"/>
  <c r="J221" i="138" s="1"/>
  <c r="L220" i="138"/>
  <c r="K220" i="138"/>
  <c r="J220" i="138" s="1"/>
  <c r="L219" i="138"/>
  <c r="K219" i="138"/>
  <c r="J219" i="138"/>
  <c r="L218" i="138"/>
  <c r="J218" i="138" s="1"/>
  <c r="K218" i="138"/>
  <c r="L217" i="138"/>
  <c r="K217" i="138"/>
  <c r="L216" i="138"/>
  <c r="K216" i="138"/>
  <c r="J216" i="138" s="1"/>
  <c r="L215" i="138"/>
  <c r="K215" i="138"/>
  <c r="J215" i="138" s="1"/>
  <c r="L214" i="138"/>
  <c r="K214" i="138"/>
  <c r="J214" i="138" s="1"/>
  <c r="L213" i="138"/>
  <c r="K213" i="138"/>
  <c r="L212" i="138"/>
  <c r="K212" i="138"/>
  <c r="J212" i="138"/>
  <c r="L211" i="138"/>
  <c r="K211" i="138"/>
  <c r="J211" i="138" s="1"/>
  <c r="L210" i="138"/>
  <c r="K210" i="138"/>
  <c r="J210" i="138" s="1"/>
  <c r="L209" i="138"/>
  <c r="K209" i="138"/>
  <c r="L208" i="138"/>
  <c r="K208" i="138"/>
  <c r="L207" i="138"/>
  <c r="K207" i="138"/>
  <c r="L206" i="138"/>
  <c r="K206" i="138"/>
  <c r="J206" i="138" s="1"/>
  <c r="L205" i="138"/>
  <c r="K205" i="138"/>
  <c r="J205" i="138" s="1"/>
  <c r="L204" i="138"/>
  <c r="K204" i="138"/>
  <c r="L203" i="138"/>
  <c r="K203" i="138"/>
  <c r="L202" i="138"/>
  <c r="K202" i="138"/>
  <c r="J202" i="138" s="1"/>
  <c r="L201" i="138"/>
  <c r="K201" i="138"/>
  <c r="J201" i="138" s="1"/>
  <c r="L200" i="138"/>
  <c r="K200" i="138"/>
  <c r="J200" i="138" s="1"/>
  <c r="L199" i="138"/>
  <c r="K199" i="138"/>
  <c r="J199" i="138" s="1"/>
  <c r="L198" i="138"/>
  <c r="K198" i="138"/>
  <c r="L197" i="138"/>
  <c r="K197" i="138"/>
  <c r="L196" i="138"/>
  <c r="J196" i="138" s="1"/>
  <c r="K196" i="138"/>
  <c r="L195" i="138"/>
  <c r="K195" i="138"/>
  <c r="L194" i="138"/>
  <c r="K194" i="138"/>
  <c r="J194" i="138" s="1"/>
  <c r="L193" i="138"/>
  <c r="K193" i="138"/>
  <c r="J193" i="138" s="1"/>
  <c r="L192" i="138"/>
  <c r="K192" i="138"/>
  <c r="J192" i="138" s="1"/>
  <c r="L191" i="138"/>
  <c r="K191" i="138"/>
  <c r="L190" i="138"/>
  <c r="K190" i="138"/>
  <c r="J190" i="138" s="1"/>
  <c r="L189" i="138"/>
  <c r="K189" i="138"/>
  <c r="J189" i="138" s="1"/>
  <c r="L188" i="138"/>
  <c r="K188" i="138"/>
  <c r="J188" i="138" s="1"/>
  <c r="L187" i="138"/>
  <c r="K187" i="138"/>
  <c r="L186" i="138"/>
  <c r="K186" i="138"/>
  <c r="J186" i="138" s="1"/>
  <c r="L185" i="138"/>
  <c r="J185" i="138" s="1"/>
  <c r="K185" i="138"/>
  <c r="L184" i="138"/>
  <c r="K184" i="138"/>
  <c r="L183" i="138"/>
  <c r="J183" i="138" s="1"/>
  <c r="K183" i="138"/>
  <c r="L182" i="138"/>
  <c r="K182" i="138"/>
  <c r="L181" i="138"/>
  <c r="K181" i="138"/>
  <c r="L180" i="138"/>
  <c r="K180" i="138"/>
  <c r="J180" i="138" s="1"/>
  <c r="L179" i="138"/>
  <c r="J179" i="138" s="1"/>
  <c r="K179" i="138"/>
  <c r="L178" i="138"/>
  <c r="K178" i="138"/>
  <c r="J178" i="138" s="1"/>
  <c r="L177" i="138"/>
  <c r="K177" i="138"/>
  <c r="L176" i="138"/>
  <c r="J176" i="138" s="1"/>
  <c r="K176" i="138"/>
  <c r="L175" i="138"/>
  <c r="K175" i="138"/>
  <c r="L174" i="138"/>
  <c r="K174" i="138"/>
  <c r="J174" i="138" s="1"/>
  <c r="L173" i="138"/>
  <c r="K173" i="138"/>
  <c r="J173" i="138" s="1"/>
  <c r="L172" i="138"/>
  <c r="J172" i="138" s="1"/>
  <c r="K172" i="138"/>
  <c r="L171" i="138"/>
  <c r="K171" i="138"/>
  <c r="J171" i="138" s="1"/>
  <c r="L170" i="138"/>
  <c r="K170" i="138"/>
  <c r="J170" i="138" s="1"/>
  <c r="L169" i="138"/>
  <c r="K169" i="138"/>
  <c r="L168" i="138"/>
  <c r="K168" i="138"/>
  <c r="J168" i="138" s="1"/>
  <c r="L167" i="138"/>
  <c r="K167" i="138"/>
  <c r="J167" i="138"/>
  <c r="L166" i="138"/>
  <c r="K166" i="138"/>
  <c r="L165" i="138"/>
  <c r="K165" i="138"/>
  <c r="L164" i="138"/>
  <c r="K164" i="138"/>
  <c r="J164" i="138" s="1"/>
  <c r="L163" i="138"/>
  <c r="K163" i="138"/>
  <c r="L162" i="138"/>
  <c r="K162" i="138"/>
  <c r="L161" i="138"/>
  <c r="K161" i="138"/>
  <c r="J161" i="138" s="1"/>
  <c r="L160" i="138"/>
  <c r="K160" i="138"/>
  <c r="L159" i="138"/>
  <c r="K159" i="138"/>
  <c r="L158" i="138"/>
  <c r="K158" i="138"/>
  <c r="J158" i="138" s="1"/>
  <c r="L157" i="138"/>
  <c r="K157" i="138"/>
  <c r="J157" i="138" s="1"/>
  <c r="L156" i="138"/>
  <c r="K156" i="138"/>
  <c r="J156" i="138" s="1"/>
  <c r="L155" i="138"/>
  <c r="K155" i="138"/>
  <c r="L154" i="138"/>
  <c r="K154" i="138"/>
  <c r="L153" i="138"/>
  <c r="K153" i="138"/>
  <c r="J153" i="138" s="1"/>
  <c r="L152" i="138"/>
  <c r="K152" i="138"/>
  <c r="L151" i="138"/>
  <c r="K151" i="138"/>
  <c r="J151" i="138" s="1"/>
  <c r="L150" i="138"/>
  <c r="K150" i="138"/>
  <c r="J150" i="138" s="1"/>
  <c r="L149" i="138"/>
  <c r="K149" i="138"/>
  <c r="L148" i="138"/>
  <c r="K148" i="138"/>
  <c r="J148" i="138" s="1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L143" i="138"/>
  <c r="K143" i="138"/>
  <c r="L142" i="138"/>
  <c r="K142" i="138"/>
  <c r="J142" i="138" s="1"/>
  <c r="L141" i="138"/>
  <c r="K141" i="138"/>
  <c r="J141" i="138" s="1"/>
  <c r="L140" i="138"/>
  <c r="K140" i="138"/>
  <c r="J140" i="138" s="1"/>
  <c r="L139" i="138"/>
  <c r="J139" i="138" s="1"/>
  <c r="K139" i="138"/>
  <c r="L138" i="138"/>
  <c r="K138" i="138"/>
  <c r="L137" i="138"/>
  <c r="K137" i="138"/>
  <c r="J137" i="138" s="1"/>
  <c r="L136" i="138"/>
  <c r="K136" i="138"/>
  <c r="J136" i="138" s="1"/>
  <c r="L135" i="138"/>
  <c r="K135" i="138"/>
  <c r="L134" i="138"/>
  <c r="K134" i="138"/>
  <c r="J134" i="138" s="1"/>
  <c r="L133" i="138"/>
  <c r="K133" i="138"/>
  <c r="L132" i="138"/>
  <c r="K132" i="138"/>
  <c r="J132" i="138" s="1"/>
  <c r="L131" i="138"/>
  <c r="K131" i="138"/>
  <c r="J131" i="138" s="1"/>
  <c r="L130" i="138"/>
  <c r="K130" i="138"/>
  <c r="L129" i="138"/>
  <c r="K129" i="138"/>
  <c r="L128" i="138"/>
  <c r="K128" i="138"/>
  <c r="J128" i="138" s="1"/>
  <c r="L127" i="138"/>
  <c r="K127" i="138"/>
  <c r="J127" i="138" s="1"/>
  <c r="L126" i="138"/>
  <c r="K126" i="138"/>
  <c r="J126" i="138" s="1"/>
  <c r="L125" i="138"/>
  <c r="K125" i="138"/>
  <c r="J125" i="138" s="1"/>
  <c r="L124" i="138"/>
  <c r="K124" i="138"/>
  <c r="J124" i="138" s="1"/>
  <c r="L123" i="138"/>
  <c r="K123" i="138"/>
  <c r="J123" i="138" s="1"/>
  <c r="L122" i="138"/>
  <c r="K122" i="138"/>
  <c r="L121" i="138"/>
  <c r="K121" i="138"/>
  <c r="J121" i="138" s="1"/>
  <c r="L120" i="138"/>
  <c r="K120" i="138"/>
  <c r="L119" i="138"/>
  <c r="K119" i="138"/>
  <c r="L118" i="138"/>
  <c r="K118" i="138"/>
  <c r="L117" i="138"/>
  <c r="K117" i="138"/>
  <c r="J117" i="138" s="1"/>
  <c r="L116" i="138"/>
  <c r="K116" i="138"/>
  <c r="L115" i="138"/>
  <c r="K115" i="138"/>
  <c r="L114" i="138"/>
  <c r="K114" i="138"/>
  <c r="L113" i="138"/>
  <c r="K113" i="138"/>
  <c r="L112" i="138"/>
  <c r="K112" i="138"/>
  <c r="L111" i="138"/>
  <c r="K111" i="138"/>
  <c r="L110" i="138"/>
  <c r="K110" i="138"/>
  <c r="J110" i="138" s="1"/>
  <c r="L109" i="138"/>
  <c r="K109" i="138"/>
  <c r="J109" i="138" s="1"/>
  <c r="L108" i="138"/>
  <c r="K108" i="138"/>
  <c r="J108" i="138" s="1"/>
  <c r="L107" i="138"/>
  <c r="K107" i="138"/>
  <c r="J107" i="138" s="1"/>
  <c r="L106" i="138"/>
  <c r="K106" i="138"/>
  <c r="L105" i="138"/>
  <c r="K105" i="138"/>
  <c r="L104" i="138"/>
  <c r="K104" i="138"/>
  <c r="L103" i="138"/>
  <c r="K103" i="138"/>
  <c r="L102" i="138"/>
  <c r="K102" i="138"/>
  <c r="L101" i="138"/>
  <c r="K101" i="138"/>
  <c r="J101" i="138" s="1"/>
  <c r="L100" i="138"/>
  <c r="K100" i="138"/>
  <c r="L99" i="138"/>
  <c r="K99" i="138"/>
  <c r="L98" i="138"/>
  <c r="K98" i="138"/>
  <c r="J98" i="138" s="1"/>
  <c r="L97" i="138"/>
  <c r="K97" i="138"/>
  <c r="L96" i="138"/>
  <c r="K96" i="138"/>
  <c r="L95" i="138"/>
  <c r="K95" i="138"/>
  <c r="L94" i="138"/>
  <c r="K94" i="138"/>
  <c r="L93" i="138"/>
  <c r="K93" i="138"/>
  <c r="J93" i="138" s="1"/>
  <c r="L92" i="138"/>
  <c r="K92" i="138"/>
  <c r="J92" i="138" s="1"/>
  <c r="L91" i="138"/>
  <c r="K91" i="138"/>
  <c r="L90" i="138"/>
  <c r="K90" i="138"/>
  <c r="J90" i="138" s="1"/>
  <c r="L89" i="138"/>
  <c r="K89" i="138"/>
  <c r="L88" i="138"/>
  <c r="K88" i="138"/>
  <c r="J88" i="138" s="1"/>
  <c r="L87" i="138"/>
  <c r="K87" i="138"/>
  <c r="L86" i="138"/>
  <c r="K86" i="138"/>
  <c r="L85" i="138"/>
  <c r="K85" i="138"/>
  <c r="J85" i="138"/>
  <c r="L84" i="138"/>
  <c r="K84" i="138"/>
  <c r="L83" i="138"/>
  <c r="K83" i="138"/>
  <c r="J83" i="138"/>
  <c r="L82" i="138"/>
  <c r="K82" i="138"/>
  <c r="J82" i="138" s="1"/>
  <c r="L81" i="138"/>
  <c r="K81" i="138"/>
  <c r="L80" i="138"/>
  <c r="K80" i="138"/>
  <c r="L79" i="138"/>
  <c r="K79" i="138"/>
  <c r="J79" i="138" s="1"/>
  <c r="L78" i="138"/>
  <c r="K78" i="138"/>
  <c r="J78" i="138" s="1"/>
  <c r="L77" i="138"/>
  <c r="K77" i="138"/>
  <c r="L76" i="138"/>
  <c r="K76" i="138"/>
  <c r="J76" i="138" s="1"/>
  <c r="L75" i="138"/>
  <c r="K75" i="138"/>
  <c r="L74" i="138"/>
  <c r="K74" i="138"/>
  <c r="L73" i="138"/>
  <c r="K73" i="138"/>
  <c r="L72" i="138"/>
  <c r="K72" i="138"/>
  <c r="J72" i="138" s="1"/>
  <c r="L71" i="138"/>
  <c r="K71" i="138"/>
  <c r="J71" i="138" s="1"/>
  <c r="L70" i="138"/>
  <c r="K70" i="138"/>
  <c r="L69" i="138"/>
  <c r="K69" i="138"/>
  <c r="J69" i="138" s="1"/>
  <c r="L68" i="138"/>
  <c r="K68" i="138"/>
  <c r="L67" i="138"/>
  <c r="K67" i="138"/>
  <c r="L66" i="138"/>
  <c r="K66" i="138"/>
  <c r="L65" i="138"/>
  <c r="K65" i="138"/>
  <c r="J65" i="138" s="1"/>
  <c r="L64" i="138"/>
  <c r="K64" i="138"/>
  <c r="J64" i="138" s="1"/>
  <c r="L63" i="138"/>
  <c r="K63" i="138"/>
  <c r="J63" i="138" s="1"/>
  <c r="L62" i="138"/>
  <c r="K62" i="138"/>
  <c r="L61" i="138"/>
  <c r="K61" i="138"/>
  <c r="J61" i="138" s="1"/>
  <c r="L60" i="138"/>
  <c r="K60" i="138"/>
  <c r="L59" i="138"/>
  <c r="K59" i="138"/>
  <c r="L58" i="138"/>
  <c r="K58" i="138"/>
  <c r="L57" i="138"/>
  <c r="K57" i="138"/>
  <c r="J57" i="138" s="1"/>
  <c r="L56" i="138"/>
  <c r="K56" i="138"/>
  <c r="J56" i="138" s="1"/>
  <c r="L55" i="138"/>
  <c r="J55" i="138" s="1"/>
  <c r="K55" i="138"/>
  <c r="L54" i="138"/>
  <c r="K54" i="138"/>
  <c r="L53" i="138"/>
  <c r="K53" i="138"/>
  <c r="J53" i="138" s="1"/>
  <c r="L52" i="138"/>
  <c r="K52" i="138"/>
  <c r="L51" i="138"/>
  <c r="K51" i="138"/>
  <c r="L50" i="138"/>
  <c r="K50" i="138"/>
  <c r="J50" i="138" s="1"/>
  <c r="L49" i="138"/>
  <c r="K49" i="138"/>
  <c r="J49" i="138" s="1"/>
  <c r="L48" i="138"/>
  <c r="K48" i="138"/>
  <c r="J48" i="138" s="1"/>
  <c r="L47" i="138"/>
  <c r="K47" i="138"/>
  <c r="L46" i="138"/>
  <c r="K46" i="138"/>
  <c r="L45" i="138"/>
  <c r="K45" i="138"/>
  <c r="L44" i="138"/>
  <c r="K44" i="138"/>
  <c r="L43" i="138"/>
  <c r="K43" i="138"/>
  <c r="L42" i="138"/>
  <c r="K42" i="138"/>
  <c r="J42" i="138" s="1"/>
  <c r="L41" i="138"/>
  <c r="K41" i="138"/>
  <c r="J41" i="138" s="1"/>
  <c r="L40" i="138"/>
  <c r="K40" i="138"/>
  <c r="J40" i="138" s="1"/>
  <c r="L39" i="138"/>
  <c r="K39" i="138"/>
  <c r="L38" i="138"/>
  <c r="K38" i="138"/>
  <c r="L37" i="138"/>
  <c r="K37" i="138"/>
  <c r="L36" i="138"/>
  <c r="K36" i="138"/>
  <c r="L35" i="138"/>
  <c r="K35" i="138"/>
  <c r="J35" i="138" s="1"/>
  <c r="L34" i="138"/>
  <c r="K34" i="138"/>
  <c r="J34" i="138" s="1"/>
  <c r="L33" i="138"/>
  <c r="K33" i="138"/>
  <c r="L32" i="138"/>
  <c r="K32" i="138"/>
  <c r="J32" i="138" s="1"/>
  <c r="L31" i="138"/>
  <c r="K31" i="138"/>
  <c r="L28" i="138"/>
  <c r="K28" i="138"/>
  <c r="L27" i="138"/>
  <c r="K27" i="138"/>
  <c r="L26" i="138"/>
  <c r="K26" i="138"/>
  <c r="L25" i="138"/>
  <c r="K25" i="138"/>
  <c r="J25" i="138" s="1"/>
  <c r="L254" i="139"/>
  <c r="K254" i="139"/>
  <c r="J254" i="139"/>
  <c r="L253" i="139"/>
  <c r="K253" i="139"/>
  <c r="J253" i="139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J248" i="139"/>
  <c r="K248" i="139"/>
  <c r="L247" i="139"/>
  <c r="K247" i="139"/>
  <c r="J247" i="139"/>
  <c r="L246" i="139"/>
  <c r="K246" i="139"/>
  <c r="J246" i="139"/>
  <c r="L245" i="139"/>
  <c r="K245" i="139"/>
  <c r="J245" i="139"/>
  <c r="L244" i="139"/>
  <c r="J244" i="139"/>
  <c r="K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L238" i="139"/>
  <c r="K238" i="139"/>
  <c r="J238" i="139"/>
  <c r="L237" i="139"/>
  <c r="K237" i="139"/>
  <c r="J237" i="139"/>
  <c r="L236" i="139"/>
  <c r="J236" i="139"/>
  <c r="K236" i="139"/>
  <c r="L235" i="139"/>
  <c r="K235" i="139"/>
  <c r="J235" i="139"/>
  <c r="L234" i="139"/>
  <c r="K234" i="139"/>
  <c r="J234" i="139"/>
  <c r="L233" i="139"/>
  <c r="K233" i="139"/>
  <c r="J233" i="139"/>
  <c r="L232" i="139"/>
  <c r="J232" i="139"/>
  <c r="K232" i="139"/>
  <c r="L231" i="139"/>
  <c r="K231" i="139"/>
  <c r="L230" i="139"/>
  <c r="J230" i="139"/>
  <c r="K230" i="139"/>
  <c r="L229" i="139"/>
  <c r="K229" i="139"/>
  <c r="J229" i="139"/>
  <c r="L228" i="139"/>
  <c r="J228" i="139"/>
  <c r="K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J218" i="139"/>
  <c r="K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J198" i="139"/>
  <c r="K198" i="139"/>
  <c r="L197" i="139"/>
  <c r="K197" i="139"/>
  <c r="J197" i="139"/>
  <c r="L196" i="139"/>
  <c r="J196" i="139"/>
  <c r="K196" i="139"/>
  <c r="L195" i="139"/>
  <c r="K195" i="139"/>
  <c r="J195" i="139"/>
  <c r="L194" i="139"/>
  <c r="K194" i="139"/>
  <c r="J194" i="139"/>
  <c r="L193" i="139"/>
  <c r="K193" i="139"/>
  <c r="J193" i="139"/>
  <c r="L192" i="139"/>
  <c r="J192" i="139"/>
  <c r="K192" i="139"/>
  <c r="L191" i="139"/>
  <c r="K191" i="139"/>
  <c r="J191" i="139"/>
  <c r="L190" i="139"/>
  <c r="K190" i="139"/>
  <c r="J190" i="139"/>
  <c r="L189" i="139"/>
  <c r="K189" i="139"/>
  <c r="J189" i="139"/>
  <c r="L188" i="139"/>
  <c r="J188" i="139"/>
  <c r="K188" i="139"/>
  <c r="L187" i="139"/>
  <c r="K187" i="139"/>
  <c r="J187" i="139"/>
  <c r="L186" i="139"/>
  <c r="K186" i="139"/>
  <c r="J186" i="139"/>
  <c r="L185" i="139"/>
  <c r="K185" i="139"/>
  <c r="J185" i="139"/>
  <c r="L184" i="139"/>
  <c r="J184" i="139"/>
  <c r="K184" i="139"/>
  <c r="L183" i="139"/>
  <c r="K183" i="139"/>
  <c r="J183" i="139"/>
  <c r="L182" i="139"/>
  <c r="K182" i="139"/>
  <c r="J182" i="139"/>
  <c r="L181" i="139"/>
  <c r="J181" i="139"/>
  <c r="K181" i="139"/>
  <c r="L180" i="139"/>
  <c r="J180" i="139"/>
  <c r="K180" i="139"/>
  <c r="L179" i="139"/>
  <c r="K179" i="139"/>
  <c r="J179" i="139"/>
  <c r="L178" i="139"/>
  <c r="K178" i="139"/>
  <c r="L177" i="139"/>
  <c r="K177" i="139"/>
  <c r="J177" i="139"/>
  <c r="L176" i="139"/>
  <c r="K176" i="139"/>
  <c r="J176" i="139"/>
  <c r="L175" i="139"/>
  <c r="K175" i="139"/>
  <c r="L174" i="139"/>
  <c r="K174" i="139"/>
  <c r="J174" i="139"/>
  <c r="L173" i="139"/>
  <c r="K173" i="139"/>
  <c r="J173" i="139"/>
  <c r="L172" i="139"/>
  <c r="K172" i="139"/>
  <c r="J172" i="139"/>
  <c r="L171" i="139"/>
  <c r="J171" i="139"/>
  <c r="K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J166" i="139"/>
  <c r="K166" i="139"/>
  <c r="L165" i="139"/>
  <c r="K165" i="139"/>
  <c r="J165" i="139"/>
  <c r="L164" i="139"/>
  <c r="J164" i="139"/>
  <c r="K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L154" i="139"/>
  <c r="J154" i="139"/>
  <c r="K154" i="139"/>
  <c r="L153" i="139"/>
  <c r="K153" i="139"/>
  <c r="J153" i="139"/>
  <c r="L152" i="139"/>
  <c r="J152" i="139"/>
  <c r="K152" i="139"/>
  <c r="L151" i="139"/>
  <c r="K151" i="139"/>
  <c r="J151" i="139"/>
  <c r="L150" i="139"/>
  <c r="K150" i="139"/>
  <c r="J150" i="139"/>
  <c r="L149" i="139"/>
  <c r="J149" i="139"/>
  <c r="K149" i="139"/>
  <c r="L148" i="139"/>
  <c r="J148" i="139"/>
  <c r="K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J135" i="139"/>
  <c r="K135" i="139"/>
  <c r="L134" i="139"/>
  <c r="K134" i="139"/>
  <c r="J134" i="139"/>
  <c r="L133" i="139"/>
  <c r="K133" i="139"/>
  <c r="J133" i="139"/>
  <c r="L132" i="139"/>
  <c r="J132" i="139"/>
  <c r="K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J118" i="139"/>
  <c r="K118" i="139"/>
  <c r="L117" i="139"/>
  <c r="K117" i="139"/>
  <c r="J117" i="139"/>
  <c r="L116" i="139"/>
  <c r="J116" i="139"/>
  <c r="K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L110" i="139"/>
  <c r="K110" i="139"/>
  <c r="J110" i="139"/>
  <c r="L109" i="139"/>
  <c r="J109" i="139"/>
  <c r="K109" i="139"/>
  <c r="L108" i="139"/>
  <c r="K108" i="139"/>
  <c r="J108" i="139"/>
  <c r="L107" i="139"/>
  <c r="K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J101" i="139"/>
  <c r="K101" i="139"/>
  <c r="L100" i="139"/>
  <c r="K100" i="139"/>
  <c r="J100" i="139"/>
  <c r="L99" i="139"/>
  <c r="K99" i="139"/>
  <c r="J99" i="139"/>
  <c r="L98" i="139"/>
  <c r="J98" i="139"/>
  <c r="K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 s="1"/>
  <c r="L89" i="139"/>
  <c r="K89" i="139"/>
  <c r="J89" i="139" s="1"/>
  <c r="L88" i="139"/>
  <c r="K88" i="139"/>
  <c r="J88" i="139" s="1"/>
  <c r="L87" i="139"/>
  <c r="K87" i="139"/>
  <c r="J87" i="139" s="1"/>
  <c r="L86" i="139"/>
  <c r="K86" i="139"/>
  <c r="J86" i="139" s="1"/>
  <c r="L85" i="139"/>
  <c r="K85" i="139"/>
  <c r="J85" i="139" s="1"/>
  <c r="L84" i="139"/>
  <c r="K84" i="139"/>
  <c r="J84" i="139" s="1"/>
  <c r="L83" i="139"/>
  <c r="K83" i="139"/>
  <c r="J83" i="139"/>
  <c r="L82" i="139"/>
  <c r="K82" i="139"/>
  <c r="J82" i="139" s="1"/>
  <c r="L81" i="139"/>
  <c r="K81" i="139"/>
  <c r="J81" i="139"/>
  <c r="L80" i="139"/>
  <c r="K80" i="139"/>
  <c r="J80" i="139" s="1"/>
  <c r="L79" i="139"/>
  <c r="K79" i="139"/>
  <c r="J79" i="139" s="1"/>
  <c r="L78" i="139"/>
  <c r="K78" i="139"/>
  <c r="J78" i="139" s="1"/>
  <c r="L77" i="139"/>
  <c r="K77" i="139"/>
  <c r="J77" i="139" s="1"/>
  <c r="L76" i="139"/>
  <c r="K76" i="139"/>
  <c r="J76" i="139" s="1"/>
  <c r="L75" i="139"/>
  <c r="K75" i="139"/>
  <c r="J75" i="139" s="1"/>
  <c r="L74" i="139"/>
  <c r="K74" i="139"/>
  <c r="J74" i="139"/>
  <c r="L73" i="139"/>
  <c r="K73" i="139"/>
  <c r="J73" i="139" s="1"/>
  <c r="L72" i="139"/>
  <c r="K72" i="139"/>
  <c r="J72" i="139" s="1"/>
  <c r="L71" i="139"/>
  <c r="K71" i="139"/>
  <c r="J71" i="139"/>
  <c r="L70" i="139"/>
  <c r="K70" i="139"/>
  <c r="J70" i="139"/>
  <c r="L69" i="139"/>
  <c r="K69" i="139"/>
  <c r="J69" i="139"/>
  <c r="L68" i="139"/>
  <c r="K68" i="139"/>
  <c r="J68" i="139" s="1"/>
  <c r="L67" i="139"/>
  <c r="K67" i="139"/>
  <c r="J67" i="139" s="1"/>
  <c r="L66" i="139"/>
  <c r="K66" i="139"/>
  <c r="J66" i="139" s="1"/>
  <c r="L65" i="139"/>
  <c r="K65" i="139"/>
  <c r="J65" i="139"/>
  <c r="L64" i="139"/>
  <c r="K64" i="139"/>
  <c r="J64" i="139"/>
  <c r="L63" i="139"/>
  <c r="K63" i="139"/>
  <c r="J63" i="139" s="1"/>
  <c r="L62" i="139"/>
  <c r="K62" i="139"/>
  <c r="J62" i="139" s="1"/>
  <c r="L61" i="139"/>
  <c r="K61" i="139"/>
  <c r="J61" i="139" s="1"/>
  <c r="L60" i="139"/>
  <c r="K60" i="139"/>
  <c r="L59" i="139"/>
  <c r="K59" i="139"/>
  <c r="J59" i="139" s="1"/>
  <c r="L58" i="139"/>
  <c r="K58" i="139"/>
  <c r="J58" i="139"/>
  <c r="L57" i="139"/>
  <c r="K57" i="139"/>
  <c r="J57" i="139" s="1"/>
  <c r="L56" i="139"/>
  <c r="K56" i="139"/>
  <c r="J56" i="139" s="1"/>
  <c r="L55" i="139"/>
  <c r="K55" i="139"/>
  <c r="J55" i="139" s="1"/>
  <c r="L54" i="139"/>
  <c r="K54" i="139"/>
  <c r="J54" i="139" s="1"/>
  <c r="L53" i="139"/>
  <c r="K53" i="139"/>
  <c r="J53" i="139"/>
  <c r="L52" i="139"/>
  <c r="K52" i="139"/>
  <c r="J52" i="139" s="1"/>
  <c r="L51" i="139"/>
  <c r="K51" i="139"/>
  <c r="J51" i="139"/>
  <c r="L50" i="139"/>
  <c r="K50" i="139"/>
  <c r="J50" i="139" s="1"/>
  <c r="L49" i="139"/>
  <c r="K49" i="139"/>
  <c r="J49" i="139" s="1"/>
  <c r="L48" i="139"/>
  <c r="K48" i="139"/>
  <c r="J48" i="139" s="1"/>
  <c r="L47" i="139"/>
  <c r="K47" i="139"/>
  <c r="J47" i="139" s="1"/>
  <c r="L46" i="139"/>
  <c r="K46" i="139"/>
  <c r="J46" i="139" s="1"/>
  <c r="L45" i="139"/>
  <c r="K45" i="139"/>
  <c r="J45" i="139" s="1"/>
  <c r="L44" i="139"/>
  <c r="K44" i="139"/>
  <c r="J44" i="139" s="1"/>
  <c r="L43" i="139"/>
  <c r="K43" i="139"/>
  <c r="J43" i="139" s="1"/>
  <c r="L42" i="139"/>
  <c r="K42" i="139"/>
  <c r="J42" i="139" s="1"/>
  <c r="L41" i="139"/>
  <c r="K41" i="139"/>
  <c r="J41" i="139" s="1"/>
  <c r="L40" i="139"/>
  <c r="K40" i="139"/>
  <c r="J40" i="139" s="1"/>
  <c r="L39" i="139"/>
  <c r="K39" i="139"/>
  <c r="J39" i="139" s="1"/>
  <c r="L38" i="139"/>
  <c r="K38" i="139"/>
  <c r="J38" i="139" s="1"/>
  <c r="L37" i="139"/>
  <c r="K37" i="139"/>
  <c r="J37" i="139" s="1"/>
  <c r="L35" i="139"/>
  <c r="K35" i="139"/>
  <c r="J35" i="139" s="1"/>
  <c r="L34" i="139"/>
  <c r="K34" i="139"/>
  <c r="L32" i="139"/>
  <c r="K32" i="139"/>
  <c r="J32" i="139" s="1"/>
  <c r="L31" i="139"/>
  <c r="K31" i="139"/>
  <c r="J31" i="139" s="1"/>
  <c r="L30" i="139"/>
  <c r="K30" i="139"/>
  <c r="J30" i="139" s="1"/>
  <c r="L29" i="139"/>
  <c r="K29" i="139"/>
  <c r="J29" i="139"/>
  <c r="L28" i="139"/>
  <c r="K28" i="139"/>
  <c r="J28" i="139" s="1"/>
  <c r="L27" i="139"/>
  <c r="K27" i="139"/>
  <c r="J27" i="139" s="1"/>
  <c r="L26" i="139"/>
  <c r="K26" i="139"/>
  <c r="J26" i="139" s="1"/>
  <c r="L25" i="139"/>
  <c r="K25" i="139"/>
  <c r="J25" i="139" s="1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L45" i="140"/>
  <c r="K45" i="140"/>
  <c r="J45" i="140"/>
  <c r="L44" i="140"/>
  <c r="K44" i="140"/>
  <c r="J44" i="140"/>
  <c r="L43" i="140"/>
  <c r="J43" i="140"/>
  <c r="K43" i="140"/>
  <c r="L42" i="140"/>
  <c r="K42" i="140"/>
  <c r="J42" i="140"/>
  <c r="L41" i="140"/>
  <c r="K41" i="140"/>
  <c r="J41" i="140"/>
  <c r="L40" i="140"/>
  <c r="J40" i="140"/>
  <c r="K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J27" i="140"/>
  <c r="K27" i="140"/>
  <c r="L26" i="140"/>
  <c r="K26" i="140"/>
  <c r="J26" i="140"/>
  <c r="L25" i="140"/>
  <c r="K25" i="140"/>
  <c r="J25" i="140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J47" i="141"/>
  <c r="K47" i="141"/>
  <c r="L46" i="141"/>
  <c r="K46" i="141"/>
  <c r="J46" i="141"/>
  <c r="L45" i="141"/>
  <c r="K45" i="141"/>
  <c r="J45" i="141"/>
  <c r="L44" i="141"/>
  <c r="J44" i="141"/>
  <c r="K44" i="141"/>
  <c r="L43" i="141"/>
  <c r="K43" i="141"/>
  <c r="J43" i="141"/>
  <c r="L42" i="141"/>
  <c r="K42" i="141"/>
  <c r="L41" i="141"/>
  <c r="K41" i="141"/>
  <c r="J41" i="141"/>
  <c r="L40" i="141"/>
  <c r="K40" i="141"/>
  <c r="J40" i="141"/>
  <c r="L39" i="141"/>
  <c r="K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J31" i="141"/>
  <c r="K31" i="141"/>
  <c r="L30" i="141"/>
  <c r="K30" i="141"/>
  <c r="J30" i="141"/>
  <c r="L29" i="141"/>
  <c r="K29" i="141"/>
  <c r="J29" i="141"/>
  <c r="L28" i="141"/>
  <c r="J28" i="141"/>
  <c r="K28" i="141"/>
  <c r="L27" i="141"/>
  <c r="K27" i="141"/>
  <c r="J27" i="141"/>
  <c r="L26" i="141"/>
  <c r="K26" i="141"/>
  <c r="J26" i="141"/>
  <c r="L25" i="141"/>
  <c r="K25" i="141"/>
  <c r="J25" i="14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L42" i="142"/>
  <c r="K42" i="142"/>
  <c r="J42" i="142"/>
  <c r="L41" i="142"/>
  <c r="K41" i="142"/>
  <c r="J41" i="142"/>
  <c r="L40" i="142"/>
  <c r="K40" i="142"/>
  <c r="J40" i="142"/>
  <c r="L39" i="142"/>
  <c r="J39" i="142"/>
  <c r="K39" i="142"/>
  <c r="L38" i="142"/>
  <c r="K38" i="142"/>
  <c r="L37" i="142"/>
  <c r="K37" i="142"/>
  <c r="J37" i="142"/>
  <c r="L36" i="142"/>
  <c r="K36" i="142"/>
  <c r="J36" i="142"/>
  <c r="L35" i="142"/>
  <c r="J35" i="142"/>
  <c r="K35" i="142"/>
  <c r="L34" i="142"/>
  <c r="K34" i="142"/>
  <c r="J34" i="142"/>
  <c r="L33" i="142"/>
  <c r="K33" i="142"/>
  <c r="J33" i="142"/>
  <c r="L32" i="142"/>
  <c r="J32" i="142"/>
  <c r="K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L26" i="142"/>
  <c r="K26" i="142"/>
  <c r="J26" i="142"/>
  <c r="L25" i="142"/>
  <c r="K25" i="142"/>
  <c r="J25" i="142"/>
  <c r="L252" i="143"/>
  <c r="K252" i="143"/>
  <c r="J252" i="143"/>
  <c r="L251" i="143"/>
  <c r="K251" i="143"/>
  <c r="J251" i="143"/>
  <c r="L250" i="143"/>
  <c r="K250" i="143"/>
  <c r="J250" i="143"/>
  <c r="L249" i="143"/>
  <c r="K249" i="143"/>
  <c r="J249" i="143"/>
  <c r="L248" i="143"/>
  <c r="K248" i="143"/>
  <c r="J248" i="143"/>
  <c r="L247" i="143"/>
  <c r="J247" i="143"/>
  <c r="K247" i="143"/>
  <c r="L246" i="143"/>
  <c r="K246" i="143"/>
  <c r="J246" i="143"/>
  <c r="L245" i="143"/>
  <c r="K245" i="143"/>
  <c r="J245" i="143"/>
  <c r="L244" i="143"/>
  <c r="J244" i="143"/>
  <c r="K244" i="143"/>
  <c r="L243" i="143"/>
  <c r="K243" i="143"/>
  <c r="J243" i="143"/>
  <c r="L242" i="143"/>
  <c r="K242" i="143"/>
  <c r="L241" i="143"/>
  <c r="K241" i="143"/>
  <c r="J241" i="143"/>
  <c r="L240" i="143"/>
  <c r="K240" i="143"/>
  <c r="J240" i="143"/>
  <c r="L239" i="143"/>
  <c r="K239" i="143"/>
  <c r="L238" i="143"/>
  <c r="K238" i="143"/>
  <c r="J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/>
  <c r="L232" i="143"/>
  <c r="K232" i="143"/>
  <c r="J232" i="143"/>
  <c r="L231" i="143"/>
  <c r="J231" i="143"/>
  <c r="K231" i="143"/>
  <c r="L230" i="143"/>
  <c r="K230" i="143"/>
  <c r="J230" i="143"/>
  <c r="L229" i="143"/>
  <c r="K229" i="143"/>
  <c r="J229" i="143"/>
  <c r="L228" i="143"/>
  <c r="J228" i="143"/>
  <c r="K228" i="143"/>
  <c r="L227" i="143"/>
  <c r="K227" i="143"/>
  <c r="J227" i="143"/>
  <c r="L226" i="143"/>
  <c r="K226" i="143"/>
  <c r="J226" i="143"/>
  <c r="L225" i="143"/>
  <c r="K225" i="143"/>
  <c r="J225" i="143"/>
  <c r="L224" i="143"/>
  <c r="K224" i="143"/>
  <c r="J224" i="143"/>
  <c r="L223" i="143"/>
  <c r="K223" i="143"/>
  <c r="L222" i="143"/>
  <c r="K222" i="143"/>
  <c r="J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/>
  <c r="L216" i="143"/>
  <c r="K216" i="143"/>
  <c r="J216" i="143"/>
  <c r="L215" i="143"/>
  <c r="J215" i="143"/>
  <c r="K215" i="143"/>
  <c r="L214" i="143"/>
  <c r="K214" i="143"/>
  <c r="J214" i="143"/>
  <c r="L213" i="143"/>
  <c r="K213" i="143"/>
  <c r="J213" i="143"/>
  <c r="L212" i="143"/>
  <c r="J212" i="143"/>
  <c r="K212" i="143"/>
  <c r="L211" i="143"/>
  <c r="K211" i="143"/>
  <c r="J211" i="143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K206" i="143"/>
  <c r="J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/>
  <c r="L200" i="143"/>
  <c r="K200" i="143"/>
  <c r="J200" i="143"/>
  <c r="L199" i="143"/>
  <c r="J199" i="143"/>
  <c r="K199" i="143"/>
  <c r="L198" i="143"/>
  <c r="K198" i="143"/>
  <c r="J198" i="143"/>
  <c r="L197" i="143"/>
  <c r="K197" i="143"/>
  <c r="J197" i="143"/>
  <c r="L196" i="143"/>
  <c r="J196" i="143"/>
  <c r="K196" i="143"/>
  <c r="L195" i="143"/>
  <c r="K195" i="143"/>
  <c r="J195" i="143"/>
  <c r="L194" i="143"/>
  <c r="K194" i="143"/>
  <c r="L193" i="143"/>
  <c r="K193" i="143"/>
  <c r="J193" i="143"/>
  <c r="L192" i="143"/>
  <c r="K192" i="143"/>
  <c r="J192" i="143"/>
  <c r="L191" i="143"/>
  <c r="K191" i="143"/>
  <c r="L190" i="143"/>
  <c r="K190" i="143"/>
  <c r="J190" i="143"/>
  <c r="L189" i="143"/>
  <c r="K189" i="143"/>
  <c r="J189" i="143"/>
  <c r="L188" i="143"/>
  <c r="K188" i="143"/>
  <c r="J188" i="143"/>
  <c r="L187" i="143"/>
  <c r="J187" i="143"/>
  <c r="K187" i="143"/>
  <c r="L186" i="143"/>
  <c r="K186" i="143"/>
  <c r="J186" i="143"/>
  <c r="L185" i="143"/>
  <c r="K185" i="143"/>
  <c r="J185" i="143"/>
  <c r="L184" i="143"/>
  <c r="K184" i="143"/>
  <c r="J184" i="143"/>
  <c r="L183" i="143"/>
  <c r="J183" i="143"/>
  <c r="K183" i="143"/>
  <c r="L182" i="143"/>
  <c r="K182" i="143"/>
  <c r="J182" i="143"/>
  <c r="L181" i="143"/>
  <c r="J181" i="143"/>
  <c r="K181" i="143"/>
  <c r="L180" i="143"/>
  <c r="J180" i="143"/>
  <c r="K180" i="143"/>
  <c r="L179" i="143"/>
  <c r="K179" i="143"/>
  <c r="J179" i="143"/>
  <c r="L178" i="143"/>
  <c r="K178" i="143"/>
  <c r="L177" i="143"/>
  <c r="K177" i="143"/>
  <c r="J177" i="143"/>
  <c r="L176" i="143"/>
  <c r="K176" i="143"/>
  <c r="J176" i="143"/>
  <c r="L175" i="143"/>
  <c r="K175" i="143"/>
  <c r="L174" i="143"/>
  <c r="K174" i="143"/>
  <c r="J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/>
  <c r="L168" i="143"/>
  <c r="K168" i="143"/>
  <c r="J168" i="143"/>
  <c r="L167" i="143"/>
  <c r="J167" i="143"/>
  <c r="K167" i="143"/>
  <c r="L166" i="143"/>
  <c r="K166" i="143"/>
  <c r="J166" i="143"/>
  <c r="L165" i="143"/>
  <c r="K165" i="143"/>
  <c r="J165" i="143"/>
  <c r="L164" i="143"/>
  <c r="J164" i="143"/>
  <c r="K164" i="143"/>
  <c r="L163" i="143"/>
  <c r="K163" i="143"/>
  <c r="J163" i="143"/>
  <c r="L162" i="143"/>
  <c r="K162" i="143"/>
  <c r="L161" i="143"/>
  <c r="K161" i="143"/>
  <c r="J161" i="143"/>
  <c r="L160" i="143"/>
  <c r="K160" i="143"/>
  <c r="J160" i="143"/>
  <c r="L159" i="143"/>
  <c r="K159" i="143"/>
  <c r="J159" i="143"/>
  <c r="L158" i="143"/>
  <c r="K158" i="143"/>
  <c r="J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/>
  <c r="L151" i="143"/>
  <c r="J151" i="143"/>
  <c r="K151" i="143"/>
  <c r="L150" i="143"/>
  <c r="K150" i="143"/>
  <c r="J150" i="143"/>
  <c r="L149" i="143"/>
  <c r="K149" i="143"/>
  <c r="J149" i="143"/>
  <c r="L148" i="143"/>
  <c r="J148" i="143"/>
  <c r="K148" i="143"/>
  <c r="L147" i="143"/>
  <c r="K147" i="143"/>
  <c r="J147" i="143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/>
  <c r="L136" i="143"/>
  <c r="K136" i="143"/>
  <c r="J136" i="143"/>
  <c r="L135" i="143"/>
  <c r="J135" i="143"/>
  <c r="K135" i="143"/>
  <c r="L134" i="143"/>
  <c r="K134" i="143"/>
  <c r="J134" i="143"/>
  <c r="L133" i="143"/>
  <c r="K133" i="143"/>
  <c r="L132" i="143"/>
  <c r="J132" i="143"/>
  <c r="K132" i="143"/>
  <c r="L131" i="143"/>
  <c r="K131" i="143"/>
  <c r="J131" i="143"/>
  <c r="L130" i="143"/>
  <c r="K130" i="143"/>
  <c r="L129" i="143"/>
  <c r="K129" i="143"/>
  <c r="J129" i="143"/>
  <c r="L128" i="143"/>
  <c r="K128" i="143"/>
  <c r="J128" i="143"/>
  <c r="L127" i="143"/>
  <c r="K127" i="143"/>
  <c r="L126" i="143"/>
  <c r="K126" i="143"/>
  <c r="J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/>
  <c r="L120" i="143"/>
  <c r="K120" i="143"/>
  <c r="J120" i="143"/>
  <c r="L119" i="143"/>
  <c r="J119" i="143"/>
  <c r="K119" i="143"/>
  <c r="L118" i="143"/>
  <c r="K118" i="143"/>
  <c r="J118" i="143"/>
  <c r="L117" i="143"/>
  <c r="K117" i="143"/>
  <c r="J117" i="143"/>
  <c r="L116" i="143"/>
  <c r="J116" i="143"/>
  <c r="K116" i="143"/>
  <c r="L115" i="143"/>
  <c r="K115" i="143"/>
  <c r="J115" i="143"/>
  <c r="L114" i="143"/>
  <c r="K114" i="143"/>
  <c r="L113" i="143"/>
  <c r="K113" i="143"/>
  <c r="J113" i="143"/>
  <c r="L112" i="143"/>
  <c r="K112" i="143"/>
  <c r="J112" i="143"/>
  <c r="L111" i="143"/>
  <c r="K111" i="143"/>
  <c r="L110" i="143"/>
  <c r="J110" i="143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/>
  <c r="L102" i="143"/>
  <c r="J102" i="143"/>
  <c r="K102" i="143"/>
  <c r="L101" i="143"/>
  <c r="K101" i="143"/>
  <c r="J101" i="143"/>
  <c r="L100" i="143"/>
  <c r="J100" i="143"/>
  <c r="K100" i="143"/>
  <c r="L99" i="143"/>
  <c r="K99" i="143"/>
  <c r="J99" i="143"/>
  <c r="L98" i="143"/>
  <c r="K98" i="143"/>
  <c r="L97" i="143"/>
  <c r="K97" i="143"/>
  <c r="J97" i="143"/>
  <c r="L96" i="143"/>
  <c r="J96" i="143"/>
  <c r="K96" i="143"/>
  <c r="L95" i="143"/>
  <c r="K95" i="143"/>
  <c r="L94" i="143"/>
  <c r="K94" i="143"/>
  <c r="J94" i="143"/>
  <c r="L93" i="143"/>
  <c r="K93" i="143"/>
  <c r="J93" i="143"/>
  <c r="L92" i="143"/>
  <c r="K92" i="143"/>
  <c r="J92" i="143"/>
  <c r="L91" i="143"/>
  <c r="K91" i="143"/>
  <c r="J91" i="143"/>
  <c r="L90" i="143"/>
  <c r="J90" i="143"/>
  <c r="K90" i="143"/>
  <c r="L89" i="143"/>
  <c r="K89" i="143"/>
  <c r="J89" i="143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J84" i="143"/>
  <c r="K84" i="143"/>
  <c r="L83" i="143"/>
  <c r="K83" i="143"/>
  <c r="J83" i="143"/>
  <c r="L82" i="143"/>
  <c r="K82" i="143"/>
  <c r="L81" i="143"/>
  <c r="K81" i="143"/>
  <c r="J81" i="143"/>
  <c r="L80" i="143"/>
  <c r="K80" i="143"/>
  <c r="J80" i="143"/>
  <c r="L79" i="143"/>
  <c r="K79" i="143"/>
  <c r="L78" i="143"/>
  <c r="J78" i="143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J68" i="143"/>
  <c r="K68" i="143"/>
  <c r="L67" i="143"/>
  <c r="K67" i="143"/>
  <c r="J67" i="143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/>
  <c r="L56" i="143"/>
  <c r="K56" i="143"/>
  <c r="J56" i="143"/>
  <c r="L55" i="143"/>
  <c r="J55" i="143"/>
  <c r="K55" i="143"/>
  <c r="L54" i="143"/>
  <c r="K54" i="143"/>
  <c r="J54" i="143"/>
  <c r="L53" i="143"/>
  <c r="K53" i="143"/>
  <c r="J53" i="143"/>
  <c r="L52" i="143"/>
  <c r="J52" i="143"/>
  <c r="K52" i="143"/>
  <c r="L51" i="143"/>
  <c r="K51" i="143"/>
  <c r="J51" i="143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J36" i="143"/>
  <c r="K36" i="143"/>
  <c r="L35" i="143"/>
  <c r="K35" i="143"/>
  <c r="J35" i="143"/>
  <c r="L34" i="143"/>
  <c r="K34" i="143"/>
  <c r="J34" i="143"/>
  <c r="L33" i="143"/>
  <c r="K33" i="143"/>
  <c r="J33" i="143"/>
  <c r="L32" i="143"/>
  <c r="K32" i="143"/>
  <c r="J32" i="143"/>
  <c r="L31" i="143"/>
  <c r="K31" i="143"/>
  <c r="L30" i="143"/>
  <c r="K30" i="143"/>
  <c r="J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J248" i="144"/>
  <c r="K248" i="144"/>
  <c r="L247" i="144"/>
  <c r="K247" i="144"/>
  <c r="J247" i="144"/>
  <c r="L246" i="144"/>
  <c r="K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J235" i="144"/>
  <c r="K235" i="144"/>
  <c r="L234" i="144"/>
  <c r="K234" i="144"/>
  <c r="J234" i="144"/>
  <c r="L233" i="144"/>
  <c r="K233" i="144"/>
  <c r="J233" i="144"/>
  <c r="L232" i="144"/>
  <c r="J232" i="144"/>
  <c r="K232" i="144"/>
  <c r="L231" i="144"/>
  <c r="K231" i="144"/>
  <c r="J231" i="144"/>
  <c r="L230" i="144"/>
  <c r="K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J218" i="144"/>
  <c r="K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J207" i="144"/>
  <c r="K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J180" i="144"/>
  <c r="K180" i="144"/>
  <c r="L179" i="144"/>
  <c r="K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J169" i="144"/>
  <c r="K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J158" i="144"/>
  <c r="K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J152" i="144"/>
  <c r="K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J120" i="144"/>
  <c r="K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J104" i="144"/>
  <c r="K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J88" i="144"/>
  <c r="K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J72" i="144"/>
  <c r="K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J56" i="144"/>
  <c r="K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J40" i="144"/>
  <c r="K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J28" i="145"/>
  <c r="K28" i="145"/>
  <c r="L27" i="145"/>
  <c r="K27" i="145"/>
  <c r="J27" i="145"/>
  <c r="L26" i="145"/>
  <c r="J26" i="145"/>
  <c r="K26" i="145"/>
  <c r="L25" i="145"/>
  <c r="K25" i="145"/>
  <c r="J25" i="145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7" i="56"/>
  <c r="K247" i="56"/>
  <c r="L246" i="56"/>
  <c r="K246" i="56"/>
  <c r="J246" i="56"/>
  <c r="L245" i="56"/>
  <c r="K245" i="56"/>
  <c r="L244" i="56"/>
  <c r="K244" i="56"/>
  <c r="L243" i="56"/>
  <c r="K243" i="56"/>
  <c r="L242" i="56"/>
  <c r="K242" i="56"/>
  <c r="L241" i="56"/>
  <c r="K241" i="56"/>
  <c r="J241" i="56"/>
  <c r="L240" i="56"/>
  <c r="K240" i="56"/>
  <c r="J240" i="56"/>
  <c r="L239" i="56"/>
  <c r="K239" i="56"/>
  <c r="L238" i="56"/>
  <c r="K238" i="56"/>
  <c r="L237" i="56"/>
  <c r="K237" i="56"/>
  <c r="L236" i="56"/>
  <c r="K236" i="56"/>
  <c r="L235" i="56"/>
  <c r="K235" i="56"/>
  <c r="L234" i="56"/>
  <c r="K234" i="56"/>
  <c r="L233" i="56"/>
  <c r="K233" i="56"/>
  <c r="L232" i="56"/>
  <c r="K232" i="56"/>
  <c r="L231" i="56"/>
  <c r="K231" i="56"/>
  <c r="L230" i="56"/>
  <c r="K230" i="56"/>
  <c r="L229" i="56"/>
  <c r="K229" i="56"/>
  <c r="L228" i="56"/>
  <c r="K228" i="56"/>
  <c r="L227" i="56"/>
  <c r="K227" i="56"/>
  <c r="L226" i="56"/>
  <c r="K226" i="56"/>
  <c r="L225" i="56"/>
  <c r="K225" i="56"/>
  <c r="L224" i="56"/>
  <c r="K224" i="56"/>
  <c r="L223" i="56"/>
  <c r="K223" i="56"/>
  <c r="J223" i="56"/>
  <c r="L222" i="56"/>
  <c r="K222" i="56"/>
  <c r="L221" i="56"/>
  <c r="K221" i="56"/>
  <c r="L220" i="56"/>
  <c r="K220" i="56"/>
  <c r="L219" i="56"/>
  <c r="K219" i="56"/>
  <c r="L218" i="56"/>
  <c r="K218" i="56"/>
  <c r="L217" i="56"/>
  <c r="K217" i="56"/>
  <c r="L216" i="56"/>
  <c r="K216" i="56"/>
  <c r="J216" i="56"/>
  <c r="L215" i="56"/>
  <c r="K215" i="56"/>
  <c r="L214" i="56"/>
  <c r="K214" i="56"/>
  <c r="L213" i="56"/>
  <c r="K213" i="56"/>
  <c r="L212" i="56"/>
  <c r="K212" i="56"/>
  <c r="L211" i="56"/>
  <c r="K211" i="56"/>
  <c r="L210" i="56"/>
  <c r="K210" i="56"/>
  <c r="L209" i="56"/>
  <c r="K209" i="56"/>
  <c r="L208" i="56"/>
  <c r="K208" i="56"/>
  <c r="L207" i="56"/>
  <c r="K207" i="56"/>
  <c r="J207" i="56"/>
  <c r="L206" i="56"/>
  <c r="K206" i="56"/>
  <c r="L205" i="56"/>
  <c r="K205" i="56"/>
  <c r="L204" i="56"/>
  <c r="K204" i="56"/>
  <c r="L203" i="56"/>
  <c r="K203" i="56"/>
  <c r="L202" i="56"/>
  <c r="K202" i="56"/>
  <c r="L201" i="56"/>
  <c r="K201" i="56"/>
  <c r="J201" i="56"/>
  <c r="L200" i="56"/>
  <c r="K200" i="56"/>
  <c r="L199" i="56"/>
  <c r="K199" i="56"/>
  <c r="L198" i="56"/>
  <c r="K198" i="56"/>
  <c r="L197" i="56"/>
  <c r="K197" i="56"/>
  <c r="L196" i="56"/>
  <c r="K196" i="56"/>
  <c r="L195" i="56"/>
  <c r="K195" i="56"/>
  <c r="L194" i="56"/>
  <c r="K194" i="56"/>
  <c r="L193" i="56"/>
  <c r="K193" i="56"/>
  <c r="L192" i="56"/>
  <c r="K192" i="56"/>
  <c r="L191" i="56"/>
  <c r="K191" i="56"/>
  <c r="L190" i="56"/>
  <c r="K190" i="56"/>
  <c r="L189" i="56"/>
  <c r="K189" i="56"/>
  <c r="L188" i="56"/>
  <c r="K188" i="56"/>
  <c r="L187" i="56"/>
  <c r="K187" i="56"/>
  <c r="L186" i="56"/>
  <c r="K186" i="56"/>
  <c r="L185" i="56"/>
  <c r="K185" i="56"/>
  <c r="L184" i="56"/>
  <c r="K184" i="56"/>
  <c r="L183" i="56"/>
  <c r="K183" i="56"/>
  <c r="L182" i="56"/>
  <c r="K182" i="56"/>
  <c r="L181" i="56"/>
  <c r="K181" i="56"/>
  <c r="L180" i="56"/>
  <c r="K180" i="56"/>
  <c r="L179" i="56"/>
  <c r="K179" i="56"/>
  <c r="L178" i="56"/>
  <c r="K178" i="56"/>
  <c r="L177" i="56"/>
  <c r="K177" i="56"/>
  <c r="L176" i="56"/>
  <c r="K176" i="56"/>
  <c r="J176" i="56"/>
  <c r="L175" i="56"/>
  <c r="K175" i="56"/>
  <c r="L174" i="56"/>
  <c r="K174" i="56"/>
  <c r="L173" i="56"/>
  <c r="K173" i="56"/>
  <c r="L172" i="56"/>
  <c r="K172" i="56"/>
  <c r="L171" i="56"/>
  <c r="K171" i="56"/>
  <c r="L170" i="56"/>
  <c r="K170" i="56"/>
  <c r="L169" i="56"/>
  <c r="K169" i="56"/>
  <c r="L168" i="56"/>
  <c r="K168" i="56"/>
  <c r="L167" i="56"/>
  <c r="K167" i="56"/>
  <c r="L166" i="56"/>
  <c r="K166" i="56"/>
  <c r="L165" i="56"/>
  <c r="K165" i="56"/>
  <c r="L164" i="56"/>
  <c r="K164" i="56"/>
  <c r="L163" i="56"/>
  <c r="K163" i="56"/>
  <c r="L162" i="56"/>
  <c r="K162" i="56"/>
  <c r="L161" i="56"/>
  <c r="K161" i="56"/>
  <c r="L160" i="56"/>
  <c r="K160" i="56"/>
  <c r="L159" i="56"/>
  <c r="K159" i="56"/>
  <c r="L158" i="56"/>
  <c r="K158" i="56"/>
  <c r="L157" i="56"/>
  <c r="K157" i="56"/>
  <c r="L156" i="56"/>
  <c r="K156" i="56"/>
  <c r="L155" i="56"/>
  <c r="K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L148" i="56"/>
  <c r="K148" i="56"/>
  <c r="L147" i="56"/>
  <c r="K147" i="56"/>
  <c r="L146" i="56"/>
  <c r="K146" i="56"/>
  <c r="L145" i="56"/>
  <c r="K145" i="56"/>
  <c r="L144" i="56"/>
  <c r="K144" i="56"/>
  <c r="L143" i="56"/>
  <c r="K143" i="56"/>
  <c r="L142" i="56"/>
  <c r="K142" i="56"/>
  <c r="L141" i="56"/>
  <c r="K141" i="56"/>
  <c r="L140" i="56"/>
  <c r="K140" i="56"/>
  <c r="L139" i="56"/>
  <c r="K139" i="56"/>
  <c r="L138" i="56"/>
  <c r="K138" i="56"/>
  <c r="L137" i="56"/>
  <c r="K137" i="56"/>
  <c r="J137" i="56"/>
  <c r="L136" i="56"/>
  <c r="K136" i="56"/>
  <c r="L135" i="56"/>
  <c r="K135" i="56"/>
  <c r="L134" i="56"/>
  <c r="K134" i="56"/>
  <c r="L133" i="56"/>
  <c r="K133" i="56"/>
  <c r="L132" i="56"/>
  <c r="K132" i="56"/>
  <c r="L131" i="56"/>
  <c r="K131" i="56"/>
  <c r="L130" i="56"/>
  <c r="K130" i="56"/>
  <c r="L129" i="56"/>
  <c r="K129" i="56"/>
  <c r="J129" i="56"/>
  <c r="L128" i="56"/>
  <c r="K128" i="56"/>
  <c r="L127" i="56"/>
  <c r="K127" i="56"/>
  <c r="L126" i="56"/>
  <c r="K126" i="56"/>
  <c r="L125" i="56"/>
  <c r="K125" i="56"/>
  <c r="L124" i="56"/>
  <c r="K124" i="56"/>
  <c r="L123" i="56"/>
  <c r="K123" i="56"/>
  <c r="L122" i="56"/>
  <c r="K122" i="56"/>
  <c r="L121" i="56"/>
  <c r="K121" i="56"/>
  <c r="L120" i="56"/>
  <c r="K120" i="56"/>
  <c r="L119" i="56"/>
  <c r="K119" i="56"/>
  <c r="J119" i="56"/>
  <c r="L118" i="56"/>
  <c r="K118" i="56"/>
  <c r="L117" i="56"/>
  <c r="K117" i="56"/>
  <c r="L116" i="56"/>
  <c r="K116" i="56"/>
  <c r="L115" i="56"/>
  <c r="K115" i="56"/>
  <c r="L114" i="56"/>
  <c r="K114" i="56"/>
  <c r="L113" i="56"/>
  <c r="K113" i="56"/>
  <c r="L112" i="56"/>
  <c r="K112" i="56"/>
  <c r="L111" i="56"/>
  <c r="K111" i="56"/>
  <c r="L110" i="56"/>
  <c r="K110" i="56"/>
  <c r="L109" i="56"/>
  <c r="K109" i="56"/>
  <c r="L108" i="56"/>
  <c r="K108" i="56"/>
  <c r="L107" i="56"/>
  <c r="K107" i="56"/>
  <c r="L106" i="56"/>
  <c r="K106" i="56"/>
  <c r="L105" i="56"/>
  <c r="K105" i="56"/>
  <c r="L104" i="56"/>
  <c r="K104" i="56"/>
  <c r="L103" i="56"/>
  <c r="K103" i="56"/>
  <c r="L102" i="56"/>
  <c r="K102" i="56"/>
  <c r="L101" i="56"/>
  <c r="K101" i="56"/>
  <c r="L100" i="56"/>
  <c r="K100" i="56"/>
  <c r="L99" i="56"/>
  <c r="K99" i="56"/>
  <c r="L98" i="56"/>
  <c r="K98" i="56"/>
  <c r="L97" i="56"/>
  <c r="K97" i="56"/>
  <c r="L96" i="56"/>
  <c r="K96" i="56"/>
  <c r="L95" i="56"/>
  <c r="K95" i="56"/>
  <c r="L94" i="56"/>
  <c r="K94" i="56"/>
  <c r="L93" i="56"/>
  <c r="K93" i="56"/>
  <c r="L92" i="56"/>
  <c r="K92" i="56"/>
  <c r="L91" i="56"/>
  <c r="K91" i="56"/>
  <c r="L90" i="56"/>
  <c r="K90" i="56"/>
  <c r="L89" i="56"/>
  <c r="K89" i="56"/>
  <c r="L88" i="56"/>
  <c r="K88" i="56"/>
  <c r="L87" i="56"/>
  <c r="K87" i="56"/>
  <c r="L86" i="56"/>
  <c r="K86" i="56"/>
  <c r="L85" i="56"/>
  <c r="K85" i="56"/>
  <c r="L84" i="56"/>
  <c r="K84" i="56"/>
  <c r="L83" i="56"/>
  <c r="K83" i="56"/>
  <c r="L82" i="56"/>
  <c r="K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L74" i="56"/>
  <c r="K74" i="56"/>
  <c r="L73" i="56"/>
  <c r="K73" i="56"/>
  <c r="L72" i="56"/>
  <c r="K72" i="56"/>
  <c r="L71" i="56"/>
  <c r="K71" i="56"/>
  <c r="J71" i="56"/>
  <c r="L70" i="56"/>
  <c r="K70" i="56"/>
  <c r="L69" i="56"/>
  <c r="K69" i="56"/>
  <c r="L68" i="56"/>
  <c r="K68" i="56"/>
  <c r="L67" i="56"/>
  <c r="K67" i="56"/>
  <c r="L66" i="56"/>
  <c r="K66" i="56"/>
  <c r="L65" i="56"/>
  <c r="K65" i="56"/>
  <c r="L64" i="56"/>
  <c r="K64" i="56"/>
  <c r="J64" i="56"/>
  <c r="L63" i="56"/>
  <c r="K63" i="56"/>
  <c r="L62" i="56"/>
  <c r="K62" i="56"/>
  <c r="L61" i="56"/>
  <c r="K61" i="56"/>
  <c r="L60" i="56"/>
  <c r="K60" i="56"/>
  <c r="L59" i="56"/>
  <c r="K59" i="56"/>
  <c r="L58" i="56"/>
  <c r="K58" i="56"/>
  <c r="L41" i="56"/>
  <c r="K41" i="56"/>
  <c r="L53" i="56"/>
  <c r="K53" i="56"/>
  <c r="J53" i="56"/>
  <c r="L31" i="56"/>
  <c r="K31" i="56"/>
  <c r="L40" i="56"/>
  <c r="K40" i="56"/>
  <c r="L30" i="56"/>
  <c r="K30" i="56"/>
  <c r="L57" i="56"/>
  <c r="K57" i="56"/>
  <c r="L56" i="56"/>
  <c r="K56" i="56"/>
  <c r="L55" i="56"/>
  <c r="K55" i="56"/>
  <c r="L50" i="56"/>
  <c r="K50" i="56"/>
  <c r="L47" i="56"/>
  <c r="K47" i="56"/>
  <c r="L54" i="56"/>
  <c r="K54" i="56"/>
  <c r="L43" i="56"/>
  <c r="K43" i="56"/>
  <c r="L38" i="56"/>
  <c r="K38" i="56"/>
  <c r="L52" i="56"/>
  <c r="K52" i="56"/>
  <c r="L44" i="56"/>
  <c r="K44" i="56"/>
  <c r="L42" i="56"/>
  <c r="K42" i="56"/>
  <c r="L46" i="56"/>
  <c r="K46" i="56"/>
  <c r="L51" i="56"/>
  <c r="K51" i="56"/>
  <c r="L45" i="56"/>
  <c r="K45" i="56"/>
  <c r="L49" i="56"/>
  <c r="K49" i="56"/>
  <c r="L48" i="56"/>
  <c r="K48" i="56"/>
  <c r="L39" i="56"/>
  <c r="K39" i="56"/>
  <c r="L37" i="56"/>
  <c r="K37" i="56"/>
  <c r="L36" i="56"/>
  <c r="K36" i="56"/>
  <c r="L35" i="56"/>
  <c r="K35" i="56"/>
  <c r="L34" i="56"/>
  <c r="K34" i="56"/>
  <c r="L33" i="56"/>
  <c r="K33" i="56"/>
  <c r="L32" i="56"/>
  <c r="K32" i="56"/>
  <c r="L29" i="56"/>
  <c r="K29" i="56"/>
  <c r="L28" i="56"/>
  <c r="K28" i="56"/>
  <c r="L27" i="56"/>
  <c r="K27" i="56"/>
  <c r="L26" i="56"/>
  <c r="K26" i="56"/>
  <c r="L25" i="56"/>
  <c r="K25" i="56"/>
  <c r="J45" i="110"/>
  <c r="J31" i="110"/>
  <c r="J48" i="110"/>
  <c r="J34" i="110"/>
  <c r="J41" i="110"/>
  <c r="J28" i="110"/>
  <c r="J42" i="110"/>
  <c r="J53" i="110"/>
  <c r="J103" i="109"/>
  <c r="J168" i="109"/>
  <c r="J211" i="109"/>
  <c r="J225" i="109"/>
  <c r="J30" i="109"/>
  <c r="J133" i="109"/>
  <c r="J140" i="109"/>
  <c r="J161" i="109"/>
  <c r="J183" i="109"/>
  <c r="J204" i="109"/>
  <c r="J219" i="109"/>
  <c r="J233" i="109"/>
  <c r="J47" i="109"/>
  <c r="J69" i="109"/>
  <c r="J83" i="109"/>
  <c r="J163" i="109"/>
  <c r="J242" i="109"/>
  <c r="J249" i="109"/>
  <c r="J48" i="109"/>
  <c r="J70" i="109"/>
  <c r="J99" i="109"/>
  <c r="J114" i="109"/>
  <c r="J230" i="109"/>
  <c r="J49" i="109"/>
  <c r="J77" i="109"/>
  <c r="J85" i="109"/>
  <c r="J115" i="109"/>
  <c r="J151" i="109"/>
  <c r="J165" i="109"/>
  <c r="J197" i="109"/>
  <c r="J76" i="109"/>
  <c r="J97" i="109"/>
  <c r="J236" i="109"/>
  <c r="J113" i="109"/>
  <c r="J238" i="109"/>
  <c r="J146" i="109"/>
  <c r="J33" i="109"/>
  <c r="J179" i="109"/>
  <c r="J248" i="109"/>
  <c r="J174" i="109"/>
  <c r="J91" i="109"/>
  <c r="J147" i="109"/>
  <c r="J182" i="109"/>
  <c r="J138" i="109"/>
  <c r="J112" i="109"/>
  <c r="J26" i="109"/>
  <c r="J61" i="109"/>
  <c r="J87" i="109"/>
  <c r="J191" i="109"/>
  <c r="J188" i="109"/>
  <c r="J154" i="109"/>
  <c r="J169" i="109"/>
  <c r="J64" i="109"/>
  <c r="J102" i="109"/>
  <c r="J29" i="109"/>
  <c r="J50" i="109"/>
  <c r="J142" i="109"/>
  <c r="J187" i="109"/>
  <c r="J200" i="109"/>
  <c r="J226" i="109"/>
  <c r="J209" i="109"/>
  <c r="J141" i="109"/>
  <c r="J130" i="109"/>
  <c r="J60" i="109"/>
  <c r="J124" i="109"/>
  <c r="J62" i="109"/>
  <c r="J164" i="109"/>
  <c r="J158" i="109"/>
  <c r="J177" i="109"/>
  <c r="J228" i="109"/>
  <c r="J36" i="109"/>
  <c r="J222" i="109"/>
  <c r="J84" i="109"/>
  <c r="J198" i="109"/>
  <c r="J205" i="109"/>
  <c r="J243" i="109"/>
  <c r="J40" i="109"/>
  <c r="J54" i="109"/>
  <c r="J74" i="109"/>
  <c r="J125" i="109"/>
  <c r="J132" i="109"/>
  <c r="J175" i="109"/>
  <c r="J181" i="109"/>
  <c r="J194" i="109"/>
  <c r="J232" i="109"/>
  <c r="J116" i="109"/>
  <c r="J180" i="109"/>
  <c r="J100" i="109"/>
  <c r="J101" i="109"/>
  <c r="J159" i="109"/>
  <c r="J212" i="109"/>
  <c r="J122" i="109"/>
  <c r="J196" i="109"/>
  <c r="J52" i="109"/>
  <c r="J244" i="109"/>
  <c r="J148" i="109"/>
  <c r="J43" i="109"/>
  <c r="J56" i="109"/>
  <c r="J68" i="109"/>
  <c r="J80" i="109"/>
  <c r="J46" i="109"/>
  <c r="J37" i="109"/>
  <c r="J32" i="109"/>
  <c r="J51" i="108"/>
  <c r="J35" i="108"/>
  <c r="J47" i="107"/>
  <c r="J31" i="107"/>
  <c r="J28" i="106"/>
  <c r="J45" i="106"/>
  <c r="J61" i="106"/>
  <c r="J119" i="105"/>
  <c r="J199" i="105"/>
  <c r="J35" i="105"/>
  <c r="J215" i="105"/>
  <c r="J183" i="105"/>
  <c r="J93" i="105"/>
  <c r="J44" i="105"/>
  <c r="J88" i="105"/>
  <c r="J135" i="105"/>
  <c r="J71" i="105"/>
  <c r="J151" i="105"/>
  <c r="J31" i="105"/>
  <c r="J83" i="105"/>
  <c r="J146" i="105"/>
  <c r="J231" i="105"/>
  <c r="J237" i="105"/>
  <c r="J87" i="105"/>
  <c r="J39" i="105"/>
  <c r="J55" i="105"/>
  <c r="J235" i="56"/>
  <c r="J247" i="56"/>
  <c r="J36" i="56"/>
  <c r="J42" i="56"/>
  <c r="J55" i="56"/>
  <c r="J66" i="56"/>
  <c r="J226" i="56"/>
  <c r="J234" i="56"/>
  <c r="J242" i="56"/>
  <c r="J37" i="56"/>
  <c r="J56" i="56"/>
  <c r="J75" i="56"/>
  <c r="J83" i="56"/>
  <c r="J91" i="56"/>
  <c r="J163" i="56"/>
  <c r="J171" i="56"/>
  <c r="J203" i="56"/>
  <c r="J57" i="56"/>
  <c r="J108" i="56"/>
  <c r="J124" i="56"/>
  <c r="J188" i="56"/>
  <c r="J196" i="56"/>
  <c r="J228" i="56"/>
  <c r="J154" i="56"/>
  <c r="J162" i="56"/>
  <c r="J76" i="56"/>
  <c r="J84" i="56"/>
  <c r="J212" i="56"/>
  <c r="J220" i="56"/>
  <c r="J101" i="56"/>
  <c r="J117" i="56"/>
  <c r="J125" i="56"/>
  <c r="J149" i="56"/>
  <c r="J213" i="56"/>
  <c r="J221" i="56"/>
  <c r="J198" i="56"/>
  <c r="J206" i="56"/>
  <c r="J31" i="56"/>
  <c r="J78" i="56"/>
  <c r="J94" i="56"/>
  <c r="J102" i="56"/>
  <c r="J118" i="56"/>
  <c r="J126" i="56"/>
  <c r="J158" i="56"/>
  <c r="J182" i="56"/>
  <c r="J165" i="56"/>
  <c r="J173" i="56"/>
  <c r="J181" i="56"/>
  <c r="J227" i="56"/>
  <c r="J159" i="56"/>
  <c r="J230" i="56"/>
  <c r="J32" i="56"/>
  <c r="J72" i="56"/>
  <c r="J104" i="56"/>
  <c r="J112" i="56"/>
  <c r="J128" i="56"/>
  <c r="J229" i="56"/>
  <c r="J49" i="56"/>
  <c r="J70" i="56"/>
  <c r="J204" i="56"/>
  <c r="J219" i="56"/>
  <c r="J183" i="56"/>
  <c r="J35" i="56"/>
  <c r="J46" i="56"/>
  <c r="J222" i="56"/>
  <c r="J236" i="56"/>
  <c r="J243" i="56"/>
  <c r="J245" i="56"/>
  <c r="J209" i="56"/>
  <c r="J194" i="56"/>
  <c r="J82" i="56"/>
  <c r="J90" i="56"/>
  <c r="J106" i="56"/>
  <c r="J114" i="56"/>
  <c r="J122" i="56"/>
  <c r="J185" i="56"/>
  <c r="J41" i="56"/>
  <c r="J144" i="56"/>
  <c r="J167" i="56"/>
  <c r="J191" i="56"/>
  <c r="J27" i="56"/>
  <c r="J73" i="56"/>
  <c r="J89" i="56"/>
  <c r="J105" i="56"/>
  <c r="J152" i="56"/>
  <c r="J199" i="56"/>
  <c r="J153" i="56"/>
  <c r="J130" i="56"/>
  <c r="J138" i="56"/>
  <c r="J146" i="56"/>
  <c r="J193" i="56"/>
  <c r="J38" i="56"/>
  <c r="J131" i="56"/>
  <c r="J99" i="56"/>
  <c r="J200" i="56"/>
  <c r="J62" i="56"/>
  <c r="J107" i="56"/>
  <c r="J208" i="56"/>
  <c r="J115" i="56"/>
  <c r="J179" i="56"/>
  <c r="J97" i="56"/>
  <c r="J26" i="56"/>
  <c r="J155" i="56"/>
  <c r="J177" i="56"/>
  <c r="J187" i="56"/>
  <c r="J134" i="56"/>
  <c r="J69" i="56"/>
  <c r="J58" i="56"/>
  <c r="J197" i="56"/>
  <c r="J43" i="56"/>
  <c r="J59" i="56"/>
  <c r="J33" i="56"/>
  <c r="J45" i="56"/>
  <c r="J195" i="56"/>
  <c r="J225" i="56"/>
  <c r="J169" i="56"/>
  <c r="J142" i="56"/>
  <c r="J150" i="56"/>
  <c r="J65" i="56"/>
  <c r="J34" i="56"/>
  <c r="J51" i="56"/>
  <c r="J47" i="56"/>
  <c r="J96" i="56"/>
  <c r="J103" i="56"/>
  <c r="J139" i="56"/>
  <c r="J147" i="56"/>
  <c r="J161" i="56"/>
  <c r="J175" i="56"/>
  <c r="J217" i="56"/>
  <c r="J85" i="56"/>
  <c r="J135" i="56"/>
  <c r="J189" i="56"/>
  <c r="J224" i="56"/>
  <c r="J237" i="56"/>
  <c r="J244" i="56"/>
  <c r="J25" i="56"/>
  <c r="J54" i="56"/>
  <c r="J136" i="56"/>
  <c r="J211" i="56"/>
  <c r="J166" i="56"/>
  <c r="J28" i="56"/>
  <c r="J143" i="56"/>
  <c r="J190" i="56"/>
  <c r="J210" i="56"/>
  <c r="J172" i="56"/>
  <c r="J140" i="56"/>
  <c r="J113" i="56"/>
  <c r="J100" i="56"/>
  <c r="J61" i="56"/>
  <c r="J68" i="56"/>
  <c r="J88" i="56"/>
  <c r="J95" i="56"/>
  <c r="J116" i="56"/>
  <c r="J123" i="56"/>
  <c r="J157" i="56"/>
  <c r="J164" i="56"/>
  <c r="J178" i="56"/>
  <c r="J238" i="56"/>
  <c r="J121" i="56"/>
  <c r="J214" i="56"/>
  <c r="J30" i="56"/>
  <c r="J110" i="56"/>
  <c r="J98" i="56"/>
  <c r="J86" i="56"/>
  <c r="J218" i="56"/>
  <c r="J231" i="56"/>
  <c r="J48" i="56"/>
  <c r="J52" i="56"/>
  <c r="J60" i="56"/>
  <c r="J67" i="56"/>
  <c r="J74" i="56"/>
  <c r="J87" i="56"/>
  <c r="J120" i="56"/>
  <c r="J148" i="56"/>
  <c r="J186" i="56"/>
  <c r="J205" i="56"/>
  <c r="J233" i="56"/>
  <c r="J44" i="56"/>
  <c r="J180" i="56"/>
  <c r="J109" i="56"/>
  <c r="J133" i="56"/>
  <c r="J170" i="56"/>
  <c r="J215" i="56"/>
  <c r="J80" i="56"/>
  <c r="J92" i="56"/>
  <c r="J156" i="56"/>
  <c r="J141" i="56"/>
  <c r="J232" i="56"/>
  <c r="J174" i="56"/>
  <c r="J145" i="56"/>
  <c r="J29" i="56"/>
  <c r="J39" i="56"/>
  <c r="J81" i="56"/>
  <c r="J93" i="56"/>
  <c r="J111" i="56"/>
  <c r="J160" i="56"/>
  <c r="J184" i="56"/>
  <c r="J202" i="56"/>
  <c r="J239" i="56"/>
  <c r="J77" i="56"/>
  <c r="J132" i="56"/>
  <c r="J40" i="56"/>
  <c r="J63" i="56"/>
  <c r="J127" i="56"/>
  <c r="J168" i="56"/>
  <c r="J192" i="56"/>
  <c r="J50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30" i="144"/>
  <c r="J127" i="143"/>
  <c r="J194" i="143"/>
  <c r="J71" i="142"/>
  <c r="J183" i="142"/>
  <c r="J46" i="140"/>
  <c r="J162" i="148"/>
  <c r="J103" i="147"/>
  <c r="J127" i="147"/>
  <c r="J47" i="147"/>
  <c r="J234" i="147"/>
  <c r="J38" i="146"/>
  <c r="J107" i="146"/>
  <c r="J139" i="146"/>
  <c r="J171" i="146"/>
  <c r="J203" i="146"/>
  <c r="J235" i="146"/>
  <c r="J202" i="144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191" i="144"/>
  <c r="J79" i="143"/>
  <c r="J133" i="143"/>
  <c r="J31" i="143"/>
  <c r="J27" i="142"/>
  <c r="J102" i="142"/>
  <c r="J158" i="142"/>
  <c r="J55" i="141"/>
  <c r="J130" i="141"/>
  <c r="J186" i="141"/>
  <c r="J83" i="140"/>
  <c r="J158" i="140"/>
  <c r="J178" i="139"/>
  <c r="J98" i="143"/>
  <c r="J91" i="142"/>
  <c r="J166" i="142"/>
  <c r="J222" i="142"/>
  <c r="J119" i="141"/>
  <c r="J194" i="141"/>
  <c r="J250" i="141"/>
  <c r="J147" i="140"/>
  <c r="J230" i="140"/>
  <c r="J111" i="143"/>
  <c r="J178" i="143"/>
  <c r="J239" i="143"/>
  <c r="J86" i="142"/>
  <c r="J142" i="142"/>
  <c r="J39" i="141"/>
  <c r="J114" i="141"/>
  <c r="J170" i="141"/>
  <c r="J67" i="140"/>
  <c r="J142" i="140"/>
  <c r="J238" i="140"/>
  <c r="J82" i="143"/>
  <c r="J130" i="143"/>
  <c r="J191" i="143"/>
  <c r="J43" i="142"/>
  <c r="J118" i="142"/>
  <c r="J174" i="142"/>
  <c r="J71" i="141"/>
  <c r="J146" i="141"/>
  <c r="J202" i="141"/>
  <c r="J99" i="140"/>
  <c r="J174" i="140"/>
  <c r="J206" i="140"/>
  <c r="J60" i="139"/>
  <c r="J107" i="139"/>
  <c r="J127" i="139"/>
  <c r="J155" i="139"/>
  <c r="J179" i="144"/>
  <c r="J95" i="143"/>
  <c r="J38" i="142"/>
  <c r="J94" i="142"/>
  <c r="J219" i="142"/>
  <c r="J66" i="141"/>
  <c r="J122" i="141"/>
  <c r="J247" i="141"/>
  <c r="J94" i="140"/>
  <c r="J150" i="140"/>
  <c r="J227" i="140"/>
  <c r="J231" i="139"/>
  <c r="J163" i="144"/>
  <c r="J246" i="144"/>
  <c r="J162" i="143"/>
  <c r="J223" i="143"/>
  <c r="J107" i="142"/>
  <c r="J182" i="142"/>
  <c r="J238" i="142"/>
  <c r="J135" i="141"/>
  <c r="J210" i="141"/>
  <c r="J131" i="144"/>
  <c r="J114" i="143"/>
  <c r="J175" i="143"/>
  <c r="J242" i="143"/>
  <c r="J139" i="142"/>
  <c r="J214" i="142"/>
  <c r="J42" i="141"/>
  <c r="J167" i="141"/>
  <c r="J242" i="141"/>
  <c r="J70" i="140"/>
  <c r="J97" i="136"/>
  <c r="J225" i="136"/>
  <c r="J125" i="135"/>
  <c r="J147" i="137"/>
  <c r="J92" i="136"/>
  <c r="J220" i="136"/>
  <c r="J120" i="135"/>
  <c r="J152" i="135"/>
  <c r="J111" i="139"/>
  <c r="J175" i="139"/>
  <c r="J239" i="139"/>
  <c r="J161" i="136"/>
  <c r="J61" i="135"/>
  <c r="J74" i="134"/>
  <c r="J223" i="139"/>
  <c r="J59" i="138"/>
  <c r="J76" i="136"/>
  <c r="J204" i="136"/>
  <c r="J104" i="135"/>
  <c r="J169" i="135"/>
  <c r="J124" i="136"/>
  <c r="J252" i="136"/>
  <c r="J197" i="135"/>
  <c r="J111" i="134"/>
  <c r="J226" i="135"/>
  <c r="J221" i="134"/>
  <c r="J52" i="134"/>
  <c r="J70" i="132"/>
  <c r="J98" i="131"/>
  <c r="J126" i="130"/>
  <c r="J77" i="134"/>
  <c r="J66" i="131"/>
  <c r="J233" i="133"/>
  <c r="J116" i="134"/>
  <c r="J141" i="134"/>
  <c r="J173" i="134"/>
  <c r="J230" i="132"/>
  <c r="J226" i="131"/>
  <c r="J166" i="132"/>
  <c r="J194" i="131"/>
  <c r="J116" i="126"/>
  <c r="J244" i="126"/>
  <c r="J185" i="127"/>
  <c r="J41" i="127"/>
  <c r="J148" i="126"/>
  <c r="J144" i="122"/>
  <c r="J171" i="118"/>
  <c r="J170" i="125"/>
  <c r="J165" i="124"/>
  <c r="J186" i="124"/>
  <c r="J138" i="124"/>
  <c r="J90" i="124"/>
  <c r="J229" i="124"/>
  <c r="J250" i="124"/>
  <c r="J108" i="118"/>
  <c r="J133" i="124"/>
  <c r="J154" i="124"/>
  <c r="J104" i="120"/>
  <c r="J58" i="124"/>
  <c r="J197" i="124"/>
  <c r="J218" i="124"/>
  <c r="J192" i="123"/>
  <c r="J155" i="122"/>
  <c r="J149" i="124"/>
  <c r="J213" i="123"/>
  <c r="J245" i="123"/>
  <c r="J139" i="118"/>
  <c r="J215" i="116"/>
  <c r="J128" i="118"/>
  <c r="J203" i="118"/>
  <c r="J192" i="118"/>
  <c r="J92" i="117"/>
  <c r="J104" i="119"/>
  <c r="J67" i="119"/>
  <c r="J129" i="119"/>
  <c r="J99" i="119"/>
  <c r="J43" i="118"/>
  <c r="J112" i="118"/>
  <c r="J187" i="118"/>
  <c r="J170" i="111"/>
  <c r="J227" i="119"/>
  <c r="J32" i="118"/>
  <c r="J176" i="118"/>
  <c r="J135" i="116"/>
  <c r="J64" i="118"/>
  <c r="J208" i="118"/>
  <c r="J103" i="116"/>
  <c r="J200" i="114"/>
  <c r="J73" i="112"/>
  <c r="J37" i="111"/>
  <c r="J106" i="111"/>
  <c r="J138" i="111"/>
  <c r="J230" i="115"/>
  <c r="J147" i="114"/>
  <c r="J26" i="111"/>
  <c r="J219" i="115"/>
  <c r="J89" i="112"/>
  <c r="J90" i="111"/>
  <c r="J66" i="110"/>
  <c r="J241" i="110"/>
  <c r="J211" i="114"/>
  <c r="J53" i="111"/>
  <c r="J115" i="114"/>
  <c r="J92" i="113"/>
  <c r="J110" i="112"/>
  <c r="J169" i="112"/>
  <c r="J201" i="112"/>
  <c r="J186" i="111"/>
  <c r="J218" i="111"/>
  <c r="J250" i="111"/>
  <c r="J232" i="114"/>
  <c r="J78" i="112"/>
  <c r="J42" i="111"/>
  <c r="J117" i="111"/>
  <c r="J149" i="111"/>
  <c r="J117" i="109"/>
  <c r="J131" i="114"/>
  <c r="J227" i="114"/>
  <c r="J29" i="113"/>
  <c r="J81" i="113"/>
  <c r="J95" i="109"/>
  <c r="J150" i="110"/>
  <c r="J223" i="109"/>
  <c r="J126" i="108"/>
  <c r="J26" i="107"/>
  <c r="J154" i="107"/>
  <c r="J56" i="106"/>
  <c r="J184" i="106"/>
  <c r="J162" i="105"/>
  <c r="J118" i="110"/>
  <c r="J63" i="109"/>
  <c r="J210" i="105"/>
  <c r="J86" i="110"/>
  <c r="J114" i="105"/>
  <c r="J182" i="110"/>
  <c r="J143" i="109"/>
  <c r="J46" i="108"/>
  <c r="J174" i="108"/>
  <c r="J74" i="107"/>
  <c r="J202" i="107"/>
  <c r="J104" i="106"/>
  <c r="J232" i="106"/>
  <c r="J194" i="105"/>
  <c r="J30" i="108"/>
  <c r="J158" i="108"/>
  <c r="J58" i="107"/>
  <c r="J186" i="107"/>
  <c r="J88" i="106"/>
  <c r="J98" i="105"/>
  <c r="J38" i="110"/>
  <c r="J111" i="109"/>
  <c r="J82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K24" i="107"/>
  <c r="L24" i="108"/>
  <c r="K24" i="108"/>
  <c r="L24" i="109"/>
  <c r="L18" i="109"/>
  <c r="K24" i="109"/>
  <c r="K18" i="109"/>
  <c r="L24" i="110"/>
  <c r="K24" i="110"/>
  <c r="K18" i="110"/>
  <c r="L24" i="111"/>
  <c r="K24" i="111"/>
  <c r="L24" i="112"/>
  <c r="K24" i="112"/>
  <c r="J24" i="112"/>
  <c r="L24" i="113"/>
  <c r="L18" i="113" s="1"/>
  <c r="K24" i="113"/>
  <c r="J24" i="113" s="1"/>
  <c r="L24" i="114"/>
  <c r="K24" i="114"/>
  <c r="J24" i="114" s="1"/>
  <c r="L24" i="115"/>
  <c r="L18" i="115" s="1"/>
  <c r="K24" i="115"/>
  <c r="L24" i="116"/>
  <c r="K24" i="116"/>
  <c r="L24" i="117"/>
  <c r="K24" i="117"/>
  <c r="L24" i="118"/>
  <c r="K24" i="118"/>
  <c r="L24" i="119"/>
  <c r="K24" i="119"/>
  <c r="L24" i="120"/>
  <c r="K24" i="120"/>
  <c r="L24" i="121"/>
  <c r="K24" i="121"/>
  <c r="L24" i="122"/>
  <c r="K24" i="122"/>
  <c r="J24" i="122" s="1"/>
  <c r="L24" i="123"/>
  <c r="L18" i="123" s="1"/>
  <c r="K24" i="123"/>
  <c r="L24" i="124"/>
  <c r="K24" i="124"/>
  <c r="J24" i="124" s="1"/>
  <c r="L24" i="125"/>
  <c r="K24" i="125"/>
  <c r="J24" i="125" s="1"/>
  <c r="L24" i="126"/>
  <c r="K24" i="126"/>
  <c r="L24" i="127"/>
  <c r="K24" i="127"/>
  <c r="L24" i="128"/>
  <c r="K24" i="128"/>
  <c r="L24" i="129"/>
  <c r="K24" i="129"/>
  <c r="L24" i="130"/>
  <c r="K24" i="130"/>
  <c r="L24" i="131"/>
  <c r="K24" i="131"/>
  <c r="J24" i="131" s="1"/>
  <c r="L24" i="132"/>
  <c r="K24" i="132"/>
  <c r="L24" i="133"/>
  <c r="K24" i="133"/>
  <c r="J24" i="133" s="1"/>
  <c r="L24" i="134"/>
  <c r="L18" i="134" s="1"/>
  <c r="K24" i="134"/>
  <c r="J24" i="134" s="1"/>
  <c r="L24" i="135"/>
  <c r="K24" i="135"/>
  <c r="L24" i="136"/>
  <c r="K24" i="136"/>
  <c r="J24" i="136" s="1"/>
  <c r="L24" i="137"/>
  <c r="K24" i="137"/>
  <c r="L24" i="138"/>
  <c r="L18" i="138" s="1"/>
  <c r="K24" i="138"/>
  <c r="J24" i="138" s="1"/>
  <c r="L24" i="139"/>
  <c r="K24" i="139"/>
  <c r="L24" i="140"/>
  <c r="K24" i="140"/>
  <c r="L24" i="141"/>
  <c r="K24" i="141"/>
  <c r="L24" i="142"/>
  <c r="K24" i="142"/>
  <c r="L24" i="143"/>
  <c r="K24" i="143"/>
  <c r="L24" i="144"/>
  <c r="K24" i="144"/>
  <c r="J24" i="144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L18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L11" i="110"/>
  <c r="N18" i="110"/>
  <c r="L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L10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AL17" i="112"/>
  <c r="AK17" i="112"/>
  <c r="AJ17" i="112"/>
  <c r="AI17" i="112"/>
  <c r="AH17" i="112"/>
  <c r="AH19" i="112"/>
  <c r="AG17" i="112"/>
  <c r="AF17" i="112"/>
  <c r="AE17" i="112"/>
  <c r="AD17" i="112"/>
  <c r="AC17" i="112"/>
  <c r="AB17" i="112"/>
  <c r="AA17" i="112"/>
  <c r="AA19" i="112"/>
  <c r="Y17" i="112"/>
  <c r="X17" i="112"/>
  <c r="W17" i="112"/>
  <c r="V17" i="112"/>
  <c r="U17" i="112"/>
  <c r="T17" i="112"/>
  <c r="S17" i="112"/>
  <c r="R17" i="112"/>
  <c r="Q17" i="112"/>
  <c r="P17" i="112"/>
  <c r="N17" i="112"/>
  <c r="AL18" i="113"/>
  <c r="AL19" i="113" s="1"/>
  <c r="AK18" i="113"/>
  <c r="AK19" i="113" s="1"/>
  <c r="AJ18" i="113"/>
  <c r="AI18" i="113"/>
  <c r="AH18" i="113"/>
  <c r="AG18" i="113"/>
  <c r="AF18" i="113"/>
  <c r="AE18" i="113"/>
  <c r="AD18" i="113"/>
  <c r="AC18" i="113"/>
  <c r="AB18" i="113"/>
  <c r="AA18" i="113"/>
  <c r="AA19" i="113" s="1"/>
  <c r="Y18" i="113"/>
  <c r="Y19" i="113" s="1"/>
  <c r="X18" i="113"/>
  <c r="W18" i="113"/>
  <c r="W19" i="113" s="1"/>
  <c r="V18" i="113"/>
  <c r="U18" i="113"/>
  <c r="T18" i="113"/>
  <c r="S18" i="113"/>
  <c r="R18" i="113"/>
  <c r="Q18" i="113"/>
  <c r="P18" i="113"/>
  <c r="O18" i="113"/>
  <c r="N18" i="113"/>
  <c r="AL17" i="113"/>
  <c r="AK17" i="113"/>
  <c r="AJ17" i="113"/>
  <c r="AI17" i="113"/>
  <c r="AI19" i="113" s="1"/>
  <c r="AH17" i="113"/>
  <c r="AH19" i="113" s="1"/>
  <c r="AG17" i="113"/>
  <c r="AG19" i="113" s="1"/>
  <c r="AF17" i="113"/>
  <c r="AF19" i="113" s="1"/>
  <c r="AE17" i="113"/>
  <c r="AE19" i="113" s="1"/>
  <c r="AD17" i="113"/>
  <c r="AD19" i="113" s="1"/>
  <c r="AC17" i="113"/>
  <c r="AC19" i="113" s="1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N19" i="113" s="1"/>
  <c r="AL18" i="114"/>
  <c r="AK18" i="114"/>
  <c r="AJ18" i="114"/>
  <c r="AJ19" i="114" s="1"/>
  <c r="AI18" i="114"/>
  <c r="AI19" i="114" s="1"/>
  <c r="AH18" i="114"/>
  <c r="AG18" i="114"/>
  <c r="AF18" i="114"/>
  <c r="AE18" i="114"/>
  <c r="AE19" i="114" s="1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L11" i="114" s="1"/>
  <c r="O18" i="114"/>
  <c r="O19" i="114" s="1"/>
  <c r="N18" i="114"/>
  <c r="N19" i="114" s="1"/>
  <c r="AL17" i="114"/>
  <c r="AK17" i="114"/>
  <c r="AJ17" i="114"/>
  <c r="AI17" i="114"/>
  <c r="AH17" i="114"/>
  <c r="AG17" i="114"/>
  <c r="AF17" i="114"/>
  <c r="AE17" i="114"/>
  <c r="AD17" i="114"/>
  <c r="AC17" i="114"/>
  <c r="AC19" i="114" s="1"/>
  <c r="AB17" i="114"/>
  <c r="AB19" i="114" s="1"/>
  <c r="AA17" i="114"/>
  <c r="AA19" i="114" s="1"/>
  <c r="Y17" i="114"/>
  <c r="X17" i="114"/>
  <c r="X19" i="114" s="1"/>
  <c r="W17" i="114"/>
  <c r="W19" i="114" s="1"/>
  <c r="V17" i="114"/>
  <c r="U17" i="114"/>
  <c r="T17" i="114"/>
  <c r="S17" i="114"/>
  <c r="R17" i="114"/>
  <c r="Q17" i="114"/>
  <c r="P17" i="114"/>
  <c r="L10" i="114" s="1"/>
  <c r="O17" i="114"/>
  <c r="N17" i="114"/>
  <c r="AL18" i="115"/>
  <c r="AK18" i="115"/>
  <c r="AK19" i="115" s="1"/>
  <c r="AJ18" i="115"/>
  <c r="AJ19" i="115" s="1"/>
  <c r="AI18" i="115"/>
  <c r="AI19" i="115" s="1"/>
  <c r="AH18" i="115"/>
  <c r="AH19" i="115" s="1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V19" i="115" s="1"/>
  <c r="U18" i="115"/>
  <c r="U19" i="115" s="1"/>
  <c r="T18" i="115"/>
  <c r="T19" i="115" s="1"/>
  <c r="S18" i="115"/>
  <c r="R18" i="115"/>
  <c r="Q18" i="115"/>
  <c r="P18" i="115"/>
  <c r="O18" i="115"/>
  <c r="N18" i="115"/>
  <c r="AL17" i="115"/>
  <c r="AK17" i="115"/>
  <c r="AJ17" i="115"/>
  <c r="AI17" i="115"/>
  <c r="AH17" i="115"/>
  <c r="AG17" i="115"/>
  <c r="AF17" i="115"/>
  <c r="AE17" i="115"/>
  <c r="AE19" i="115" s="1"/>
  <c r="AD17" i="115"/>
  <c r="AD19" i="115" s="1"/>
  <c r="AC17" i="115"/>
  <c r="AC19" i="115" s="1"/>
  <c r="AB17" i="115"/>
  <c r="AB19" i="115" s="1"/>
  <c r="AA17" i="115"/>
  <c r="AA19" i="115" s="1"/>
  <c r="Y17" i="115"/>
  <c r="Y19" i="115" s="1"/>
  <c r="X17" i="115"/>
  <c r="X19" i="115" s="1"/>
  <c r="W17" i="115"/>
  <c r="V17" i="115"/>
  <c r="U17" i="115"/>
  <c r="T17" i="115"/>
  <c r="S17" i="115"/>
  <c r="R17" i="115"/>
  <c r="Q17" i="115"/>
  <c r="P17" i="115"/>
  <c r="O17" i="115"/>
  <c r="N17" i="115"/>
  <c r="N19" i="115" s="1"/>
  <c r="AL18" i="116"/>
  <c r="AK18" i="116"/>
  <c r="AJ18" i="116"/>
  <c r="AI18" i="116"/>
  <c r="AH18" i="116"/>
  <c r="AH19" i="116" s="1"/>
  <c r="AG18" i="116"/>
  <c r="AG19" i="116" s="1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L11" i="117" s="1"/>
  <c r="P18" i="117"/>
  <c r="O18" i="117"/>
  <c r="N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L10" i="117" s="1"/>
  <c r="P17" i="117"/>
  <c r="O17" i="117"/>
  <c r="N17" i="117"/>
  <c r="AL18" i="118"/>
  <c r="AK18" i="118"/>
  <c r="AJ18" i="118"/>
  <c r="AI18" i="118"/>
  <c r="AH18" i="118"/>
  <c r="AH19" i="118" s="1"/>
  <c r="AG18" i="118"/>
  <c r="AF18" i="118"/>
  <c r="AE18" i="118"/>
  <c r="AD18" i="118"/>
  <c r="AC18" i="118"/>
  <c r="AB18" i="118"/>
  <c r="AA18" i="118"/>
  <c r="Y18" i="118"/>
  <c r="X18" i="118"/>
  <c r="W18" i="118"/>
  <c r="V18" i="118"/>
  <c r="V19" i="118" s="1"/>
  <c r="U18" i="118"/>
  <c r="U19" i="118" s="1"/>
  <c r="T18" i="118"/>
  <c r="S18" i="118"/>
  <c r="R18" i="118"/>
  <c r="Q18" i="118"/>
  <c r="L11" i="118" s="1"/>
  <c r="P18" i="118"/>
  <c r="O18" i="118"/>
  <c r="N18" i="118"/>
  <c r="L18" i="118"/>
  <c r="AL17" i="118"/>
  <c r="AK17" i="118"/>
  <c r="AJ17" i="118"/>
  <c r="AI17" i="118"/>
  <c r="AI19" i="118" s="1"/>
  <c r="AH17" i="118"/>
  <c r="AG17" i="118"/>
  <c r="AG19" i="118" s="1"/>
  <c r="AF17" i="118"/>
  <c r="AF19" i="118" s="1"/>
  <c r="AE17" i="118"/>
  <c r="AE19" i="118" s="1"/>
  <c r="AD17" i="118"/>
  <c r="AD19" i="118" s="1"/>
  <c r="AC17" i="118"/>
  <c r="AC19" i="118" s="1"/>
  <c r="AB17" i="118"/>
  <c r="AB19" i="118" s="1"/>
  <c r="AA17" i="118"/>
  <c r="Y17" i="118"/>
  <c r="X17" i="118"/>
  <c r="W17" i="118"/>
  <c r="V17" i="118"/>
  <c r="U17" i="118"/>
  <c r="T17" i="118"/>
  <c r="S17" i="118"/>
  <c r="R17" i="118"/>
  <c r="Q17" i="118"/>
  <c r="P17" i="118"/>
  <c r="P19" i="118" s="1"/>
  <c r="O17" i="118"/>
  <c r="O19" i="118" s="1"/>
  <c r="N17" i="118"/>
  <c r="N19" i="118" s="1"/>
  <c r="L17" i="118"/>
  <c r="L19" i="118" s="1"/>
  <c r="J29" i="64" s="1"/>
  <c r="AL18" i="119"/>
  <c r="AL19" i="119" s="1"/>
  <c r="AK18" i="119"/>
  <c r="AJ18" i="119"/>
  <c r="AI18" i="119"/>
  <c r="AH18" i="119"/>
  <c r="AG18" i="119"/>
  <c r="AG19" i="119" s="1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AL17" i="119"/>
  <c r="AK17" i="119"/>
  <c r="AJ17" i="119"/>
  <c r="AI17" i="119"/>
  <c r="AH17" i="119"/>
  <c r="AG17" i="119"/>
  <c r="AF17" i="119"/>
  <c r="AE17" i="119"/>
  <c r="AE19" i="119" s="1"/>
  <c r="AD17" i="119"/>
  <c r="AD19" i="119" s="1"/>
  <c r="AC17" i="119"/>
  <c r="AC19" i="119" s="1"/>
  <c r="AB17" i="119"/>
  <c r="AB19" i="119" s="1"/>
  <c r="AA17" i="119"/>
  <c r="Y17" i="119"/>
  <c r="Y19" i="119" s="1"/>
  <c r="X17" i="119"/>
  <c r="W17" i="119"/>
  <c r="V17" i="119"/>
  <c r="U17" i="119"/>
  <c r="T17" i="119"/>
  <c r="S17" i="119"/>
  <c r="R17" i="119"/>
  <c r="Q17" i="119"/>
  <c r="P17" i="119"/>
  <c r="O17" i="119"/>
  <c r="N17" i="119"/>
  <c r="N19" i="119" s="1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G17" i="120"/>
  <c r="AG19" i="120" s="1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P17" i="120"/>
  <c r="P19" i="120" s="1"/>
  <c r="O17" i="120"/>
  <c r="N17" i="120"/>
  <c r="AL18" i="121"/>
  <c r="AK18" i="121"/>
  <c r="AJ18" i="121"/>
  <c r="AI18" i="121"/>
  <c r="AH18" i="121"/>
  <c r="AH19" i="121" s="1"/>
  <c r="AG18" i="121"/>
  <c r="AG19" i="121" s="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P18" i="121"/>
  <c r="P19" i="121" s="1"/>
  <c r="O18" i="121"/>
  <c r="N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Y19" i="121" s="1"/>
  <c r="X17" i="121"/>
  <c r="W17" i="121"/>
  <c r="V17" i="121"/>
  <c r="U17" i="121"/>
  <c r="T17" i="121"/>
  <c r="S17" i="121"/>
  <c r="R17" i="121"/>
  <c r="Q17" i="121"/>
  <c r="P17" i="121"/>
  <c r="O17" i="121"/>
  <c r="N17" i="121"/>
  <c r="AL18" i="122"/>
  <c r="AK18" i="122"/>
  <c r="AJ18" i="122"/>
  <c r="AI18" i="122"/>
  <c r="AH18" i="122"/>
  <c r="AH19" i="122" s="1"/>
  <c r="AG18" i="122"/>
  <c r="AG19" i="122" s="1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P19" i="122" s="1"/>
  <c r="O18" i="122"/>
  <c r="N18" i="122"/>
  <c r="AL17" i="122"/>
  <c r="AK17" i="122"/>
  <c r="AJ17" i="122"/>
  <c r="AI17" i="122"/>
  <c r="AH17" i="122"/>
  <c r="AG17" i="122"/>
  <c r="AF17" i="122"/>
  <c r="AE17" i="122"/>
  <c r="AE19" i="122" s="1"/>
  <c r="AD17" i="122"/>
  <c r="AC17" i="122"/>
  <c r="AC19" i="122" s="1"/>
  <c r="AB17" i="122"/>
  <c r="AB19" i="122" s="1"/>
  <c r="AA17" i="122"/>
  <c r="AA19" i="122" s="1"/>
  <c r="Y17" i="122"/>
  <c r="X17" i="122"/>
  <c r="W17" i="122"/>
  <c r="V17" i="122"/>
  <c r="U17" i="122"/>
  <c r="T17" i="122"/>
  <c r="S17" i="122"/>
  <c r="R17" i="122"/>
  <c r="L10" i="122" s="1"/>
  <c r="Q17" i="122"/>
  <c r="P17" i="122"/>
  <c r="O17" i="122"/>
  <c r="N17" i="122"/>
  <c r="AL18" i="123"/>
  <c r="AK18" i="123"/>
  <c r="AJ18" i="123"/>
  <c r="AI18" i="123"/>
  <c r="AH18" i="123"/>
  <c r="AG18" i="123"/>
  <c r="AF18" i="123"/>
  <c r="AE18" i="123"/>
  <c r="AD18" i="123"/>
  <c r="AC18" i="123"/>
  <c r="AC19" i="123" s="1"/>
  <c r="AB18" i="123"/>
  <c r="AA18" i="123"/>
  <c r="Y18" i="123"/>
  <c r="Y19" i="123" s="1"/>
  <c r="X18" i="123"/>
  <c r="W18" i="123"/>
  <c r="V18" i="123"/>
  <c r="U18" i="123"/>
  <c r="T18" i="123"/>
  <c r="S18" i="123"/>
  <c r="R18" i="123"/>
  <c r="L11" i="123" s="1"/>
  <c r="Q18" i="123"/>
  <c r="P18" i="123"/>
  <c r="O18" i="123"/>
  <c r="N18" i="123"/>
  <c r="AL17" i="123"/>
  <c r="AK17" i="123"/>
  <c r="AJ17" i="123"/>
  <c r="AI17" i="123"/>
  <c r="AH17" i="123"/>
  <c r="AG17" i="123"/>
  <c r="AG19" i="123" s="1"/>
  <c r="AF17" i="123"/>
  <c r="AF19" i="123" s="1"/>
  <c r="AE17" i="123"/>
  <c r="AD17" i="123"/>
  <c r="AC17" i="123"/>
  <c r="AB17" i="123"/>
  <c r="AA17" i="123"/>
  <c r="Y17" i="123"/>
  <c r="X17" i="123"/>
  <c r="W17" i="123"/>
  <c r="V17" i="123"/>
  <c r="U17" i="123"/>
  <c r="T17" i="123"/>
  <c r="S17" i="123"/>
  <c r="R17" i="123"/>
  <c r="L10" i="123" s="1"/>
  <c r="Q17" i="123"/>
  <c r="P17" i="123"/>
  <c r="P19" i="123" s="1"/>
  <c r="O17" i="123"/>
  <c r="O19" i="123" s="1"/>
  <c r="N17" i="123"/>
  <c r="L17" i="123"/>
  <c r="AL18" i="124"/>
  <c r="AK18" i="124"/>
  <c r="AK19" i="124" s="1"/>
  <c r="AJ18" i="124"/>
  <c r="AJ19" i="124" s="1"/>
  <c r="AI18" i="124"/>
  <c r="AI19" i="124" s="1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AL17" i="124"/>
  <c r="AK17" i="124"/>
  <c r="AJ17" i="124"/>
  <c r="AI17" i="124"/>
  <c r="AH17" i="124"/>
  <c r="AG17" i="124"/>
  <c r="AF17" i="124"/>
  <c r="AF19" i="124" s="1"/>
  <c r="AE17" i="124"/>
  <c r="AE19" i="124" s="1"/>
  <c r="AD17" i="124"/>
  <c r="AD19" i="124" s="1"/>
  <c r="AC17" i="124"/>
  <c r="AC19" i="124" s="1"/>
  <c r="AB17" i="124"/>
  <c r="AB19" i="124" s="1"/>
  <c r="AA17" i="124"/>
  <c r="AA19" i="124" s="1"/>
  <c r="Y17" i="124"/>
  <c r="Y19" i="124" s="1"/>
  <c r="X17" i="124"/>
  <c r="W17" i="124"/>
  <c r="V17" i="124"/>
  <c r="U17" i="124"/>
  <c r="T17" i="124"/>
  <c r="S17" i="124"/>
  <c r="R17" i="124"/>
  <c r="L10" i="124" s="1"/>
  <c r="Q17" i="124"/>
  <c r="P17" i="124"/>
  <c r="O17" i="124"/>
  <c r="O19" i="124" s="1"/>
  <c r="N17" i="124"/>
  <c r="L17" i="124"/>
  <c r="L19" i="124" s="1"/>
  <c r="J36" i="64" s="1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N18" i="125"/>
  <c r="AL17" i="125"/>
  <c r="AK17" i="125"/>
  <c r="AK19" i="125" s="1"/>
  <c r="AJ17" i="125"/>
  <c r="AJ19" i="125" s="1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AL18" i="126"/>
  <c r="AL19" i="126" s="1"/>
  <c r="AK18" i="126"/>
  <c r="AJ18" i="126"/>
  <c r="AJ19" i="126" s="1"/>
  <c r="AI18" i="126"/>
  <c r="AH18" i="126"/>
  <c r="AG18" i="126"/>
  <c r="AF18" i="126"/>
  <c r="AE18" i="126"/>
  <c r="AD18" i="126"/>
  <c r="AC18" i="126"/>
  <c r="AB18" i="126"/>
  <c r="AA18" i="126"/>
  <c r="Y18" i="126"/>
  <c r="Y19" i="126" s="1"/>
  <c r="X18" i="126"/>
  <c r="X19" i="126" s="1"/>
  <c r="W18" i="126"/>
  <c r="V18" i="126"/>
  <c r="U18" i="126"/>
  <c r="T18" i="126"/>
  <c r="S18" i="126"/>
  <c r="L11" i="126" s="1"/>
  <c r="R18" i="126"/>
  <c r="Q18" i="126"/>
  <c r="P18" i="126"/>
  <c r="O18" i="126"/>
  <c r="N18" i="126"/>
  <c r="L18" i="126"/>
  <c r="AL17" i="126"/>
  <c r="AK17" i="126"/>
  <c r="AK19" i="126" s="1"/>
  <c r="AJ17" i="126"/>
  <c r="AI17" i="126"/>
  <c r="AI19" i="126" s="1"/>
  <c r="AH17" i="126"/>
  <c r="AH19" i="126" s="1"/>
  <c r="AG17" i="126"/>
  <c r="AF17" i="126"/>
  <c r="AF19" i="126" s="1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R17" i="126"/>
  <c r="R19" i="126" s="1"/>
  <c r="Q17" i="126"/>
  <c r="P17" i="126"/>
  <c r="O17" i="126"/>
  <c r="O19" i="126" s="1"/>
  <c r="N17" i="126"/>
  <c r="L17" i="126"/>
  <c r="AL18" i="127"/>
  <c r="AL19" i="127" s="1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U19" i="127" s="1"/>
  <c r="T18" i="127"/>
  <c r="S18" i="127"/>
  <c r="L11" i="127" s="1"/>
  <c r="R18" i="127"/>
  <c r="Q18" i="127"/>
  <c r="P18" i="127"/>
  <c r="O18" i="127"/>
  <c r="N18" i="127"/>
  <c r="L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B19" i="127" s="1"/>
  <c r="AA17" i="127"/>
  <c r="AA19" i="127" s="1"/>
  <c r="Y17" i="127"/>
  <c r="X17" i="127"/>
  <c r="W17" i="127"/>
  <c r="V17" i="127"/>
  <c r="U17" i="127"/>
  <c r="T17" i="127"/>
  <c r="S17" i="127"/>
  <c r="L10" i="127" s="1"/>
  <c r="R17" i="127"/>
  <c r="Q17" i="127"/>
  <c r="P17" i="127"/>
  <c r="O17" i="127"/>
  <c r="N17" i="127"/>
  <c r="L17" i="127"/>
  <c r="L19" i="127" s="1"/>
  <c r="J40" i="64" s="1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S17" i="129"/>
  <c r="L10" i="129" s="1"/>
  <c r="R17" i="129"/>
  <c r="Q17" i="129"/>
  <c r="P17" i="129"/>
  <c r="O17" i="129"/>
  <c r="N17" i="129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L11" i="130" s="1"/>
  <c r="S18" i="130"/>
  <c r="R18" i="130"/>
  <c r="Q18" i="130"/>
  <c r="P18" i="130"/>
  <c r="O18" i="130"/>
  <c r="N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S17" i="130"/>
  <c r="R17" i="130"/>
  <c r="Q17" i="130"/>
  <c r="P17" i="130"/>
  <c r="O17" i="130"/>
  <c r="N17" i="130"/>
  <c r="AL18" i="131"/>
  <c r="AK18" i="131"/>
  <c r="AK19" i="131" s="1"/>
  <c r="AJ18" i="131"/>
  <c r="AJ19" i="131" s="1"/>
  <c r="AI18" i="131"/>
  <c r="AI19" i="131" s="1"/>
  <c r="AH18" i="131"/>
  <c r="AG18" i="131"/>
  <c r="AF18" i="131"/>
  <c r="AE18" i="131"/>
  <c r="AD18" i="131"/>
  <c r="AD19" i="131" s="1"/>
  <c r="AC18" i="131"/>
  <c r="AC19" i="131" s="1"/>
  <c r="AB18" i="131"/>
  <c r="AB19" i="131" s="1"/>
  <c r="AA18" i="131"/>
  <c r="Y18" i="131"/>
  <c r="X18" i="131"/>
  <c r="W18" i="131"/>
  <c r="V18" i="131"/>
  <c r="U18" i="131"/>
  <c r="T18" i="131"/>
  <c r="L11" i="131" s="1"/>
  <c r="S18" i="131"/>
  <c r="S19" i="131" s="1"/>
  <c r="R18" i="131"/>
  <c r="Q18" i="131"/>
  <c r="P18" i="131"/>
  <c r="O18" i="131"/>
  <c r="N18" i="131"/>
  <c r="L18" i="131"/>
  <c r="L19" i="131" s="1"/>
  <c r="J45" i="64" s="1"/>
  <c r="AL17" i="131"/>
  <c r="AK17" i="131"/>
  <c r="AJ17" i="131"/>
  <c r="AI17" i="131"/>
  <c r="AH17" i="131"/>
  <c r="AG17" i="131"/>
  <c r="AF17" i="131"/>
  <c r="AF19" i="131" s="1"/>
  <c r="AE17" i="131"/>
  <c r="AD17" i="131"/>
  <c r="AC17" i="131"/>
  <c r="AB17" i="131"/>
  <c r="AA17" i="131"/>
  <c r="AA19" i="131" s="1"/>
  <c r="Y17" i="131"/>
  <c r="Y19" i="131" s="1"/>
  <c r="X17" i="131"/>
  <c r="X19" i="131" s="1"/>
  <c r="W17" i="131"/>
  <c r="V17" i="131"/>
  <c r="U17" i="131"/>
  <c r="U19" i="131" s="1"/>
  <c r="T17" i="131"/>
  <c r="S17" i="131"/>
  <c r="R17" i="131"/>
  <c r="Q17" i="131"/>
  <c r="P17" i="131"/>
  <c r="O17" i="131"/>
  <c r="N17" i="131"/>
  <c r="N19" i="131" s="1"/>
  <c r="L17" i="131"/>
  <c r="AL18" i="132"/>
  <c r="AK18" i="132"/>
  <c r="AJ18" i="132"/>
  <c r="AJ19" i="132" s="1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K17" i="132"/>
  <c r="AJ17" i="132"/>
  <c r="AI17" i="132"/>
  <c r="AI19" i="132" s="1"/>
  <c r="AH17" i="132"/>
  <c r="AH19" i="132" s="1"/>
  <c r="AG17" i="132"/>
  <c r="AG19" i="132" s="1"/>
  <c r="AF17" i="132"/>
  <c r="AE17" i="132"/>
  <c r="AD17" i="132"/>
  <c r="AD19" i="132" s="1"/>
  <c r="AC17" i="132"/>
  <c r="AB17" i="132"/>
  <c r="AA17" i="132"/>
  <c r="Y17" i="132"/>
  <c r="X17" i="132"/>
  <c r="W17" i="132"/>
  <c r="V17" i="132"/>
  <c r="U17" i="132"/>
  <c r="T17" i="132"/>
  <c r="L10" i="132" s="1"/>
  <c r="S17" i="132"/>
  <c r="R17" i="132"/>
  <c r="Q17" i="132"/>
  <c r="P17" i="132"/>
  <c r="O17" i="132"/>
  <c r="N17" i="132"/>
  <c r="L17" i="132"/>
  <c r="L19" i="132" s="1"/>
  <c r="J46" i="64" s="1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AL17" i="133"/>
  <c r="AK17" i="133"/>
  <c r="AJ17" i="133"/>
  <c r="AI17" i="133"/>
  <c r="AH17" i="133"/>
  <c r="AG17" i="133"/>
  <c r="AG19" i="133" s="1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L10" i="133" s="1"/>
  <c r="S17" i="133"/>
  <c r="R17" i="133"/>
  <c r="Q17" i="133"/>
  <c r="P17" i="133"/>
  <c r="P19" i="133" s="1"/>
  <c r="O17" i="133"/>
  <c r="N17" i="133"/>
  <c r="AL18" i="134"/>
  <c r="AL19" i="134" s="1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I17" i="134"/>
  <c r="AH17" i="134"/>
  <c r="AG17" i="134"/>
  <c r="AG19" i="134" s="1"/>
  <c r="AF17" i="134"/>
  <c r="AF19" i="134" s="1"/>
  <c r="AE17" i="134"/>
  <c r="AE19" i="134" s="1"/>
  <c r="AD17" i="134"/>
  <c r="AC17" i="134"/>
  <c r="AB17" i="134"/>
  <c r="AB19" i="134" s="1"/>
  <c r="AA17" i="134"/>
  <c r="AA19" i="134" s="1"/>
  <c r="Y17" i="134"/>
  <c r="X17" i="134"/>
  <c r="W17" i="134"/>
  <c r="V17" i="134"/>
  <c r="U17" i="134"/>
  <c r="T17" i="134"/>
  <c r="L10" i="134" s="1"/>
  <c r="S17" i="134"/>
  <c r="R17" i="134"/>
  <c r="Q17" i="134"/>
  <c r="P17" i="134"/>
  <c r="O17" i="134"/>
  <c r="N17" i="134"/>
  <c r="N19" i="134" s="1"/>
  <c r="AL18" i="135"/>
  <c r="AL19" i="135" s="1"/>
  <c r="AK18" i="135"/>
  <c r="AJ18" i="135"/>
  <c r="AI18" i="135"/>
  <c r="AH18" i="135"/>
  <c r="AH19" i="135" s="1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L11" i="135" s="1"/>
  <c r="T18" i="135"/>
  <c r="S18" i="135"/>
  <c r="R18" i="135"/>
  <c r="Q18" i="135"/>
  <c r="Q19" i="135" s="1"/>
  <c r="P18" i="135"/>
  <c r="O18" i="135"/>
  <c r="N18" i="135"/>
  <c r="L18" i="135"/>
  <c r="AL17" i="135"/>
  <c r="AK17" i="135"/>
  <c r="AK19" i="135" s="1"/>
  <c r="AJ17" i="135"/>
  <c r="AJ19" i="135" s="1"/>
  <c r="AI17" i="135"/>
  <c r="AH17" i="135"/>
  <c r="AG17" i="135"/>
  <c r="AG19" i="135" s="1"/>
  <c r="AF17" i="135"/>
  <c r="AF19" i="135" s="1"/>
  <c r="AE17" i="135"/>
  <c r="AD17" i="135"/>
  <c r="AD19" i="135" s="1"/>
  <c r="AC17" i="135"/>
  <c r="AC19" i="135" s="1"/>
  <c r="AB17" i="135"/>
  <c r="AA17" i="135"/>
  <c r="Y17" i="135"/>
  <c r="X17" i="135"/>
  <c r="X19" i="135" s="1"/>
  <c r="W17" i="135"/>
  <c r="V17" i="135"/>
  <c r="U17" i="135"/>
  <c r="L10" i="135" s="1"/>
  <c r="T17" i="135"/>
  <c r="T19" i="135" s="1"/>
  <c r="S17" i="135"/>
  <c r="S19" i="135" s="1"/>
  <c r="R17" i="135"/>
  <c r="R19" i="135" s="1"/>
  <c r="Q17" i="135"/>
  <c r="P17" i="135"/>
  <c r="P19" i="135" s="1"/>
  <c r="O17" i="135"/>
  <c r="N17" i="135"/>
  <c r="L17" i="135"/>
  <c r="AL18" i="136"/>
  <c r="AK18" i="136"/>
  <c r="AJ18" i="136"/>
  <c r="AI18" i="136"/>
  <c r="AH18" i="136"/>
  <c r="AG18" i="136"/>
  <c r="AF18" i="136"/>
  <c r="AE18" i="136"/>
  <c r="AE19" i="136" s="1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AL17" i="136"/>
  <c r="AK17" i="136"/>
  <c r="AJ17" i="136"/>
  <c r="AI17" i="136"/>
  <c r="AH17" i="136"/>
  <c r="AG17" i="136"/>
  <c r="AG19" i="136" s="1"/>
  <c r="AF17" i="136"/>
  <c r="AF19" i="136" s="1"/>
  <c r="AE17" i="136"/>
  <c r="AD17" i="136"/>
  <c r="AC17" i="136"/>
  <c r="AC19" i="136" s="1"/>
  <c r="AB17" i="136"/>
  <c r="AB19" i="136" s="1"/>
  <c r="AA17" i="136"/>
  <c r="Y17" i="136"/>
  <c r="X17" i="136"/>
  <c r="W17" i="136"/>
  <c r="V17" i="136"/>
  <c r="U17" i="136"/>
  <c r="T17" i="136"/>
  <c r="S17" i="136"/>
  <c r="R17" i="136"/>
  <c r="Q17" i="136"/>
  <c r="Q19" i="136" s="1"/>
  <c r="P17" i="136"/>
  <c r="P19" i="136" s="1"/>
  <c r="O17" i="136"/>
  <c r="O19" i="136" s="1"/>
  <c r="N17" i="136"/>
  <c r="N19" i="136" s="1"/>
  <c r="L17" i="136"/>
  <c r="AL18" i="137"/>
  <c r="AK18" i="137"/>
  <c r="AJ18" i="137"/>
  <c r="AI18" i="137"/>
  <c r="AH18" i="137"/>
  <c r="AH19" i="137" s="1"/>
  <c r="AG18" i="137"/>
  <c r="AG19" i="137" s="1"/>
  <c r="AF18" i="137"/>
  <c r="AF19" i="137" s="1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AL17" i="137"/>
  <c r="AK17" i="137"/>
  <c r="AJ17" i="137"/>
  <c r="AI17" i="137"/>
  <c r="AI19" i="137" s="1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T17" i="137"/>
  <c r="S17" i="137"/>
  <c r="R17" i="137"/>
  <c r="Q17" i="137"/>
  <c r="P17" i="137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AL17" i="138"/>
  <c r="AK17" i="138"/>
  <c r="AJ17" i="138"/>
  <c r="AI17" i="138"/>
  <c r="AI19" i="138" s="1"/>
  <c r="AH17" i="138"/>
  <c r="AG17" i="138"/>
  <c r="AF17" i="138"/>
  <c r="AE17" i="138"/>
  <c r="AD17" i="138"/>
  <c r="AC17" i="138"/>
  <c r="AB17" i="138"/>
  <c r="AB19" i="138" s="1"/>
  <c r="AA17" i="138"/>
  <c r="Y17" i="138"/>
  <c r="X17" i="138"/>
  <c r="W17" i="138"/>
  <c r="V17" i="138"/>
  <c r="U17" i="138"/>
  <c r="T17" i="138"/>
  <c r="S17" i="138"/>
  <c r="R17" i="138"/>
  <c r="Q17" i="138"/>
  <c r="P17" i="138"/>
  <c r="O17" i="138"/>
  <c r="N17" i="138"/>
  <c r="AL18" i="139"/>
  <c r="AK18" i="139"/>
  <c r="AJ18" i="139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AL17" i="139"/>
  <c r="AK17" i="139"/>
  <c r="AJ17" i="139"/>
  <c r="AJ19" i="139" s="1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L10" i="139" s="1"/>
  <c r="U17" i="139"/>
  <c r="T17" i="139"/>
  <c r="S17" i="139"/>
  <c r="R17" i="139"/>
  <c r="Q17" i="139"/>
  <c r="P17" i="139"/>
  <c r="O17" i="139"/>
  <c r="N17" i="139"/>
  <c r="L17" i="139"/>
  <c r="AL18" i="140"/>
  <c r="AK18" i="140"/>
  <c r="AJ18" i="140"/>
  <c r="AI18" i="140"/>
  <c r="AH18" i="140"/>
  <c r="AG18" i="140"/>
  <c r="AF18" i="140"/>
  <c r="AE18" i="140"/>
  <c r="AD18" i="140"/>
  <c r="AC18" i="140"/>
  <c r="AB18" i="140"/>
  <c r="AA18" i="140"/>
  <c r="Y18" i="140"/>
  <c r="X18" i="140"/>
  <c r="W18" i="140"/>
  <c r="V18" i="140"/>
  <c r="U18" i="140"/>
  <c r="T18" i="140"/>
  <c r="S18" i="140"/>
  <c r="R18" i="140"/>
  <c r="Q18" i="140"/>
  <c r="P18" i="140"/>
  <c r="O18" i="140"/>
  <c r="N18" i="140"/>
  <c r="L18" i="140"/>
  <c r="K18" i="140"/>
  <c r="O11" i="140"/>
  <c r="J18" i="140"/>
  <c r="AL17" i="140"/>
  <c r="AK17" i="140"/>
  <c r="AJ17" i="140"/>
  <c r="AI17" i="140"/>
  <c r="AH17" i="140"/>
  <c r="AG17" i="140"/>
  <c r="AF17" i="140"/>
  <c r="AE17" i="140"/>
  <c r="AD17" i="140"/>
  <c r="AC17" i="140"/>
  <c r="AB17" i="140"/>
  <c r="AA17" i="140"/>
  <c r="Y17" i="140"/>
  <c r="X17" i="140"/>
  <c r="W17" i="140"/>
  <c r="V17" i="140"/>
  <c r="U17" i="140"/>
  <c r="T17" i="140"/>
  <c r="S17" i="140"/>
  <c r="R17" i="140"/>
  <c r="Q17" i="140"/>
  <c r="P17" i="140"/>
  <c r="O17" i="140"/>
  <c r="N17" i="140"/>
  <c r="L17" i="140"/>
  <c r="K17" i="140"/>
  <c r="O10" i="140"/>
  <c r="J17" i="140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U18" i="141"/>
  <c r="T18" i="141"/>
  <c r="S18" i="141"/>
  <c r="R18" i="141"/>
  <c r="Q18" i="141"/>
  <c r="P18" i="141"/>
  <c r="O18" i="141"/>
  <c r="N18" i="141"/>
  <c r="L18" i="141"/>
  <c r="K18" i="141"/>
  <c r="O11" i="141"/>
  <c r="J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U17" i="141"/>
  <c r="T17" i="141"/>
  <c r="S17" i="141"/>
  <c r="R17" i="141"/>
  <c r="Q17" i="141"/>
  <c r="P17" i="141"/>
  <c r="O17" i="141"/>
  <c r="N17" i="141"/>
  <c r="L17" i="141"/>
  <c r="K17" i="141"/>
  <c r="J17" i="141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Y18" i="142"/>
  <c r="X18" i="142"/>
  <c r="W18" i="142"/>
  <c r="V18" i="142"/>
  <c r="U18" i="142"/>
  <c r="T18" i="142"/>
  <c r="S18" i="142"/>
  <c r="R18" i="142"/>
  <c r="Q18" i="142"/>
  <c r="P18" i="142"/>
  <c r="O18" i="142"/>
  <c r="N18" i="142"/>
  <c r="L18" i="142"/>
  <c r="K18" i="142"/>
  <c r="O11" i="142"/>
  <c r="J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L17" i="142"/>
  <c r="K17" i="142"/>
  <c r="O10" i="142"/>
  <c r="J17" i="142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K18" i="143"/>
  <c r="O11" i="143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L17" i="143"/>
  <c r="K17" i="143"/>
  <c r="O10" i="143"/>
  <c r="J17" i="143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O11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O10" i="144"/>
  <c r="J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AJ19" i="109"/>
  <c r="AD19" i="108"/>
  <c r="AE19" i="108"/>
  <c r="J24" i="110"/>
  <c r="J24" i="155"/>
  <c r="J24" i="140"/>
  <c r="Q19" i="155"/>
  <c r="AH19" i="155"/>
  <c r="J19" i="154"/>
  <c r="AB19" i="154"/>
  <c r="J24" i="153"/>
  <c r="U19" i="106"/>
  <c r="AL19" i="106"/>
  <c r="J24" i="143"/>
  <c r="J24" i="109"/>
  <c r="J17" i="109"/>
  <c r="O12" i="151"/>
  <c r="O12" i="143"/>
  <c r="O12" i="148"/>
  <c r="O12" i="140"/>
  <c r="O12" i="153"/>
  <c r="O12" i="145"/>
  <c r="O12" i="150"/>
  <c r="O12" i="142"/>
  <c r="O12" i="155"/>
  <c r="O12" i="147"/>
  <c r="O12" i="152"/>
  <c r="O12" i="144"/>
  <c r="N19" i="152"/>
  <c r="O12" i="149"/>
  <c r="T19" i="145"/>
  <c r="N19" i="144"/>
  <c r="R19" i="142"/>
  <c r="AI19" i="142"/>
  <c r="AC19" i="141"/>
  <c r="O12" i="111"/>
  <c r="O12" i="108"/>
  <c r="J24" i="105"/>
  <c r="J24" i="148"/>
  <c r="AL19" i="115"/>
  <c r="P19" i="111"/>
  <c r="AK19" i="109"/>
  <c r="AD19" i="136"/>
  <c r="K19" i="141"/>
  <c r="D57" i="64"/>
  <c r="O10" i="141"/>
  <c r="O12" i="154"/>
  <c r="O12" i="146"/>
  <c r="T19" i="106"/>
  <c r="AK19" i="106"/>
  <c r="J24" i="149"/>
  <c r="J24" i="145"/>
  <c r="J24" i="142"/>
  <c r="J24" i="118"/>
  <c r="J24" i="108"/>
  <c r="O12" i="106"/>
  <c r="J24" i="56"/>
  <c r="J17" i="56"/>
  <c r="K18" i="56"/>
  <c r="B12" i="156"/>
  <c r="B10" i="156"/>
  <c r="B11" i="156"/>
  <c r="J24" i="150"/>
  <c r="J24" i="146"/>
  <c r="AH19" i="131"/>
  <c r="P19" i="152"/>
  <c r="AI19" i="123"/>
  <c r="W19" i="145"/>
  <c r="AI19" i="144"/>
  <c r="AI19" i="136"/>
  <c r="AB19" i="148"/>
  <c r="W19" i="110"/>
  <c r="R19" i="136"/>
  <c r="U19" i="155"/>
  <c r="O19" i="146"/>
  <c r="J24" i="151"/>
  <c r="U19" i="153"/>
  <c r="P19" i="144"/>
  <c r="AJ19" i="155"/>
  <c r="AF19" i="149"/>
  <c r="AA19" i="105"/>
  <c r="AC19" i="143"/>
  <c r="P19" i="141"/>
  <c r="O19" i="154"/>
  <c r="AI19" i="147"/>
  <c r="V19" i="145"/>
  <c r="Q19" i="144"/>
  <c r="AF19" i="141"/>
  <c r="N19" i="146"/>
  <c r="V19" i="142"/>
  <c r="AG19" i="141"/>
  <c r="AC19" i="146"/>
  <c r="S19" i="155"/>
  <c r="Q19" i="152"/>
  <c r="J19" i="143"/>
  <c r="AL19" i="142"/>
  <c r="N19" i="154"/>
  <c r="T19" i="147"/>
  <c r="AA19" i="140"/>
  <c r="AA19" i="111"/>
  <c r="J19" i="111"/>
  <c r="AB19" i="111"/>
  <c r="U19" i="110"/>
  <c r="V19" i="110"/>
  <c r="AH19" i="106"/>
  <c r="J24" i="127"/>
  <c r="J24" i="106"/>
  <c r="J24" i="107"/>
  <c r="J18" i="107"/>
  <c r="J24" i="154"/>
  <c r="Q19" i="111"/>
  <c r="AJ19" i="149"/>
  <c r="AD19" i="140"/>
  <c r="Y19" i="150"/>
  <c r="W19" i="147"/>
  <c r="L19" i="148"/>
  <c r="AF19" i="151"/>
  <c r="AD19" i="148"/>
  <c r="AL19" i="152"/>
  <c r="S19" i="149"/>
  <c r="Q19" i="146"/>
  <c r="AC19" i="153"/>
  <c r="AG19" i="143"/>
  <c r="N19" i="124"/>
  <c r="W19" i="152"/>
  <c r="AI19" i="151"/>
  <c r="AC19" i="150"/>
  <c r="V19" i="149"/>
  <c r="P19" i="148"/>
  <c r="P19" i="140"/>
  <c r="AI19" i="135"/>
  <c r="P19" i="132"/>
  <c r="AG19" i="151"/>
  <c r="T19" i="149"/>
  <c r="AA19" i="142"/>
  <c r="AE19" i="140"/>
  <c r="AH19" i="143"/>
  <c r="U19" i="141"/>
  <c r="J19" i="155"/>
  <c r="AL19" i="154"/>
  <c r="AF19" i="153"/>
  <c r="AF19" i="145"/>
  <c r="Y19" i="144"/>
  <c r="S19" i="143"/>
  <c r="L19" i="142"/>
  <c r="J58" i="64"/>
  <c r="AD19" i="142"/>
  <c r="W19" i="141"/>
  <c r="Q19" i="140"/>
  <c r="V19" i="152"/>
  <c r="P19" i="143"/>
  <c r="T19" i="141"/>
  <c r="AK19" i="111"/>
  <c r="AC19" i="147"/>
  <c r="P19" i="145"/>
  <c r="AG19" i="145"/>
  <c r="AA19" i="144"/>
  <c r="T19" i="143"/>
  <c r="N19" i="142"/>
  <c r="AE19" i="142"/>
  <c r="N19" i="126"/>
  <c r="AE19" i="126"/>
  <c r="U19" i="108"/>
  <c r="P19" i="151"/>
  <c r="V19" i="144"/>
  <c r="AK19" i="141"/>
  <c r="AA19" i="126"/>
  <c r="AD19" i="110"/>
  <c r="W19" i="154"/>
  <c r="Q19" i="153"/>
  <c r="AH19" i="153"/>
  <c r="X19" i="111"/>
  <c r="R19" i="110"/>
  <c r="AI19" i="110"/>
  <c r="L19" i="106"/>
  <c r="J14" i="64"/>
  <c r="AI19" i="154"/>
  <c r="N19" i="140"/>
  <c r="AD19" i="153"/>
  <c r="Y19" i="111"/>
  <c r="T19" i="107"/>
  <c r="N19" i="106"/>
  <c r="AA19" i="150"/>
  <c r="N19" i="148"/>
  <c r="AA19" i="118"/>
  <c r="AJ19" i="111"/>
  <c r="J24" i="141"/>
  <c r="J24" i="126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Q19" i="143"/>
  <c r="AJ19" i="136"/>
  <c r="X19" i="105"/>
  <c r="AE19" i="153"/>
  <c r="R19" i="151"/>
  <c r="K19" i="150"/>
  <c r="D68" i="64"/>
  <c r="AK19" i="150"/>
  <c r="AE19" i="149"/>
  <c r="R19" i="147"/>
  <c r="K19" i="146"/>
  <c r="D63" i="64"/>
  <c r="AK19" i="146"/>
  <c r="AK19" i="142"/>
  <c r="AE19" i="141"/>
  <c r="X19" i="140"/>
  <c r="R19" i="131"/>
  <c r="X19" i="118"/>
  <c r="AK19" i="118"/>
  <c r="AH19" i="111"/>
  <c r="AB19" i="110"/>
  <c r="U19" i="109"/>
  <c r="AB19" i="108"/>
  <c r="AK19" i="107"/>
  <c r="R19" i="106"/>
  <c r="AE19" i="106"/>
  <c r="W19" i="142"/>
  <c r="Q19" i="131"/>
  <c r="L19" i="140"/>
  <c r="Y19" i="140"/>
  <c r="AL19" i="140"/>
  <c r="AL19" i="136"/>
  <c r="AF19" i="119"/>
  <c r="Y19" i="118"/>
  <c r="AL19" i="118"/>
  <c r="AI19" i="111"/>
  <c r="AI19" i="109"/>
  <c r="AC19" i="108"/>
  <c r="AE19" i="152"/>
  <c r="AK19" i="147"/>
  <c r="AE19" i="146"/>
  <c r="X19" i="145"/>
  <c r="AK19" i="145"/>
  <c r="R19" i="144"/>
  <c r="AE19" i="144"/>
  <c r="K19" i="143"/>
  <c r="D60" i="64"/>
  <c r="X19" i="143"/>
  <c r="AK19" i="143"/>
  <c r="R19" i="105"/>
  <c r="R19" i="154"/>
  <c r="AE19" i="148"/>
  <c r="Y19" i="155"/>
  <c r="L19" i="153"/>
  <c r="J72" i="64"/>
  <c r="AL19" i="153"/>
  <c r="AF19" i="146"/>
  <c r="AL19" i="141"/>
  <c r="Y19" i="135"/>
  <c r="K19" i="153"/>
  <c r="D72" i="64"/>
  <c r="AL19" i="155"/>
  <c r="AF19" i="154"/>
  <c r="Y19" i="153"/>
  <c r="Y19" i="147"/>
  <c r="S19" i="136"/>
  <c r="AG19" i="105"/>
  <c r="AA19" i="155"/>
  <c r="N19" i="153"/>
  <c r="AG19" i="152"/>
  <c r="AA19" i="151"/>
  <c r="T19" i="150"/>
  <c r="N19" i="149"/>
  <c r="AG19" i="148"/>
  <c r="AA19" i="147"/>
  <c r="T19" i="146"/>
  <c r="AG19" i="144"/>
  <c r="AA19" i="143"/>
  <c r="T19" i="142"/>
  <c r="AG19" i="140"/>
  <c r="AH19" i="105"/>
  <c r="AB19" i="155"/>
  <c r="U19" i="154"/>
  <c r="O19" i="153"/>
  <c r="U19" i="152"/>
  <c r="AH19" i="152"/>
  <c r="O19" i="151"/>
  <c r="O19" i="149"/>
  <c r="AH19" i="146"/>
  <c r="AH19" i="144"/>
  <c r="AB19" i="143"/>
  <c r="U19" i="142"/>
  <c r="O19" i="141"/>
  <c r="U19" i="140"/>
  <c r="AH19" i="140"/>
  <c r="O19" i="135"/>
  <c r="AB19" i="135"/>
  <c r="R19" i="111"/>
  <c r="X19" i="110"/>
  <c r="R19" i="109"/>
  <c r="X19" i="108"/>
  <c r="S19" i="111"/>
  <c r="L19" i="110"/>
  <c r="AL19" i="110"/>
  <c r="S19" i="109"/>
  <c r="L19" i="108"/>
  <c r="J16" i="64"/>
  <c r="Y19" i="108"/>
  <c r="W19" i="11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O19" i="131"/>
  <c r="K19" i="109"/>
  <c r="D18" i="64"/>
  <c r="N19" i="141"/>
  <c r="T19" i="153"/>
  <c r="K19" i="147"/>
  <c r="D64" i="64"/>
  <c r="K19" i="108"/>
  <c r="D16" i="64"/>
  <c r="K19" i="155"/>
  <c r="D74" i="64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J19" i="144"/>
  <c r="AB19" i="144"/>
  <c r="O19" i="142"/>
  <c r="AF19" i="142"/>
  <c r="R19" i="140"/>
  <c r="AI19" i="140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E19" i="131"/>
  <c r="P19" i="126"/>
  <c r="AG19" i="126"/>
  <c r="AE19" i="123"/>
  <c r="AC19" i="107"/>
  <c r="R19" i="155"/>
  <c r="AI19" i="155"/>
  <c r="V19" i="153"/>
  <c r="Y19" i="151"/>
  <c r="S19" i="150"/>
  <c r="AJ19" i="150"/>
  <c r="Q19" i="147"/>
  <c r="AH19" i="147"/>
  <c r="U19" i="145"/>
  <c r="AL19" i="145"/>
  <c r="Y19" i="143"/>
  <c r="V19" i="140"/>
  <c r="P19" i="131"/>
  <c r="AG19" i="131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O19" i="140"/>
  <c r="AF19" i="140"/>
  <c r="AD19" i="105"/>
  <c r="T19" i="152"/>
  <c r="AK19" i="152"/>
  <c r="R19" i="149"/>
  <c r="AI19" i="149"/>
  <c r="K19" i="148"/>
  <c r="D66" i="64"/>
  <c r="AC19" i="148"/>
  <c r="V19" i="147"/>
  <c r="P19" i="146"/>
  <c r="AG19" i="146"/>
  <c r="AA19" i="145"/>
  <c r="T19" i="144"/>
  <c r="AK19" i="144"/>
  <c r="N19" i="143"/>
  <c r="AE19" i="143"/>
  <c r="X19" i="142"/>
  <c r="R19" i="141"/>
  <c r="AI19" i="141"/>
  <c r="J19" i="140"/>
  <c r="AB19" i="140"/>
  <c r="V19" i="109"/>
  <c r="X19" i="154"/>
  <c r="R19" i="153"/>
  <c r="AI19" i="153"/>
  <c r="S19" i="151"/>
  <c r="AJ19" i="151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X19" i="144"/>
  <c r="R19" i="143"/>
  <c r="AI19" i="143"/>
  <c r="K19" i="142"/>
  <c r="D58" i="64"/>
  <c r="AC19" i="142"/>
  <c r="V19" i="141"/>
  <c r="O19" i="112"/>
  <c r="W19" i="111"/>
  <c r="AB19" i="107"/>
  <c r="V19" i="105"/>
  <c r="W19" i="105"/>
  <c r="P19" i="155"/>
  <c r="AG19" i="155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R19" i="145"/>
  <c r="AI19" i="145"/>
  <c r="K19" i="144"/>
  <c r="D61" i="64"/>
  <c r="AC19" i="144"/>
  <c r="V19" i="143"/>
  <c r="P19" i="142"/>
  <c r="AG19" i="142"/>
  <c r="AA19" i="141"/>
  <c r="S19" i="140"/>
  <c r="AJ19" i="140"/>
  <c r="AC19" i="126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AJ19" i="145"/>
  <c r="L19" i="144"/>
  <c r="J61" i="64"/>
  <c r="AD19" i="144"/>
  <c r="W19" i="143"/>
  <c r="J19" i="141"/>
  <c r="AB19" i="141"/>
  <c r="T19" i="140"/>
  <c r="AK19" i="140"/>
  <c r="AB19" i="113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U19" i="144"/>
  <c r="AL19" i="144"/>
  <c r="O19" i="143"/>
  <c r="AF19" i="143"/>
  <c r="Y19" i="142"/>
  <c r="S19" i="141"/>
  <c r="AJ19" i="141"/>
  <c r="K19" i="140"/>
  <c r="AC19" i="140"/>
  <c r="T19" i="136"/>
  <c r="AK19" i="136"/>
  <c r="N19" i="135"/>
  <c r="AE19" i="135"/>
  <c r="T19" i="111"/>
  <c r="K19" i="110"/>
  <c r="D19" i="64"/>
  <c r="AC19" i="110"/>
  <c r="O19" i="108"/>
  <c r="X19" i="107"/>
  <c r="AD19" i="107"/>
  <c r="O19" i="148"/>
  <c r="AF19" i="148"/>
  <c r="U19" i="147"/>
  <c r="AL19" i="147"/>
  <c r="W19" i="140"/>
  <c r="S19" i="105"/>
  <c r="T19" i="155"/>
  <c r="AK19" i="155"/>
  <c r="Q19" i="141"/>
  <c r="AH19" i="141"/>
  <c r="J19" i="142"/>
  <c r="AB19" i="142"/>
  <c r="L19" i="141"/>
  <c r="AD19" i="141"/>
  <c r="AL19" i="131"/>
  <c r="O19" i="144"/>
  <c r="AF19" i="144"/>
  <c r="U19" i="143"/>
  <c r="AL19" i="143"/>
  <c r="O19" i="110"/>
  <c r="AF19" i="110"/>
  <c r="O19" i="109"/>
  <c r="AF19" i="109"/>
  <c r="P19" i="108"/>
  <c r="AG19" i="108"/>
  <c r="S19" i="107"/>
  <c r="AJ19" i="107"/>
  <c r="V19" i="106"/>
  <c r="AB19" i="106"/>
  <c r="Y19" i="145"/>
  <c r="AH19" i="136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L19" i="135"/>
  <c r="J50" i="64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AJ19" i="143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Y19" i="141"/>
  <c r="Y19" i="107"/>
  <c r="K19" i="106"/>
  <c r="D14" i="64"/>
  <c r="AC19" i="106"/>
  <c r="S19" i="142"/>
  <c r="AJ19" i="142"/>
  <c r="W19" i="144"/>
  <c r="L19" i="143"/>
  <c r="J60" i="64"/>
  <c r="AD19" i="143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K19" i="145"/>
  <c r="D62" i="64"/>
  <c r="AC19" i="145"/>
  <c r="Q19" i="145"/>
  <c r="AH19" i="145"/>
  <c r="S19" i="144"/>
  <c r="AJ19" i="144"/>
  <c r="Q19" i="126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L19" i="145"/>
  <c r="J62" i="64"/>
  <c r="AD19" i="145"/>
  <c r="Q19" i="142"/>
  <c r="AH19" i="142"/>
  <c r="X19" i="141"/>
  <c r="L19" i="126"/>
  <c r="J39" i="64"/>
  <c r="AD19" i="126"/>
  <c r="V19" i="111"/>
  <c r="Y19" i="110"/>
  <c r="Y19" i="109"/>
  <c r="AA19" i="108"/>
  <c r="AF19" i="108"/>
  <c r="P19" i="106"/>
  <c r="AG19" i="106"/>
  <c r="AD19" i="149"/>
  <c r="AL19" i="149"/>
  <c r="AB19" i="126"/>
  <c r="AJ19" i="118"/>
  <c r="J18" i="56"/>
  <c r="G6" i="117"/>
  <c r="L9" i="117"/>
  <c r="G6" i="121"/>
  <c r="J9" i="121" s="1"/>
  <c r="G6" i="125"/>
  <c r="J9" i="125"/>
  <c r="G6" i="129"/>
  <c r="J9" i="129" s="1"/>
  <c r="G6" i="133"/>
  <c r="J9" i="133" s="1"/>
  <c r="G6" i="137"/>
  <c r="J8" i="137" s="1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8" i="112"/>
  <c r="J12" i="113"/>
  <c r="B23" i="64" s="1"/>
  <c r="H12" i="113"/>
  <c r="G6" i="113"/>
  <c r="J8" i="113" s="1"/>
  <c r="J9" i="113"/>
  <c r="J12" i="114"/>
  <c r="B24" i="64" s="1"/>
  <c r="H12" i="114"/>
  <c r="G6" i="114"/>
  <c r="L9" i="114" s="1"/>
  <c r="J9" i="114"/>
  <c r="J12" i="115"/>
  <c r="B25" i="64"/>
  <c r="H12" i="115"/>
  <c r="G6" i="115"/>
  <c r="J8" i="115" s="1"/>
  <c r="J9" i="115"/>
  <c r="J12" i="116"/>
  <c r="B26" i="64" s="1"/>
  <c r="H12" i="116"/>
  <c r="G6" i="116"/>
  <c r="J9" i="116" s="1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8" i="119" s="1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9" i="122" s="1"/>
  <c r="J12" i="123"/>
  <c r="B35" i="64" s="1"/>
  <c r="H12" i="123"/>
  <c r="G6" i="123"/>
  <c r="J8" i="123" s="1"/>
  <c r="J9" i="123"/>
  <c r="J12" i="124"/>
  <c r="B36" i="64" s="1"/>
  <c r="H12" i="124"/>
  <c r="G6" i="124"/>
  <c r="J9" i="124" s="1"/>
  <c r="J8" i="124"/>
  <c r="J12" i="125"/>
  <c r="B37" i="64"/>
  <c r="H12" i="125"/>
  <c r="J12" i="126"/>
  <c r="B39" i="64" s="1"/>
  <c r="H12" i="126"/>
  <c r="G6" i="126"/>
  <c r="J12" i="127"/>
  <c r="B40" i="64"/>
  <c r="H12" i="127"/>
  <c r="G6" i="127"/>
  <c r="J9" i="127" s="1"/>
  <c r="J12" i="128"/>
  <c r="B41" i="64"/>
  <c r="H12" i="128"/>
  <c r="G6" i="128"/>
  <c r="J8" i="128" s="1"/>
  <c r="J12" i="129"/>
  <c r="B42" i="64" s="1"/>
  <c r="H12" i="129"/>
  <c r="J12" i="130"/>
  <c r="B44" i="64" s="1"/>
  <c r="H12" i="130"/>
  <c r="G6" i="130"/>
  <c r="L9" i="130" s="1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 s="1"/>
  <c r="H12" i="134"/>
  <c r="G6" i="134"/>
  <c r="J8" i="134" s="1"/>
  <c r="J9" i="134"/>
  <c r="B50" i="64"/>
  <c r="H12" i="135"/>
  <c r="G6" i="135"/>
  <c r="J9" i="135"/>
  <c r="J12" i="136"/>
  <c r="B51" i="64" s="1"/>
  <c r="H12" i="136"/>
  <c r="G6" i="136"/>
  <c r="J9" i="136"/>
  <c r="J12" i="137"/>
  <c r="B52" i="64"/>
  <c r="H12" i="137"/>
  <c r="J12" i="138"/>
  <c r="B53" i="64" s="1"/>
  <c r="H12" i="138"/>
  <c r="G6" i="138"/>
  <c r="J9" i="138" s="1"/>
  <c r="J12" i="139"/>
  <c r="B55" i="64" s="1"/>
  <c r="H12" i="139"/>
  <c r="G6" i="139"/>
  <c r="L9" i="139" s="1"/>
  <c r="J9" i="139"/>
  <c r="J12" i="140"/>
  <c r="B56" i="64"/>
  <c r="H12" i="140"/>
  <c r="G6" i="140"/>
  <c r="J8" i="140"/>
  <c r="J12" i="141"/>
  <c r="B57" i="64"/>
  <c r="H12" i="141"/>
  <c r="J12" i="142"/>
  <c r="B58" i="64"/>
  <c r="H12" i="142"/>
  <c r="G6" i="142"/>
  <c r="J8" i="142"/>
  <c r="J12" i="143"/>
  <c r="B60" i="64"/>
  <c r="H12" i="143"/>
  <c r="G6" i="143"/>
  <c r="J12" i="144"/>
  <c r="B61" i="64"/>
  <c r="H12" i="144"/>
  <c r="G6" i="144"/>
  <c r="J9" i="144"/>
  <c r="J12" i="145"/>
  <c r="B62" i="64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K17" i="105"/>
  <c r="O10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44"/>
  <c r="L12" i="111"/>
  <c r="L12" i="141"/>
  <c r="L12" i="154"/>
  <c r="L12" i="155"/>
  <c r="L12" i="151"/>
  <c r="L12" i="107"/>
  <c r="L12" i="143"/>
  <c r="L12" i="140"/>
  <c r="L12" i="142"/>
  <c r="L12" i="145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2" i="105"/>
  <c r="O12" i="109"/>
  <c r="J18" i="110"/>
  <c r="J17" i="110"/>
  <c r="O12" i="141"/>
  <c r="F14" i="64"/>
  <c r="K19" i="107"/>
  <c r="D15" i="64"/>
  <c r="F15" i="64"/>
  <c r="O10" i="107"/>
  <c r="F8" i="113"/>
  <c r="F16" i="113" s="1"/>
  <c r="F8" i="114"/>
  <c r="F16" i="114"/>
  <c r="F8" i="115"/>
  <c r="F16" i="115"/>
  <c r="F8" i="116"/>
  <c r="F16" i="116" s="1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/>
  <c r="F8" i="133"/>
  <c r="F16" i="133"/>
  <c r="F8" i="147"/>
  <c r="F16" i="147"/>
  <c r="F8" i="106"/>
  <c r="F16" i="106"/>
  <c r="F8" i="120"/>
  <c r="F16" i="120"/>
  <c r="F8" i="134"/>
  <c r="F16" i="134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 s="1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F57" i="64"/>
  <c r="J8" i="150"/>
  <c r="J8" i="154"/>
  <c r="AG19" i="56"/>
  <c r="AF19" i="56"/>
  <c r="P19" i="56"/>
  <c r="J9" i="142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42"/>
  <c r="L9" i="143"/>
  <c r="J8" i="125"/>
  <c r="L9" i="127"/>
  <c r="L9" i="118"/>
  <c r="J8" i="153"/>
  <c r="L9" i="145"/>
  <c r="L9" i="111"/>
  <c r="L9" i="105"/>
  <c r="L9" i="119"/>
  <c r="J8" i="127"/>
  <c r="J8" i="111"/>
  <c r="L9" i="107"/>
  <c r="W19" i="56"/>
  <c r="L9" i="148"/>
  <c r="K19" i="105"/>
  <c r="F62" i="64"/>
  <c r="AI19" i="56"/>
  <c r="R19" i="56"/>
  <c r="F61" i="64"/>
  <c r="F60" i="64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6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F58" i="64"/>
  <c r="AJ19" i="56"/>
  <c r="AB19" i="56"/>
  <c r="S19" i="56"/>
  <c r="AD19" i="56"/>
  <c r="Y19" i="56"/>
  <c r="Q19" i="56"/>
  <c r="J73" i="64"/>
  <c r="J71" i="64"/>
  <c r="J56" i="64"/>
  <c r="J57" i="64"/>
  <c r="J19" i="64"/>
  <c r="J64" i="64"/>
  <c r="D56" i="64"/>
  <c r="F56" i="64"/>
  <c r="X19" i="56"/>
  <c r="AL19" i="56"/>
  <c r="K19" i="56"/>
  <c r="J8" i="118"/>
  <c r="J8" i="152"/>
  <c r="J8" i="139"/>
  <c r="J8" i="122"/>
  <c r="J8" i="135"/>
  <c r="J9" i="148"/>
  <c r="J8" i="136"/>
  <c r="L9" i="152"/>
  <c r="L9" i="153"/>
  <c r="J8" i="145"/>
  <c r="F69" i="64"/>
  <c r="F64" i="64"/>
  <c r="F20" i="64"/>
  <c r="F18" i="64"/>
  <c r="F66" i="64"/>
  <c r="H66" i="64"/>
  <c r="F67" i="64"/>
  <c r="F68" i="64"/>
  <c r="L9" i="144"/>
  <c r="L9" i="110"/>
  <c r="J8" i="144"/>
  <c r="L9" i="112"/>
  <c r="J8" i="141"/>
  <c r="L9" i="132"/>
  <c r="J8" i="108"/>
  <c r="L9" i="140"/>
  <c r="J9" i="108"/>
  <c r="L9" i="113"/>
  <c r="L9" i="124"/>
  <c r="L9" i="149"/>
  <c r="L9" i="115"/>
  <c r="J9" i="140"/>
  <c r="J8" i="149"/>
  <c r="L9" i="141"/>
  <c r="J8" i="146"/>
  <c r="J8" i="56"/>
  <c r="L9" i="56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57" i="64"/>
  <c r="H58" i="64"/>
  <c r="H73" i="64"/>
  <c r="A237" i="157"/>
  <c r="A10" i="157"/>
  <c r="I4" i="157"/>
  <c r="H63" i="64"/>
  <c r="H72" i="64"/>
  <c r="H64" i="64"/>
  <c r="H62" i="64"/>
  <c r="H61" i="64"/>
  <c r="H60" i="64"/>
  <c r="H71" i="64"/>
  <c r="J21" i="152"/>
  <c r="J21" i="144"/>
  <c r="J21" i="107"/>
  <c r="J21" i="149"/>
  <c r="J21" i="109"/>
  <c r="J21" i="142"/>
  <c r="J21" i="140"/>
  <c r="J21" i="148"/>
  <c r="J21" i="111"/>
  <c r="J21" i="151"/>
  <c r="J21" i="146"/>
  <c r="J21" i="143"/>
  <c r="J21" i="150"/>
  <c r="J21" i="145"/>
  <c r="J21" i="155"/>
  <c r="J21" i="147"/>
  <c r="J21" i="154"/>
  <c r="J21" i="141"/>
  <c r="J21" i="153"/>
  <c r="H74" i="64"/>
  <c r="H20" i="64"/>
  <c r="H68" i="64"/>
  <c r="H67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L19" i="112"/>
  <c r="J21" i="64"/>
  <c r="J55" i="112"/>
  <c r="AK19" i="112"/>
  <c r="AL19" i="112"/>
  <c r="AD19" i="112"/>
  <c r="V19" i="112"/>
  <c r="AE19" i="112"/>
  <c r="W19" i="112"/>
  <c r="N19" i="112"/>
  <c r="X19" i="112"/>
  <c r="AG19" i="112"/>
  <c r="Y19" i="112"/>
  <c r="J28" i="112"/>
  <c r="J56" i="112"/>
  <c r="J9" i="112"/>
  <c r="J35" i="112"/>
  <c r="AB19" i="112"/>
  <c r="AJ19" i="112"/>
  <c r="J42" i="112"/>
  <c r="S19" i="112"/>
  <c r="R19" i="112"/>
  <c r="AI19" i="112"/>
  <c r="AC19" i="112"/>
  <c r="T19" i="112"/>
  <c r="U19" i="112"/>
  <c r="AF19" i="112"/>
  <c r="Q19" i="112"/>
  <c r="K17" i="112"/>
  <c r="O10" i="112"/>
  <c r="P19" i="112"/>
  <c r="J17" i="112"/>
  <c r="K18" i="112"/>
  <c r="J18" i="112"/>
  <c r="L12" i="112"/>
  <c r="K19" i="112"/>
  <c r="D21" i="64"/>
  <c r="F21" i="64"/>
  <c r="J19" i="112"/>
  <c r="J21" i="112"/>
  <c r="O11" i="112"/>
  <c r="H21" i="64"/>
  <c r="O12" i="112"/>
  <c r="J34" i="139" l="1"/>
  <c r="AE19" i="139"/>
  <c r="AD19" i="139"/>
  <c r="AI19" i="139"/>
  <c r="AK19" i="139"/>
  <c r="AA19" i="139"/>
  <c r="U19" i="139"/>
  <c r="AL19" i="139"/>
  <c r="L19" i="139"/>
  <c r="J55" i="64" s="1"/>
  <c r="AH19" i="139"/>
  <c r="Q19" i="139"/>
  <c r="AB19" i="139"/>
  <c r="AC19" i="139"/>
  <c r="S19" i="139"/>
  <c r="Y19" i="139"/>
  <c r="N19" i="139"/>
  <c r="O19" i="139"/>
  <c r="AF19" i="139"/>
  <c r="R19" i="139"/>
  <c r="T19" i="139"/>
  <c r="P19" i="139"/>
  <c r="X19" i="139"/>
  <c r="K18" i="139"/>
  <c r="O11" i="139" s="1"/>
  <c r="V19" i="139"/>
  <c r="L11" i="139"/>
  <c r="L12" i="139" s="1"/>
  <c r="J17" i="139"/>
  <c r="K17" i="139"/>
  <c r="J24" i="139"/>
  <c r="J18" i="139" s="1"/>
  <c r="W19" i="139"/>
  <c r="J36" i="138"/>
  <c r="J44" i="138"/>
  <c r="J51" i="138"/>
  <c r="J67" i="138"/>
  <c r="J74" i="138"/>
  <c r="J96" i="138"/>
  <c r="J104" i="138"/>
  <c r="J177" i="138"/>
  <c r="J197" i="138"/>
  <c r="J217" i="138"/>
  <c r="J27" i="138"/>
  <c r="J37" i="138"/>
  <c r="J45" i="138"/>
  <c r="J60" i="138"/>
  <c r="J68" i="138"/>
  <c r="J75" i="138"/>
  <c r="J89" i="138"/>
  <c r="J97" i="138"/>
  <c r="J105" i="138"/>
  <c r="J112" i="138"/>
  <c r="J120" i="138"/>
  <c r="J184" i="138"/>
  <c r="J191" i="138"/>
  <c r="J204" i="138"/>
  <c r="J232" i="138"/>
  <c r="J106" i="138"/>
  <c r="J113" i="138"/>
  <c r="J144" i="138"/>
  <c r="J165" i="138"/>
  <c r="J240" i="138"/>
  <c r="J31" i="138"/>
  <c r="J39" i="138"/>
  <c r="J47" i="138"/>
  <c r="J54" i="138"/>
  <c r="J62" i="138"/>
  <c r="J84" i="138"/>
  <c r="J91" i="138"/>
  <c r="J99" i="138"/>
  <c r="J114" i="138"/>
  <c r="J213" i="138"/>
  <c r="J100" i="138"/>
  <c r="J152" i="138"/>
  <c r="J187" i="138"/>
  <c r="J116" i="138"/>
  <c r="J160" i="138"/>
  <c r="J208" i="138"/>
  <c r="J243" i="138"/>
  <c r="J209" i="138"/>
  <c r="J250" i="138"/>
  <c r="J154" i="138"/>
  <c r="J58" i="138"/>
  <c r="J66" i="138"/>
  <c r="J95" i="138"/>
  <c r="J103" i="138"/>
  <c r="J118" i="138"/>
  <c r="J133" i="138"/>
  <c r="J162" i="138"/>
  <c r="J169" i="138"/>
  <c r="J203" i="138"/>
  <c r="L17" i="138"/>
  <c r="L19" i="138" s="1"/>
  <c r="J53" i="64" s="1"/>
  <c r="J111" i="138"/>
  <c r="J159" i="138"/>
  <c r="J166" i="138"/>
  <c r="J198" i="138"/>
  <c r="J135" i="138"/>
  <c r="J155" i="138"/>
  <c r="J181" i="138"/>
  <c r="J246" i="138"/>
  <c r="J230" i="138"/>
  <c r="J80" i="138"/>
  <c r="J94" i="138"/>
  <c r="J129" i="138"/>
  <c r="J149" i="138"/>
  <c r="J175" i="138"/>
  <c r="J207" i="138"/>
  <c r="J87" i="138"/>
  <c r="J115" i="138"/>
  <c r="J182" i="138"/>
  <c r="J28" i="138"/>
  <c r="J38" i="138"/>
  <c r="J46" i="138"/>
  <c r="J52" i="138"/>
  <c r="J130" i="138"/>
  <c r="J143" i="138"/>
  <c r="J163" i="138"/>
  <c r="J195" i="138"/>
  <c r="J227" i="138"/>
  <c r="J239" i="138"/>
  <c r="J26" i="138"/>
  <c r="J18" i="138" s="1"/>
  <c r="J70" i="138"/>
  <c r="J102" i="138"/>
  <c r="J43" i="138"/>
  <c r="J77" i="138"/>
  <c r="J122" i="138"/>
  <c r="J86" i="138"/>
  <c r="J73" i="138"/>
  <c r="AC19" i="138"/>
  <c r="T19" i="138"/>
  <c r="Q19" i="138"/>
  <c r="AH19" i="138"/>
  <c r="J81" i="138"/>
  <c r="J119" i="138"/>
  <c r="J138" i="138"/>
  <c r="AL19" i="138"/>
  <c r="R19" i="138"/>
  <c r="S19" i="138"/>
  <c r="AJ19" i="138"/>
  <c r="AD19" i="138"/>
  <c r="N19" i="138"/>
  <c r="AF19" i="138"/>
  <c r="P19" i="138"/>
  <c r="AG19" i="138"/>
  <c r="AE19" i="138"/>
  <c r="O19" i="138"/>
  <c r="AK19" i="138"/>
  <c r="J8" i="138"/>
  <c r="L9" i="138"/>
  <c r="J33" i="138"/>
  <c r="AA19" i="138"/>
  <c r="X19" i="138"/>
  <c r="K17" i="138"/>
  <c r="O10" i="138" s="1"/>
  <c r="K18" i="138"/>
  <c r="O11" i="138" s="1"/>
  <c r="U19" i="138"/>
  <c r="L12" i="138"/>
  <c r="V19" i="138"/>
  <c r="W19" i="138"/>
  <c r="Y19" i="138"/>
  <c r="J32" i="137"/>
  <c r="J68" i="137"/>
  <c r="AA19" i="137"/>
  <c r="AB19" i="137"/>
  <c r="AC19" i="137"/>
  <c r="AD19" i="137"/>
  <c r="AL19" i="137"/>
  <c r="J178" i="137"/>
  <c r="N19" i="137"/>
  <c r="AE19" i="137"/>
  <c r="J24" i="137"/>
  <c r="L17" i="137"/>
  <c r="L19" i="137" s="1"/>
  <c r="J52" i="64" s="1"/>
  <c r="J48" i="137"/>
  <c r="J80" i="137"/>
  <c r="J86" i="137"/>
  <c r="J129" i="137"/>
  <c r="J166" i="137"/>
  <c r="P19" i="137"/>
  <c r="J136" i="137"/>
  <c r="J186" i="137"/>
  <c r="J150" i="137"/>
  <c r="J238" i="137"/>
  <c r="J70" i="137"/>
  <c r="J232" i="137"/>
  <c r="J145" i="137"/>
  <c r="L18" i="137"/>
  <c r="L9" i="137"/>
  <c r="J56" i="137"/>
  <c r="J112" i="137"/>
  <c r="J167" i="137"/>
  <c r="J174" i="137"/>
  <c r="J211" i="137"/>
  <c r="J248" i="137"/>
  <c r="X19" i="137"/>
  <c r="Q19" i="137"/>
  <c r="AJ19" i="137"/>
  <c r="AK19" i="137"/>
  <c r="O19" i="137"/>
  <c r="R19" i="137"/>
  <c r="J27" i="137"/>
  <c r="S19" i="137"/>
  <c r="T19" i="137"/>
  <c r="V19" i="137"/>
  <c r="K17" i="137"/>
  <c r="K18" i="137"/>
  <c r="O11" i="137" s="1"/>
  <c r="L12" i="137"/>
  <c r="J18" i="137"/>
  <c r="J17" i="137"/>
  <c r="W19" i="137"/>
  <c r="Y19" i="137"/>
  <c r="U19" i="137"/>
  <c r="L19" i="136"/>
  <c r="J51" i="64" s="1"/>
  <c r="J34" i="136"/>
  <c r="AA19" i="136"/>
  <c r="L12" i="136"/>
  <c r="V19" i="136"/>
  <c r="Y19" i="136"/>
  <c r="K18" i="136"/>
  <c r="O11" i="136" s="1"/>
  <c r="W19" i="136"/>
  <c r="X19" i="136"/>
  <c r="K17" i="136"/>
  <c r="U19" i="136"/>
  <c r="J18" i="136"/>
  <c r="J17" i="136"/>
  <c r="W19" i="135"/>
  <c r="K18" i="135"/>
  <c r="O11" i="135" s="1"/>
  <c r="L12" i="135"/>
  <c r="J17" i="135"/>
  <c r="K17" i="135"/>
  <c r="O10" i="135" s="1"/>
  <c r="J24" i="135"/>
  <c r="J18" i="135" s="1"/>
  <c r="V19" i="135"/>
  <c r="U19" i="135"/>
  <c r="L19" i="134"/>
  <c r="J48" i="64" s="1"/>
  <c r="O19" i="134"/>
  <c r="P19" i="134"/>
  <c r="J29" i="134"/>
  <c r="J37" i="134"/>
  <c r="J17" i="134" s="1"/>
  <c r="Q19" i="134"/>
  <c r="S19" i="134"/>
  <c r="AJ19" i="134"/>
  <c r="AK19" i="134"/>
  <c r="AC19" i="134"/>
  <c r="AD19" i="134"/>
  <c r="AH19" i="134"/>
  <c r="AI19" i="134"/>
  <c r="R19" i="134"/>
  <c r="L12" i="134"/>
  <c r="K17" i="134"/>
  <c r="O10" i="134" s="1"/>
  <c r="V19" i="134"/>
  <c r="J18" i="134"/>
  <c r="U19" i="134"/>
  <c r="K18" i="134"/>
  <c r="O11" i="134" s="1"/>
  <c r="Y19" i="134"/>
  <c r="W19" i="134"/>
  <c r="X19" i="134"/>
  <c r="T19" i="134"/>
  <c r="Q19" i="133"/>
  <c r="AH19" i="133"/>
  <c r="J48" i="133"/>
  <c r="S19" i="133"/>
  <c r="AB19" i="133"/>
  <c r="AJ19" i="133"/>
  <c r="R19" i="133"/>
  <c r="AI19" i="133"/>
  <c r="AA19" i="133"/>
  <c r="J76" i="133"/>
  <c r="L9" i="133"/>
  <c r="J108" i="133"/>
  <c r="J231" i="133"/>
  <c r="J8" i="133"/>
  <c r="J101" i="133"/>
  <c r="J138" i="133"/>
  <c r="J131" i="133"/>
  <c r="J195" i="133"/>
  <c r="J102" i="133"/>
  <c r="J110" i="133"/>
  <c r="AD19" i="133"/>
  <c r="J33" i="133"/>
  <c r="J89" i="133"/>
  <c r="J96" i="133"/>
  <c r="J103" i="133"/>
  <c r="J111" i="133"/>
  <c r="J118" i="133"/>
  <c r="J155" i="133"/>
  <c r="J162" i="133"/>
  <c r="J169" i="133"/>
  <c r="J204" i="133"/>
  <c r="J235" i="133"/>
  <c r="J63" i="133"/>
  <c r="J92" i="133"/>
  <c r="AE19" i="133"/>
  <c r="AF19" i="133"/>
  <c r="J34" i="133"/>
  <c r="J68" i="133"/>
  <c r="J97" i="133"/>
  <c r="J126" i="133"/>
  <c r="J133" i="133"/>
  <c r="J148" i="133"/>
  <c r="J176" i="133"/>
  <c r="J183" i="133"/>
  <c r="J197" i="133"/>
  <c r="J219" i="133"/>
  <c r="V19" i="133"/>
  <c r="J71" i="133"/>
  <c r="J91" i="133"/>
  <c r="J104" i="133"/>
  <c r="J123" i="133"/>
  <c r="J144" i="133"/>
  <c r="J177" i="133"/>
  <c r="J190" i="133"/>
  <c r="J237" i="133"/>
  <c r="J47" i="133"/>
  <c r="J52" i="133"/>
  <c r="J59" i="133"/>
  <c r="J72" i="133"/>
  <c r="J85" i="133"/>
  <c r="J145" i="133"/>
  <c r="J151" i="133"/>
  <c r="J158" i="133"/>
  <c r="J171" i="133"/>
  <c r="J178" i="133"/>
  <c r="J238" i="133"/>
  <c r="AK19" i="133"/>
  <c r="J226" i="133"/>
  <c r="N19" i="133"/>
  <c r="J199" i="133"/>
  <c r="J55" i="133"/>
  <c r="J62" i="133"/>
  <c r="J95" i="133"/>
  <c r="J134" i="133"/>
  <c r="J161" i="133"/>
  <c r="J167" i="133"/>
  <c r="J187" i="133"/>
  <c r="J194" i="133"/>
  <c r="J50" i="133"/>
  <c r="J75" i="133"/>
  <c r="J128" i="133"/>
  <c r="J168" i="133"/>
  <c r="J174" i="133"/>
  <c r="J201" i="133"/>
  <c r="J221" i="133"/>
  <c r="J247" i="133"/>
  <c r="L17" i="133"/>
  <c r="L18" i="133"/>
  <c r="AC19" i="133"/>
  <c r="J60" i="133"/>
  <c r="J38" i="133"/>
  <c r="J69" i="133"/>
  <c r="J129" i="133"/>
  <c r="J175" i="133"/>
  <c r="J215" i="133"/>
  <c r="J222" i="133"/>
  <c r="X19" i="133"/>
  <c r="O19" i="133"/>
  <c r="Y19" i="133"/>
  <c r="J29" i="133"/>
  <c r="AL19" i="133"/>
  <c r="K17" i="133"/>
  <c r="O10" i="133" s="1"/>
  <c r="U19" i="133"/>
  <c r="K18" i="133"/>
  <c r="W19" i="133"/>
  <c r="L12" i="133"/>
  <c r="J26" i="133"/>
  <c r="T19" i="133"/>
  <c r="R19" i="132"/>
  <c r="AC19" i="132"/>
  <c r="Y19" i="132"/>
  <c r="AA19" i="132"/>
  <c r="Q19" i="132"/>
  <c r="X19" i="132"/>
  <c r="AE19" i="132"/>
  <c r="O19" i="132"/>
  <c r="AF19" i="132"/>
  <c r="AK19" i="132"/>
  <c r="N19" i="132"/>
  <c r="AL19" i="132"/>
  <c r="AB19" i="132"/>
  <c r="S19" i="132"/>
  <c r="W19" i="132"/>
  <c r="V19" i="132"/>
  <c r="U19" i="132"/>
  <c r="K17" i="132"/>
  <c r="O10" i="132" s="1"/>
  <c r="K18" i="132"/>
  <c r="O11" i="132" s="1"/>
  <c r="L12" i="132"/>
  <c r="J17" i="132"/>
  <c r="J24" i="132"/>
  <c r="J18" i="132" s="1"/>
  <c r="T19" i="132"/>
  <c r="W19" i="131"/>
  <c r="V19" i="131"/>
  <c r="K17" i="131"/>
  <c r="K18" i="131"/>
  <c r="O11" i="131" s="1"/>
  <c r="L12" i="131"/>
  <c r="J18" i="131"/>
  <c r="J17" i="131"/>
  <c r="T19" i="131"/>
  <c r="J40" i="130"/>
  <c r="J48" i="130"/>
  <c r="J84" i="130"/>
  <c r="J106" i="130"/>
  <c r="J157" i="130"/>
  <c r="J164" i="130"/>
  <c r="J179" i="130"/>
  <c r="J220" i="130"/>
  <c r="J143" i="130"/>
  <c r="J242" i="130"/>
  <c r="J156" i="130"/>
  <c r="J240" i="130"/>
  <c r="J100" i="130"/>
  <c r="J115" i="130"/>
  <c r="J173" i="130"/>
  <c r="J250" i="130"/>
  <c r="J80" i="130"/>
  <c r="J102" i="130"/>
  <c r="J117" i="130"/>
  <c r="J167" i="130"/>
  <c r="J196" i="130"/>
  <c r="J209" i="130"/>
  <c r="J230" i="130"/>
  <c r="J252" i="130"/>
  <c r="J95" i="130"/>
  <c r="J146" i="130"/>
  <c r="J81" i="130"/>
  <c r="J215" i="130"/>
  <c r="J116" i="130"/>
  <c r="J208" i="130"/>
  <c r="J133" i="130"/>
  <c r="J169" i="130"/>
  <c r="J211" i="130"/>
  <c r="J246" i="130"/>
  <c r="J38" i="130"/>
  <c r="J46" i="130"/>
  <c r="J68" i="130"/>
  <c r="J97" i="130"/>
  <c r="J141" i="130"/>
  <c r="J148" i="130"/>
  <c r="J155" i="130"/>
  <c r="J162" i="130"/>
  <c r="J177" i="130"/>
  <c r="J218" i="130"/>
  <c r="J239" i="130"/>
  <c r="J78" i="130"/>
  <c r="J105" i="130"/>
  <c r="J119" i="130"/>
  <c r="J171" i="130"/>
  <c r="J45" i="130"/>
  <c r="J53" i="130"/>
  <c r="J198" i="130"/>
  <c r="J237" i="130"/>
  <c r="J30" i="130"/>
  <c r="J39" i="130"/>
  <c r="J134" i="130"/>
  <c r="J225" i="130"/>
  <c r="J42" i="130"/>
  <c r="J150" i="130"/>
  <c r="J241" i="130"/>
  <c r="J248" i="130"/>
  <c r="J27" i="130"/>
  <c r="J112" i="130"/>
  <c r="J127" i="130"/>
  <c r="J159" i="130"/>
  <c r="J166" i="130"/>
  <c r="J74" i="130"/>
  <c r="J101" i="130"/>
  <c r="J108" i="130"/>
  <c r="J135" i="130"/>
  <c r="J187" i="130"/>
  <c r="J193" i="130"/>
  <c r="J232" i="130"/>
  <c r="L17" i="130"/>
  <c r="L19" i="130" s="1"/>
  <c r="J44" i="64" s="1"/>
  <c r="J194" i="130"/>
  <c r="J207" i="130"/>
  <c r="J214" i="130"/>
  <c r="J89" i="130"/>
  <c r="J123" i="130"/>
  <c r="J24" i="130"/>
  <c r="J18" i="130" s="1"/>
  <c r="L18" i="130"/>
  <c r="J34" i="130"/>
  <c r="J83" i="130"/>
  <c r="J130" i="130"/>
  <c r="J175" i="130"/>
  <c r="J182" i="130"/>
  <c r="J202" i="130"/>
  <c r="J234" i="130"/>
  <c r="J44" i="130"/>
  <c r="J29" i="130"/>
  <c r="J52" i="130"/>
  <c r="P19" i="130"/>
  <c r="J31" i="130"/>
  <c r="J54" i="130"/>
  <c r="AC19" i="130"/>
  <c r="N19" i="130"/>
  <c r="AE19" i="130"/>
  <c r="AK19" i="130"/>
  <c r="O19" i="130"/>
  <c r="AF19" i="130"/>
  <c r="AI19" i="130"/>
  <c r="AB19" i="130"/>
  <c r="AG19" i="130"/>
  <c r="R19" i="130"/>
  <c r="J8" i="130"/>
  <c r="K18" i="130"/>
  <c r="O11" i="130" s="1"/>
  <c r="V19" i="130"/>
  <c r="AH19" i="130"/>
  <c r="X19" i="130"/>
  <c r="AA19" i="130"/>
  <c r="Q19" i="130"/>
  <c r="AD19" i="130"/>
  <c r="S19" i="130"/>
  <c r="AJ19" i="130"/>
  <c r="W19" i="130"/>
  <c r="Y19" i="130"/>
  <c r="AL19" i="130"/>
  <c r="U19" i="130"/>
  <c r="T19" i="130"/>
  <c r="L12" i="130"/>
  <c r="K17" i="130"/>
  <c r="O10" i="130" s="1"/>
  <c r="J200" i="129"/>
  <c r="J108" i="129"/>
  <c r="J124" i="129"/>
  <c r="J132" i="129"/>
  <c r="J163" i="129"/>
  <c r="J187" i="129"/>
  <c r="J27" i="129"/>
  <c r="J74" i="129"/>
  <c r="J97" i="129"/>
  <c r="J126" i="129"/>
  <c r="J103" i="129"/>
  <c r="J150" i="129"/>
  <c r="J173" i="129"/>
  <c r="J188" i="129"/>
  <c r="J39" i="129"/>
  <c r="J46" i="129"/>
  <c r="J131" i="129"/>
  <c r="J156" i="129"/>
  <c r="J70" i="129"/>
  <c r="J92" i="129"/>
  <c r="J130" i="129"/>
  <c r="J153" i="129"/>
  <c r="J55" i="129"/>
  <c r="J116" i="129"/>
  <c r="J26" i="129"/>
  <c r="J34" i="129"/>
  <c r="J56" i="129"/>
  <c r="J139" i="129"/>
  <c r="J147" i="129"/>
  <c r="J162" i="129"/>
  <c r="J170" i="129"/>
  <c r="J106" i="129"/>
  <c r="J181" i="129"/>
  <c r="J233" i="129"/>
  <c r="J157" i="129"/>
  <c r="J25" i="129"/>
  <c r="J33" i="129"/>
  <c r="J40" i="129"/>
  <c r="J47" i="129"/>
  <c r="J54" i="129"/>
  <c r="J99" i="129"/>
  <c r="J144" i="129"/>
  <c r="J189" i="129"/>
  <c r="J197" i="129"/>
  <c r="J204" i="129"/>
  <c r="J241" i="129"/>
  <c r="J167" i="129"/>
  <c r="J175" i="129"/>
  <c r="J37" i="129"/>
  <c r="J44" i="129"/>
  <c r="J58" i="129"/>
  <c r="J87" i="129"/>
  <c r="J95" i="129"/>
  <c r="J140" i="129"/>
  <c r="J148" i="129"/>
  <c r="J185" i="129"/>
  <c r="J193" i="129"/>
  <c r="J207" i="129"/>
  <c r="J230" i="129"/>
  <c r="J45" i="129"/>
  <c r="J51" i="129"/>
  <c r="J59" i="129"/>
  <c r="J88" i="129"/>
  <c r="J111" i="129"/>
  <c r="J141" i="129"/>
  <c r="J179" i="129"/>
  <c r="J186" i="129"/>
  <c r="J201" i="129"/>
  <c r="J208" i="129"/>
  <c r="J223" i="129"/>
  <c r="J61" i="129"/>
  <c r="J90" i="129"/>
  <c r="J98" i="129"/>
  <c r="J105" i="129"/>
  <c r="J112" i="129"/>
  <c r="J142" i="129"/>
  <c r="J237" i="129"/>
  <c r="J195" i="129"/>
  <c r="J62" i="129"/>
  <c r="J91" i="129"/>
  <c r="J113" i="129"/>
  <c r="J135" i="129"/>
  <c r="J143" i="129"/>
  <c r="P19" i="129"/>
  <c r="J29" i="129"/>
  <c r="J35" i="129"/>
  <c r="J42" i="129"/>
  <c r="J49" i="129"/>
  <c r="J63" i="129"/>
  <c r="J77" i="129"/>
  <c r="J84" i="129"/>
  <c r="J128" i="129"/>
  <c r="J194" i="129"/>
  <c r="J215" i="129"/>
  <c r="J244" i="129"/>
  <c r="J159" i="129"/>
  <c r="J123" i="129"/>
  <c r="J196" i="129"/>
  <c r="J117" i="129"/>
  <c r="J168" i="129"/>
  <c r="J81" i="129"/>
  <c r="J183" i="129"/>
  <c r="J234" i="129"/>
  <c r="J177" i="129"/>
  <c r="AD19" i="129"/>
  <c r="J149" i="129"/>
  <c r="J213" i="129"/>
  <c r="J171" i="129"/>
  <c r="J36" i="129"/>
  <c r="J71" i="129"/>
  <c r="J78" i="129"/>
  <c r="J107" i="129"/>
  <c r="J129" i="129"/>
  <c r="J136" i="129"/>
  <c r="J202" i="129"/>
  <c r="J216" i="129"/>
  <c r="J57" i="129"/>
  <c r="J93" i="129"/>
  <c r="J115" i="129"/>
  <c r="J122" i="129"/>
  <c r="J137" i="129"/>
  <c r="J166" i="129"/>
  <c r="J174" i="129"/>
  <c r="J209" i="129"/>
  <c r="J224" i="129"/>
  <c r="J238" i="129"/>
  <c r="J121" i="129"/>
  <c r="J89" i="129"/>
  <c r="J96" i="129"/>
  <c r="J154" i="129"/>
  <c r="AE19" i="129"/>
  <c r="J76" i="129"/>
  <c r="L17" i="129"/>
  <c r="J228" i="129"/>
  <c r="J32" i="129"/>
  <c r="J38" i="129"/>
  <c r="J64" i="129"/>
  <c r="J110" i="129"/>
  <c r="J210" i="129"/>
  <c r="J222" i="129"/>
  <c r="J229" i="129"/>
  <c r="L18" i="129"/>
  <c r="J100" i="129"/>
  <c r="J165" i="129"/>
  <c r="J41" i="129"/>
  <c r="J152" i="129"/>
  <c r="J48" i="129"/>
  <c r="J114" i="129"/>
  <c r="J120" i="129"/>
  <c r="J178" i="129"/>
  <c r="J190" i="129"/>
  <c r="J226" i="129"/>
  <c r="AB19" i="129"/>
  <c r="AC19" i="129"/>
  <c r="AL19" i="129"/>
  <c r="AG19" i="129"/>
  <c r="J43" i="129"/>
  <c r="Q19" i="129"/>
  <c r="AH19" i="129"/>
  <c r="J30" i="129"/>
  <c r="L9" i="129"/>
  <c r="R19" i="129"/>
  <c r="AI19" i="129"/>
  <c r="Y19" i="129"/>
  <c r="AF19" i="129"/>
  <c r="AJ19" i="129"/>
  <c r="AA19" i="129"/>
  <c r="J31" i="129"/>
  <c r="J24" i="129"/>
  <c r="AK19" i="129"/>
  <c r="J8" i="129"/>
  <c r="J65" i="129"/>
  <c r="N19" i="129"/>
  <c r="O19" i="129"/>
  <c r="W19" i="129"/>
  <c r="L12" i="129"/>
  <c r="K17" i="129"/>
  <c r="O10" i="129" s="1"/>
  <c r="U19" i="129"/>
  <c r="V19" i="129"/>
  <c r="T19" i="129"/>
  <c r="X19" i="129"/>
  <c r="K18" i="129"/>
  <c r="O11" i="129" s="1"/>
  <c r="S19" i="129"/>
  <c r="J218" i="128"/>
  <c r="J167" i="128"/>
  <c r="J212" i="128"/>
  <c r="J176" i="128"/>
  <c r="J103" i="128"/>
  <c r="J206" i="128"/>
  <c r="J83" i="128"/>
  <c r="J105" i="128"/>
  <c r="J127" i="128"/>
  <c r="J134" i="128"/>
  <c r="J141" i="128"/>
  <c r="J157" i="128"/>
  <c r="J171" i="128"/>
  <c r="J193" i="128"/>
  <c r="J200" i="128"/>
  <c r="J237" i="128"/>
  <c r="J135" i="128"/>
  <c r="J56" i="128"/>
  <c r="J186" i="128"/>
  <c r="J77" i="128"/>
  <c r="J92" i="128"/>
  <c r="J136" i="128"/>
  <c r="J159" i="128"/>
  <c r="J195" i="128"/>
  <c r="J210" i="128"/>
  <c r="J231" i="128"/>
  <c r="J35" i="128"/>
  <c r="J66" i="128"/>
  <c r="J68" i="128"/>
  <c r="J75" i="128"/>
  <c r="J55" i="128"/>
  <c r="J62" i="128"/>
  <c r="J39" i="128"/>
  <c r="J47" i="128"/>
  <c r="J85" i="128"/>
  <c r="AA19" i="128"/>
  <c r="J45" i="128"/>
  <c r="J38" i="128"/>
  <c r="J61" i="128"/>
  <c r="J67" i="128"/>
  <c r="J74" i="128"/>
  <c r="J88" i="128"/>
  <c r="J129" i="128"/>
  <c r="J148" i="128"/>
  <c r="J155" i="128"/>
  <c r="J168" i="128"/>
  <c r="J187" i="128"/>
  <c r="J207" i="128"/>
  <c r="J240" i="128"/>
  <c r="J123" i="128"/>
  <c r="J69" i="128"/>
  <c r="J76" i="128"/>
  <c r="J96" i="128"/>
  <c r="J131" i="128"/>
  <c r="J209" i="128"/>
  <c r="J228" i="128"/>
  <c r="J33" i="128"/>
  <c r="J49" i="128"/>
  <c r="J90" i="128"/>
  <c r="J97" i="128"/>
  <c r="J110" i="128"/>
  <c r="J124" i="128"/>
  <c r="J170" i="128"/>
  <c r="J202" i="128"/>
  <c r="J235" i="128"/>
  <c r="J242" i="128"/>
  <c r="J43" i="128"/>
  <c r="J99" i="128"/>
  <c r="J112" i="128"/>
  <c r="J185" i="128"/>
  <c r="J205" i="128"/>
  <c r="J113" i="128"/>
  <c r="J161" i="128"/>
  <c r="J173" i="128"/>
  <c r="J37" i="128"/>
  <c r="J53" i="128"/>
  <c r="J73" i="128"/>
  <c r="J114" i="128"/>
  <c r="J147" i="128"/>
  <c r="J154" i="128"/>
  <c r="J232" i="128"/>
  <c r="J239" i="128"/>
  <c r="J64" i="128"/>
  <c r="J224" i="128"/>
  <c r="J80" i="128"/>
  <c r="J160" i="128"/>
  <c r="J236" i="128"/>
  <c r="J65" i="128"/>
  <c r="J144" i="128"/>
  <c r="J219" i="128"/>
  <c r="J225" i="128"/>
  <c r="J145" i="128"/>
  <c r="J128" i="128"/>
  <c r="L18" i="128"/>
  <c r="J192" i="128"/>
  <c r="J208" i="128"/>
  <c r="L17" i="128"/>
  <c r="J36" i="128"/>
  <c r="J58" i="128"/>
  <c r="J246" i="128"/>
  <c r="AD19" i="128"/>
  <c r="Q19" i="128"/>
  <c r="AH19" i="128"/>
  <c r="Y19" i="128"/>
  <c r="AB19" i="128"/>
  <c r="J32" i="128"/>
  <c r="J46" i="128"/>
  <c r="J54" i="128"/>
  <c r="AC19" i="128"/>
  <c r="W19" i="128"/>
  <c r="AL19" i="128"/>
  <c r="J41" i="128"/>
  <c r="AJ19" i="128"/>
  <c r="AE19" i="128"/>
  <c r="O19" i="128"/>
  <c r="AF19" i="128"/>
  <c r="V19" i="128"/>
  <c r="P19" i="128"/>
  <c r="AK19" i="128"/>
  <c r="N19" i="128"/>
  <c r="K18" i="128"/>
  <c r="O11" i="128" s="1"/>
  <c r="AG19" i="128"/>
  <c r="X19" i="128"/>
  <c r="R19" i="128"/>
  <c r="AI19" i="128"/>
  <c r="L9" i="128"/>
  <c r="J9" i="128"/>
  <c r="K17" i="128"/>
  <c r="T19" i="128"/>
  <c r="U19" i="128"/>
  <c r="L12" i="128"/>
  <c r="J24" i="128"/>
  <c r="S19" i="128"/>
  <c r="AD19" i="127"/>
  <c r="T19" i="127"/>
  <c r="AK19" i="127"/>
  <c r="Y19" i="127"/>
  <c r="AI19" i="127"/>
  <c r="AC19" i="127"/>
  <c r="V19" i="127"/>
  <c r="N19" i="127"/>
  <c r="AE19" i="127"/>
  <c r="P19" i="127"/>
  <c r="AG19" i="127"/>
  <c r="W19" i="127"/>
  <c r="Q19" i="127"/>
  <c r="AH19" i="127"/>
  <c r="X19" i="127"/>
  <c r="AJ19" i="127"/>
  <c r="AF19" i="127"/>
  <c r="O19" i="127"/>
  <c r="R19" i="127"/>
  <c r="K17" i="127"/>
  <c r="O10" i="127" s="1"/>
  <c r="J18" i="127"/>
  <c r="J17" i="127"/>
  <c r="K18" i="127"/>
  <c r="O11" i="127" s="1"/>
  <c r="L12" i="127"/>
  <c r="S19" i="127"/>
  <c r="W19" i="126"/>
  <c r="V19" i="126"/>
  <c r="K18" i="126"/>
  <c r="O11" i="126" s="1"/>
  <c r="T19" i="126"/>
  <c r="J17" i="126"/>
  <c r="J18" i="126"/>
  <c r="K17" i="126"/>
  <c r="U19" i="126"/>
  <c r="L12" i="126"/>
  <c r="S19" i="126"/>
  <c r="P19" i="125"/>
  <c r="AG19" i="125"/>
  <c r="J106" i="125"/>
  <c r="J137" i="125"/>
  <c r="Q19" i="125"/>
  <c r="AH19" i="125"/>
  <c r="J94" i="125"/>
  <c r="J119" i="125"/>
  <c r="J125" i="125"/>
  <c r="J224" i="125"/>
  <c r="L17" i="125"/>
  <c r="AB19" i="125"/>
  <c r="L18" i="125"/>
  <c r="AC19" i="125"/>
  <c r="AD19" i="125"/>
  <c r="AL19" i="125"/>
  <c r="J57" i="125"/>
  <c r="AA19" i="125"/>
  <c r="AI19" i="125"/>
  <c r="N19" i="125"/>
  <c r="AE19" i="125"/>
  <c r="J55" i="125"/>
  <c r="J79" i="125"/>
  <c r="J143" i="125"/>
  <c r="U19" i="125"/>
  <c r="S19" i="125"/>
  <c r="W19" i="125"/>
  <c r="J31" i="125"/>
  <c r="J51" i="125"/>
  <c r="J17" i="125" s="1"/>
  <c r="X19" i="125"/>
  <c r="O19" i="125"/>
  <c r="AF19" i="125"/>
  <c r="Y19" i="125"/>
  <c r="J32" i="125"/>
  <c r="V19" i="125"/>
  <c r="L12" i="125"/>
  <c r="T19" i="125"/>
  <c r="R19" i="125"/>
  <c r="K18" i="125"/>
  <c r="O11" i="125" s="1"/>
  <c r="K17" i="125"/>
  <c r="J26" i="125"/>
  <c r="T19" i="124"/>
  <c r="AL19" i="124"/>
  <c r="S19" i="124"/>
  <c r="AH19" i="124"/>
  <c r="Q19" i="124"/>
  <c r="X19" i="124"/>
  <c r="P19" i="124"/>
  <c r="AG19" i="124"/>
  <c r="U19" i="124"/>
  <c r="K17" i="124"/>
  <c r="O10" i="124" s="1"/>
  <c r="V19" i="124"/>
  <c r="J17" i="124"/>
  <c r="K18" i="124"/>
  <c r="O11" i="124" s="1"/>
  <c r="W19" i="124"/>
  <c r="J18" i="124"/>
  <c r="L12" i="124"/>
  <c r="R19" i="124"/>
  <c r="L9" i="123"/>
  <c r="AK19" i="123"/>
  <c r="AL19" i="123"/>
  <c r="J34" i="123"/>
  <c r="J24" i="123"/>
  <c r="J35" i="123"/>
  <c r="J73" i="123"/>
  <c r="N19" i="123"/>
  <c r="X19" i="123"/>
  <c r="AA19" i="123"/>
  <c r="Q19" i="123"/>
  <c r="AH19" i="123"/>
  <c r="AB19" i="123"/>
  <c r="AJ19" i="123"/>
  <c r="AD19" i="123"/>
  <c r="L19" i="123"/>
  <c r="J35" i="64" s="1"/>
  <c r="V19" i="123"/>
  <c r="U19" i="123"/>
  <c r="K18" i="123"/>
  <c r="O11" i="123" s="1"/>
  <c r="T19" i="123"/>
  <c r="S19" i="123"/>
  <c r="W19" i="123"/>
  <c r="J18" i="123"/>
  <c r="L12" i="123"/>
  <c r="R19" i="123"/>
  <c r="K17" i="123"/>
  <c r="J17" i="123"/>
  <c r="J29" i="122"/>
  <c r="J80" i="122"/>
  <c r="J93" i="122"/>
  <c r="J223" i="122"/>
  <c r="X19" i="122"/>
  <c r="J105" i="122"/>
  <c r="J149" i="122"/>
  <c r="J83" i="122"/>
  <c r="J214" i="122"/>
  <c r="J147" i="122"/>
  <c r="J116" i="122"/>
  <c r="J234" i="122"/>
  <c r="AD19" i="122"/>
  <c r="J160" i="122"/>
  <c r="J203" i="122"/>
  <c r="L18" i="122"/>
  <c r="L19" i="122" s="1"/>
  <c r="J34" i="64" s="1"/>
  <c r="L17" i="122"/>
  <c r="J81" i="122"/>
  <c r="J131" i="122"/>
  <c r="J218" i="122"/>
  <c r="J89" i="122"/>
  <c r="J127" i="122"/>
  <c r="J239" i="122"/>
  <c r="J240" i="122"/>
  <c r="J247" i="122"/>
  <c r="AL19" i="122"/>
  <c r="J119" i="122"/>
  <c r="J169" i="122"/>
  <c r="J187" i="122"/>
  <c r="J53" i="122"/>
  <c r="J17" i="122" s="1"/>
  <c r="J138" i="122"/>
  <c r="J163" i="122"/>
  <c r="J182" i="122"/>
  <c r="J200" i="122"/>
  <c r="J206" i="122"/>
  <c r="J30" i="122"/>
  <c r="J50" i="122"/>
  <c r="J57" i="122"/>
  <c r="J70" i="122"/>
  <c r="T19" i="122"/>
  <c r="AJ19" i="122"/>
  <c r="AK19" i="122"/>
  <c r="N19" i="122"/>
  <c r="AI19" i="122"/>
  <c r="O19" i="122"/>
  <c r="AF19" i="122"/>
  <c r="J68" i="122"/>
  <c r="U19" i="122"/>
  <c r="Y19" i="122"/>
  <c r="Q19" i="122"/>
  <c r="K17" i="122"/>
  <c r="O10" i="122" s="1"/>
  <c r="W19" i="122"/>
  <c r="S19" i="122"/>
  <c r="K18" i="122"/>
  <c r="O11" i="122" s="1"/>
  <c r="L12" i="122"/>
  <c r="V19" i="122"/>
  <c r="J25" i="122"/>
  <c r="J18" i="122" s="1"/>
  <c r="R19" i="122"/>
  <c r="J126" i="121"/>
  <c r="J153" i="121"/>
  <c r="J68" i="121"/>
  <c r="J187" i="121"/>
  <c r="J214" i="121"/>
  <c r="J147" i="121"/>
  <c r="J241" i="121"/>
  <c r="J208" i="121"/>
  <c r="J235" i="121"/>
  <c r="J76" i="121"/>
  <c r="J156" i="121"/>
  <c r="J163" i="121"/>
  <c r="J190" i="121"/>
  <c r="J210" i="121"/>
  <c r="J230" i="121"/>
  <c r="J196" i="121"/>
  <c r="J244" i="121"/>
  <c r="J41" i="121"/>
  <c r="J85" i="121"/>
  <c r="J218" i="121"/>
  <c r="J144" i="121"/>
  <c r="J178" i="121"/>
  <c r="J205" i="121"/>
  <c r="J62" i="121"/>
  <c r="J51" i="121"/>
  <c r="J66" i="121"/>
  <c r="J92" i="121"/>
  <c r="J112" i="121"/>
  <c r="J138" i="121"/>
  <c r="J192" i="121"/>
  <c r="J246" i="121"/>
  <c r="J8" i="121"/>
  <c r="AD19" i="121"/>
  <c r="L9" i="121"/>
  <c r="O19" i="121"/>
  <c r="AF19" i="121"/>
  <c r="J231" i="121"/>
  <c r="J237" i="121"/>
  <c r="J33" i="121"/>
  <c r="J42" i="121"/>
  <c r="J50" i="121"/>
  <c r="J98" i="121"/>
  <c r="J104" i="121"/>
  <c r="J159" i="121"/>
  <c r="J171" i="121"/>
  <c r="J184" i="121"/>
  <c r="J232" i="121"/>
  <c r="J25" i="121"/>
  <c r="J219" i="121"/>
  <c r="L17" i="121"/>
  <c r="J111" i="121"/>
  <c r="AB19" i="121"/>
  <c r="J93" i="121"/>
  <c r="J148" i="121"/>
  <c r="J203" i="121"/>
  <c r="J47" i="121"/>
  <c r="AA19" i="121"/>
  <c r="T19" i="121"/>
  <c r="J125" i="121"/>
  <c r="J137" i="121"/>
  <c r="J115" i="121"/>
  <c r="J182" i="121"/>
  <c r="L18" i="121"/>
  <c r="J199" i="121"/>
  <c r="AC19" i="121"/>
  <c r="J114" i="121"/>
  <c r="J181" i="121"/>
  <c r="X19" i="121"/>
  <c r="AI19" i="121"/>
  <c r="J54" i="121"/>
  <c r="AL19" i="121"/>
  <c r="N19" i="121"/>
  <c r="AE19" i="121"/>
  <c r="W19" i="121"/>
  <c r="AJ19" i="121"/>
  <c r="AK19" i="121"/>
  <c r="J49" i="121"/>
  <c r="S19" i="121"/>
  <c r="R19" i="121"/>
  <c r="K18" i="121"/>
  <c r="O11" i="121" s="1"/>
  <c r="U19" i="121"/>
  <c r="Q19" i="121"/>
  <c r="L12" i="121"/>
  <c r="J24" i="121"/>
  <c r="V19" i="121"/>
  <c r="K17" i="121"/>
  <c r="J176" i="120"/>
  <c r="J59" i="120"/>
  <c r="J66" i="120"/>
  <c r="J162" i="120"/>
  <c r="L9" i="120"/>
  <c r="J45" i="120"/>
  <c r="J53" i="120"/>
  <c r="J75" i="120"/>
  <c r="J82" i="120"/>
  <c r="J156" i="120"/>
  <c r="J185" i="120"/>
  <c r="J8" i="120"/>
  <c r="J40" i="120"/>
  <c r="J77" i="120"/>
  <c r="J129" i="120"/>
  <c r="J136" i="120"/>
  <c r="J166" i="120"/>
  <c r="J173" i="120"/>
  <c r="J195" i="120"/>
  <c r="J216" i="120"/>
  <c r="J244" i="120"/>
  <c r="J25" i="120"/>
  <c r="J41" i="120"/>
  <c r="J78" i="120"/>
  <c r="J108" i="120"/>
  <c r="J137" i="120"/>
  <c r="J167" i="120"/>
  <c r="J181" i="120"/>
  <c r="J210" i="120"/>
  <c r="J231" i="120"/>
  <c r="J245" i="120"/>
  <c r="O19" i="120"/>
  <c r="J101" i="120"/>
  <c r="J116" i="120"/>
  <c r="J138" i="120"/>
  <c r="J160" i="120"/>
  <c r="J175" i="120"/>
  <c r="J197" i="120"/>
  <c r="J218" i="120"/>
  <c r="AD19" i="120"/>
  <c r="X19" i="120"/>
  <c r="Y19" i="120"/>
  <c r="J26" i="120"/>
  <c r="J48" i="120"/>
  <c r="J63" i="120"/>
  <c r="J91" i="120"/>
  <c r="J98" i="120"/>
  <c r="J222" i="120"/>
  <c r="J88" i="120"/>
  <c r="J151" i="120"/>
  <c r="J38" i="120"/>
  <c r="J228" i="120"/>
  <c r="J209" i="120"/>
  <c r="J92" i="120"/>
  <c r="J93" i="120"/>
  <c r="J100" i="120"/>
  <c r="J114" i="120"/>
  <c r="J148" i="120"/>
  <c r="J169" i="120"/>
  <c r="J183" i="120"/>
  <c r="J224" i="120"/>
  <c r="J145" i="120"/>
  <c r="J132" i="120"/>
  <c r="J79" i="120"/>
  <c r="J109" i="120"/>
  <c r="J130" i="120"/>
  <c r="J150" i="120"/>
  <c r="J212" i="120"/>
  <c r="J226" i="120"/>
  <c r="AB19" i="120"/>
  <c r="J31" i="120"/>
  <c r="J123" i="120"/>
  <c r="J171" i="120"/>
  <c r="J199" i="120"/>
  <c r="J206" i="120"/>
  <c r="J246" i="120"/>
  <c r="J204" i="120"/>
  <c r="J27" i="120"/>
  <c r="J174" i="120"/>
  <c r="J242" i="120"/>
  <c r="AA19" i="120"/>
  <c r="AC19" i="120"/>
  <c r="AK19" i="120"/>
  <c r="J36" i="120"/>
  <c r="J42" i="120"/>
  <c r="J49" i="120"/>
  <c r="J81" i="120"/>
  <c r="J236" i="120"/>
  <c r="J30" i="120"/>
  <c r="J43" i="120"/>
  <c r="J50" i="120"/>
  <c r="J57" i="120"/>
  <c r="J95" i="120"/>
  <c r="J120" i="120"/>
  <c r="J70" i="120"/>
  <c r="J188" i="120"/>
  <c r="J152" i="120"/>
  <c r="J201" i="120"/>
  <c r="L18" i="120"/>
  <c r="L17" i="120"/>
  <c r="J84" i="120"/>
  <c r="J103" i="120"/>
  <c r="J128" i="120"/>
  <c r="J214" i="120"/>
  <c r="J239" i="120"/>
  <c r="J196" i="120"/>
  <c r="J141" i="120"/>
  <c r="J117" i="120"/>
  <c r="J215" i="120"/>
  <c r="J234" i="120"/>
  <c r="J34" i="120"/>
  <c r="J73" i="120"/>
  <c r="J111" i="120"/>
  <c r="J247" i="120"/>
  <c r="AH19" i="120"/>
  <c r="R19" i="120"/>
  <c r="AJ19" i="120"/>
  <c r="AL19" i="120"/>
  <c r="AI19" i="120"/>
  <c r="S19" i="120"/>
  <c r="N19" i="120"/>
  <c r="AF19" i="120"/>
  <c r="J56" i="120"/>
  <c r="AE19" i="120"/>
  <c r="W19" i="120"/>
  <c r="T19" i="120"/>
  <c r="K17" i="120"/>
  <c r="O10" i="120" s="1"/>
  <c r="K18" i="120"/>
  <c r="O11" i="120" s="1"/>
  <c r="J24" i="120"/>
  <c r="L12" i="120"/>
  <c r="U19" i="120"/>
  <c r="V19" i="120"/>
  <c r="Q19" i="120"/>
  <c r="L19" i="119"/>
  <c r="J30" i="64" s="1"/>
  <c r="AI19" i="119"/>
  <c r="AJ19" i="119"/>
  <c r="AA19" i="119"/>
  <c r="P19" i="119"/>
  <c r="AK19" i="119"/>
  <c r="AH19" i="119"/>
  <c r="J56" i="119"/>
  <c r="O19" i="119"/>
  <c r="V19" i="119"/>
  <c r="X19" i="119"/>
  <c r="W19" i="119"/>
  <c r="R19" i="119"/>
  <c r="S19" i="119"/>
  <c r="T19" i="119"/>
  <c r="K18" i="119"/>
  <c r="O11" i="119" s="1"/>
  <c r="U19" i="119"/>
  <c r="L12" i="119"/>
  <c r="J17" i="119"/>
  <c r="K17" i="119"/>
  <c r="J24" i="119"/>
  <c r="Q19" i="119"/>
  <c r="T19" i="118"/>
  <c r="K17" i="118"/>
  <c r="O10" i="118" s="1"/>
  <c r="Q19" i="118"/>
  <c r="J18" i="118"/>
  <c r="K18" i="118"/>
  <c r="O11" i="118" s="1"/>
  <c r="L12" i="118"/>
  <c r="J17" i="118"/>
  <c r="R19" i="118"/>
  <c r="S19" i="118"/>
  <c r="J138" i="117"/>
  <c r="J186" i="117"/>
  <c r="J175" i="117"/>
  <c r="J89" i="117"/>
  <c r="J69" i="117"/>
  <c r="AK19" i="117"/>
  <c r="J120" i="117"/>
  <c r="J140" i="117"/>
  <c r="J184" i="117"/>
  <c r="J210" i="117"/>
  <c r="AD19" i="117"/>
  <c r="J24" i="117"/>
  <c r="J18" i="117" s="1"/>
  <c r="J28" i="117"/>
  <c r="J37" i="117"/>
  <c r="J45" i="117"/>
  <c r="J53" i="117"/>
  <c r="J81" i="117"/>
  <c r="J88" i="117"/>
  <c r="J101" i="117"/>
  <c r="J172" i="117"/>
  <c r="J204" i="117"/>
  <c r="J217" i="117"/>
  <c r="J127" i="117"/>
  <c r="J219" i="117"/>
  <c r="J170" i="117"/>
  <c r="J71" i="117"/>
  <c r="AE19" i="117"/>
  <c r="J111" i="117"/>
  <c r="J154" i="117"/>
  <c r="J222" i="117"/>
  <c r="J246" i="117"/>
  <c r="J197" i="117"/>
  <c r="J100" i="117"/>
  <c r="J200" i="117"/>
  <c r="J233" i="117"/>
  <c r="J208" i="117"/>
  <c r="J173" i="117"/>
  <c r="J46" i="117"/>
  <c r="J168" i="117"/>
  <c r="J211" i="117"/>
  <c r="N19" i="117"/>
  <c r="J95" i="117"/>
  <c r="J157" i="117"/>
  <c r="J249" i="117"/>
  <c r="O19" i="117"/>
  <c r="X19" i="117"/>
  <c r="Y19" i="117"/>
  <c r="AF19" i="117"/>
  <c r="AG19" i="117"/>
  <c r="J30" i="117"/>
  <c r="J54" i="117"/>
  <c r="J48" i="117"/>
  <c r="AJ19" i="117"/>
  <c r="J76" i="117"/>
  <c r="L17" i="117"/>
  <c r="J62" i="117"/>
  <c r="AC19" i="117"/>
  <c r="L18" i="117"/>
  <c r="L19" i="117" s="1"/>
  <c r="J28" i="64" s="1"/>
  <c r="J34" i="117"/>
  <c r="J43" i="117"/>
  <c r="J44" i="117"/>
  <c r="W19" i="117"/>
  <c r="AH19" i="117"/>
  <c r="AA19" i="117"/>
  <c r="AI19" i="117"/>
  <c r="R19" i="117"/>
  <c r="T19" i="117"/>
  <c r="S19" i="117"/>
  <c r="Q19" i="117"/>
  <c r="L12" i="117"/>
  <c r="K18" i="117"/>
  <c r="O11" i="117" s="1"/>
  <c r="K17" i="117"/>
  <c r="O10" i="117" s="1"/>
  <c r="AL19" i="117"/>
  <c r="V19" i="117"/>
  <c r="U19" i="117"/>
  <c r="AB19" i="117"/>
  <c r="P19" i="117"/>
  <c r="J32" i="116"/>
  <c r="J67" i="116"/>
  <c r="J85" i="116"/>
  <c r="J51" i="116"/>
  <c r="J69" i="116"/>
  <c r="L18" i="116"/>
  <c r="J70" i="116"/>
  <c r="J158" i="116"/>
  <c r="J201" i="116"/>
  <c r="J64" i="116"/>
  <c r="J228" i="116"/>
  <c r="AI19" i="116"/>
  <c r="AA19" i="116"/>
  <c r="J104" i="116"/>
  <c r="J191" i="116"/>
  <c r="AJ19" i="116"/>
  <c r="AB19" i="116"/>
  <c r="AK19" i="116"/>
  <c r="AC19" i="116"/>
  <c r="J242" i="116"/>
  <c r="J217" i="116"/>
  <c r="L17" i="116"/>
  <c r="L19" i="116" s="1"/>
  <c r="J26" i="64" s="1"/>
  <c r="J75" i="116"/>
  <c r="J169" i="116"/>
  <c r="AD19" i="116"/>
  <c r="AE19" i="116"/>
  <c r="J243" i="116"/>
  <c r="AL19" i="116"/>
  <c r="J24" i="116"/>
  <c r="J39" i="116"/>
  <c r="J46" i="116"/>
  <c r="J131" i="116"/>
  <c r="J168" i="116"/>
  <c r="J211" i="116"/>
  <c r="J218" i="116"/>
  <c r="J250" i="116"/>
  <c r="T19" i="116"/>
  <c r="R19" i="116"/>
  <c r="J31" i="116"/>
  <c r="J37" i="116"/>
  <c r="O19" i="116"/>
  <c r="AF19" i="116"/>
  <c r="X19" i="116"/>
  <c r="J40" i="116"/>
  <c r="W19" i="116"/>
  <c r="N19" i="116"/>
  <c r="Y19" i="116"/>
  <c r="V19" i="116"/>
  <c r="K17" i="116"/>
  <c r="O10" i="116" s="1"/>
  <c r="Q19" i="116"/>
  <c r="U19" i="116"/>
  <c r="K18" i="116"/>
  <c r="O11" i="116" s="1"/>
  <c r="L10" i="116"/>
  <c r="L12" i="116" s="1"/>
  <c r="P19" i="116"/>
  <c r="S19" i="116"/>
  <c r="AF19" i="115"/>
  <c r="O19" i="115"/>
  <c r="K18" i="115"/>
  <c r="O11" i="115" s="1"/>
  <c r="Q19" i="115"/>
  <c r="AG19" i="115"/>
  <c r="S19" i="115"/>
  <c r="R19" i="115"/>
  <c r="J24" i="115"/>
  <c r="J18" i="115" s="1"/>
  <c r="L12" i="115"/>
  <c r="K17" i="115"/>
  <c r="J17" i="115"/>
  <c r="P19" i="115"/>
  <c r="AD19" i="114"/>
  <c r="AG19" i="114"/>
  <c r="AH19" i="114"/>
  <c r="AK19" i="114"/>
  <c r="L19" i="114"/>
  <c r="J24" i="64" s="1"/>
  <c r="J60" i="114"/>
  <c r="J66" i="114"/>
  <c r="AF19" i="114"/>
  <c r="Y19" i="114"/>
  <c r="AL19" i="114"/>
  <c r="J28" i="114"/>
  <c r="J18" i="114" s="1"/>
  <c r="J44" i="114"/>
  <c r="J17" i="114" s="1"/>
  <c r="J63" i="114"/>
  <c r="V19" i="114"/>
  <c r="J35" i="114"/>
  <c r="S19" i="114"/>
  <c r="Q19" i="114"/>
  <c r="T19" i="114"/>
  <c r="U19" i="114"/>
  <c r="L12" i="114"/>
  <c r="K17" i="114"/>
  <c r="O10" i="114" s="1"/>
  <c r="K18" i="114"/>
  <c r="O11" i="114" s="1"/>
  <c r="R19" i="114"/>
  <c r="P19" i="114"/>
  <c r="L19" i="113"/>
  <c r="J23" i="64" s="1"/>
  <c r="X19" i="113"/>
  <c r="AJ19" i="113"/>
  <c r="J25" i="113"/>
  <c r="T19" i="113"/>
  <c r="J43" i="113"/>
  <c r="J67" i="113"/>
  <c r="U19" i="113"/>
  <c r="P19" i="113"/>
  <c r="L12" i="113"/>
  <c r="J18" i="113"/>
  <c r="K18" i="113"/>
  <c r="O11" i="113" s="1"/>
  <c r="J17" i="113"/>
  <c r="Q19" i="113"/>
  <c r="R19" i="113"/>
  <c r="S19" i="113"/>
  <c r="V19" i="113"/>
  <c r="K17" i="113"/>
  <c r="O10" i="113" s="1"/>
  <c r="O19" i="113"/>
  <c r="J19" i="139" l="1"/>
  <c r="J21" i="139" s="1"/>
  <c r="O10" i="139"/>
  <c r="O12" i="139" s="1"/>
  <c r="K19" i="139"/>
  <c r="D55" i="64" s="1"/>
  <c r="F55" i="64" s="1"/>
  <c r="H56" i="64" s="1"/>
  <c r="J17" i="138"/>
  <c r="J19" i="138" s="1"/>
  <c r="J21" i="138" s="1"/>
  <c r="K19" i="138"/>
  <c r="D53" i="64" s="1"/>
  <c r="F53" i="64" s="1"/>
  <c r="O12" i="138"/>
  <c r="O12" i="137"/>
  <c r="K19" i="137"/>
  <c r="D52" i="64" s="1"/>
  <c r="F52" i="64" s="1"/>
  <c r="J19" i="137"/>
  <c r="J21" i="137" s="1"/>
  <c r="K19" i="136"/>
  <c r="D51" i="64" s="1"/>
  <c r="F51" i="64" s="1"/>
  <c r="J19" i="136"/>
  <c r="J21" i="136" s="1"/>
  <c r="O10" i="136"/>
  <c r="O12" i="136" s="1"/>
  <c r="O12" i="135"/>
  <c r="K19" i="135"/>
  <c r="D50" i="64" s="1"/>
  <c r="F50" i="64" s="1"/>
  <c r="J19" i="135"/>
  <c r="J21" i="135" s="1"/>
  <c r="O12" i="134"/>
  <c r="K19" i="134"/>
  <c r="D48" i="64" s="1"/>
  <c r="F48" i="64" s="1"/>
  <c r="J19" i="134"/>
  <c r="J21" i="134" s="1"/>
  <c r="L19" i="133"/>
  <c r="J47" i="64" s="1"/>
  <c r="J17" i="133"/>
  <c r="J18" i="133"/>
  <c r="K19" i="133"/>
  <c r="D47" i="64" s="1"/>
  <c r="F47" i="64" s="1"/>
  <c r="O11" i="133"/>
  <c r="O12" i="133" s="1"/>
  <c r="O12" i="132"/>
  <c r="K19" i="132"/>
  <c r="D46" i="64" s="1"/>
  <c r="F46" i="64" s="1"/>
  <c r="J19" i="132"/>
  <c r="J21" i="132" s="1"/>
  <c r="O12" i="131"/>
  <c r="J19" i="131"/>
  <c r="J21" i="131" s="1"/>
  <c r="K19" i="131"/>
  <c r="D45" i="64" s="1"/>
  <c r="F45" i="64" s="1"/>
  <c r="J17" i="130"/>
  <c r="J19" i="130" s="1"/>
  <c r="J21" i="130" s="1"/>
  <c r="O12" i="130"/>
  <c r="K19" i="130"/>
  <c r="D44" i="64" s="1"/>
  <c r="F44" i="64" s="1"/>
  <c r="L19" i="129"/>
  <c r="J42" i="64" s="1"/>
  <c r="J17" i="129"/>
  <c r="J18" i="129"/>
  <c r="K19" i="129"/>
  <c r="D42" i="64" s="1"/>
  <c r="F42" i="64" s="1"/>
  <c r="O12" i="129"/>
  <c r="L19" i="128"/>
  <c r="J41" i="64" s="1"/>
  <c r="J17" i="128"/>
  <c r="J18" i="128"/>
  <c r="K19" i="128"/>
  <c r="D41" i="64" s="1"/>
  <c r="F41" i="64" s="1"/>
  <c r="O10" i="128"/>
  <c r="O12" i="128" s="1"/>
  <c r="O12" i="127"/>
  <c r="K19" i="127"/>
  <c r="D40" i="64" s="1"/>
  <c r="F40" i="64" s="1"/>
  <c r="J19" i="127"/>
  <c r="J21" i="127" s="1"/>
  <c r="O10" i="126"/>
  <c r="O12" i="126" s="1"/>
  <c r="K19" i="126"/>
  <c r="D39" i="64" s="1"/>
  <c r="F39" i="64" s="1"/>
  <c r="J19" i="126"/>
  <c r="J21" i="126" s="1"/>
  <c r="L19" i="125"/>
  <c r="J37" i="64" s="1"/>
  <c r="J18" i="125"/>
  <c r="J19" i="125" s="1"/>
  <c r="J21" i="125" s="1"/>
  <c r="K19" i="125"/>
  <c r="D37" i="64" s="1"/>
  <c r="F37" i="64" s="1"/>
  <c r="O10" i="125"/>
  <c r="O12" i="125" s="1"/>
  <c r="J19" i="124"/>
  <c r="J21" i="124" s="1"/>
  <c r="K19" i="124"/>
  <c r="D36" i="64" s="1"/>
  <c r="F36" i="64" s="1"/>
  <c r="O12" i="124"/>
  <c r="J19" i="123"/>
  <c r="J21" i="123" s="1"/>
  <c r="K19" i="123"/>
  <c r="D35" i="64" s="1"/>
  <c r="F35" i="64" s="1"/>
  <c r="O10" i="123"/>
  <c r="O12" i="123" s="1"/>
  <c r="O12" i="122"/>
  <c r="K19" i="122"/>
  <c r="D34" i="64" s="1"/>
  <c r="F34" i="64" s="1"/>
  <c r="J19" i="122"/>
  <c r="J21" i="122" s="1"/>
  <c r="J18" i="121"/>
  <c r="L19" i="121"/>
  <c r="J32" i="64" s="1"/>
  <c r="J17" i="121"/>
  <c r="O10" i="121"/>
  <c r="O12" i="121" s="1"/>
  <c r="K19" i="121"/>
  <c r="D32" i="64" s="1"/>
  <c r="F32" i="64" s="1"/>
  <c r="L19" i="120"/>
  <c r="J31" i="64" s="1"/>
  <c r="J17" i="120"/>
  <c r="J18" i="120"/>
  <c r="K19" i="120"/>
  <c r="D31" i="64" s="1"/>
  <c r="F31" i="64" s="1"/>
  <c r="O12" i="120"/>
  <c r="J18" i="119"/>
  <c r="J19" i="119" s="1"/>
  <c r="J21" i="119" s="1"/>
  <c r="K19" i="119"/>
  <c r="D30" i="64" s="1"/>
  <c r="F30" i="64" s="1"/>
  <c r="O10" i="119"/>
  <c r="O12" i="118"/>
  <c r="K19" i="118"/>
  <c r="D29" i="64" s="1"/>
  <c r="F29" i="64" s="1"/>
  <c r="J19" i="118"/>
  <c r="J21" i="118" s="1"/>
  <c r="J17" i="117"/>
  <c r="J19" i="117" s="1"/>
  <c r="J21" i="117" s="1"/>
  <c r="O12" i="117"/>
  <c r="K19" i="117"/>
  <c r="D28" i="64" s="1"/>
  <c r="F28" i="64" s="1"/>
  <c r="J17" i="116"/>
  <c r="J18" i="116"/>
  <c r="O12" i="116"/>
  <c r="K19" i="116"/>
  <c r="D26" i="64" s="1"/>
  <c r="F26" i="64" s="1"/>
  <c r="K19" i="115"/>
  <c r="D25" i="64" s="1"/>
  <c r="F25" i="64" s="1"/>
  <c r="J19" i="115"/>
  <c r="J21" i="115" s="1"/>
  <c r="O10" i="115"/>
  <c r="O12" i="114"/>
  <c r="K19" i="114"/>
  <c r="D24" i="64" s="1"/>
  <c r="F24" i="64" s="1"/>
  <c r="J19" i="114"/>
  <c r="J21" i="114" s="1"/>
  <c r="J19" i="113"/>
  <c r="J21" i="113" s="1"/>
  <c r="O12" i="113"/>
  <c r="K19" i="113"/>
  <c r="D23" i="64" s="1"/>
  <c r="F23" i="64" s="1"/>
  <c r="H55" i="64" l="1"/>
  <c r="H53" i="64"/>
  <c r="H52" i="64"/>
  <c r="H51" i="64"/>
  <c r="H50" i="64"/>
  <c r="H48" i="64"/>
  <c r="J19" i="133"/>
  <c r="J21" i="133" s="1"/>
  <c r="H47" i="64"/>
  <c r="H46" i="64"/>
  <c r="H45" i="64"/>
  <c r="H44" i="64"/>
  <c r="J19" i="129"/>
  <c r="J21" i="129" s="1"/>
  <c r="H42" i="64"/>
  <c r="J19" i="128"/>
  <c r="J21" i="128" s="1"/>
  <c r="H41" i="64"/>
  <c r="H40" i="64"/>
  <c r="H39" i="64"/>
  <c r="H37" i="64"/>
  <c r="H36" i="64"/>
  <c r="H35" i="64"/>
  <c r="H34" i="64"/>
  <c r="J19" i="121"/>
  <c r="J21" i="121" s="1"/>
  <c r="H32" i="64"/>
  <c r="J19" i="120"/>
  <c r="J21" i="120" s="1"/>
  <c r="H31" i="64"/>
  <c r="H30" i="64"/>
  <c r="O12" i="119"/>
  <c r="H29" i="64"/>
  <c r="H28" i="64"/>
  <c r="J19" i="116"/>
  <c r="J21" i="116" s="1"/>
  <c r="H26" i="64"/>
  <c r="H25" i="64"/>
  <c r="O12" i="115"/>
  <c r="H23" i="64"/>
  <c r="H24" i="64"/>
  <c r="E287" i="157" a="1"/>
  <c r="H250" i="157" a="1"/>
  <c r="F138" i="157" a="1"/>
  <c r="H353" i="157" a="1"/>
  <c r="D256" i="157" a="1"/>
  <c r="E443" i="157" a="1"/>
  <c r="I269" i="157" a="1"/>
  <c r="H263" i="157" a="1"/>
  <c r="H387" i="157" a="1"/>
  <c r="I7" i="157" a="1"/>
  <c r="G417" i="157" a="1"/>
  <c r="J110" i="157" a="1"/>
  <c r="H57" i="157" a="1"/>
  <c r="E132" i="157" a="1"/>
  <c r="F245" i="157" a="1"/>
  <c r="D42" i="157" a="1"/>
  <c r="J77" i="157" a="1"/>
  <c r="C91" i="157" a="1"/>
  <c r="C169" i="157" a="1"/>
  <c r="H456" i="157" a="1"/>
  <c r="J400" i="157" a="1"/>
  <c r="E105" i="157" a="1"/>
  <c r="I350" i="157" a="1"/>
  <c r="D50" i="157" a="1"/>
  <c r="D329" i="157" a="1"/>
  <c r="G33" i="157" a="1"/>
  <c r="H96" i="157" a="1"/>
  <c r="C410" i="157" a="1"/>
  <c r="E431" i="157" a="1"/>
  <c r="D402" i="157" a="1"/>
  <c r="J172" i="157" a="1"/>
  <c r="I124" i="157" a="1"/>
  <c r="G399" i="157" a="1"/>
  <c r="D38" i="157" a="1"/>
  <c r="F210" i="157" a="1"/>
  <c r="H206" i="157" a="1"/>
  <c r="F109" i="157" a="1"/>
  <c r="F24" i="157" a="1"/>
  <c r="I433" i="157" a="1"/>
  <c r="G457" i="157" a="1"/>
  <c r="H327" i="157" a="1"/>
  <c r="H215" i="157" a="1"/>
  <c r="I96" i="157" a="1"/>
  <c r="H35" i="157" a="1"/>
  <c r="F17" i="157" a="1"/>
  <c r="F457" i="157" a="1"/>
  <c r="G272" i="157" a="1"/>
  <c r="G314" i="157" a="1"/>
  <c r="I304" i="157" a="1"/>
  <c r="C288" i="157" a="1"/>
  <c r="I441" i="157" a="1"/>
  <c r="D327" i="157" a="1"/>
  <c r="G11" i="157" a="1"/>
  <c r="G230" i="157" a="1"/>
  <c r="D150" i="157" a="1"/>
  <c r="J90" i="157" a="1"/>
  <c r="J121" i="157" a="1"/>
  <c r="I11" i="156" a="1"/>
  <c r="F439" i="157" a="1"/>
  <c r="I161" i="157" a="1"/>
  <c r="G204" i="157" a="1"/>
  <c r="H310" i="157" a="1"/>
  <c r="J264" i="157" a="1"/>
  <c r="H338" i="157" a="1"/>
  <c r="C386" i="157" a="1"/>
  <c r="D30" i="157" a="1"/>
  <c r="F398" i="157" a="1"/>
  <c r="C320" i="157" a="1"/>
  <c r="I226" i="157" a="1"/>
  <c r="P10" i="139" a="1"/>
  <c r="D129" i="157" a="1"/>
  <c r="I25" i="157" a="1"/>
  <c r="D145" i="157" a="1"/>
  <c r="G209" i="157" a="1"/>
  <c r="J115" i="157" a="1"/>
  <c r="J397" i="157" a="1"/>
  <c r="D138" i="157" a="1"/>
  <c r="C328" i="157" a="1"/>
  <c r="E271" i="157" a="1"/>
  <c r="J261" i="157" a="1"/>
  <c r="E303" i="157" a="1"/>
  <c r="P10" i="105" a="1"/>
  <c r="E360" i="157" a="1"/>
  <c r="I351" i="157" a="1"/>
  <c r="G7" i="157" a="1"/>
  <c r="D159" i="157" a="1"/>
  <c r="H277" i="157" a="1"/>
  <c r="E154" i="157" a="1"/>
  <c r="J424" i="157" a="1"/>
  <c r="E134" i="157" a="1"/>
  <c r="F76" i="157" a="1"/>
  <c r="J198" i="157" a="1"/>
  <c r="I196" i="157" a="1"/>
  <c r="J304" i="157" a="1"/>
  <c r="E199" i="157" a="1"/>
  <c r="D374" i="157" a="1"/>
  <c r="J59" i="157" a="1"/>
  <c r="F15" i="157" a="1"/>
  <c r="C46" i="157" a="1"/>
  <c r="H352" i="157" a="1"/>
  <c r="I68" i="157" a="1"/>
  <c r="P11" i="125" a="1"/>
  <c r="G82" i="157" a="1"/>
  <c r="H426" i="157" a="1"/>
  <c r="J219" i="157" a="1"/>
  <c r="J403" i="157" a="1"/>
  <c r="I48" i="157" a="1"/>
  <c r="D432" i="157" a="1"/>
  <c r="H82" i="157" a="1"/>
  <c r="E338" i="157" a="1"/>
  <c r="P10" i="140" a="1"/>
  <c r="P10" i="130" a="1"/>
  <c r="J176" i="157" a="1"/>
  <c r="H113" i="157" a="1"/>
  <c r="C52" i="157" a="1"/>
  <c r="J97" i="157" a="1"/>
  <c r="D451" i="157" a="1"/>
  <c r="D187" i="157" a="1"/>
  <c r="J190" i="157" a="1"/>
  <c r="C362" i="157" a="1"/>
  <c r="I18" i="157" a="1"/>
  <c r="I172" i="157" a="1"/>
  <c r="J29" i="157" a="1"/>
  <c r="F8" i="157" a="1"/>
  <c r="E356" i="157" a="1"/>
  <c r="J42" i="157" a="1"/>
  <c r="F27" i="157" a="1"/>
  <c r="F444" i="157" a="1"/>
  <c r="J248" i="157" a="1"/>
  <c r="E72" i="157" a="1"/>
  <c r="H49" i="157" a="1"/>
  <c r="P10" i="125" a="1"/>
  <c r="C197" i="157" a="1"/>
  <c r="J262" i="157" a="1"/>
  <c r="E417" i="157" a="1"/>
  <c r="D84" i="157" a="1"/>
  <c r="D311" i="157" a="1"/>
  <c r="E454" i="157" a="1"/>
  <c r="H282" i="157" a="1"/>
  <c r="D457" i="157" a="1"/>
  <c r="J145" i="157" a="1"/>
  <c r="C163" i="157" a="1"/>
  <c r="H182" i="157" a="1"/>
  <c r="G109" i="157" a="1"/>
  <c r="J372" i="157" a="1"/>
  <c r="J327" i="157" a="1"/>
  <c r="G32" i="157" a="1"/>
  <c r="F296" i="157" a="1"/>
  <c r="J60" i="157" a="1"/>
  <c r="H372" i="157" a="1"/>
  <c r="H247" i="157" a="1"/>
  <c r="E174" i="157" a="1"/>
  <c r="D388" i="157" a="1"/>
  <c r="J47" i="157" a="1"/>
  <c r="F85" i="157" a="1"/>
  <c r="C358" i="157" a="1"/>
  <c r="H418" i="157" a="1"/>
  <c r="H365" i="157" a="1"/>
  <c r="E197" i="157" a="1"/>
  <c r="D174" i="157" a="1"/>
  <c r="I412" i="157" a="1"/>
  <c r="F117" i="157" a="1"/>
  <c r="H331" i="157" a="1"/>
  <c r="C308" i="157" a="1"/>
  <c r="D135" i="157" a="1"/>
  <c r="C241" i="157" a="1"/>
  <c r="E444" i="157" a="1"/>
  <c r="E191" i="157" a="1"/>
  <c r="J370" i="157" a="1"/>
  <c r="G437" i="157" a="1"/>
  <c r="F453" i="157" a="1"/>
  <c r="I176" i="157" a="1"/>
  <c r="E176" i="157" a="1"/>
  <c r="I85" i="157" a="1"/>
  <c r="C250" i="157" a="1"/>
  <c r="I386" i="157" a="1"/>
  <c r="J142" i="157" a="1"/>
  <c r="D452" i="157" a="1"/>
  <c r="E407" i="157" a="1"/>
  <c r="G151" i="157" a="1"/>
  <c r="H115" i="157" a="1"/>
  <c r="P10" i="148" a="1"/>
  <c r="E164" i="157" a="1"/>
  <c r="E307" i="157" a="1"/>
  <c r="H346" i="157" a="1"/>
  <c r="G56" i="157" a="1"/>
  <c r="H53" i="157" a="1"/>
  <c r="J457" i="157" a="1"/>
  <c r="E268" i="157" a="1"/>
  <c r="D158" i="157" a="1"/>
  <c r="F407" i="157" a="1"/>
  <c r="I362" i="157" a="1"/>
  <c r="E420" i="157" a="1"/>
  <c r="G248" i="157" a="1"/>
  <c r="F301" i="157" a="1"/>
  <c r="G300" i="157" a="1"/>
  <c r="C327" i="157" a="1"/>
  <c r="H205" i="157" a="1"/>
  <c r="D166" i="157" a="1"/>
  <c r="I50" i="157" a="1"/>
  <c r="F389" i="157" a="1"/>
  <c r="G425" i="157" a="1"/>
  <c r="I420" i="157" a="1"/>
  <c r="F287" i="157" a="1"/>
  <c r="H101" i="157" a="1"/>
  <c r="G341" i="157" a="1"/>
  <c r="F385" i="157" a="1"/>
  <c r="J352" i="157" a="1"/>
  <c r="F404" i="157" a="1"/>
  <c r="G383" i="157" a="1"/>
  <c r="E12" i="157" a="1"/>
  <c r="H232" i="157" a="1"/>
  <c r="J415" i="157" a="1"/>
  <c r="I104" i="157" a="1"/>
  <c r="D342" i="157" a="1"/>
  <c r="C425" i="157" a="1"/>
  <c r="G445" i="157" a="1"/>
  <c r="J217" i="157" a="1"/>
  <c r="J295" i="157" a="1"/>
  <c r="D111" i="157" a="1"/>
  <c r="G245" i="157" a="1"/>
  <c r="J343" i="157" a="1"/>
  <c r="I9" i="157" a="1"/>
  <c r="I147" i="157" a="1"/>
  <c r="I182" i="157" a="1"/>
  <c r="G352" i="157" a="1"/>
  <c r="I107" i="157" a="1"/>
  <c r="I75" i="157" a="1"/>
  <c r="D359" i="157" a="1"/>
  <c r="E109" i="157" a="1"/>
  <c r="D100" i="157" a="1"/>
  <c r="J302" i="157" a="1"/>
  <c r="D43" i="157" a="1"/>
  <c r="J36" i="157" a="1"/>
  <c r="I264" i="157" a="1"/>
  <c r="I66" i="157" a="1"/>
  <c r="P11" i="139" a="1"/>
  <c r="E89" i="157" a="1"/>
  <c r="F219" i="157" a="1"/>
  <c r="J102" i="157" a="1"/>
  <c r="I363" i="157" a="1"/>
  <c r="G279" i="157" a="1"/>
  <c r="E349" i="157" a="1"/>
  <c r="G192" i="157" a="1"/>
  <c r="H192" i="157" a="1"/>
  <c r="D29" i="157" a="1"/>
  <c r="F33" i="157" a="1"/>
  <c r="G118" i="157" a="1"/>
  <c r="H380" i="157" a="1"/>
  <c r="F248" i="157" a="1"/>
  <c r="P11" i="145" a="1"/>
  <c r="C28" i="157" a="1"/>
  <c r="I141" i="157" a="1"/>
  <c r="I311" i="157" a="1"/>
  <c r="F244" i="157" a="1"/>
  <c r="J17" i="157" a="1"/>
  <c r="G87" i="157" a="1"/>
  <c r="I23" i="157" a="1"/>
  <c r="H12" i="157" a="1"/>
  <c r="F332" i="157" a="1"/>
  <c r="J444" i="157" a="1"/>
  <c r="G233" i="157" a="1"/>
  <c r="F189" i="157" a="1"/>
  <c r="J199" i="157" a="1"/>
  <c r="J54" i="157" a="1"/>
  <c r="H190" i="157" a="1"/>
  <c r="G38" i="157" a="1"/>
  <c r="F92" i="157" a="1"/>
  <c r="C16" i="157" a="1"/>
  <c r="G276" i="157" a="1"/>
  <c r="J417" i="157" a="1"/>
  <c r="G35" i="157" a="1"/>
  <c r="F202" i="157" a="1"/>
  <c r="J266" i="157" a="1"/>
  <c r="D196" i="157" a="1"/>
  <c r="C129" i="157" a="1"/>
  <c r="D24" i="157" a="1"/>
  <c r="C256" i="157" a="1"/>
  <c r="I8" i="157" a="1"/>
  <c r="P10" i="129" a="1"/>
  <c r="D103" i="157" a="1"/>
  <c r="H393" i="157" a="1"/>
  <c r="H444" i="157" a="1"/>
  <c r="H15" i="157" a="1"/>
  <c r="E177" i="157" a="1"/>
  <c r="F70" i="157" a="1"/>
  <c r="C359" i="157" a="1"/>
  <c r="D192" i="157" a="1"/>
  <c r="D415" i="157" a="1"/>
  <c r="H68" i="157" a="1"/>
  <c r="E84" i="157" a="1"/>
  <c r="P10" i="141" a="1"/>
  <c r="I81" i="157" a="1"/>
  <c r="J281" i="157" a="1"/>
  <c r="I6" i="157" a="1"/>
  <c r="G145" i="157" a="1"/>
  <c r="G264" i="157" a="1"/>
  <c r="P10" i="136" a="1"/>
  <c r="D422" i="157" a="1"/>
  <c r="D202" i="157" a="1"/>
  <c r="E144" i="157" a="1"/>
  <c r="C35" i="157" a="1"/>
  <c r="G8" i="157" a="1"/>
  <c r="E299" i="157" a="1"/>
  <c r="I243" i="157" a="1"/>
  <c r="F59" i="157" a="1"/>
  <c r="H379" i="157" a="1"/>
  <c r="P10" i="117" a="1"/>
  <c r="F54" i="157" a="1"/>
  <c r="H450" i="157" a="1"/>
  <c r="I187" i="157" a="1"/>
  <c r="G48" i="157" a="1"/>
  <c r="I44" i="157" a="1"/>
  <c r="C364" i="157" a="1"/>
  <c r="D221" i="157" a="1"/>
  <c r="J433" i="157" a="1"/>
  <c r="G99" i="157" a="1"/>
  <c r="E69" i="157" a="1"/>
  <c r="C458" i="157" a="1"/>
  <c r="E40" i="157" a="1"/>
  <c r="J94" i="157" a="1"/>
  <c r="D15" i="157" a="1"/>
  <c r="E261" i="157" a="1"/>
  <c r="F408" i="157" a="1"/>
  <c r="F133" i="157" a="1"/>
  <c r="C266" i="157" a="1"/>
  <c r="C73" i="157" a="1"/>
  <c r="P11" i="154" a="1"/>
  <c r="G418" i="157" a="1"/>
  <c r="H144" i="157" a="1"/>
  <c r="I265" i="157" a="1"/>
  <c r="C172" i="157" a="1"/>
  <c r="J350" i="157" a="1"/>
  <c r="P11" i="134" a="1"/>
  <c r="D32" i="157" a="1"/>
  <c r="J126" i="157" a="1"/>
  <c r="H134" i="157" a="1"/>
  <c r="D117" i="157" a="1"/>
  <c r="I138" i="157" a="1"/>
  <c r="H405" i="157" a="1"/>
  <c r="I35" i="157" a="1"/>
  <c r="J450" i="157" a="1"/>
  <c r="E189" i="157" a="1"/>
  <c r="H163" i="157" a="1"/>
  <c r="G117" i="157" a="1"/>
  <c r="J383" i="157" a="1"/>
  <c r="I278" i="157" a="1"/>
  <c r="D450" i="157" a="1"/>
  <c r="J50" i="157" a="1"/>
  <c r="F14" i="157" a="1"/>
  <c r="E147" i="157" a="1"/>
  <c r="H290" i="157" a="1"/>
  <c r="F141" i="157" a="1"/>
  <c r="G206" i="157" a="1"/>
  <c r="F229" i="157" a="1"/>
  <c r="J117" i="157" a="1"/>
  <c r="C459" i="157" a="1"/>
  <c r="D82" i="157" a="1"/>
  <c r="G369" i="157" a="1"/>
  <c r="J30" i="157" a="1"/>
  <c r="G176" i="157" a="1"/>
  <c r="J125" i="157" a="1"/>
  <c r="E388" i="157" a="1"/>
  <c r="E208" i="157" a="1"/>
  <c r="I15" i="157" a="1"/>
  <c r="E386" i="157" a="1"/>
  <c r="H269" i="157" a="1"/>
  <c r="H8" i="157" a="1"/>
  <c r="E373" i="157" a="1"/>
  <c r="H108" i="157" a="1"/>
  <c r="J156" i="157" a="1"/>
  <c r="F276" i="157" a="1"/>
  <c r="E301" i="157" a="1"/>
  <c r="F269" i="157" a="1"/>
  <c r="E168" i="157" a="1"/>
  <c r="F48" i="157" a="1"/>
  <c r="F366" i="157" a="1"/>
  <c r="D379" i="157" a="1"/>
  <c r="I200" i="157" a="1"/>
  <c r="J66" i="157" a="1"/>
  <c r="E211" i="157" a="1"/>
  <c r="J405" i="157" a="1"/>
  <c r="F174" i="157" a="1"/>
  <c r="J75" i="157" a="1"/>
  <c r="J204" i="157" a="1"/>
  <c r="I361" i="157" a="1"/>
  <c r="G423" i="157" a="1"/>
  <c r="H410" i="157" a="1"/>
  <c r="G207" i="157" a="1"/>
  <c r="D217" i="157" a="1"/>
  <c r="J385" i="157" a="1"/>
  <c r="C267" i="157" a="1"/>
  <c r="D190" i="157" a="1"/>
  <c r="G168" i="157" a="1"/>
  <c r="H322" i="157" a="1"/>
  <c r="E102" i="157" a="1"/>
  <c r="P10" i="112" a="1"/>
  <c r="C317" i="157" a="1"/>
  <c r="F107" i="157" a="1"/>
  <c r="E260" i="157" a="1"/>
  <c r="H88" i="157" a="1"/>
  <c r="E183" i="157" a="1"/>
  <c r="I439" i="157" a="1"/>
  <c r="D92" i="157" a="1"/>
  <c r="G411" i="157" a="1"/>
  <c r="J258" i="157" a="1"/>
  <c r="G323" i="157" a="1"/>
  <c r="J14" i="157" a="1"/>
  <c r="I245" i="157" a="1"/>
  <c r="E39" i="157" a="1"/>
  <c r="E367" i="157" a="1"/>
  <c r="I405" i="157" a="1"/>
  <c r="C199" i="157" a="1"/>
  <c r="D44" i="157" a="1"/>
  <c r="C268" i="157" a="1"/>
  <c r="E103" i="157" a="1"/>
  <c r="E73" i="157" a="1"/>
  <c r="P11" i="140" a="1"/>
  <c r="G81" i="157" a="1"/>
  <c r="C131" i="157" a="1"/>
  <c r="F163" i="157" a="1"/>
  <c r="J435" i="157" a="1"/>
  <c r="D310" i="157" a="1"/>
  <c r="F201" i="157" a="1"/>
  <c r="P11" i="136" a="1"/>
  <c r="F28" i="157" a="1"/>
  <c r="H459" i="157" a="1"/>
  <c r="G364" i="157" a="1"/>
  <c r="I251" i="157" a="1"/>
  <c r="F171" i="157" a="1"/>
  <c r="C449" i="157" a="1"/>
  <c r="G219" i="157" a="1"/>
  <c r="F78" i="157" a="1"/>
  <c r="C324" i="157" a="1"/>
  <c r="D434" i="157" a="1"/>
  <c r="E370" i="157" a="1"/>
  <c r="J79" i="157" a="1"/>
  <c r="H367" i="157" a="1"/>
  <c r="E166" i="157" a="1"/>
  <c r="E184" i="157" a="1"/>
  <c r="E178" i="157" a="1"/>
  <c r="C89" i="157" a="1"/>
  <c r="F289" i="157" a="1"/>
  <c r="C309" i="157" a="1"/>
  <c r="J255" i="157" a="1"/>
  <c r="F45" i="157" a="1"/>
  <c r="F412" i="157" a="1"/>
  <c r="I336" i="157" a="1"/>
  <c r="E255" i="157" a="1"/>
  <c r="C283" i="157" a="1"/>
  <c r="E423" i="157" a="1"/>
  <c r="G184" i="157" a="1"/>
  <c r="F153" i="157" a="1"/>
  <c r="G221" i="157" a="1"/>
  <c r="H273" i="157" a="1"/>
  <c r="D201" i="157" a="1"/>
  <c r="G381" i="157" a="1"/>
  <c r="D108" i="157" a="1"/>
  <c r="H154" i="157" a="1"/>
  <c r="I119" i="157" a="1"/>
  <c r="H432" i="157" a="1"/>
  <c r="E239" i="157" a="1"/>
  <c r="E459" i="157" a="1"/>
  <c r="D86" i="157" a="1"/>
  <c r="G404" i="157" a="1"/>
  <c r="P10" i="123" a="1"/>
  <c r="F241" i="157" a="1"/>
  <c r="P11" i="105" a="1"/>
  <c r="F159" i="157" a="1"/>
  <c r="G152" i="157" a="1"/>
  <c r="G144" i="157" a="1"/>
  <c r="H142" i="157" a="1"/>
  <c r="J300" i="157" a="1"/>
  <c r="F449" i="157" a="1"/>
  <c r="H86" i="157" a="1"/>
  <c r="C269" i="157" a="1"/>
  <c r="E137" i="157" a="1"/>
  <c r="H127" i="157" a="1"/>
  <c r="F317" i="157" a="1"/>
  <c r="D381" i="157" a="1"/>
  <c r="C450" i="157" a="1"/>
  <c r="D155" i="157" a="1"/>
  <c r="F432" i="157" a="1"/>
  <c r="C322" i="157" a="1"/>
  <c r="H341" i="157" a="1"/>
  <c r="C208" i="157" a="1"/>
  <c r="J284" i="157" a="1"/>
  <c r="I391" i="157" a="1"/>
  <c r="D248" i="157" a="1"/>
  <c r="G393" i="157" a="1"/>
  <c r="D398" i="157" a="1"/>
  <c r="E200" i="157" a="1"/>
  <c r="J386" i="157" a="1"/>
  <c r="C176" i="157" a="1"/>
  <c r="J166" i="157" a="1"/>
  <c r="D147" i="157" a="1"/>
  <c r="G34" i="157" a="1"/>
  <c r="F40" i="157" a="1"/>
  <c r="D56" i="157" a="1"/>
  <c r="H153" i="157" a="1"/>
  <c r="D212" i="157" a="1"/>
  <c r="C27" i="157" a="1"/>
  <c r="J39" i="157" a="1"/>
  <c r="H196" i="157" a="1"/>
  <c r="I451" i="157" a="1"/>
  <c r="H458" i="157" a="1"/>
  <c r="G380" i="157" a="1"/>
  <c r="E308" i="157" a="1"/>
  <c r="D156" i="157" a="1"/>
  <c r="E235" i="157" a="1"/>
  <c r="E149" i="157" a="1"/>
  <c r="E416" i="157" a="1"/>
  <c r="C435" i="157" a="1"/>
  <c r="F367" i="157" a="1"/>
  <c r="G59" i="157" a="1"/>
  <c r="P10" i="143" a="1"/>
  <c r="E172" i="157" a="1"/>
  <c r="I208" i="157" a="1"/>
  <c r="C244" i="157" a="1"/>
  <c r="D280" i="157" a="1"/>
  <c r="D385" i="157" a="1"/>
  <c r="J307" i="157" a="1"/>
  <c r="F211" i="157" a="1"/>
  <c r="J45" i="157" a="1"/>
  <c r="J315" i="157" a="1"/>
  <c r="C145" i="157" a="1"/>
  <c r="G254" i="157" a="1"/>
  <c r="F186" i="157" a="1"/>
  <c r="E442" i="157" a="1"/>
  <c r="H212" i="157" a="1"/>
  <c r="H362" i="157" a="1"/>
  <c r="I73" i="157" a="1"/>
  <c r="H295" i="157" a="1"/>
  <c r="F18" i="157" a="1"/>
  <c r="G360" i="157" a="1"/>
  <c r="H156" i="157" a="1"/>
  <c r="I204" i="157" a="1"/>
  <c r="J272" i="157" a="1"/>
  <c r="C375" i="157" a="1"/>
  <c r="F326" i="157" a="1"/>
  <c r="F204" i="157" a="1"/>
  <c r="G350" i="157" a="1"/>
  <c r="F336" i="157" a="1"/>
  <c r="D262" i="157" a="1"/>
  <c r="I277" i="157" a="1"/>
  <c r="C168" i="157" a="1"/>
  <c r="E55" i="157" a="1"/>
  <c r="I212" i="157" a="1"/>
  <c r="H378" i="157" a="1"/>
  <c r="F156" i="157" a="1"/>
  <c r="I79" i="157" a="1"/>
  <c r="J208" i="157" a="1"/>
  <c r="C94" i="157" a="1"/>
  <c r="J321" i="157" a="1"/>
  <c r="G436" i="157" a="1"/>
  <c r="J419" i="157" a="1"/>
  <c r="C315" i="157" a="1"/>
  <c r="D326" i="157" a="1"/>
  <c r="G100" i="157" a="1"/>
  <c r="G62" i="157" a="1"/>
  <c r="F69" i="157" a="1"/>
  <c r="E394" i="157" a="1"/>
  <c r="H262" i="157" a="1"/>
  <c r="J236" i="157" a="1"/>
  <c r="H400" i="157" a="1"/>
  <c r="H243" i="157" a="1"/>
  <c r="D126" i="157" a="1"/>
  <c r="H253" i="157" a="1"/>
  <c r="E312" i="157" a="1"/>
  <c r="C22" i="156" a="1"/>
  <c r="G213" i="157" a="1"/>
  <c r="H140" i="157" a="1"/>
  <c r="D222" i="157" a="1"/>
  <c r="E385" i="157" a="1"/>
  <c r="E58" i="157" a="1"/>
  <c r="E186" i="157" a="1"/>
  <c r="I168" i="157" a="1"/>
  <c r="G104" i="157" a="1"/>
  <c r="J448" i="157" a="1"/>
  <c r="I258" i="157" a="1"/>
  <c r="J113" i="157" a="1"/>
  <c r="E425" i="157" a="1"/>
  <c r="D99" i="157" a="1"/>
  <c r="C117" i="157" a="1"/>
  <c r="J82" i="157" a="1"/>
  <c r="C127" i="157" a="1"/>
  <c r="G379" i="157" a="1"/>
  <c r="C373" i="157" a="1"/>
  <c r="I62" i="157" a="1"/>
  <c r="F187" i="157" a="1"/>
  <c r="J420" i="157" a="1"/>
  <c r="E319" i="157" a="1"/>
  <c r="J245" i="157" a="1"/>
  <c r="H415" i="157" a="1"/>
  <c r="D79" i="157" a="1"/>
  <c r="I45" i="157" a="1"/>
  <c r="D293" i="157" a="1"/>
  <c r="I92" i="157" a="1"/>
  <c r="F214" i="157" a="1"/>
  <c r="J310" i="157" a="1"/>
  <c r="G415" i="157" a="1"/>
  <c r="H118" i="157" a="1"/>
  <c r="D386" i="157" a="1"/>
  <c r="G291" i="157" a="1"/>
  <c r="P10" i="120" a="1"/>
  <c r="D411" i="157" a="1"/>
  <c r="J175" i="157" a="1"/>
  <c r="E288" i="157" a="1"/>
  <c r="H59" i="157" a="1"/>
  <c r="F348" i="157" a="1"/>
  <c r="D382" i="157" a="1"/>
  <c r="F194" i="157" a="1"/>
  <c r="I220" i="157" a="1"/>
  <c r="F411" i="157" a="1"/>
  <c r="C258" i="157" a="1"/>
  <c r="I436" i="157" a="1"/>
  <c r="J259" i="157" a="1"/>
  <c r="J253" i="157" a="1"/>
  <c r="P10" i="110" a="1"/>
  <c r="D70" i="157" a="1"/>
  <c r="C173" i="157" a="1"/>
  <c r="G238" i="157" a="1"/>
  <c r="F442" i="157" a="1"/>
  <c r="J232" i="157" a="1"/>
  <c r="C15" i="157" a="1"/>
  <c r="G133" i="157" a="1"/>
  <c r="G80" i="157" a="1"/>
  <c r="C384" i="157" a="1"/>
  <c r="F337" i="157" a="1"/>
  <c r="H132" i="157" a="1"/>
  <c r="H436" i="157" a="1"/>
  <c r="D341" i="157" a="1"/>
  <c r="G460" i="157" a="1"/>
  <c r="G52" i="157" a="1"/>
  <c r="C170" i="157" a="1"/>
  <c r="I425" i="157" a="1"/>
  <c r="F74" i="157" a="1"/>
  <c r="E295" i="157" a="1"/>
  <c r="G121" i="157" a="1"/>
  <c r="E352" i="157" a="1"/>
  <c r="C84" i="157" a="1"/>
  <c r="F302" i="157" a="1"/>
  <c r="J227" i="157" a="1"/>
  <c r="E318" i="157" a="1"/>
  <c r="E37" i="157" a="1"/>
  <c r="F127" i="157" a="1"/>
  <c r="C44" i="157" a="1"/>
  <c r="G220" i="157" a="1"/>
  <c r="G250" i="157" a="1"/>
  <c r="F84" i="157" a="1"/>
  <c r="D421" i="157" a="1"/>
  <c r="C325" i="157" a="1"/>
  <c r="I239" i="157" a="1"/>
  <c r="F110" i="157" a="1"/>
  <c r="H93" i="157" a="1"/>
  <c r="H201" i="157" a="1"/>
  <c r="E123" i="157" a="1"/>
  <c r="F460" i="157" a="1"/>
  <c r="G301" i="157" a="1"/>
  <c r="I175" i="157" a="1"/>
  <c r="J365" i="157" a="1"/>
  <c r="I131" i="157" a="1"/>
  <c r="C88" i="157" a="1"/>
  <c r="F342" i="157" a="1"/>
  <c r="I402" i="157" a="1"/>
  <c r="J89" i="157" a="1"/>
  <c r="J423" i="157" a="1"/>
  <c r="F328" i="157" a="1"/>
  <c r="D136" i="157" a="1"/>
  <c r="F246" i="157" a="1"/>
  <c r="G140" i="157" a="1"/>
  <c r="C216" i="157" a="1"/>
  <c r="J280" i="157" a="1"/>
  <c r="F391" i="157" a="1"/>
  <c r="H417" i="157" a="1"/>
  <c r="G232" i="157" a="1"/>
  <c r="I163" i="157" a="1"/>
  <c r="C376" i="157" a="1"/>
  <c r="E128" i="157" a="1"/>
  <c r="H403" i="157" a="1"/>
  <c r="J353" i="157" a="1"/>
  <c r="E448" i="157" a="1"/>
  <c r="D210" i="157" a="1"/>
  <c r="J84" i="157" a="1"/>
  <c r="C276" i="157" a="1"/>
  <c r="D263" i="157" a="1"/>
  <c r="I376" i="157" a="1"/>
  <c r="E282" i="157" a="1"/>
  <c r="J11" i="157" a="1"/>
  <c r="F374" i="157" a="1"/>
  <c r="I63" i="157" a="1"/>
  <c r="J257" i="157" a="1"/>
  <c r="I393" i="157" a="1"/>
  <c r="G53" i="157" a="1"/>
  <c r="J107" i="157" a="1"/>
  <c r="I219" i="157" a="1"/>
  <c r="G150" i="157" a="1"/>
  <c r="E400" i="157" a="1"/>
  <c r="D438" i="157" a="1"/>
  <c r="F383" i="157" a="1"/>
  <c r="C49" i="157" a="1"/>
  <c r="J275" i="157" a="1"/>
  <c r="I155" i="157" a="1"/>
  <c r="E90" i="157" a="1"/>
  <c r="D423" i="157" a="1"/>
  <c r="C17" i="156" a="1"/>
  <c r="E390" i="157" a="1"/>
  <c r="J452" i="157" a="1"/>
  <c r="H61" i="157" a="1"/>
  <c r="I355" i="157" a="1"/>
  <c r="H408" i="157" a="1"/>
  <c r="I323" i="157" a="1"/>
  <c r="G126" i="157" a="1"/>
  <c r="D151" i="157" a="1"/>
  <c r="C100" i="157" a="1"/>
  <c r="E38" i="157" a="1"/>
  <c r="J428" i="157" a="1"/>
  <c r="I22" i="157" a="1"/>
  <c r="F126" i="157" a="1"/>
  <c r="J238" i="157" a="1"/>
  <c r="C289" i="157" a="1"/>
  <c r="E296" i="157" a="1"/>
  <c r="C285" i="157" a="1"/>
  <c r="E393" i="157" a="1"/>
  <c r="E458" i="157" a="1"/>
  <c r="E158" i="157" a="1"/>
  <c r="C395" i="157" a="1"/>
  <c r="C368" i="157" a="1"/>
  <c r="I10" i="157" a="1"/>
  <c r="F50" i="157" a="1"/>
  <c r="P10" i="107" a="1"/>
  <c r="F207" i="157" a="1"/>
  <c r="E245" i="157" a="1"/>
  <c r="F247" i="157" a="1"/>
  <c r="F250" i="157" a="1"/>
  <c r="J35" i="157" a="1"/>
  <c r="G122" i="157" a="1"/>
  <c r="F38" i="157" a="1"/>
  <c r="I178" i="157" a="1"/>
  <c r="G339" i="157" a="1"/>
  <c r="H239" i="157" a="1"/>
  <c r="J128" i="157" a="1"/>
  <c r="E111" i="157" a="1"/>
  <c r="J111" i="157" a="1"/>
  <c r="E118" i="157" a="1"/>
  <c r="E331" i="157" a="1"/>
  <c r="I271" i="157" a="1"/>
  <c r="G429" i="157" a="1"/>
  <c r="D240" i="157" a="1"/>
  <c r="G210" i="157" a="1"/>
  <c r="D127" i="157" a="1"/>
  <c r="J446" i="157" a="1"/>
  <c r="D101" i="157" a="1"/>
  <c r="E377" i="157" a="1"/>
  <c r="E148" i="157" a="1"/>
  <c r="G243" i="157" a="1"/>
  <c r="E404" i="157" a="1"/>
  <c r="F242" i="157" a="1"/>
  <c r="I14" i="157" a="1"/>
  <c r="H98" i="157" a="1"/>
  <c r="F93" i="157" a="1"/>
  <c r="J243" i="157" a="1"/>
  <c r="D47" i="157" a="1"/>
  <c r="C242" i="157" a="1"/>
  <c r="E438" i="157" a="1"/>
  <c r="F330" i="157" a="1"/>
  <c r="E50" i="157" a="1"/>
  <c r="C189" i="157" a="1"/>
  <c r="H25" i="157" a="1"/>
  <c r="I109" i="157" a="1"/>
  <c r="J182" i="157" a="1"/>
  <c r="D266" i="157" a="1"/>
  <c r="D377" i="157" a="1"/>
  <c r="J288" i="157" a="1"/>
  <c r="G400" i="157" a="1"/>
  <c r="H360" i="157" a="1"/>
  <c r="F120" i="157" a="1"/>
  <c r="H381" i="157" a="1"/>
  <c r="D267" i="157" a="1"/>
  <c r="C135" i="157" a="1"/>
  <c r="G365" i="157" a="1"/>
  <c r="D418" i="157" a="1"/>
  <c r="H32" i="157" a="1"/>
  <c r="J373" i="157" a="1"/>
  <c r="J15" i="157" a="1"/>
  <c r="J67" i="157" a="1"/>
  <c r="E210" i="157" a="1"/>
  <c r="F227" i="157" a="1"/>
  <c r="C58" i="157" a="1"/>
  <c r="F140" i="157" a="1"/>
  <c r="I230" i="157" a="1"/>
  <c r="J62" i="157" a="1"/>
  <c r="P10" i="144" a="1"/>
  <c r="G389" i="157" a="1"/>
  <c r="F87" i="157" a="1"/>
  <c r="G158" i="157" a="1"/>
  <c r="G325" i="157" a="1"/>
  <c r="I102" i="157" a="1"/>
  <c r="E126" i="157" a="1"/>
  <c r="C98" i="157" a="1"/>
  <c r="G88" i="157" a="1"/>
  <c r="C70" i="157" a="1"/>
  <c r="D7" i="157" a="1"/>
  <c r="G27" i="157" a="1"/>
  <c r="H302" i="157" a="1"/>
  <c r="I411" i="157" a="1"/>
  <c r="H345" i="157" a="1"/>
  <c r="H385" i="157" a="1"/>
  <c r="E256" i="157" a="1"/>
  <c r="H165" i="157" a="1"/>
  <c r="I105" i="157" a="1"/>
  <c r="I159" i="157" a="1"/>
  <c r="I133" i="157" a="1"/>
  <c r="G202" i="157" a="1"/>
  <c r="H386" i="157" a="1"/>
  <c r="F193" i="157" a="1"/>
  <c r="D169" i="157" a="1"/>
  <c r="F272" i="157" a="1"/>
  <c r="J384" i="157" a="1"/>
  <c r="F364" i="157" a="1"/>
  <c r="F321" i="157" a="1"/>
  <c r="E424" i="157" a="1"/>
  <c r="F100" i="157" a="1"/>
  <c r="C153" i="157" a="1"/>
  <c r="E83" i="157" a="1"/>
  <c r="H254" i="157" a="1"/>
  <c r="H65" i="157" a="1"/>
  <c r="E14" i="157" a="1"/>
  <c r="C181" i="157" a="1"/>
  <c r="F148" i="157" a="1"/>
  <c r="D387" i="157" a="1"/>
  <c r="D177" i="157" a="1"/>
  <c r="G267" i="157" a="1"/>
  <c r="C298" i="157" a="1"/>
  <c r="G246" i="157" a="1"/>
  <c r="H24" i="157" a="1"/>
  <c r="I37" i="157" a="1"/>
  <c r="P11" i="117" a="1"/>
  <c r="F319" i="157" a="1"/>
  <c r="G265" i="157" a="1"/>
  <c r="D229" i="157" a="1"/>
  <c r="D213" i="157" a="1"/>
  <c r="E247" i="157" a="1"/>
  <c r="F64" i="157" a="1"/>
  <c r="F29" i="157" a="1"/>
  <c r="F123" i="157" a="1"/>
  <c r="D23" i="157" a="1"/>
  <c r="E17" i="157" a="1"/>
  <c r="J362" i="157" a="1"/>
  <c r="J177" i="157" a="1"/>
  <c r="G296" i="157" a="1"/>
  <c r="G257" i="157" a="1"/>
  <c r="G51" i="157" a="1"/>
  <c r="P10" i="119" a="1"/>
  <c r="G194" i="157" a="1"/>
  <c r="G435" i="157" a="1"/>
  <c r="J189" i="157" a="1"/>
  <c r="C225" i="157" a="1"/>
  <c r="G187" i="157" a="1"/>
  <c r="H89" i="157" a="1"/>
  <c r="H56" i="157" a="1"/>
  <c r="I56" i="157" a="1"/>
  <c r="H430" i="157" a="1"/>
  <c r="H230" i="157" a="1"/>
  <c r="D233" i="157" a="1"/>
  <c r="G447" i="157" a="1"/>
  <c r="I60" i="157" a="1"/>
  <c r="C460" i="157" a="1"/>
  <c r="D53" i="157" a="1"/>
  <c r="I399" i="157" a="1"/>
  <c r="F399" i="157" a="1"/>
  <c r="F162" i="157" a="1"/>
  <c r="D335" i="157" a="1"/>
  <c r="F303" i="157" a="1"/>
  <c r="E317" i="157" a="1"/>
  <c r="E368" i="157" a="1"/>
  <c r="C281" i="157" a="1"/>
  <c r="G261" i="157" a="1"/>
  <c r="F89" i="157" a="1"/>
  <c r="F327" i="157" a="1"/>
  <c r="J453" i="157" a="1"/>
  <c r="I167" i="157" a="1"/>
  <c r="J375" i="157" a="1"/>
  <c r="G270" i="157" a="1"/>
  <c r="G449" i="157" a="1"/>
  <c r="H123" i="157" a="1"/>
  <c r="J329" i="157" a="1"/>
  <c r="H126" i="157" a="1"/>
  <c r="F218" i="157" a="1"/>
  <c r="P10" i="131" a="1"/>
  <c r="E173" i="157" a="1"/>
  <c r="C237" i="157" a="1"/>
  <c r="H309" i="157" a="1"/>
  <c r="E421" i="157" a="1"/>
  <c r="E25" i="157" a="1"/>
  <c r="E180" i="157" a="1"/>
  <c r="I222" i="157" a="1"/>
  <c r="C452" i="157" a="1"/>
  <c r="H312" i="157" a="1"/>
  <c r="G260" i="157" a="1"/>
  <c r="C67" i="157" a="1"/>
  <c r="J164" i="157" a="1"/>
  <c r="G319" i="157" a="1"/>
  <c r="E275" i="157" a="1"/>
  <c r="G172" i="157" a="1"/>
  <c r="D449" i="157" a="1"/>
  <c r="E115" i="157" a="1"/>
  <c r="H448" i="157" a="1"/>
  <c r="G234" i="157" a="1"/>
  <c r="I135" i="157" a="1"/>
  <c r="E76" i="157" a="1"/>
  <c r="P11" i="130" a="1"/>
  <c r="D257" i="157" a="1"/>
  <c r="J169" i="157" a="1"/>
  <c r="I268" i="157" a="1"/>
  <c r="E193" i="157" a="1"/>
  <c r="I359" i="157" a="1"/>
  <c r="D292" i="157" a="1"/>
  <c r="E22" i="157" a="1"/>
  <c r="E205" i="157" a="1"/>
  <c r="E250" i="157" a="1"/>
  <c r="J250" i="157" a="1"/>
  <c r="C238" i="157" a="1"/>
  <c r="E221" i="157" a="1"/>
  <c r="H449" i="157" a="1"/>
  <c r="C158" i="157" a="1"/>
  <c r="P10" i="135" a="1"/>
  <c r="C186" i="157" a="1"/>
  <c r="D460" i="157" a="1"/>
  <c r="F16" i="157" a="1"/>
  <c r="G31" i="157" a="1"/>
  <c r="C329" i="157" a="1"/>
  <c r="E214" i="157" a="1"/>
  <c r="E413" i="157" a="1"/>
  <c r="G189" i="157" a="1"/>
  <c r="D294" i="157" a="1"/>
  <c r="J330" i="157" a="1"/>
  <c r="P11" i="109" a="1"/>
  <c r="I252" i="157" a="1"/>
  <c r="C82" i="157" a="1"/>
  <c r="D399" i="157" a="1"/>
  <c r="H443" i="157" a="1"/>
  <c r="J309" i="157" a="1"/>
  <c r="G359" i="157" a="1"/>
  <c r="C174" i="157" a="1"/>
  <c r="C164" i="157" a="1"/>
  <c r="I446" i="157" a="1"/>
  <c r="I210" i="157" a="1"/>
  <c r="C422" i="157" a="1"/>
  <c r="H168" i="157" a="1"/>
  <c r="H21" i="157" a="1"/>
  <c r="E62" i="157" a="1"/>
  <c r="P11" i="131" a="1"/>
  <c r="I354" i="157" a="1"/>
  <c r="F81" i="157" a="1"/>
  <c r="D281" i="157" a="1"/>
  <c r="C205" i="157" a="1"/>
  <c r="G63" i="157" a="1"/>
  <c r="C227" i="157" a="1"/>
  <c r="G131" i="157" a="1"/>
  <c r="J137" i="157" a="1"/>
  <c r="F58" i="157" a="1"/>
  <c r="C335" i="157" a="1"/>
  <c r="C245" i="157" a="1"/>
  <c r="C132" i="157" a="1"/>
  <c r="I57" i="157" a="1"/>
  <c r="C179" i="157" a="1"/>
  <c r="H161" i="157" a="1"/>
  <c r="C305" i="157" a="1"/>
  <c r="J52" i="157" a="1"/>
  <c r="C56" i="157" a="1"/>
  <c r="H424" i="157" a="1"/>
  <c r="G442" i="157" a="1"/>
  <c r="P11" i="120" a="1"/>
  <c r="E433" i="157" a="1"/>
  <c r="H137" i="157" a="1"/>
  <c r="C47" i="157" a="1"/>
  <c r="I435" i="157" a="1"/>
  <c r="I150" i="157" a="1"/>
  <c r="J106" i="157" a="1"/>
  <c r="G328" i="157" a="1"/>
  <c r="H289" i="157" a="1"/>
  <c r="F215" i="157" a="1"/>
  <c r="I267" i="157" a="1"/>
  <c r="F129" i="157" a="1"/>
  <c r="E56" i="157" a="1"/>
  <c r="G142" i="157" a="1"/>
  <c r="D93" i="157" a="1"/>
  <c r="I87" i="157" a="1"/>
  <c r="H54" i="157" a="1"/>
  <c r="I247" i="157" a="1"/>
  <c r="I279" i="157" a="1"/>
  <c r="I101" i="157" a="1"/>
  <c r="J56" i="157" a="1"/>
  <c r="F323" i="157" a="1"/>
  <c r="F164" i="157" a="1"/>
  <c r="C424" i="157" a="1"/>
  <c r="I110" i="157" a="1"/>
  <c r="J230" i="157" a="1"/>
  <c r="J256" i="157" a="1"/>
  <c r="I221" i="157" a="1"/>
  <c r="G195" i="157" a="1"/>
  <c r="J319" i="157" a="1"/>
  <c r="G227" i="157" a="1"/>
  <c r="G461" i="157" a="1"/>
  <c r="F440" i="157" a="1"/>
  <c r="I69" i="157" a="1"/>
  <c r="E202" i="157" a="1"/>
  <c r="D207" i="157" a="1"/>
  <c r="F161" i="157" a="1"/>
  <c r="C190" i="157" a="1"/>
  <c r="D110" i="157" a="1"/>
  <c r="I32" i="157" a="1"/>
  <c r="H245" i="157" a="1"/>
  <c r="F101" i="157" a="1"/>
  <c r="P10" i="111" a="1"/>
  <c r="E379" i="157" a="1"/>
  <c r="D180" i="157" a="1"/>
  <c r="D72" i="157" a="1"/>
  <c r="F380" i="157" a="1"/>
  <c r="D364" i="157" a="1"/>
  <c r="I338" i="157" a="1"/>
  <c r="C114" i="157" a="1"/>
  <c r="J298" i="157" a="1"/>
  <c r="J334" i="157" a="1"/>
  <c r="C33" i="157" a="1"/>
  <c r="E108" i="157" a="1"/>
  <c r="D220" i="157" a="1"/>
  <c r="G322" i="157" a="1"/>
  <c r="G77" i="157" a="1"/>
  <c r="G282" i="157" a="1"/>
  <c r="C157" i="157" a="1"/>
  <c r="G455" i="157" a="1"/>
  <c r="H358" i="157" a="1"/>
  <c r="I390" i="157" a="1"/>
  <c r="D331" i="157" a="1"/>
  <c r="F310" i="157" a="1"/>
  <c r="P10" i="137" a="1"/>
  <c r="D57" i="157" a="1"/>
  <c r="C128" i="157" a="1"/>
  <c r="I127" i="157" a="1"/>
  <c r="F359" i="157" a="1"/>
  <c r="G406" i="157" a="1"/>
  <c r="H92" i="157" a="1"/>
  <c r="E232" i="157" a="1"/>
  <c r="H267" i="157" a="1"/>
  <c r="I115" i="157" a="1"/>
  <c r="H79" i="157" a="1"/>
  <c r="E207" i="157" a="1"/>
  <c r="H172" i="157" a="1"/>
  <c r="E278" i="157" a="1"/>
  <c r="E15" i="157" a="1"/>
  <c r="C34" i="157" a="1"/>
  <c r="D139" i="157" a="1"/>
  <c r="D39" i="157" a="1"/>
  <c r="H354" i="157" a="1"/>
  <c r="F240" i="157" a="1"/>
  <c r="F111" i="157" a="1"/>
  <c r="J410" i="157" a="1"/>
  <c r="J224" i="157" a="1"/>
  <c r="E375" i="157" a="1"/>
  <c r="J252" i="157" a="1"/>
  <c r="D340" i="157" a="1"/>
  <c r="C57" i="157" a="1"/>
  <c r="C420" i="157" a="1"/>
  <c r="H257" i="157" a="1"/>
  <c r="F300" i="157" a="1"/>
  <c r="H445" i="157" a="1"/>
  <c r="G45" i="157" a="1"/>
  <c r="H14" i="157" a="1"/>
  <c r="G292" i="157" a="1"/>
  <c r="C66" i="157" a="1"/>
  <c r="C262" i="157" a="1"/>
  <c r="D141" i="157" a="1"/>
  <c r="E315" i="157" a="1"/>
  <c r="G134" i="157" a="1"/>
  <c r="E263" i="157" a="1"/>
  <c r="I275" i="157" a="1"/>
  <c r="F454" i="157" a="1"/>
  <c r="H240" i="157" a="1"/>
  <c r="G128" i="157" a="1"/>
  <c r="D339" i="157" a="1"/>
  <c r="C337" i="157" a="1"/>
  <c r="F361" i="157" a="1"/>
  <c r="C160" i="157" a="1"/>
  <c r="E248" i="157" a="1"/>
  <c r="P11" i="149" a="1"/>
  <c r="C409" i="157" a="1"/>
  <c r="J320" i="157" a="1"/>
  <c r="P11" i="143" a="1"/>
  <c r="H189" i="157" a="1"/>
  <c r="C387" i="157" a="1"/>
  <c r="C406" i="157" a="1"/>
  <c r="D209" i="157" a="1"/>
  <c r="E224" i="157" a="1"/>
  <c r="I377" i="157" a="1"/>
  <c r="C433" i="157" a="1"/>
  <c r="D130" i="157" a="1"/>
  <c r="I47" i="157" a="1"/>
  <c r="J443" i="157" a="1"/>
  <c r="G111" i="157" a="1"/>
  <c r="F343" i="157" a="1"/>
  <c r="G426" i="157" a="1"/>
  <c r="H147" i="157" a="1"/>
  <c r="G252" i="157" a="1"/>
  <c r="G49" i="157" a="1"/>
  <c r="F429" i="157" a="1"/>
  <c r="G86" i="157" a="1"/>
  <c r="C212" i="157" a="1"/>
  <c r="G271" i="157" a="1"/>
  <c r="I418" i="157" a="1"/>
  <c r="J48" i="157" a="1"/>
  <c r="H105" i="157" a="1"/>
  <c r="C22" i="157" a="1"/>
  <c r="H427" i="157" a="1"/>
  <c r="C26" i="157" a="1"/>
  <c r="I118" i="157" a="1"/>
  <c r="E79" i="157" a="1"/>
  <c r="E372" i="157" a="1"/>
  <c r="F230" i="157" a="1"/>
  <c r="D91" i="157" a="1"/>
  <c r="D125" i="157" a="1"/>
  <c r="J40" i="157" a="1"/>
  <c r="I242" i="157" a="1"/>
  <c r="D255" i="157" a="1"/>
  <c r="C50" i="157" a="1"/>
  <c r="H451" i="157" a="1"/>
  <c r="I366" i="157" a="1"/>
  <c r="E269" i="157" a="1"/>
  <c r="D299" i="157" a="1"/>
  <c r="J58" i="157" a="1"/>
  <c r="D124" i="157" a="1"/>
  <c r="I203" i="157" a="1"/>
  <c r="G390" i="157" a="1"/>
  <c r="E57" i="157" a="1"/>
  <c r="D429" i="157" a="1"/>
  <c r="F340" i="157" a="1"/>
  <c r="H199" i="157" a="1"/>
  <c r="F234" i="157" a="1"/>
  <c r="H47" i="157" a="1"/>
  <c r="D226" i="157" a="1"/>
  <c r="G12" i="157" a="1"/>
  <c r="H195" i="157" a="1"/>
  <c r="D408" i="157" a="1"/>
  <c r="D274" i="157" a="1"/>
  <c r="E236" i="157" a="1"/>
  <c r="D453" i="157" a="1"/>
  <c r="E32" i="157" a="1"/>
  <c r="I455" i="157" a="1"/>
  <c r="G103" i="157" a="1"/>
  <c r="G226" i="157" a="1"/>
  <c r="I452" i="157" a="1"/>
  <c r="F36" i="157" a="1"/>
  <c r="I227" i="157" a="1"/>
  <c r="E440" i="157" a="1"/>
  <c r="F94" i="157" a="1"/>
  <c r="G235" i="157" a="1"/>
  <c r="G340" i="157" a="1"/>
  <c r="F34" i="157" a="1"/>
  <c r="H422" i="157" a="1"/>
  <c r="F53" i="157" a="1"/>
  <c r="C184" i="157" a="1"/>
  <c r="P11" i="116" a="1"/>
  <c r="E320" i="157" a="1"/>
  <c r="I179" i="157" a="1"/>
  <c r="E406" i="157" a="1"/>
  <c r="I34" i="157" a="1"/>
  <c r="H26" i="157" a="1"/>
  <c r="F125" i="157" a="1"/>
  <c r="D325" i="157" a="1"/>
  <c r="H69" i="157" a="1"/>
  <c r="I422" i="157" a="1"/>
  <c r="D14" i="157" a="1"/>
  <c r="J118" i="157" a="1"/>
  <c r="E409" i="157" a="1"/>
  <c r="F338" i="157" a="1"/>
  <c r="F200" i="157" a="1"/>
  <c r="C78" i="157" a="1"/>
  <c r="G452" i="157" a="1"/>
  <c r="F308" i="157" a="1"/>
  <c r="C453" i="157" a="1"/>
  <c r="P11" i="119" a="1"/>
  <c r="D300" i="157" a="1"/>
  <c r="G397" i="157" a="1"/>
  <c r="I256" i="157" a="1"/>
  <c r="P11" i="135" a="1"/>
  <c r="H238" i="157" a="1"/>
  <c r="E138" i="157" a="1"/>
  <c r="F235" i="157" a="1"/>
  <c r="H191" i="157" a="1"/>
  <c r="E170" i="157" a="1"/>
  <c r="E371" i="157" a="1"/>
  <c r="F298" i="157" a="1"/>
  <c r="J391" i="157" a="1"/>
  <c r="H217" i="157" a="1"/>
  <c r="I453" i="157" a="1"/>
  <c r="H204" i="157" a="1"/>
  <c r="F26" i="157" a="1"/>
  <c r="F314" i="157" a="1"/>
  <c r="G258" i="157" a="1"/>
  <c r="E125" i="157" a="1"/>
  <c r="H143" i="157" a="1"/>
  <c r="J212" i="157" a="1"/>
  <c r="I190" i="157" a="1"/>
  <c r="D284" i="157" a="1"/>
  <c r="E330" i="157" a="1"/>
  <c r="P10" i="152" a="1"/>
  <c r="D123" i="157" a="1"/>
  <c r="I395" i="157" a="1"/>
  <c r="D401" i="157" a="1"/>
  <c r="D114" i="157" a="1"/>
  <c r="J379" i="157" a="1"/>
  <c r="F43" i="157" a="1"/>
  <c r="I368" i="157" a="1"/>
  <c r="H349" i="157" a="1"/>
  <c r="D442" i="157" a="1"/>
  <c r="G188" i="157" a="1"/>
  <c r="F445" i="157" a="1"/>
  <c r="I154" i="157" a="1"/>
  <c r="D12" i="157" a="1"/>
  <c r="G413" i="157" a="1"/>
  <c r="H334" i="157" a="1"/>
  <c r="C352" i="157" a="1"/>
  <c r="F249" i="157" a="1"/>
  <c r="C374" i="157" a="1"/>
  <c r="C85" i="157" a="1"/>
  <c r="E229" i="157" a="1"/>
  <c r="D445" i="157" a="1"/>
  <c r="D68" i="157" a="1"/>
  <c r="P10" i="149" a="1"/>
  <c r="H337" i="157" a="1"/>
  <c r="J129" i="157" a="1"/>
  <c r="F424" i="157" a="1"/>
  <c r="J291" i="157" a="1"/>
  <c r="G281" i="157" a="1"/>
  <c r="E453" i="157" a="1"/>
  <c r="F400" i="157" a="1"/>
  <c r="J328" i="157" a="1"/>
  <c r="H227" i="157" a="1"/>
  <c r="E376" i="157" a="1"/>
  <c r="F67" i="157" a="1"/>
  <c r="G130" i="157" a="1"/>
  <c r="E362" i="157" a="1"/>
  <c r="P11" i="146" a="1"/>
  <c r="I76" i="157" a="1"/>
  <c r="G101" i="157" a="1"/>
  <c r="D49" i="157" a="1"/>
  <c r="H278" i="157" a="1"/>
  <c r="F72" i="157" a="1"/>
  <c r="E383" i="157" a="1"/>
  <c r="E336" i="157" a="1"/>
  <c r="E449" i="157" a="1"/>
  <c r="C9" i="157" a="1"/>
  <c r="I100" i="157" a="1"/>
  <c r="C280" i="157" a="1"/>
  <c r="I373" i="157" a="1"/>
  <c r="C378" i="157" a="1"/>
  <c r="G434" i="157" a="1"/>
  <c r="I337" i="157" a="1"/>
  <c r="H419" i="157" a="1"/>
  <c r="C221" i="157" a="1"/>
  <c r="D440" i="157" a="1"/>
  <c r="F362" i="157" a="1"/>
  <c r="C203" i="157" a="1"/>
  <c r="G275" i="157" a="1"/>
  <c r="E283" i="157" a="1"/>
  <c r="G15" i="157" a="1"/>
  <c r="J392" i="157" a="1"/>
  <c r="E333" i="157" a="1"/>
  <c r="C340" i="157" a="1"/>
  <c r="J359" i="157" a="1"/>
  <c r="G181" i="157" a="1"/>
  <c r="H324" i="157" a="1"/>
  <c r="G26" i="157" a="1"/>
  <c r="H81" i="157" a="1"/>
  <c r="G74" i="157" a="1"/>
  <c r="J265" i="157" a="1"/>
  <c r="H390" i="157" a="1"/>
  <c r="C16" i="156" a="1"/>
  <c r="H18" i="157" a="1"/>
  <c r="D279" i="157" a="1"/>
  <c r="J422" i="157" a="1"/>
  <c r="J235" i="157" a="1"/>
  <c r="I322" i="157" a="1"/>
  <c r="H265" i="157" a="1"/>
  <c r="I71" i="157" a="1"/>
  <c r="D397" i="157" a="1"/>
  <c r="H186" i="157" a="1"/>
  <c r="I238" i="157" a="1"/>
  <c r="E122" i="157" a="1"/>
  <c r="H185" i="157" a="1"/>
  <c r="E110" i="157" a="1"/>
  <c r="J160" i="157" a="1"/>
  <c r="C13" i="157" a="1"/>
  <c r="D249" i="157" a="1"/>
  <c r="H17" i="157" a="1"/>
  <c r="J99" i="157" a="1"/>
  <c r="I330" i="157" a="1"/>
  <c r="G55" i="157" a="1"/>
  <c r="C354" i="157" a="1"/>
  <c r="J81" i="157" a="1"/>
  <c r="F426" i="157" a="1"/>
  <c r="H323" i="157" a="1"/>
  <c r="G428" i="157" a="1"/>
  <c r="I58" i="157" a="1"/>
  <c r="P10" i="108" a="1"/>
  <c r="F12" i="157" a="1"/>
  <c r="J437" i="157" a="1"/>
  <c r="D298" i="157" a="1"/>
  <c r="F299" i="157" a="1"/>
  <c r="J436" i="157" a="1"/>
  <c r="D303" i="157" a="1"/>
  <c r="I270" i="157" a="1"/>
  <c r="C165" i="157" a="1"/>
  <c r="C355" i="157" a="1"/>
  <c r="J429" i="157" a="1"/>
  <c r="D195" i="157" a="1"/>
  <c r="H71" i="157" a="1"/>
  <c r="D307" i="157" a="1"/>
  <c r="C271" i="157" a="1"/>
  <c r="E45" i="157" a="1"/>
  <c r="J213" i="157" a="1"/>
  <c r="D345" i="157" a="1"/>
  <c r="J188" i="157" a="1"/>
  <c r="C254" i="157" a="1"/>
  <c r="E334" i="157" a="1"/>
  <c r="E133" i="157" a="1"/>
  <c r="H33" i="157" a="1"/>
  <c r="J447" i="157" a="1"/>
  <c r="F237" i="157" a="1"/>
  <c r="G255" i="157" a="1"/>
  <c r="E136" i="157" a="1"/>
  <c r="G346" i="157" a="1"/>
  <c r="I364" i="157" a="1"/>
  <c r="F286" i="157" a="1"/>
  <c r="E91" i="157" a="1"/>
  <c r="E61" i="157" a="1"/>
  <c r="D208" i="157" a="1"/>
  <c r="F346" i="157" a="1"/>
  <c r="F20" i="157" a="1"/>
  <c r="I343" i="157" a="1"/>
  <c r="D71" i="157" a="1"/>
  <c r="H176" i="157" a="1"/>
  <c r="H442" i="157" a="1"/>
  <c r="J221" i="157" a="1"/>
  <c r="C92" i="157" a="1"/>
  <c r="C338" i="157" a="1"/>
  <c r="J347" i="157" a="1"/>
  <c r="G355" i="157" a="1"/>
  <c r="F136" i="157" a="1"/>
  <c r="H198" i="157" a="1"/>
  <c r="H52" i="157" a="1"/>
  <c r="J282" i="157" a="1"/>
  <c r="E165" i="157" a="1"/>
  <c r="E130" i="157" a="1"/>
  <c r="I253" i="157" a="1"/>
  <c r="E242" i="157" a="1"/>
  <c r="H351" i="157" a="1"/>
  <c r="D26" i="157" a="1"/>
  <c r="J179" i="157" a="1"/>
  <c r="E402" i="157" a="1"/>
  <c r="J23" i="157" a="1"/>
  <c r="D302" i="157" a="1"/>
  <c r="I153" i="157" a="1"/>
  <c r="J133" i="157" a="1"/>
  <c r="I103" i="157" a="1"/>
  <c r="F122" i="157" a="1"/>
  <c r="I129" i="157" a="1"/>
  <c r="J388" i="157" a="1"/>
  <c r="C346" i="157" a="1"/>
  <c r="I313" i="157" a="1"/>
  <c r="I202" i="157" a="1"/>
  <c r="D315" i="157" a="1"/>
  <c r="J367" i="157" a="1"/>
  <c r="F379" i="157" a="1"/>
  <c r="H376" i="157" a="1"/>
  <c r="P10" i="121" a="1"/>
  <c r="G50" i="157" a="1"/>
  <c r="F166" i="157" a="1"/>
  <c r="I53" i="157" a="1"/>
  <c r="D95" i="157" a="1"/>
  <c r="H315" i="157" a="1"/>
  <c r="P11" i="124" a="1"/>
  <c r="D231" i="157" a="1"/>
  <c r="C372" i="157" a="1"/>
  <c r="C234" i="157" a="1"/>
  <c r="F406" i="157" a="1"/>
  <c r="G208" i="157" a="1"/>
  <c r="C396" i="157" a="1"/>
  <c r="F113" i="157" a="1"/>
  <c r="E309" i="157" a="1"/>
  <c r="I157" i="157" a="1"/>
  <c r="D243" i="157" a="1"/>
  <c r="F108" i="157" a="1"/>
  <c r="I430" i="157" a="1"/>
  <c r="J269" i="157" a="1"/>
  <c r="D245" i="157" a="1"/>
  <c r="E31" i="157" a="1"/>
  <c r="I134" i="157" a="1"/>
  <c r="J326" i="157" a="1"/>
  <c r="D251" i="157" a="1"/>
  <c r="D323" i="157" a="1"/>
  <c r="H46" i="157" a="1"/>
  <c r="I99" i="157" a="1"/>
  <c r="H330" i="157" a="1"/>
  <c r="E160" i="157" a="1"/>
  <c r="G159" i="157" a="1"/>
  <c r="J123" i="157" a="1"/>
  <c r="J279" i="157" a="1"/>
  <c r="J162" i="157" a="1"/>
  <c r="I327" i="157" a="1"/>
  <c r="G67" i="157" a="1"/>
  <c r="P11" i="152" a="1"/>
  <c r="C115" i="157" a="1"/>
  <c r="C224" i="157" a="1"/>
  <c r="E380" i="157" a="1"/>
  <c r="E415" i="157" a="1"/>
  <c r="I137" i="157" a="1"/>
  <c r="C155" i="157" a="1"/>
  <c r="H44" i="157" a="1"/>
  <c r="E27" i="157" a="1"/>
  <c r="I193" i="157" a="1"/>
  <c r="H370" i="157" a="1"/>
  <c r="C42" i="157" a="1"/>
  <c r="C178" i="157" a="1"/>
  <c r="C403" i="157" a="1"/>
  <c r="J301" i="157" a="1"/>
  <c r="E106" i="157" a="1"/>
  <c r="H9" i="157" a="1"/>
  <c r="G91" i="157" a="1"/>
  <c r="J37" i="157" a="1"/>
  <c r="I27" i="157" a="1"/>
  <c r="D9" i="157" a="1"/>
  <c r="I250" i="157" a="1"/>
  <c r="E403" i="157" a="1"/>
  <c r="D10" i="157" a="1"/>
  <c r="F423" i="157" a="1"/>
  <c r="H20" i="157" a="1"/>
  <c r="H294" i="157" a="1"/>
  <c r="F273" i="157" a="1"/>
  <c r="H460" i="157" a="1"/>
  <c r="F251" i="157" a="1"/>
  <c r="E206" i="157" a="1"/>
  <c r="E358" i="157" a="1"/>
  <c r="J83" i="157" a="1"/>
  <c r="H152" i="157" a="1"/>
  <c r="G273" i="157" a="1"/>
  <c r="C202" i="157" a="1"/>
  <c r="F265" i="157" a="1"/>
  <c r="P10" i="128" a="1"/>
  <c r="H76" i="157" a="1"/>
  <c r="H67" i="157" a="1"/>
  <c r="C461" i="157" a="1"/>
  <c r="H252" i="157" a="1"/>
  <c r="D246" i="157" a="1"/>
  <c r="C240" i="157" a="1"/>
  <c r="D344" i="157" a="1"/>
  <c r="G217" i="157" a="1"/>
  <c r="G22" i="157" a="1"/>
  <c r="F168" i="157" a="1"/>
  <c r="H276" i="157" a="1"/>
  <c r="F260" i="157" a="1"/>
  <c r="G171" i="157" a="1"/>
  <c r="D78" i="157" a="1"/>
  <c r="E341" i="157" a="1"/>
  <c r="C104" i="157" a="1"/>
  <c r="I319" i="157" a="1"/>
  <c r="I317" i="157" a="1"/>
  <c r="D396" i="157" a="1"/>
  <c r="C156" i="157" a="1"/>
  <c r="J348" i="157" a="1"/>
  <c r="E274" i="157" a="1"/>
  <c r="C290" i="157" a="1"/>
  <c r="F377" i="157" a="1"/>
  <c r="F103" i="157" a="1"/>
  <c r="G95" i="157" a="1"/>
  <c r="J193" i="157" a="1"/>
  <c r="G310" i="157" a="1"/>
  <c r="F373" i="157" a="1"/>
  <c r="I113" i="157" a="1"/>
  <c r="J205" i="157" a="1"/>
  <c r="H382" i="157" a="1"/>
  <c r="D241" i="157" a="1"/>
  <c r="P11" i="129" a="1"/>
  <c r="C95" i="157" a="1"/>
  <c r="F368" i="157" a="1"/>
  <c r="D316" i="157" a="1"/>
  <c r="G410" i="157" a="1"/>
  <c r="F294" i="157" a="1"/>
  <c r="E18" i="157" a="1"/>
  <c r="I216" i="157" a="1"/>
  <c r="H328" i="157" a="1"/>
  <c r="F154" i="157" a="1"/>
  <c r="I349" i="157" a="1"/>
  <c r="C126" i="157" a="1"/>
  <c r="F239" i="157" a="1"/>
  <c r="F137" i="157" a="1"/>
  <c r="I80" i="157" a="1"/>
  <c r="I344" i="157" a="1"/>
  <c r="C130" i="157" a="1"/>
  <c r="E59" i="157" a="1"/>
  <c r="I301" i="157" a="1"/>
  <c r="I367" i="157" a="1"/>
  <c r="G44" i="157" a="1"/>
  <c r="H452" i="157" a="1"/>
  <c r="I224" i="157" a="1"/>
  <c r="H318" i="157" a="1"/>
  <c r="E359" i="157" a="1"/>
  <c r="G71" i="157" a="1"/>
  <c r="C134" i="157" a="1"/>
  <c r="F461" i="157" a="1"/>
  <c r="C136" i="157" a="1"/>
  <c r="D368" i="157" a="1"/>
  <c r="G302" i="157" a="1"/>
  <c r="C109" i="157" a="1"/>
  <c r="I91" i="157" a="1"/>
  <c r="E327" i="157" a="1"/>
  <c r="C437" i="157" a="1"/>
  <c r="E201" i="157" a="1"/>
  <c r="G138" i="157" a="1"/>
  <c r="D160" i="157" a="1"/>
  <c r="I294" i="157" a="1"/>
  <c r="J34" i="157" a="1"/>
  <c r="I310" i="157" a="1"/>
  <c r="D154" i="157" a="1"/>
  <c r="I378" i="157" a="1"/>
  <c r="I372" i="157" a="1"/>
  <c r="J112" i="157" a="1"/>
  <c r="F88" i="157" a="1"/>
  <c r="J64" i="157" a="1"/>
  <c r="J459" i="157" a="1"/>
  <c r="J368" i="157" a="1"/>
  <c r="G10" i="157" a="1"/>
  <c r="E452" i="157" a="1"/>
  <c r="I169" i="157" a="1"/>
  <c r="C20" i="157" a="1"/>
  <c r="J32" i="157" a="1"/>
  <c r="C252" i="157" a="1"/>
  <c r="I449" i="157" a="1"/>
  <c r="F185" i="157" a="1"/>
  <c r="G9" i="157" a="1"/>
  <c r="F66" i="157" a="1"/>
  <c r="J122" i="157" a="1"/>
  <c r="F306" i="157" a="1"/>
  <c r="P11" i="147" a="1"/>
  <c r="E41" i="157" a="1"/>
  <c r="E228" i="157" a="1"/>
  <c r="E456" i="157" a="1"/>
  <c r="C379" i="157" a="1"/>
  <c r="G439" i="157" a="1"/>
  <c r="F396" i="157" a="1"/>
  <c r="G438" i="157" a="1"/>
  <c r="D152" i="157" a="1"/>
  <c r="G298" i="157" a="1"/>
  <c r="D20" i="157" a="1"/>
  <c r="D250" i="157" a="1"/>
  <c r="I299" i="157" a="1"/>
  <c r="C295" i="157" a="1"/>
  <c r="G376" i="157" a="1"/>
  <c r="F23" i="157" a="1"/>
  <c r="E141" i="157" a="1"/>
  <c r="C401" i="157" a="1"/>
  <c r="D165" i="157" a="1"/>
  <c r="D395" i="157" a="1"/>
  <c r="E119" i="157" a="1"/>
  <c r="I312" i="157" a="1"/>
  <c r="D437" i="157" a="1"/>
  <c r="H63" i="157" a="1"/>
  <c r="J323" i="157" a="1"/>
  <c r="J445" i="157" a="1"/>
  <c r="C144" i="157" a="1"/>
  <c r="J297" i="157" a="1"/>
  <c r="G18" i="157" a="1"/>
  <c r="D273" i="157" a="1"/>
  <c r="D319" i="157" a="1"/>
  <c r="I123" i="157" a="1"/>
  <c r="J254" i="157" a="1"/>
  <c r="H244" i="157" a="1"/>
  <c r="I374" i="157" a="1"/>
  <c r="H187" i="157" a="1"/>
  <c r="E117" i="157" a="1"/>
  <c r="C45" i="157" a="1"/>
  <c r="C125" i="157" a="1"/>
  <c r="G320" i="157" a="1"/>
  <c r="J203" i="157" a="1"/>
  <c r="D128" i="157" a="1"/>
  <c r="I276" i="157" a="1"/>
  <c r="J339" i="157" a="1"/>
  <c r="D167" i="157" a="1"/>
  <c r="C148" i="157" a="1"/>
  <c r="I21" i="157" a="1"/>
  <c r="F91" i="157" a="1"/>
  <c r="F212" i="157" a="1"/>
  <c r="F401" i="157" a="1"/>
  <c r="G205" i="157" a="1"/>
  <c r="C428" i="157" a="1"/>
  <c r="D185" i="157" a="1"/>
  <c r="D406" i="157" a="1"/>
  <c r="D350" i="157" a="1"/>
  <c r="J159" i="157" a="1"/>
  <c r="D346" i="157" a="1"/>
  <c r="P10" i="146" a="1"/>
  <c r="J180" i="157" a="1"/>
  <c r="E215" i="157" a="1"/>
  <c r="D144" i="157" a="1"/>
  <c r="E241" i="157" a="1"/>
  <c r="I353" i="157" a="1"/>
  <c r="C201" i="157" a="1"/>
  <c r="D87" i="157" a="1"/>
  <c r="D363" i="157" a="1"/>
  <c r="J211" i="157" a="1"/>
  <c r="E96" i="157" a="1"/>
  <c r="H431" i="157" a="1"/>
  <c r="F170" i="157" a="1"/>
  <c r="C141" i="157" a="1"/>
  <c r="H171" i="157" a="1"/>
  <c r="E397" i="157" a="1"/>
  <c r="I320" i="157" a="1"/>
  <c r="I93" i="157" a="1"/>
  <c r="H258" i="157" a="1"/>
  <c r="G386" i="157" a="1"/>
  <c r="C162" i="157" a="1"/>
  <c r="E447" i="157" a="1"/>
  <c r="F409" i="157" a="1"/>
  <c r="G362" i="157" a="1"/>
  <c r="I388" i="157" a="1"/>
  <c r="G97" i="157" a="1"/>
  <c r="G14" i="157" a="1"/>
  <c r="F316" i="157" a="1"/>
  <c r="G414" i="157" a="1"/>
  <c r="H433" i="157" a="1"/>
  <c r="I318" i="157" a="1"/>
  <c r="C430" i="157" a="1"/>
  <c r="H292" i="157" a="1"/>
  <c r="C291" i="157" a="1"/>
  <c r="D259" i="157" a="1"/>
  <c r="D179" i="157" a="1"/>
  <c r="E461" i="157" a="1"/>
  <c r="D391" i="157" a="1"/>
  <c r="F425" i="157" a="1"/>
  <c r="I326" i="157" a="1"/>
  <c r="D412" i="157" a="1"/>
  <c r="F175" i="157" a="1"/>
  <c r="F25" i="157" a="1"/>
  <c r="I106" i="157" a="1"/>
  <c r="E92" i="157" a="1"/>
  <c r="F285" i="157" a="1"/>
  <c r="H409" i="157" a="1"/>
  <c r="J306" i="157" a="1"/>
  <c r="G305" i="157" a="1"/>
  <c r="J305" i="157" a="1"/>
  <c r="D25" i="157" a="1"/>
  <c r="C110" i="157" a="1"/>
  <c r="C119" i="157" a="1"/>
  <c r="C11" i="157" a="1"/>
  <c r="E427" i="157" a="1"/>
  <c r="G286" i="157" a="1"/>
  <c r="J441" i="157" a="1"/>
  <c r="D313" i="157" a="1"/>
  <c r="C247" i="157" a="1"/>
  <c r="F95" i="157" a="1"/>
  <c r="D456" i="157" a="1"/>
  <c r="G458" i="157" a="1"/>
  <c r="H183" i="157" a="1"/>
  <c r="C397" i="157" a="1"/>
  <c r="J449" i="157" a="1"/>
  <c r="G318" i="157" a="1"/>
  <c r="H398" i="157" a="1"/>
  <c r="E64" i="157" a="1"/>
  <c r="C167" i="157" a="1"/>
  <c r="H275" i="157" a="1"/>
  <c r="C383" i="157" a="1"/>
  <c r="C142" i="157" a="1"/>
  <c r="F167" i="157" a="1"/>
  <c r="D296" i="157" a="1"/>
  <c r="I389" i="157" a="1"/>
  <c r="C421" i="157" a="1"/>
  <c r="G366" i="157" a="1"/>
  <c r="H407" i="157" a="1"/>
  <c r="C6" i="157" a="1"/>
  <c r="C217" i="157" a="1"/>
  <c r="C195" i="157" a="1"/>
  <c r="F275" i="157" a="1"/>
  <c r="C438" i="157" a="1"/>
  <c r="I164" i="157" a="1"/>
  <c r="G169" i="157" a="1"/>
  <c r="C321" i="157" a="1"/>
  <c r="E86" i="157" a="1"/>
  <c r="D351" i="157" a="1"/>
  <c r="E23" i="157" a="1"/>
  <c r="D170" i="157" a="1"/>
  <c r="D67" i="157" a="1"/>
  <c r="D448" i="157" a="1"/>
  <c r="E419" i="157" a="1"/>
  <c r="D119" i="157" a="1"/>
  <c r="G178" i="157" a="1"/>
  <c r="F155" i="157" a="1"/>
  <c r="E234" i="157" a="1"/>
  <c r="E159" i="157" a="1"/>
  <c r="C108" i="157" a="1"/>
  <c r="H298" i="157" a="1"/>
  <c r="C265" i="157" a="1"/>
  <c r="D61" i="157" a="1"/>
  <c r="J290" i="157" a="1"/>
  <c r="G249" i="157" a="1"/>
  <c r="I77" i="157" a="1"/>
  <c r="H210" i="157" a="1"/>
  <c r="F181" i="157" a="1"/>
  <c r="C432" i="157" a="1"/>
  <c r="F192" i="157" a="1"/>
  <c r="P11" i="148" a="1"/>
  <c r="J24" i="157" a="1"/>
  <c r="F395" i="157" a="1"/>
  <c r="C272" i="157" a="1"/>
  <c r="J163" i="157" a="1"/>
  <c r="F270" i="157" a="1"/>
  <c r="G37" i="157" a="1"/>
  <c r="G332" i="157" a="1"/>
  <c r="H120" i="157" a="1"/>
  <c r="J432" i="157" a="1"/>
  <c r="E93" i="157" a="1"/>
  <c r="I290" i="157" a="1"/>
  <c r="F190" i="157" a="1"/>
  <c r="J7" i="157" a="1"/>
  <c r="E324" i="157" a="1"/>
  <c r="E395" i="157" a="1"/>
  <c r="F304" i="157" a="1"/>
  <c r="C40" i="157" a="1"/>
  <c r="C192" i="157" a="1"/>
  <c r="D459" i="157" a="1"/>
  <c r="D149" i="157" a="1"/>
  <c r="H279" i="157" a="1"/>
  <c r="F182" i="157" a="1"/>
  <c r="G259" i="157" a="1"/>
  <c r="G75" i="157" a="1"/>
  <c r="F427" i="157" a="1"/>
  <c r="P11" i="153" a="1"/>
  <c r="E348" i="157" a="1"/>
  <c r="E339" i="157" a="1"/>
  <c r="J170" i="157" a="1"/>
  <c r="E361" i="157" a="1"/>
  <c r="F365" i="157" a="1"/>
  <c r="J119" i="157" a="1"/>
  <c r="C388" i="157" a="1"/>
  <c r="P11" i="121" a="1"/>
  <c r="D59" i="157" a="1"/>
  <c r="H141" i="157" a="1"/>
  <c r="H219" i="157" a="1"/>
  <c r="H373" i="157" a="1"/>
  <c r="G229" i="157" a="1"/>
  <c r="E145" i="157" a="1"/>
  <c r="E270" i="157" a="1"/>
  <c r="D291" i="157" a="1"/>
  <c r="F376" i="157" a="1"/>
  <c r="H58" i="157" a="1"/>
  <c r="F131" i="157" a="1"/>
  <c r="G23" i="157" a="1"/>
  <c r="F135" i="157" a="1"/>
  <c r="E381" i="157" a="1"/>
  <c r="C343" i="157" a="1"/>
  <c r="J456" i="157" a="1"/>
  <c r="G361" i="157" a="1"/>
  <c r="C75" i="157" a="1"/>
  <c r="J267" i="157" a="1"/>
  <c r="F114" i="157" a="1"/>
  <c r="C71" i="157" a="1"/>
  <c r="H271" i="157" a="1"/>
  <c r="H72" i="157" a="1"/>
  <c r="C278" i="157" a="1"/>
  <c r="C439" i="157" a="1"/>
  <c r="I191" i="157" a="1"/>
  <c r="H363" i="157" a="1"/>
  <c r="E273" i="157" a="1"/>
  <c r="J132" i="157" a="1"/>
  <c r="I74" i="157" a="1"/>
  <c r="F356" i="157" a="1"/>
  <c r="C318" i="157" a="1"/>
  <c r="D409" i="157" a="1"/>
  <c r="G102" i="157" a="1"/>
  <c r="C390" i="157" a="1"/>
  <c r="C251" i="157" a="1"/>
  <c r="G304" i="157" a="1"/>
  <c r="J416" i="157" a="1"/>
  <c r="G60" i="157" a="1"/>
  <c r="C286" i="157" a="1"/>
  <c r="H50" i="157" a="1"/>
  <c r="C220" i="157" a="1"/>
  <c r="G396" i="157" a="1"/>
  <c r="E451" i="157" a="1"/>
  <c r="D320" i="157" a="1"/>
  <c r="H170" i="157" a="1"/>
  <c r="H179" i="157" a="1"/>
  <c r="I89" i="157" a="1"/>
  <c r="C209" i="157" a="1"/>
  <c r="D63" i="157" a="1"/>
  <c r="H256" i="157" a="1"/>
  <c r="H222" i="157" a="1"/>
  <c r="G141" i="157" a="1"/>
  <c r="G228" i="157" a="1"/>
  <c r="E114" i="157" a="1"/>
  <c r="E26" i="157" a="1"/>
  <c r="C307" i="157" a="1"/>
  <c r="D458" i="157" a="1"/>
  <c r="H368" i="157" a="1"/>
  <c r="H125" i="157" a="1"/>
  <c r="E258" i="157" a="1"/>
  <c r="J426" i="157" a="1"/>
  <c r="C260" i="157" a="1"/>
  <c r="D265" i="157" a="1"/>
  <c r="E196" i="157" a="1"/>
  <c r="E155" i="157" a="1"/>
  <c r="J322" i="157" a="1"/>
  <c r="J317" i="157" a="1"/>
  <c r="H308" i="157" a="1"/>
  <c r="J395" i="157" a="1"/>
  <c r="E277" i="157" a="1"/>
  <c r="E35" i="157" a="1"/>
  <c r="I289" i="157" a="1"/>
  <c r="I348" i="157" a="1"/>
  <c r="E238" i="157" a="1"/>
  <c r="I183" i="157" a="1"/>
  <c r="C431" i="157" a="1"/>
  <c r="D357" i="157" a="1"/>
  <c r="G351" i="157" a="1"/>
  <c r="C232" i="157" a="1"/>
  <c r="J131" i="157" a="1"/>
  <c r="F422" i="157" a="1"/>
  <c r="I236" i="157" a="1"/>
  <c r="F324" i="157" a="1"/>
  <c r="D33" i="157" a="1"/>
  <c r="E445" i="157" a="1"/>
  <c r="P11" i="133" a="1"/>
  <c r="G391" i="157" a="1"/>
  <c r="G224" i="157" a="1"/>
  <c r="C59" i="157" a="1"/>
  <c r="H214" i="157" a="1"/>
  <c r="F22" i="157" a="1"/>
  <c r="H441" i="157" a="1"/>
  <c r="F65" i="157" a="1"/>
  <c r="E430" i="157" a="1"/>
  <c r="I308" i="157" a="1"/>
  <c r="D143" i="157" a="1"/>
  <c r="C191" i="157" a="1"/>
  <c r="G358" i="157" a="1"/>
  <c r="H383" i="157" a="1"/>
  <c r="H303" i="157" a="1"/>
  <c r="H404" i="157" a="1"/>
  <c r="C414" i="157" a="1"/>
  <c r="E302" i="157" a="1"/>
  <c r="D349" i="157" a="1"/>
  <c r="D105" i="157" a="1"/>
  <c r="C43" i="157" a="1"/>
  <c r="E112" i="157" a="1"/>
  <c r="H413" i="157" a="1"/>
  <c r="H73" i="157" a="1"/>
  <c r="H90" i="157" a="1"/>
  <c r="H226" i="157" a="1"/>
  <c r="F433" i="157" a="1"/>
  <c r="H429" i="157" a="1"/>
  <c r="C310" i="157" a="1"/>
  <c r="D137" i="157" a="1"/>
  <c r="D148" i="157" a="1"/>
  <c r="C193" i="157" a="1"/>
  <c r="D355" i="157" a="1"/>
  <c r="I458" i="157" a="1"/>
  <c r="G295" i="157" a="1"/>
  <c r="I177" i="157" a="1"/>
  <c r="G348" i="157" a="1"/>
  <c r="G223" i="157" a="1"/>
  <c r="C312" i="157" a="1"/>
  <c r="E113" i="157" a="1"/>
  <c r="C319" i="157" a="1"/>
  <c r="C370" i="157" a="1"/>
  <c r="D367" i="157" a="1"/>
  <c r="H314" i="157" a="1"/>
  <c r="D77" i="157" a="1"/>
  <c r="G336" i="157" a="1"/>
  <c r="F102" i="157" a="1"/>
  <c r="F238" i="157" a="1"/>
  <c r="J311" i="157" a="1"/>
  <c r="F41" i="157" a="1"/>
  <c r="F305" i="157" a="1"/>
  <c r="H344" i="157" a="1"/>
  <c r="E230" i="157" a="1"/>
  <c r="F146" i="157" a="1"/>
  <c r="H10" i="157" a="1"/>
  <c r="J346" i="157" a="1"/>
  <c r="J402" i="157" a="1"/>
  <c r="G177" i="157" a="1"/>
  <c r="F288" i="157" a="1"/>
  <c r="D362" i="157" a="1"/>
  <c r="J414" i="157" a="1"/>
  <c r="G288" i="157" a="1"/>
  <c r="I209" i="157" a="1"/>
  <c r="I174" i="157" a="1"/>
  <c r="C361" i="157" a="1"/>
  <c r="G70" i="157" a="1"/>
  <c r="F144" i="157" a="1"/>
  <c r="G403" i="157" a="1"/>
  <c r="F121" i="157" a="1"/>
  <c r="H461" i="157" a="1"/>
  <c r="C331" i="157" a="1"/>
  <c r="G432" i="157" a="1"/>
  <c r="C122" i="157" a="1"/>
  <c r="I65" i="157" a="1"/>
  <c r="J109" i="157" a="1"/>
  <c r="H286" i="157" a="1"/>
  <c r="I139" i="157" a="1"/>
  <c r="I108" i="157" a="1"/>
  <c r="H283" i="157" a="1"/>
  <c r="I184" i="157" a="1"/>
  <c r="H22" i="157" a="1"/>
  <c r="J460" i="157" a="1"/>
  <c r="D276" i="157" a="1"/>
  <c r="I192" i="157" a="1"/>
  <c r="C339" i="157" a="1"/>
  <c r="J96" i="157" a="1"/>
  <c r="J398" i="157" a="1"/>
  <c r="J168" i="157" a="1"/>
  <c r="J276" i="157" a="1"/>
  <c r="E249" i="157" a="1"/>
  <c r="J136" i="157" a="1"/>
  <c r="E30" i="157" a="1"/>
  <c r="H317" i="157" a="1"/>
  <c r="C445" i="157" a="1"/>
  <c r="E306" i="157" a="1"/>
  <c r="H281" i="157" a="1"/>
  <c r="G161" i="157" a="1"/>
  <c r="H355" i="157" a="1"/>
  <c r="C434" i="157" a="1"/>
  <c r="F213" i="157" a="1"/>
  <c r="E310" i="157" a="1"/>
  <c r="F145" i="157" a="1"/>
  <c r="E365" i="157" a="1"/>
  <c r="P11" i="108" a="1"/>
  <c r="J363" i="157" a="1"/>
  <c r="G459" i="157" a="1"/>
  <c r="D191" i="157" a="1"/>
  <c r="H392" i="157" a="1"/>
  <c r="I352" i="157" a="1"/>
  <c r="I324" i="157" a="1"/>
  <c r="G307" i="157" a="1"/>
  <c r="E441" i="157" a="1"/>
  <c r="G268" i="157" a="1"/>
  <c r="I282" i="157" a="1"/>
  <c r="H333" i="157" a="1"/>
  <c r="G28" i="157" a="1"/>
  <c r="J49" i="157" a="1"/>
  <c r="E29" i="157" a="1"/>
  <c r="I144" i="157" a="1"/>
  <c r="I197" i="157" a="1"/>
  <c r="D199" i="157" a="1"/>
  <c r="J268" i="157" a="1"/>
  <c r="J371" i="157" a="1"/>
  <c r="C259" i="157" a="1"/>
  <c r="H83" i="157" a="1"/>
  <c r="F339" i="157" a="1"/>
  <c r="E311" i="157" a="1"/>
  <c r="D275" i="157" a="1"/>
  <c r="F206" i="157" a="1"/>
  <c r="I291" i="157" a="1"/>
  <c r="J427" i="157" a="1"/>
  <c r="I429" i="157" a="1"/>
  <c r="G46" i="157" a="1"/>
  <c r="I211" i="157" a="1"/>
  <c r="I49" i="157" a="1"/>
  <c r="P10" i="155" a="1"/>
  <c r="E292" i="157" a="1"/>
  <c r="D109" i="157" a="1"/>
  <c r="I19" i="157" a="1"/>
  <c r="H266" i="157" a="1"/>
  <c r="H264" i="157" a="1"/>
  <c r="F184" i="157" a="1"/>
  <c r="F363" i="157" a="1"/>
  <c r="H280" i="157" a="1"/>
  <c r="H197" i="157" a="1"/>
  <c r="I248" i="157" a="1"/>
  <c r="G155" i="157" a="1"/>
  <c r="J46" i="157" a="1"/>
  <c r="J411" i="157" a="1"/>
  <c r="F90" i="157" a="1"/>
  <c r="J78" i="157" a="1"/>
  <c r="C345" i="157" a="1"/>
  <c r="I329" i="157" a="1"/>
  <c r="J116" i="157" a="1"/>
  <c r="F42" i="157" a="1"/>
  <c r="F438" i="157" a="1"/>
  <c r="H399" i="157" a="1"/>
  <c r="J220" i="157" a="1"/>
  <c r="D17" i="156" a="1"/>
  <c r="H414" i="157" a="1"/>
  <c r="E223" i="157" a="1"/>
  <c r="D118" i="157" a="1"/>
  <c r="H103" i="157" a="1"/>
  <c r="J341" i="157" a="1"/>
  <c r="C248" i="157" a="1"/>
  <c r="C152" i="157" a="1"/>
  <c r="I97" i="157" a="1"/>
  <c r="D389" i="157" a="1"/>
  <c r="E335" i="157" a="1"/>
  <c r="D189" i="157" a="1"/>
  <c r="D425" i="157" a="1"/>
  <c r="C36" i="157" a="1"/>
  <c r="F435" i="157" a="1"/>
  <c r="I180" i="157" a="1"/>
  <c r="D31" i="157" a="1"/>
  <c r="D40" i="157" a="1"/>
  <c r="C39" i="157" a="1"/>
  <c r="I261" i="157" a="1"/>
  <c r="P11" i="106" a="1"/>
  <c r="F375" i="157" a="1"/>
  <c r="G231" i="157" a="1"/>
  <c r="J104" i="157" a="1"/>
  <c r="D223" i="157" a="1"/>
  <c r="C196" i="157" a="1"/>
  <c r="C415" i="157" a="1"/>
  <c r="C93" i="157" a="1"/>
  <c r="G308" i="157" a="1"/>
  <c r="H374" i="157" a="1"/>
  <c r="D215" i="157" a="1"/>
  <c r="F203" i="157" a="1"/>
  <c r="I340" i="157" a="1"/>
  <c r="G136" i="157" a="1"/>
  <c r="E321" i="157" a="1"/>
  <c r="P10" i="116" a="1"/>
  <c r="I280" i="157" a="1"/>
  <c r="I379" i="157" a="1"/>
  <c r="F116" i="157" a="1"/>
  <c r="I397" i="157" a="1"/>
  <c r="I229" i="157" a="1"/>
  <c r="E222" i="157" a="1"/>
  <c r="F62" i="157" a="1"/>
  <c r="H117" i="157" a="1"/>
  <c r="E347" i="157" a="1"/>
  <c r="H166" i="157" a="1"/>
  <c r="F77" i="157" a="1"/>
  <c r="D260" i="157" a="1"/>
  <c r="J342" i="157" a="1"/>
  <c r="D407" i="157" a="1"/>
  <c r="E97" i="157" a="1"/>
  <c r="I218" i="157" a="1"/>
  <c r="C296" i="157" a="1"/>
  <c r="C292" i="157" a="1"/>
  <c r="H434" i="157" a="1"/>
  <c r="D228" i="157" a="1"/>
  <c r="P11" i="123" a="1"/>
  <c r="G430" i="157" a="1"/>
  <c r="E51" i="157" a="1"/>
  <c r="G420" i="157" a="1"/>
  <c r="G94" i="157" a="1"/>
  <c r="H160" i="157" a="1"/>
  <c r="I170" i="157" a="1"/>
  <c r="D131" i="157" a="1"/>
  <c r="J249" i="157" a="1"/>
  <c r="G162" i="157" a="1"/>
  <c r="I195" i="157" a="1"/>
  <c r="G167" i="157" a="1"/>
  <c r="C371" i="157" a="1"/>
  <c r="E429" i="157" a="1"/>
  <c r="F49" i="157" a="1"/>
  <c r="E374" i="157" a="1"/>
  <c r="I33" i="157" a="1"/>
  <c r="I249" i="157" a="1"/>
  <c r="D375" i="157" a="1"/>
  <c r="F387" i="157" a="1"/>
  <c r="I64" i="157" a="1"/>
  <c r="G239" i="157" a="1"/>
  <c r="G409" i="157" a="1"/>
  <c r="J283" i="157" a="1"/>
  <c r="C301" i="157" a="1"/>
  <c r="J206" i="157" a="1"/>
  <c r="J76" i="157" a="1"/>
  <c r="H106" i="157" a="1"/>
  <c r="J294" i="157" a="1"/>
  <c r="F357" i="157" a="1"/>
  <c r="E343" i="157" a="1"/>
  <c r="D443" i="157" a="1"/>
  <c r="C29" i="157" a="1"/>
  <c r="D235" i="157" a="1"/>
  <c r="E437" i="157" a="1"/>
  <c r="P11" i="128" a="1"/>
  <c r="F253" i="157" a="1"/>
  <c r="F46" i="157" a="1"/>
  <c r="F31" i="157" a="1"/>
  <c r="F35" i="157" a="1"/>
  <c r="F118" i="157" a="1"/>
  <c r="H31" i="157" a="1"/>
  <c r="H78" i="157" a="1"/>
  <c r="J308" i="157" a="1"/>
  <c r="E460" i="157" a="1"/>
  <c r="H94" i="157" a="1"/>
  <c r="G394" i="157" a="1"/>
  <c r="C436" i="157" a="1"/>
  <c r="J233" i="157" a="1"/>
  <c r="G293" i="157" a="1"/>
  <c r="C72" i="157" a="1"/>
  <c r="E129" i="157" a="1"/>
  <c r="I403" i="157" a="1"/>
  <c r="E289" i="157" a="1"/>
  <c r="J181" i="157" a="1"/>
  <c r="P11" i="115" a="1"/>
  <c r="G427" i="157" a="1"/>
  <c r="H200" i="157" a="1"/>
  <c r="J200" i="157" a="1"/>
  <c r="E435" i="157" a="1"/>
  <c r="I380" i="157" a="1"/>
  <c r="G66" i="157" a="1"/>
  <c r="J8" i="157" a="1"/>
  <c r="C330" i="157" a="1"/>
  <c r="I356" i="157" a="1"/>
  <c r="G203" i="157" a="1"/>
  <c r="F293" i="157" a="1"/>
  <c r="J434" i="157" a="1"/>
  <c r="E328" i="157" a="1"/>
  <c r="E203" i="157" a="1"/>
  <c r="E264" i="157" a="1"/>
  <c r="I188" i="157" a="1"/>
  <c r="F402" i="157" a="1"/>
  <c r="G78" i="157" a="1"/>
  <c r="G119" i="157" a="1"/>
  <c r="J150" i="157" a="1"/>
  <c r="I186" i="157" a="1"/>
  <c r="D361" i="157" a="1"/>
  <c r="E182" i="157" a="1"/>
  <c r="G106" i="157" a="1"/>
  <c r="C23" i="156" a="1"/>
  <c r="E44" i="157" a="1"/>
  <c r="C102" i="157" a="1"/>
  <c r="E185" i="157" a="1"/>
  <c r="I396" i="157" a="1"/>
  <c r="G89" i="157" a="1"/>
  <c r="F231" i="157" a="1"/>
  <c r="F277" i="157" a="1"/>
  <c r="F61" i="157" a="1"/>
  <c r="D175" i="157" a="1"/>
  <c r="E340" i="157" a="1"/>
  <c r="F414" i="157" a="1"/>
  <c r="I360" i="157" a="1"/>
  <c r="H305" i="157" a="1"/>
  <c r="F313" i="157" a="1"/>
  <c r="C454" i="157" a="1"/>
  <c r="G114" i="157" a="1"/>
  <c r="D218" i="157" a="1"/>
  <c r="F274" i="157" a="1"/>
  <c r="D69" i="157" a="1"/>
  <c r="D322" i="157" a="1"/>
  <c r="D157" i="157" a="1"/>
  <c r="C243" i="157" a="1"/>
  <c r="D308" i="157" a="1"/>
  <c r="G416" i="157" a="1"/>
  <c r="G166" i="157" a="1"/>
  <c r="C123" i="157" a="1"/>
  <c r="C353" i="157" a="1"/>
  <c r="H111" i="157" a="1"/>
  <c r="H211" i="157" a="1"/>
  <c r="F261" i="157" a="1"/>
  <c r="C336" i="157" a="1"/>
  <c r="C412" i="157" a="1"/>
  <c r="D64" i="157" a="1"/>
  <c r="C303" i="157" a="1"/>
  <c r="I437" i="157" a="1"/>
  <c r="C326" i="157" a="1"/>
  <c r="D365" i="157" a="1"/>
  <c r="P10" i="122" a="1"/>
  <c r="G327" i="157" a="1"/>
  <c r="E262" i="157" a="1"/>
  <c r="I255" i="157" a="1"/>
  <c r="I381" i="157" a="1"/>
  <c r="I266" i="157" a="1"/>
  <c r="D336" i="157" a="1"/>
  <c r="J355" i="157" a="1"/>
  <c r="F447" i="157" a="1"/>
  <c r="J51" i="157" a="1"/>
  <c r="J324" i="157" a="1"/>
  <c r="H122" i="157" a="1"/>
  <c r="H369" i="157" a="1"/>
  <c r="D102" i="157" a="1"/>
  <c r="I244" i="157" a="1"/>
  <c r="F451" i="157" a="1"/>
  <c r="G356" i="157" a="1"/>
  <c r="E162" i="157" a="1"/>
  <c r="E48" i="157" a="1"/>
  <c r="C350" i="157" a="1"/>
  <c r="F222" i="157" a="1"/>
  <c r="C360" i="157" a="1"/>
  <c r="J103" i="157" a="1"/>
  <c r="G42" i="157" a="1"/>
  <c r="D75" i="157" a="1"/>
  <c r="H236" i="157" a="1"/>
  <c r="F341" i="157" a="1"/>
  <c r="I303" i="157" a="1"/>
  <c r="F226" i="157" a="1"/>
  <c r="E135" i="157" a="1"/>
  <c r="I41" i="157" a="1"/>
  <c r="E104" i="157" a="1"/>
  <c r="G193" i="157" a="1"/>
  <c r="H84" i="157" a="1"/>
  <c r="G424" i="157" a="1"/>
  <c r="G370" i="157" a="1"/>
  <c r="P10" i="106" a="1"/>
  <c r="P10" i="114" a="1"/>
  <c r="H364" i="157" a="1"/>
  <c r="I120" i="157" a="1"/>
  <c r="I295" i="157" a="1"/>
  <c r="J55" i="157" a="1"/>
  <c r="D410" i="157" a="1"/>
  <c r="E418" i="157" a="1"/>
  <c r="I152" i="157" a="1"/>
  <c r="D258" i="157" a="1"/>
  <c r="C111" i="157" a="1"/>
  <c r="H194" i="157" a="1"/>
  <c r="F329" i="157" a="1"/>
  <c r="H336" i="157" a="1"/>
  <c r="H16" i="157" a="1"/>
  <c r="J216" i="157" a="1"/>
  <c r="E146" i="157" a="1"/>
  <c r="I394" i="157" a="1"/>
  <c r="I246" i="157" a="1"/>
  <c r="G324" i="157" a="1"/>
  <c r="F51" i="157" a="1"/>
  <c r="I122" i="157" a="1"/>
  <c r="C159" i="157" a="1"/>
  <c r="H107" i="157" a="1"/>
  <c r="C219" i="157" a="1"/>
  <c r="I339" i="157" a="1"/>
  <c r="E353" i="157" a="1"/>
  <c r="J314" i="157" a="1"/>
  <c r="J440" i="157" a="1"/>
  <c r="C455" i="157" a="1"/>
  <c r="J425" i="157" a="1"/>
  <c r="E332" i="157" a="1"/>
  <c r="E399" i="157" a="1"/>
  <c r="F71" i="157" a="1"/>
  <c r="F56" i="157" a="1"/>
  <c r="D183" i="157" a="1"/>
  <c r="F397" i="157" a="1"/>
  <c r="G378" i="157" a="1"/>
  <c r="E188" i="157" a="1"/>
  <c r="P11" i="112" a="1"/>
  <c r="F263" i="157" a="1"/>
  <c r="J285" i="157" a="1"/>
  <c r="D441" i="157" a="1"/>
  <c r="P11" i="113" a="1"/>
  <c r="J340" i="157" a="1"/>
  <c r="F209" i="157" a="1"/>
  <c r="I235" i="157" a="1"/>
  <c r="G338" i="157" a="1"/>
  <c r="D19" i="157" a="1"/>
  <c r="D436" i="157" a="1"/>
  <c r="H85" i="157" a="1"/>
  <c r="G186" i="157" a="1"/>
  <c r="G247" i="157" a="1"/>
  <c r="C300" i="157" a="1"/>
  <c r="C392" i="157" a="1"/>
  <c r="F195" i="157" a="1"/>
  <c r="I234" i="157" a="1"/>
  <c r="E175" i="157" a="1"/>
  <c r="F199" i="157" a="1"/>
  <c r="C385" i="157" a="1"/>
  <c r="D52" i="157" a="1"/>
  <c r="I404" i="157" a="1"/>
  <c r="D28" i="157" a="1"/>
  <c r="E7" i="157" a="1"/>
  <c r="D403" i="157" a="1"/>
  <c r="G40" i="157" a="1"/>
  <c r="H188" i="157" a="1"/>
  <c r="G201" i="157" a="1"/>
  <c r="D254" i="157" a="1"/>
  <c r="P10" i="115" a="1"/>
  <c r="E304" i="157" a="1"/>
  <c r="I194" i="157" a="1"/>
  <c r="D253" i="157" a="1"/>
  <c r="H175" i="157" a="1"/>
  <c r="C97" i="157" a="1"/>
  <c r="F177" i="157" a="1"/>
  <c r="H394" i="157" a="1"/>
  <c r="D76" i="157" a="1"/>
  <c r="C239" i="157" a="1"/>
  <c r="G25" i="157" a="1"/>
  <c r="C32" i="157" a="1"/>
  <c r="H291" i="157" a="1"/>
  <c r="H97" i="157" a="1"/>
  <c r="I51" i="157" a="1"/>
  <c r="P11" i="110" a="1"/>
  <c r="J378" i="157" a="1"/>
  <c r="C222" i="157" a="1"/>
  <c r="E225" i="157" a="1"/>
  <c r="D282" i="157" a="1"/>
  <c r="J41" i="157" a="1"/>
  <c r="J171" i="157" a="1"/>
  <c r="E378" i="157" a="1"/>
  <c r="C188" i="157" a="1"/>
  <c r="H235" i="157" a="1"/>
  <c r="C177" i="157" a="1"/>
  <c r="C19" i="157" a="1"/>
  <c r="J409" i="157" a="1"/>
  <c r="P10" i="126" a="1"/>
  <c r="I382" i="157" a="1"/>
  <c r="H151" i="157" a="1"/>
  <c r="C74" i="157" a="1"/>
  <c r="D182" i="157" a="1"/>
  <c r="G185" i="157" a="1"/>
  <c r="J412" i="157" a="1"/>
  <c r="I357" i="157" a="1"/>
  <c r="J312" i="157" a="1"/>
  <c r="E36" i="157" a="1"/>
  <c r="E408" i="157" a="1"/>
  <c r="C194" i="157" a="1"/>
  <c r="G84" i="157" a="1"/>
  <c r="G312" i="157" a="1"/>
  <c r="F312" i="157" a="1"/>
  <c r="G125" i="157" a="1"/>
  <c r="C63" i="157" a="1"/>
  <c r="J57" i="157" a="1"/>
  <c r="D22" i="156" a="1"/>
  <c r="C149" i="157" a="1"/>
  <c r="I450" i="157" a="1"/>
  <c r="F371" i="157" a="1"/>
  <c r="I117" i="157" a="1"/>
  <c r="D161" i="157" a="1"/>
  <c r="I292" i="157" a="1"/>
  <c r="F352" i="157" a="1"/>
  <c r="C356" i="157" a="1"/>
  <c r="G137" i="157" a="1"/>
  <c r="F258" i="157" a="1"/>
  <c r="F55" i="157" a="1"/>
  <c r="C133" i="157" a="1"/>
  <c r="J6" i="157" a="1"/>
  <c r="C413" i="157" a="1"/>
  <c r="C451" i="157" a="1"/>
  <c r="G110" i="157" a="1"/>
  <c r="F307" i="157" a="1"/>
  <c r="G175" i="157" a="1"/>
  <c r="J374" i="157" a="1"/>
  <c r="J333" i="157" a="1"/>
  <c r="D62" i="157" a="1"/>
  <c r="I448" i="157" a="1"/>
  <c r="F358" i="157" a="1"/>
  <c r="G269" i="157" a="1"/>
  <c r="C417" i="157" a="1"/>
  <c r="D140" i="157" a="1"/>
  <c r="F403" i="157" a="1"/>
  <c r="G83" i="157" a="1"/>
  <c r="G218" i="157" a="1"/>
  <c r="C382" i="157" a="1"/>
  <c r="J431" i="157" a="1"/>
  <c r="H397" i="157" a="1"/>
  <c r="E219" i="157" a="1"/>
  <c r="I296" i="157" a="1"/>
  <c r="H447" i="157" a="1"/>
  <c r="D328" i="157" a="1"/>
  <c r="G112" i="157" a="1"/>
  <c r="G274" i="157" a="1"/>
  <c r="C55" i="157" a="1"/>
  <c r="I173" i="157" a="1"/>
  <c r="H455" i="157" a="1"/>
  <c r="D430" i="157" a="1"/>
  <c r="G395" i="157" a="1"/>
  <c r="F220" i="157" a="1"/>
  <c r="I83" i="157" a="1"/>
  <c r="I408" i="157" a="1"/>
  <c r="I434" i="157" a="1"/>
  <c r="G153" i="157" a="1"/>
  <c r="C294" i="157" a="1"/>
  <c r="C226" i="157" a="1"/>
  <c r="D426" i="157" a="1"/>
  <c r="J12" i="157" a="1"/>
  <c r="I342" i="157" a="1"/>
  <c r="I272" i="157" a="1"/>
  <c r="D116" i="157" a="1"/>
  <c r="I325" i="157" a="1"/>
  <c r="C351" i="157" a="1"/>
  <c r="I273" i="157" a="1"/>
  <c r="I241" i="157" a="1"/>
  <c r="I213" i="157" a="1"/>
  <c r="F420" i="157" a="1"/>
  <c r="D433" i="157" a="1"/>
  <c r="D290" i="157" a="1"/>
  <c r="J408" i="157" a="1"/>
  <c r="G98" i="157" a="1"/>
  <c r="J93" i="157" a="1"/>
  <c r="E412" i="157" a="1"/>
  <c r="E355" i="157" a="1"/>
  <c r="C23" i="157" a="1"/>
  <c r="H155" i="157" a="1"/>
  <c r="D23" i="156" a="1"/>
  <c r="H80" i="157" a="1"/>
  <c r="I306" i="157" a="1"/>
  <c r="C423" i="157" a="1"/>
  <c r="G157" i="157" a="1"/>
  <c r="D332" i="157" a="1"/>
  <c r="E233" i="157" a="1"/>
  <c r="G363" i="157" a="1"/>
  <c r="D6" i="157" a="1"/>
  <c r="E140" i="157" a="1"/>
  <c r="G419" i="157" a="1"/>
  <c r="D444" i="157" a="1"/>
  <c r="J26" i="157" a="1"/>
  <c r="F191" i="157" a="1"/>
  <c r="D439" i="157" a="1"/>
  <c r="H306" i="157" a="1"/>
  <c r="H259" i="157" a="1"/>
  <c r="F176" i="157" a="1"/>
  <c r="H225" i="157" a="1"/>
  <c r="I142" i="157" a="1"/>
  <c r="J98" i="157" a="1"/>
  <c r="J196" i="157" a="1"/>
  <c r="C198" i="157" a="1"/>
  <c r="G335" i="157" a="1"/>
  <c r="E323" i="157" a="1"/>
  <c r="I70" i="157" a="1"/>
  <c r="F384" i="157" a="1"/>
  <c r="E99" i="157" a="1"/>
  <c r="P10" i="134" a="1"/>
  <c r="D277" i="157" a="1"/>
  <c r="P11" i="127" a="1"/>
  <c r="C323" i="157" a="1"/>
  <c r="G244" i="157" a="1"/>
  <c r="F30" i="157" a="1"/>
  <c r="I307" i="157" a="1"/>
  <c r="H361" i="157" a="1"/>
  <c r="C150" i="157" a="1"/>
  <c r="D58" i="157" a="1"/>
  <c r="C30" i="157" a="1"/>
  <c r="I231" i="157" a="1"/>
  <c r="H411" i="157" a="1"/>
  <c r="E98" i="157" a="1"/>
  <c r="H216" i="157" a="1"/>
  <c r="C215" i="157" a="1"/>
  <c r="C255" i="157" a="1"/>
  <c r="I260" i="157" a="1"/>
  <c r="G372" i="157" a="1"/>
  <c r="E350" i="157" a="1"/>
  <c r="G284" i="157" a="1"/>
  <c r="H241" i="157" a="1"/>
  <c r="C402" i="157" a="1"/>
  <c r="D390" i="157" a="1"/>
  <c r="G173" i="157" a="1"/>
  <c r="G96" i="157" a="1"/>
  <c r="E80" i="157" a="1"/>
  <c r="E131" i="157" a="1"/>
  <c r="G357" i="157" a="1"/>
  <c r="H64" i="157" a="1"/>
  <c r="H348" i="157" a="1"/>
  <c r="I40" i="157" a="1"/>
  <c r="H287" i="157" a="1"/>
  <c r="C381" i="157" a="1"/>
  <c r="D66" i="157" a="1"/>
  <c r="C344" i="157" a="1"/>
  <c r="F82" i="157" a="1"/>
  <c r="I456" i="157" a="1"/>
  <c r="D73" i="157" a="1"/>
  <c r="I223" i="157" a="1"/>
  <c r="I12" i="157" a="1"/>
  <c r="D383" i="157" a="1"/>
  <c r="C68" i="157" a="1"/>
  <c r="I440" i="157" a="1"/>
  <c r="H350" i="157" a="1"/>
  <c r="C447" i="157" a="1"/>
  <c r="I419" i="157" a="1"/>
  <c r="F256" i="157" a="1"/>
  <c r="H131" i="157" a="1"/>
  <c r="D234" i="157" a="1"/>
  <c r="G54" i="157" a="1"/>
  <c r="I94" i="157" a="1"/>
  <c r="G444" i="157" a="1"/>
  <c r="H38" i="157" a="1"/>
  <c r="J92" i="157" a="1"/>
  <c r="I130" i="157" a="1"/>
  <c r="F378" i="157" a="1"/>
  <c r="J214" i="157" a="1"/>
  <c r="D122" i="157" a="1"/>
  <c r="D106" i="157" a="1"/>
  <c r="I43" i="157" a="1"/>
  <c r="J357" i="157" a="1"/>
  <c r="D317" i="157" a="1"/>
  <c r="F183" i="157" a="1"/>
  <c r="C218" i="157" a="1"/>
  <c r="G36" i="157" a="1"/>
  <c r="J399" i="157" a="1"/>
  <c r="F278" i="157" a="1"/>
  <c r="H148" i="157" a="1"/>
  <c r="P10" i="133" a="1"/>
  <c r="J69" i="157" a="1"/>
  <c r="H319" i="157" a="1"/>
  <c r="D376" i="157" a="1"/>
  <c r="H177" i="157" a="1"/>
  <c r="I171" i="157" a="1"/>
  <c r="D133" i="157" a="1"/>
  <c r="E63" i="157" a="1"/>
  <c r="D193" i="157" a="1"/>
  <c r="J167" i="157" a="1"/>
  <c r="F322" i="157" a="1"/>
  <c r="I454" i="157" a="1"/>
  <c r="G450" i="157" a="1"/>
  <c r="G24" i="157" a="1"/>
  <c r="F6" i="157" a="1"/>
  <c r="J292" i="157" a="1"/>
  <c r="G143" i="157" a="1"/>
  <c r="C210" i="157" a="1"/>
  <c r="I369" i="157" a="1"/>
  <c r="J114" i="157" a="1"/>
  <c r="D435" i="157" a="1"/>
  <c r="G163" i="157" a="1"/>
  <c r="G456" i="157" a="1"/>
  <c r="I401" i="157" a="1"/>
  <c r="E217" i="157" a="1"/>
  <c r="E10" i="157" a="1"/>
  <c r="C419" i="157" a="1"/>
  <c r="J337" i="157" a="1"/>
  <c r="G388" i="157" a="1"/>
  <c r="G407" i="157" a="1"/>
  <c r="H167" i="157" a="1"/>
  <c r="J33" i="157" a="1"/>
  <c r="J234" i="157" a="1"/>
  <c r="H221" i="157" a="1"/>
  <c r="P11" i="141" a="1"/>
  <c r="C249" i="157" a="1"/>
  <c r="E187" i="157" a="1"/>
  <c r="E337" i="157" a="1"/>
  <c r="D244" i="157" a="1"/>
  <c r="H218" i="157" a="1"/>
  <c r="I10" i="156" a="1"/>
  <c r="E276" i="157" a="1"/>
  <c r="G421" i="157" a="1"/>
  <c r="H124" i="157" a="1"/>
  <c r="G29" i="157" a="1"/>
  <c r="C363" i="157" a="1"/>
  <c r="C366" i="157" a="1"/>
  <c r="G405" i="157" a="1"/>
  <c r="I233" i="157" a="1"/>
  <c r="C80" i="157" a="1"/>
  <c r="G170" i="157" a="1"/>
  <c r="P11" i="155" a="1"/>
  <c r="H423" i="157" a="1"/>
  <c r="H40" i="157" a="1"/>
  <c r="I126" i="157" a="1"/>
  <c r="D132" i="157" a="1"/>
  <c r="F334" i="157" a="1"/>
  <c r="I30" i="157" a="1"/>
  <c r="I90" i="157" a="1"/>
  <c r="I383" i="157" a="1"/>
  <c r="J390" i="157" a="1"/>
  <c r="J380" i="157" a="1"/>
  <c r="G68" i="157" a="1"/>
  <c r="C17" i="157" a="1"/>
  <c r="I198" i="157" a="1"/>
  <c r="C77" i="157" a="1"/>
  <c r="G387" i="157" a="1"/>
  <c r="J225" i="157" a="1"/>
  <c r="E227" i="157" a="1"/>
  <c r="J73" i="157" a="1"/>
  <c r="D197" i="157" a="1"/>
  <c r="G13" i="157" a="1"/>
  <c r="J215" i="157" a="1"/>
  <c r="J438" i="157" a="1"/>
  <c r="P11" i="138" a="1"/>
  <c r="J226" i="157" a="1"/>
  <c r="P11" i="150" a="1"/>
  <c r="C284" i="157" a="1"/>
  <c r="D35" i="157" a="1"/>
  <c r="C282" i="157" a="1"/>
  <c r="E16" i="157" a="1"/>
  <c r="C14" i="157" a="1"/>
  <c r="I160" i="157" a="1"/>
  <c r="H133" i="157" a="1"/>
  <c r="G212" i="157" a="1"/>
  <c r="J246" i="157" a="1"/>
  <c r="G313" i="157" a="1"/>
  <c r="D198" i="157" a="1"/>
  <c r="G6" i="157" a="1"/>
  <c r="H437" i="157" a="1"/>
  <c r="C229" i="157" a="1"/>
  <c r="C12" i="157" a="1"/>
  <c r="J247" i="157" a="1"/>
  <c r="F386" i="157" a="1"/>
  <c r="D318" i="157" a="1"/>
  <c r="G377" i="157" a="1"/>
  <c r="J455" i="157" a="1"/>
  <c r="D417" i="157" a="1"/>
  <c r="I445" i="157" a="1"/>
  <c r="E101" i="157" a="1"/>
  <c r="J178" i="157" a="1"/>
  <c r="F130" i="157" a="1"/>
  <c r="D51" i="157" a="1"/>
  <c r="F392" i="157" a="1"/>
  <c r="E344" i="157" a="1"/>
  <c r="I333" i="157" a="1"/>
  <c r="D314" i="157" a="1"/>
  <c r="G105" i="157" a="1"/>
  <c r="F152" i="157" a="1"/>
  <c r="G190" i="157" a="1"/>
  <c r="J72" i="157" a="1"/>
  <c r="F32" i="157" a="1"/>
  <c r="J140" i="157" a="1"/>
  <c r="D16" i="156" a="1"/>
  <c r="D333" i="157" a="1"/>
  <c r="F448" i="157" a="1"/>
  <c r="J458" i="157" a="1"/>
  <c r="J270" i="157" a="1"/>
  <c r="H45" i="157" a="1"/>
  <c r="H135" i="157" a="1"/>
  <c r="G93" i="157" a="1"/>
  <c r="G367" i="157" a="1"/>
  <c r="C334" i="157" a="1"/>
  <c r="E382" i="157" a="1"/>
  <c r="D272" i="157" a="1"/>
  <c r="G191" i="157" a="1"/>
  <c r="H62" i="157" a="1"/>
  <c r="E169" i="157" a="1"/>
  <c r="J68" i="157" a="1"/>
  <c r="C411" i="157" a="1"/>
  <c r="C99" i="157" a="1"/>
  <c r="I98" i="157" a="1"/>
  <c r="I315" i="157" a="1"/>
  <c r="J80" i="157" a="1"/>
  <c r="J332" i="157" a="1"/>
  <c r="E384" i="157" a="1"/>
  <c r="I331" i="157" a="1"/>
  <c r="J241" i="157" a="1"/>
  <c r="I54" i="157" a="1"/>
  <c r="I460" i="157" a="1"/>
  <c r="I286" i="157" a="1"/>
  <c r="C302" i="157" a="1"/>
  <c r="G321" i="157" a="1"/>
  <c r="H233" i="157" a="1"/>
  <c r="H255" i="157" a="1"/>
  <c r="G236" i="157" a="1"/>
  <c r="J143" i="157" a="1"/>
  <c r="F173" i="157" a="1"/>
  <c r="J151" i="157" a="1"/>
  <c r="D60" i="157" a="1"/>
  <c r="E94" i="157" a="1"/>
  <c r="D237" i="157" a="1"/>
  <c r="I442" i="157" a="1"/>
  <c r="H223" i="157" a="1"/>
  <c r="E47" i="157" a="1"/>
  <c r="C332" i="157" a="1"/>
  <c r="C105" i="157" a="1"/>
  <c r="G129" i="157" a="1"/>
  <c r="H347" i="157" a="1"/>
  <c r="C235" i="157" a="1"/>
  <c r="C380" i="157" a="1"/>
  <c r="C171" i="157" a="1"/>
  <c r="C393" i="157" a="1"/>
  <c r="G16" i="157" a="1"/>
  <c r="H340" i="157" a="1"/>
  <c r="G431" i="157" a="1"/>
  <c r="E71" i="157" a="1"/>
  <c r="I237" i="157" a="1"/>
  <c r="C21" i="157" a="1"/>
  <c r="H249" i="157" a="1"/>
  <c r="G113" i="157" a="1"/>
  <c r="E124" i="157" a="1"/>
  <c r="H435" i="157" a="1"/>
  <c r="C341" i="157" a="1"/>
  <c r="J135" i="157" a="1"/>
  <c r="I17" i="157" a="1"/>
  <c r="J349" i="157" a="1"/>
  <c r="F97" i="157" a="1"/>
  <c r="I39" i="157" a="1"/>
  <c r="C314" i="157" a="1"/>
  <c r="F179" i="157" a="1"/>
  <c r="F295" i="157" a="1"/>
  <c r="J146" i="157" a="1"/>
  <c r="F257" i="157" a="1"/>
  <c r="I148" i="157" a="1"/>
  <c r="P11" i="118" a="1"/>
  <c r="C24" i="157" a="1"/>
  <c r="D352" i="157" a="1"/>
  <c r="E151" i="157" a="1"/>
  <c r="E20" i="157" a="1"/>
  <c r="J296" i="157" a="1"/>
  <c r="H366" i="157" a="1"/>
  <c r="D419" i="157" a="1"/>
  <c r="F394" i="157" a="1"/>
  <c r="C367" i="157" a="1"/>
  <c r="I26" i="157" a="1"/>
  <c r="E398" i="157" a="1"/>
  <c r="H30" i="157" a="1"/>
  <c r="I149" i="157" a="1"/>
  <c r="D97" i="157" a="1"/>
  <c r="D330" i="157" a="1"/>
  <c r="F9" i="157" a="1"/>
  <c r="H301" i="157" a="1"/>
  <c r="J74" i="157" a="1"/>
  <c r="G278" i="157" a="1"/>
  <c r="F115" i="157" a="1"/>
  <c r="H77" i="157" a="1"/>
  <c r="E316" i="157" a="1"/>
  <c r="F344" i="157" a="1"/>
  <c r="H181" i="157" a="1"/>
  <c r="I302" i="157" a="1"/>
  <c r="H268" i="157" a="1"/>
  <c r="E212" i="157" a="1"/>
  <c r="F381" i="157" a="1"/>
  <c r="E313" i="157" a="1"/>
  <c r="H102" i="157" a="1"/>
  <c r="H180" i="157" a="1"/>
  <c r="E153" i="157" a="1"/>
  <c r="G241" i="157" a="1"/>
  <c r="P10" i="124" a="1"/>
  <c r="I288" i="157" a="1"/>
  <c r="E46" i="157" a="1"/>
  <c r="J313" i="157" a="1"/>
  <c r="D80" i="157" a="1"/>
  <c r="H242" i="157" a="1"/>
  <c r="C146" i="157" a="1"/>
  <c r="F434" i="157" a="1"/>
  <c r="H421" i="157" a="1"/>
  <c r="J101" i="157" a="1"/>
  <c r="I181" i="157" a="1"/>
  <c r="E285" i="157" a="1"/>
  <c r="G441" i="157" a="1"/>
  <c r="I409" i="157" a="1"/>
  <c r="H39" i="157" a="1"/>
  <c r="I36" i="157" a="1"/>
  <c r="H412" i="157" a="1"/>
  <c r="P10" i="118" a="1"/>
  <c r="F459" i="157" a="1"/>
  <c r="F21" i="157" a="1"/>
  <c r="G342" i="157" a="1"/>
  <c r="I283" i="157" a="1"/>
  <c r="I140" i="157" a="1"/>
  <c r="I262" i="157" a="1"/>
  <c r="J366" i="157" a="1"/>
  <c r="D168" i="157" a="1"/>
  <c r="G251" i="157" a="1"/>
  <c r="P10" i="113" a="1"/>
  <c r="G375" i="157" a="1"/>
  <c r="J413" i="157" a="1"/>
  <c r="D414" i="157" a="1"/>
  <c r="C138" i="157" a="1"/>
  <c r="I334" i="157" a="1"/>
  <c r="J161" i="157" a="1"/>
  <c r="G422" i="157" a="1"/>
  <c r="G299" i="157" a="1"/>
  <c r="P11" i="144" a="1"/>
  <c r="E74" i="157" a="1"/>
  <c r="C333" i="157" a="1"/>
  <c r="J65" i="157" a="1"/>
  <c r="F224" i="157" a="1"/>
  <c r="H229" i="157" a="1"/>
  <c r="J361" i="157" a="1"/>
  <c r="I285" i="157" a="1"/>
  <c r="G398" i="157" a="1"/>
  <c r="J299" i="157" a="1"/>
  <c r="E325" i="157" a="1"/>
  <c r="J13" i="157" a="1"/>
  <c r="E143" i="157" a="1"/>
  <c r="C377" i="157" a="1"/>
  <c r="C86" i="157" a="1"/>
  <c r="G402" i="157" a="1"/>
  <c r="J192" i="157" a="1"/>
  <c r="G164" i="157" a="1"/>
  <c r="G240" i="157" a="1"/>
  <c r="F410" i="157" a="1"/>
  <c r="I151" i="157" a="1"/>
  <c r="J21" i="157" a="1"/>
  <c r="E81" i="157" a="1"/>
  <c r="C253" i="157" a="1"/>
  <c r="I185" i="157" a="1"/>
  <c r="D17" i="157" a="1"/>
  <c r="F178" i="157" a="1"/>
  <c r="H202" i="157" a="1"/>
  <c r="H297" i="157" a="1"/>
  <c r="H13" i="157" a="1"/>
  <c r="G65" i="157" a="1"/>
  <c r="F259" i="157" a="1"/>
  <c r="P10" i="154" a="1"/>
  <c r="I384" i="157" a="1"/>
  <c r="H339" i="157" a="1"/>
  <c r="E43" i="157" a="1"/>
  <c r="H401" i="157" a="1"/>
  <c r="E326" i="157" a="1"/>
  <c r="F268" i="157" a="1"/>
  <c r="G21" i="157" a="1"/>
  <c r="I426" i="157" a="1"/>
  <c r="D270" i="157" a="1"/>
  <c r="H43" i="157" a="1"/>
  <c r="E436" i="157" a="1"/>
  <c r="P10" i="142" a="1"/>
  <c r="J95" i="157" a="1"/>
  <c r="H42" i="157" a="1"/>
  <c r="G289" i="157" a="1"/>
  <c r="E405" i="157" a="1"/>
  <c r="C101" i="157" a="1"/>
  <c r="F169" i="157" a="1"/>
  <c r="C263" i="157" a="1"/>
  <c r="J242" i="157" a="1"/>
  <c r="C427" i="157" a="1"/>
  <c r="I189" i="157" a="1"/>
  <c r="C223" i="157" a="1"/>
  <c r="I428" i="157" a="1"/>
  <c r="J316" i="157" a="1"/>
  <c r="G47" i="157" a="1"/>
  <c r="G344" i="157" a="1"/>
  <c r="C76" i="157" a="1"/>
  <c r="H343" i="157" a="1"/>
  <c r="I78" i="157" a="1"/>
  <c r="E190" i="157" a="1"/>
  <c r="E8" i="157" a="1"/>
  <c r="E116" i="157" a="1"/>
  <c r="D384" i="157" a="1"/>
  <c r="C175" i="157" a="1"/>
  <c r="H34" i="157" a="1"/>
  <c r="E198" i="157" a="1"/>
  <c r="E42" i="157" a="1"/>
  <c r="H130" i="157" a="1"/>
  <c r="C297" i="157" a="1"/>
  <c r="J127" i="157" a="1"/>
  <c r="I145" i="157" a="1"/>
  <c r="H395" i="157" a="1"/>
  <c r="J20" i="157" a="1"/>
  <c r="H237" i="157" a="1"/>
  <c r="I125" i="157" a="1"/>
  <c r="I259" i="157" a="1"/>
  <c r="D214" i="157" a="1"/>
  <c r="C311" i="157" a="1"/>
  <c r="E78" i="157" a="1"/>
  <c r="C442" i="157" a="1"/>
  <c r="E34" i="157" a="1"/>
  <c r="E28" i="157" a="1"/>
  <c r="J218" i="157" a="1"/>
  <c r="E9" i="157" a="1"/>
  <c r="F350" i="157" a="1"/>
  <c r="J418" i="157" a="1"/>
  <c r="G76" i="157" a="1"/>
  <c r="H224" i="157" a="1"/>
  <c r="E300" i="157" a="1"/>
  <c r="D288" i="157" a="1"/>
  <c r="H300" i="157" a="1"/>
  <c r="E6" i="157" a="1"/>
  <c r="H112" i="157" a="1"/>
  <c r="I257" i="157" a="1"/>
  <c r="D447" i="157" a="1"/>
  <c r="J407" i="157" a="1"/>
  <c r="C299" i="157" a="1"/>
  <c r="C8" i="157" a="1"/>
  <c r="D172" i="157" a="1"/>
  <c r="F243" i="157" a="1"/>
  <c r="H129" i="157" a="1"/>
  <c r="J231" i="157" a="1"/>
  <c r="G17" i="157" a="1"/>
  <c r="I293" i="157" a="1"/>
  <c r="D306" i="157" a="1"/>
  <c r="F267" i="157" a="1"/>
  <c r="H23" i="157" a="1"/>
  <c r="D461" i="157" a="1"/>
  <c r="G92" i="157" a="1"/>
  <c r="J223" i="157" a="1"/>
  <c r="F388" i="157" a="1"/>
  <c r="F221" i="157" a="1"/>
  <c r="J139" i="157" a="1"/>
  <c r="H128" i="157" a="1"/>
  <c r="E82" i="157" a="1"/>
  <c r="F7" i="157" a="1"/>
  <c r="J461" i="157" a="1"/>
  <c r="H29" i="157" a="1"/>
  <c r="E254" i="157" a="1"/>
  <c r="F280" i="157" a="1"/>
  <c r="D171" i="157" a="1"/>
  <c r="H296" i="157" a="1"/>
  <c r="J158" i="157" a="1"/>
  <c r="D356" i="157" a="1"/>
  <c r="D205" i="157" a="1"/>
  <c r="J202" i="157" a="1"/>
  <c r="J38" i="157" a="1"/>
  <c r="C440" i="157" a="1"/>
  <c r="G392" i="157" a="1"/>
  <c r="G174" i="157" a="1"/>
  <c r="D428" i="157" a="1"/>
  <c r="G316" i="157" a="1"/>
  <c r="I214" i="157" a="1"/>
  <c r="P11" i="151" a="1"/>
  <c r="G317" i="157" a="1"/>
  <c r="G277" i="157" a="1"/>
  <c r="D394" i="157" a="1"/>
  <c r="J183" i="157" a="1"/>
  <c r="H55" i="157" a="1"/>
  <c r="C25" i="157" a="1"/>
  <c r="E414" i="157" a="1"/>
  <c r="J186" i="157" a="1"/>
  <c r="E286" i="157" a="1"/>
  <c r="G353" i="157" a="1"/>
  <c r="C348" i="157" a="1"/>
  <c r="J85" i="157" a="1"/>
  <c r="J209" i="157" a="1"/>
  <c r="C64" i="157" a="1"/>
  <c r="H99" i="157" a="1"/>
  <c r="I95" i="157" a="1"/>
  <c r="F86" i="157" a="1"/>
  <c r="I240" i="157" a="1"/>
  <c r="H37" i="157" a="1"/>
  <c r="H91" i="157" a="1"/>
  <c r="H11" i="157" a="1"/>
  <c r="F456" i="157" a="1"/>
  <c r="F217" i="157" a="1"/>
  <c r="D142" i="157" a="1"/>
  <c r="F416" i="157" a="1"/>
  <c r="F318" i="157" a="1"/>
  <c r="F254" i="157" a="1"/>
  <c r="C274" i="157" a="1"/>
  <c r="G58" i="157" a="1"/>
  <c r="G64" i="157" a="1"/>
  <c r="F255" i="157" a="1"/>
  <c r="F83" i="157" a="1"/>
  <c r="C405" i="157" a="1"/>
  <c r="C140" i="157" a="1"/>
  <c r="H356" i="157" a="1"/>
  <c r="C287" i="157" a="1"/>
  <c r="J228" i="157" a="1"/>
  <c r="I398" i="157" a="1"/>
  <c r="H311" i="157" a="1"/>
  <c r="P11" i="126" a="1"/>
  <c r="J16" i="157" a="1"/>
  <c r="G373" i="157" a="1"/>
  <c r="I461" i="157" a="1"/>
  <c r="C60" i="157" a="1"/>
  <c r="H41" i="157" a="1"/>
  <c r="E257" i="157" a="1"/>
  <c r="D98" i="157" a="1"/>
  <c r="G311" i="157" a="1"/>
  <c r="G222" i="157" a="1"/>
  <c r="D446" i="157" a="1"/>
  <c r="J124" i="157" a="1"/>
  <c r="D404" i="157" a="1"/>
  <c r="F223" i="157" a="1"/>
  <c r="I31" i="157" a="1"/>
  <c r="J421" i="157" a="1"/>
  <c r="G297" i="157" a="1"/>
  <c r="G451" i="157" a="1"/>
  <c r="F354" i="157" a="1"/>
  <c r="C81" i="157" a="1"/>
  <c r="I316" i="157" a="1"/>
  <c r="D176" i="157" a="1"/>
  <c r="J439" i="157" a="1"/>
  <c r="I28" i="157" a="1"/>
  <c r="J381" i="157" a="1"/>
  <c r="C389" i="157" a="1"/>
  <c r="P11" i="111" a="1"/>
  <c r="J10" i="157" a="1"/>
  <c r="C400" i="157" a="1"/>
  <c r="H87" i="157" a="1"/>
  <c r="C264" i="157" a="1"/>
  <c r="G454" i="157" a="1"/>
  <c r="C398" i="157" a="1"/>
  <c r="G294" i="157" a="1"/>
  <c r="F282" i="157" a="1"/>
  <c r="I162" i="157" a="1"/>
  <c r="G156" i="157" a="1"/>
  <c r="D200" i="157" a="1"/>
  <c r="J239" i="157" a="1"/>
  <c r="D206" i="157" a="1"/>
  <c r="F284" i="157" a="1"/>
  <c r="D211" i="157" a="1"/>
  <c r="J376" i="157" a="1"/>
  <c r="H454" i="157" a="1"/>
  <c r="G19" i="157" a="1"/>
  <c r="J71" i="157" a="1"/>
  <c r="I341" i="157" a="1"/>
  <c r="G198" i="157" a="1"/>
  <c r="H388" i="157" a="1"/>
  <c r="E156" i="157" a="1"/>
  <c r="D454" i="157" a="1"/>
  <c r="C154" i="157" a="1"/>
  <c r="H261" i="157" a="1"/>
  <c r="I413" i="157" a="1"/>
  <c r="G183" i="157" a="1"/>
  <c r="G79" i="157" a="1"/>
  <c r="I400" i="157" a="1"/>
  <c r="E65" i="157" a="1"/>
  <c r="D16" i="157" a="1"/>
  <c r="D238" i="157" a="1"/>
  <c r="C211" i="157" a="1"/>
  <c r="J108" i="157" a="1"/>
  <c r="F99" i="157" a="1"/>
  <c r="H48" i="157" a="1"/>
  <c r="I421" i="157" a="1"/>
  <c r="E13" i="157" a="1"/>
  <c r="E434" i="157" a="1"/>
  <c r="H121" i="157" a="1"/>
  <c r="F112" i="157" a="1"/>
  <c r="G412" i="157" a="1"/>
  <c r="E363" i="157" a="1"/>
  <c r="F281" i="157" a="1"/>
  <c r="I215" i="157" a="1"/>
  <c r="E142" i="157" a="1"/>
  <c r="D184" i="157" a="1"/>
  <c r="F160" i="157" a="1"/>
  <c r="G57" i="157" a="1"/>
  <c r="D242" i="157" a="1"/>
  <c r="F325" i="157" a="1"/>
  <c r="C206" i="157" a="1"/>
  <c r="G165" i="157" a="1"/>
  <c r="D88" i="157" a="1"/>
  <c r="E67" i="157" a="1"/>
  <c r="I287" i="157" a="1"/>
  <c r="C213" i="157" a="1"/>
  <c r="J289" i="157" a="1"/>
  <c r="D21" i="157" a="1"/>
  <c r="E259" i="157" a="1"/>
  <c r="G303" i="157" a="1"/>
  <c r="F124" i="157" a="1"/>
  <c r="P10" i="138" a="1"/>
  <c r="H75" i="157" a="1"/>
  <c r="I370" i="157" a="1"/>
  <c r="F39" i="157" a="1"/>
  <c r="G384" i="157" a="1"/>
  <c r="H457" i="157" a="1"/>
  <c r="D90" i="157" a="1"/>
  <c r="D65" i="157" a="1"/>
  <c r="F57" i="157" a="1"/>
  <c r="G90" i="157" a="1"/>
  <c r="C444" i="157" a="1"/>
  <c r="G154" i="157" a="1"/>
  <c r="P11" i="132" a="1"/>
  <c r="F236" i="157" a="1"/>
  <c r="I228" i="157" a="1"/>
  <c r="I143" i="157" a="1"/>
  <c r="D27" i="157" a="1"/>
  <c r="E54" i="157" a="1"/>
  <c r="D146" i="157" a="1"/>
  <c r="C313" i="157" a="1"/>
  <c r="I447" i="157" a="1"/>
  <c r="F347" i="157" a="1"/>
  <c r="I205" i="157" a="1"/>
  <c r="G39" i="157" a="1"/>
  <c r="F264" i="157" a="1"/>
  <c r="H174" i="157" a="1"/>
  <c r="I128" i="157" a="1"/>
  <c r="C120" i="157" a="1"/>
  <c r="E297" i="157" a="1"/>
  <c r="C183" i="157" a="1"/>
  <c r="D301" i="157" a="1"/>
  <c r="J293" i="157" a="1"/>
  <c r="I345" i="157" a="1"/>
  <c r="C246" i="157" a="1"/>
  <c r="F353" i="157" a="1"/>
  <c r="H270" i="157" a="1"/>
  <c r="E167" i="157" a="1"/>
  <c r="C426" i="157" a="1"/>
  <c r="I387" i="157" a="1"/>
  <c r="E439" i="157" a="1"/>
  <c r="D392" i="157" a="1"/>
  <c r="G448" i="157" a="1"/>
  <c r="C404" i="157" a="1"/>
  <c r="C166" i="157" a="1"/>
  <c r="H203" i="157" a="1"/>
  <c r="E171" i="157" a="1"/>
  <c r="G196" i="157" a="1"/>
  <c r="C342" i="157" a="1"/>
  <c r="F233" i="157" a="1"/>
  <c r="D34" i="157" a="1"/>
  <c r="C306" i="157" a="1"/>
  <c r="J345" i="157" a="1"/>
  <c r="D413" i="157" a="1"/>
  <c r="D96" i="157" a="1"/>
  <c r="F345" i="157" a="1"/>
  <c r="J406" i="157" a="1"/>
  <c r="C443" i="157" a="1"/>
  <c r="I314" i="157" a="1"/>
  <c r="E322" i="157" a="1"/>
  <c r="D107" i="157" a="1"/>
  <c r="J138" i="157" a="1"/>
  <c r="J43" i="157" a="1"/>
  <c r="C391" i="157" a="1"/>
  <c r="D230" i="157" a="1"/>
  <c r="D219" i="157" a="1"/>
  <c r="D400" i="157" a="1"/>
  <c r="D353" i="157" a="1"/>
  <c r="F151" i="157" a="1"/>
  <c r="F271" i="157" a="1"/>
  <c r="I114" i="157" a="1"/>
  <c r="F418" i="157" a="1"/>
  <c r="D264" i="157" a="1"/>
  <c r="E293" i="157" a="1"/>
  <c r="E354" i="157" a="1"/>
  <c r="F279" i="157" a="1"/>
  <c r="G326" i="157" a="1"/>
  <c r="H231" i="157" a="1"/>
  <c r="D416" i="157" a="1"/>
  <c r="C279" i="157" a="1"/>
  <c r="D287" i="157" a="1"/>
  <c r="F80" i="157" a="1"/>
  <c r="D285" i="157" a="1"/>
  <c r="D312" i="157" a="1"/>
  <c r="J149" i="157" a="1"/>
  <c r="J31" i="157" a="1"/>
  <c r="P10" i="153" a="1"/>
  <c r="C83" i="157" a="1"/>
  <c r="J191" i="157" a="1"/>
  <c r="J382" i="157" a="1"/>
  <c r="G440" i="157" a="1"/>
  <c r="H159" i="157" a="1"/>
  <c r="E369" i="157" a="1"/>
  <c r="F63" i="157" a="1"/>
  <c r="I20" i="157" a="1"/>
  <c r="I297" i="157" a="1"/>
  <c r="F180" i="157" a="1"/>
  <c r="F205" i="157" a="1"/>
  <c r="C62" i="157" a="1"/>
  <c r="D186" i="157" a="1"/>
  <c r="J130" i="157" a="1"/>
  <c r="H178" i="157" a="1"/>
  <c r="E280" i="157" a="1"/>
  <c r="D227" i="157" a="1"/>
  <c r="F188" i="157" a="1"/>
  <c r="I84" i="157" a="1"/>
  <c r="I423" i="157" a="1"/>
  <c r="E281" i="157" a="1"/>
  <c r="G215" i="157" a="1"/>
  <c r="F143" i="157" a="1"/>
  <c r="J344" i="157" a="1"/>
  <c r="J147" i="157" a="1"/>
  <c r="H60" i="157" a="1"/>
  <c r="F197" i="157" a="1"/>
  <c r="H284" i="157" a="1"/>
  <c r="J184" i="157" a="1"/>
  <c r="D354" i="157" a="1"/>
  <c r="H332" i="157" a="1"/>
  <c r="H299" i="157" a="1"/>
  <c r="G69" i="157" a="1"/>
  <c r="E366" i="157" a="1"/>
  <c r="J360" i="157" a="1"/>
  <c r="P11" i="142" a="1"/>
  <c r="G330" i="157" a="1"/>
  <c r="E163" i="157" a="1"/>
  <c r="D216" i="157" a="1"/>
  <c r="D252" i="157" a="1"/>
  <c r="D247" i="157" a="1"/>
  <c r="J303" i="157" a="1"/>
  <c r="H164" i="157" a="1"/>
  <c r="C446" i="157" a="1"/>
  <c r="C456" i="157" a="1"/>
  <c r="C113" i="157" a="1"/>
  <c r="J222" i="157" a="1"/>
  <c r="C369" i="157" a="1"/>
  <c r="D343" i="157" a="1"/>
  <c r="G309" i="157" a="1"/>
  <c r="J10" i="156" a="1"/>
  <c r="H149" i="157" a="1"/>
  <c r="H208" i="157" a="1"/>
  <c r="G120" i="157" a="1"/>
  <c r="F290" i="157" a="1"/>
  <c r="J53" i="157" a="1"/>
  <c r="G334" i="157" a="1"/>
  <c r="D36" i="157" a="1"/>
  <c r="J393" i="157" a="1"/>
  <c r="D204" i="157" a="1"/>
  <c r="I321" i="157" a="1"/>
  <c r="F172" i="157" a="1"/>
  <c r="E11" i="157" a="1"/>
  <c r="I432" i="157" a="1"/>
  <c r="J278" i="157" a="1"/>
  <c r="H109" i="157" a="1"/>
  <c r="C103" i="157" a="1"/>
  <c r="D112" i="157" a="1"/>
  <c r="E66" i="157" a="1"/>
  <c r="D455" i="157" a="1"/>
  <c r="J9" i="157" a="1"/>
  <c r="G30" i="157" a="1"/>
  <c r="F96" i="157" a="1"/>
  <c r="H213" i="157" a="1"/>
  <c r="C61" i="157" a="1"/>
  <c r="G182" i="157" a="1"/>
  <c r="J451" i="157" a="1"/>
  <c r="E100" i="157" a="1"/>
  <c r="H95" i="157" a="1"/>
  <c r="I305" i="157" a="1"/>
  <c r="E33" i="157" a="1"/>
  <c r="F225" i="157" a="1"/>
  <c r="H375" i="157" a="1"/>
  <c r="C107" i="157" a="1"/>
  <c r="F37" i="157" a="1"/>
  <c r="G385" i="157" a="1"/>
  <c r="H384" i="157" a="1"/>
  <c r="F165" i="157" a="1"/>
  <c r="E95" i="157" a="1"/>
  <c r="J11" i="156" a="1"/>
  <c r="I300" i="157" a="1"/>
  <c r="G443" i="157" a="1"/>
  <c r="G349" i="157" a="1"/>
  <c r="E428" i="157" a="1"/>
  <c r="H357" i="157" a="1"/>
  <c r="I42" i="157" a="1"/>
  <c r="E237" i="157" a="1"/>
  <c r="H453" i="157" a="1"/>
  <c r="D305" i="157" a="1"/>
  <c r="I111" i="157" a="1"/>
  <c r="J387" i="157" a="1"/>
  <c r="F128" i="157" a="1"/>
  <c r="D380" i="157" a="1"/>
  <c r="E364" i="157" a="1"/>
  <c r="E161" i="157" a="1"/>
  <c r="C228" i="157" a="1"/>
  <c r="J354" i="157" a="1"/>
  <c r="H272" i="157" a="1"/>
  <c r="I16" i="157" a="1"/>
  <c r="F441" i="157" a="1"/>
  <c r="J263" i="157" a="1"/>
  <c r="C112" i="157" a="1"/>
  <c r="D289" i="157" a="1"/>
  <c r="E432" i="157" a="1"/>
  <c r="H260" i="157" a="1"/>
  <c r="F428" i="157" a="1"/>
  <c r="H157" i="157" a="1"/>
  <c r="I407" i="157" a="1"/>
  <c r="H162" i="157" a="1"/>
  <c r="I67" i="157" a="1"/>
  <c r="F98" i="157" a="1"/>
  <c r="F349" i="157" a="1"/>
  <c r="H285" i="157" a="1"/>
  <c r="E387" i="157" a="1"/>
  <c r="J88" i="157" a="1"/>
  <c r="I375" i="157" a="1"/>
  <c r="E396" i="157" a="1"/>
  <c r="I298" i="157" a="1"/>
  <c r="J86" i="157" a="1"/>
  <c r="G280" i="157" a="1"/>
  <c r="J210" i="157" a="1"/>
  <c r="I332" i="157" a="1"/>
  <c r="D337" i="157" a="1"/>
  <c r="G160" i="157" a="1"/>
  <c r="G197" i="157" a="1"/>
  <c r="E267" i="157" a="1"/>
  <c r="G20" i="157" a="1"/>
  <c r="D81" i="157" a="1"/>
  <c r="I59" i="157" a="1"/>
  <c r="D163" i="157" a="1"/>
  <c r="J18" i="157" a="1"/>
  <c r="E231" i="157" a="1"/>
  <c r="J134" i="157" a="1"/>
  <c r="F196" i="157" a="1"/>
  <c r="E298" i="157" a="1"/>
  <c r="J154" i="157" a="1"/>
  <c r="F417" i="157" a="1"/>
  <c r="G253" i="157" a="1"/>
  <c r="J396" i="157" a="1"/>
  <c r="I254" i="157" a="1"/>
  <c r="I11" i="157" a="1"/>
  <c r="D162" i="157" a="1"/>
  <c r="D283" i="157" a="1"/>
  <c r="H248" i="157" a="1"/>
  <c r="G115" i="157" a="1"/>
  <c r="I55" i="157" a="1"/>
  <c r="I46" i="157" a="1"/>
  <c r="G148" i="157" a="1"/>
  <c r="D225" i="157" a="1"/>
  <c r="E266" i="157" a="1"/>
  <c r="I116" i="157" a="1"/>
  <c r="H402" i="157" a="1"/>
  <c r="H406" i="157" a="1"/>
  <c r="J148" i="157" a="1"/>
  <c r="E21" i="157" a="1"/>
  <c r="H19" i="157" a="1"/>
  <c r="H325" i="157" a="1"/>
  <c r="J157" i="157" a="1"/>
  <c r="C394" i="157" a="1"/>
  <c r="J155" i="157" a="1"/>
  <c r="F228" i="157" a="1"/>
  <c r="D83" i="157" a="1"/>
  <c r="F11" i="157" a="1"/>
  <c r="F68" i="157" a="1"/>
  <c r="D13" i="157" a="1"/>
  <c r="J335" i="157" a="1"/>
  <c r="P10" i="127" a="1"/>
  <c r="F252" i="157" a="1"/>
  <c r="E389" i="157" a="1"/>
  <c r="E150" i="157" a="1"/>
  <c r="I416" i="157" a="1"/>
  <c r="G433" i="157" a="1"/>
  <c r="G123" i="157" a="1"/>
  <c r="F147" i="157" a="1"/>
  <c r="H316" i="157" a="1"/>
  <c r="H136" i="157" a="1"/>
  <c r="C231" i="157" a="1"/>
  <c r="H150" i="157" a="1"/>
  <c r="I431" i="157" a="1"/>
  <c r="C124" i="157" a="1"/>
  <c r="J87" i="157" a="1"/>
  <c r="H145" i="157" a="1"/>
  <c r="D194" i="157" a="1"/>
  <c r="E88" i="157" a="1"/>
  <c r="E60" i="157" a="1"/>
  <c r="C261" i="157" a="1"/>
  <c r="E209" i="157" a="1"/>
  <c r="C18" i="157" a="1"/>
  <c r="D338" i="157" a="1"/>
  <c r="I166" i="157" a="1"/>
  <c r="H209" i="157" a="1"/>
  <c r="F198" i="157" a="1"/>
  <c r="D54" i="157" a="1"/>
  <c r="I61" i="157" a="1"/>
  <c r="G283" i="157" a="1"/>
  <c r="C200" i="157" a="1"/>
  <c r="C90" i="157" a="1"/>
  <c r="G124" i="157" a="1"/>
  <c r="D121" i="157" a="1"/>
  <c r="C139" i="157" a="1"/>
  <c r="G149" i="157" a="1"/>
  <c r="G43" i="157" a="1"/>
  <c r="D11" i="157" a="1"/>
  <c r="F452" i="157" a="1"/>
  <c r="I13" i="157" a="1"/>
  <c r="D295" i="157" a="1"/>
  <c r="D393" i="157" a="1"/>
  <c r="J237" i="157" a="1"/>
  <c r="D22" i="157" a="1"/>
  <c r="F119" i="157" a="1"/>
  <c r="J91" i="157" a="1"/>
  <c r="E52" i="157" a="1"/>
  <c r="I274" i="157" a="1"/>
  <c r="F446" i="157" a="1"/>
  <c r="I281" i="157" a="1"/>
  <c r="D37" i="157" a="1"/>
  <c r="H66" i="157" a="1"/>
  <c r="E345" i="157" a="1"/>
  <c r="F335" i="157" a="1"/>
  <c r="F405" i="157" a="1"/>
  <c r="H438" i="157" a="1"/>
  <c r="H51" i="157" a="1"/>
  <c r="J120" i="157" a="1"/>
  <c r="G147" i="157" a="1"/>
  <c r="C182" i="157" a="1"/>
  <c r="G329" i="157" a="1"/>
  <c r="H36" i="157" a="1"/>
  <c r="I24" i="157" a="1"/>
  <c r="E410" i="157" a="1"/>
  <c r="C233" i="157" a="1"/>
  <c r="J251" i="157" a="1"/>
  <c r="C293" i="157" a="1"/>
  <c r="H110" i="157" a="1"/>
  <c r="F75" i="157" a="1"/>
  <c r="C230" i="157" a="1"/>
  <c r="F283" i="157" a="1"/>
  <c r="G211" i="157" a="1"/>
  <c r="F60" i="157" a="1"/>
  <c r="F333" i="157" a="1"/>
  <c r="I165" i="157" a="1"/>
  <c r="D405" i="157" a="1"/>
  <c r="F419" i="157" a="1"/>
  <c r="F351" i="157" a="1"/>
  <c r="C37" i="157" a="1"/>
  <c r="I410" i="157" a="1"/>
  <c r="G374" i="157" a="1"/>
  <c r="D269" i="157" a="1"/>
  <c r="P10" i="145" a="1"/>
  <c r="I263" i="157" a="1"/>
  <c r="J271" i="157" a="1"/>
  <c r="G446" i="157" a="1"/>
  <c r="P10" i="151" a="1"/>
  <c r="D261" i="157" a="1"/>
  <c r="J63" i="157" a="1"/>
  <c r="F216" i="157" a="1"/>
  <c r="I225" i="157" a="1"/>
  <c r="C270" i="157" a="1"/>
  <c r="F355" i="157" a="1"/>
  <c r="I335" i="157" a="1"/>
  <c r="C441" i="157" a="1"/>
  <c r="P10" i="150" a="1"/>
  <c r="F292" i="157" a="1"/>
  <c r="H104" i="157" a="1"/>
  <c r="C275" i="157" a="1"/>
  <c r="D424" i="157" a="1"/>
  <c r="F450" i="157" a="1"/>
  <c r="H304" i="157" a="1"/>
  <c r="F134" i="157" a="1"/>
  <c r="E68" i="157" a="1"/>
  <c r="C69" i="157" a="1"/>
  <c r="I427" i="157" a="1"/>
  <c r="H28" i="157" a="1"/>
  <c r="D115" i="157" a="1"/>
  <c r="H6" i="157" a="1"/>
  <c r="C116" i="157" a="1"/>
  <c r="H425" i="157" a="1"/>
  <c r="E342" i="157" a="1"/>
  <c r="J404" i="157" a="1"/>
  <c r="F13" i="157" a="1"/>
  <c r="D18" i="157" a="1"/>
  <c r="F291" i="157" a="1"/>
  <c r="H428" i="157" a="1"/>
  <c r="H234" i="157" a="1"/>
  <c r="G73" i="157" a="1"/>
  <c r="I443" i="157" a="1"/>
  <c r="E152" i="157" a="1"/>
  <c r="E213" i="157" a="1"/>
  <c r="C357" i="157" a="1"/>
  <c r="F415" i="157" a="1"/>
  <c r="C418" i="157" a="1"/>
  <c r="I121" i="157" a="1"/>
  <c r="D268" i="157" a="1"/>
  <c r="H396" i="157" a="1"/>
  <c r="D348" i="157" a="1"/>
  <c r="G287" i="157" a="1"/>
  <c r="G266" i="157" a="1"/>
  <c r="H313" i="157" a="1"/>
  <c r="H391" i="157" a="1"/>
  <c r="F150" i="157" a="1"/>
  <c r="I201" i="157" a="1"/>
  <c r="P11" i="137" a="1"/>
  <c r="I38" i="157" a="1"/>
  <c r="I457" i="157" a="1"/>
  <c r="G333" i="157" a="1"/>
  <c r="E120" i="157" a="1"/>
  <c r="C87" i="157" a="1"/>
  <c r="J174" i="157" a="1"/>
  <c r="P11" i="122" a="1"/>
  <c r="I385" i="157" a="1"/>
  <c r="I414" i="157" a="1"/>
  <c r="G72" i="157" a="1"/>
  <c r="C448" i="157" a="1"/>
  <c r="E246" i="157" a="1"/>
  <c r="H359" i="157" a="1"/>
  <c r="F331" i="157" a="1"/>
  <c r="J187" i="157" a="1"/>
  <c r="J336" i="157" a="1"/>
  <c r="J153" i="157" a="1"/>
  <c r="E226" i="157" a="1"/>
  <c r="D373" i="157" a="1"/>
  <c r="D48" i="157" a="1"/>
  <c r="E19" i="157" a="1"/>
  <c r="C31" i="157" a="1"/>
  <c r="G290" i="157" a="1"/>
  <c r="C277" i="157" a="1"/>
  <c r="H371" i="157" a="1"/>
  <c r="J201" i="157" a="1"/>
  <c r="F382" i="157" a="1"/>
  <c r="E53" i="157" a="1"/>
  <c r="I29" i="157" a="1"/>
  <c r="F393" i="157" a="1"/>
  <c r="D113" i="157" a="1"/>
  <c r="D74" i="157" a="1"/>
  <c r="J377" i="157" a="1"/>
  <c r="E216" i="157" a="1"/>
  <c r="C399" i="157" a="1"/>
  <c r="H251" i="157" a="1"/>
  <c r="I365" i="157" a="1"/>
  <c r="E253" i="157" a="1"/>
  <c r="F369" i="157" a="1"/>
  <c r="J389" i="157" a="1"/>
  <c r="C41" i="157" a="1"/>
  <c r="E455" i="157" a="1"/>
  <c r="E291" i="157" a="1"/>
  <c r="D94" i="157" a="1"/>
  <c r="D427" i="157" a="1"/>
  <c r="E107" i="157" a="1"/>
  <c r="H114" i="157" a="1"/>
  <c r="E305" i="157" a="1"/>
  <c r="E139" i="157" a="1"/>
  <c r="G401" i="157" a="1"/>
  <c r="F437" i="157" a="1"/>
  <c r="I459" i="157" a="1"/>
  <c r="E401" i="157" a="1"/>
  <c r="G285" i="157" a="1"/>
  <c r="C416" i="157" a="1"/>
  <c r="C204" i="157" a="1"/>
  <c r="G179" i="157" a="1"/>
  <c r="D334" i="157" a="1"/>
  <c r="G216" i="157" a="1"/>
  <c r="G180" i="157" a="1"/>
  <c r="E351" i="157" a="1"/>
  <c r="J430" i="157" a="1"/>
  <c r="D89" i="157" a="1"/>
  <c r="C79" i="157" a="1"/>
  <c r="E457" i="157" a="1"/>
  <c r="P10" i="147" a="1"/>
  <c r="H138" i="157" a="1"/>
  <c r="D304" i="157" a="1"/>
  <c r="D371" i="157" a="1"/>
  <c r="J173" i="157" a="1"/>
  <c r="J356" i="157" a="1"/>
  <c r="G200" i="157" a="1"/>
  <c r="I415" i="157" a="1"/>
  <c r="D271" i="157" a="1"/>
  <c r="C408" i="157" a="1"/>
  <c r="J197" i="157" a="1"/>
  <c r="H173" i="157" a="1"/>
  <c r="D309" i="157" a="1"/>
  <c r="I206" i="157" a="1"/>
  <c r="E411" i="157" a="1"/>
  <c r="G242" i="157" a="1"/>
  <c r="H184" i="157" a="1"/>
  <c r="F106" i="157" a="1"/>
  <c r="H74" i="157" a="1"/>
  <c r="J274" i="157" a="1"/>
  <c r="I406" i="157" a="1"/>
  <c r="J105" i="157" a="1"/>
  <c r="H228" i="157" a="1"/>
  <c r="F436" i="157" a="1"/>
  <c r="C316" i="157" a="1"/>
  <c r="G225" i="157" a="1"/>
  <c r="E243" i="157" a="1"/>
  <c r="D46" i="157" a="1"/>
  <c r="C429" i="157" a="1"/>
  <c r="H288" i="157" a="1"/>
  <c r="I347" i="157" a="1"/>
  <c r="C54" i="157" a="1"/>
  <c r="J277" i="157" a="1"/>
  <c r="J27" i="157" a="1"/>
  <c r="F315" i="157" a="1"/>
  <c r="D232" i="157" a="1"/>
  <c r="C48" i="157" a="1"/>
  <c r="J369" i="157" a="1"/>
  <c r="E220" i="157" a="1"/>
  <c r="F370" i="157" a="1"/>
  <c r="I158" i="157" a="1"/>
  <c r="H326" i="157" a="1"/>
  <c r="D420" i="157" a="1"/>
  <c r="J351" i="157" a="1"/>
  <c r="F52" i="157" a="1"/>
  <c r="D45" i="157" a="1"/>
  <c r="G347" i="157" a="1"/>
  <c r="C214" i="157" a="1"/>
  <c r="E426" i="157" a="1"/>
  <c r="H321" i="157" a="1"/>
  <c r="G256" i="157" a="1"/>
  <c r="J25" i="157" a="1"/>
  <c r="F157" i="157" a="1"/>
  <c r="C257" i="157" a="1"/>
  <c r="D181" i="157" a="1"/>
  <c r="I72" i="157" a="1"/>
  <c r="I309" i="157" a="1"/>
  <c r="F10" i="157" a="1"/>
  <c r="J240" i="157" a="1"/>
  <c r="E75" i="157" a="1"/>
  <c r="G337" i="157" a="1"/>
  <c r="J229" i="157" a="1"/>
  <c r="J61" i="157" a="1"/>
  <c r="G116" i="157" a="1"/>
  <c r="F421" i="157" a="1"/>
  <c r="D278" i="157" a="1"/>
  <c r="C147" i="157" a="1"/>
  <c r="E314" i="157" a="1"/>
  <c r="C118" i="157" a="1"/>
  <c r="D321" i="157" a="1"/>
  <c r="F297" i="157" a="1"/>
  <c r="D370" i="157" a="1"/>
  <c r="D203" i="157" a="1"/>
  <c r="H158" i="157" a="1"/>
  <c r="G263" i="157" a="1"/>
  <c r="D372" i="157" a="1"/>
  <c r="J70" i="157" a="1"/>
  <c r="F320" i="157" a="1"/>
  <c r="I358" i="157" a="1"/>
  <c r="C143" i="157" a="1"/>
  <c r="H439" i="157" a="1"/>
  <c r="F232" i="157" a="1"/>
  <c r="P10" i="132" a="1"/>
  <c r="D164" i="157" a="1"/>
  <c r="F47" i="157" a="1"/>
  <c r="J394" i="157" a="1"/>
  <c r="H329" i="157" a="1"/>
  <c r="G315" i="157" a="1"/>
  <c r="C7" i="157" a="1"/>
  <c r="F104" i="157" a="1"/>
  <c r="I88" i="157" a="1"/>
  <c r="H246" i="157" a="1"/>
  <c r="C121" i="157" a="1"/>
  <c r="H420" i="157" a="1"/>
  <c r="E87" i="157" a="1"/>
  <c r="J338" i="157" a="1"/>
  <c r="E49" i="157" a="1"/>
  <c r="J287" i="157" a="1"/>
  <c r="D134" i="157" a="1"/>
  <c r="D347" i="157" a="1"/>
  <c r="I328" i="157" a="1"/>
  <c r="H100" i="157" a="1"/>
  <c r="H274" i="157" a="1"/>
  <c r="C106" i="157" a="1"/>
  <c r="E357" i="157" a="1"/>
  <c r="J401" i="157" a="1"/>
  <c r="G408" i="157" a="1"/>
  <c r="H139" i="157" a="1"/>
  <c r="J141" i="157" a="1"/>
  <c r="J144" i="157" a="1"/>
  <c r="D173" i="157" a="1"/>
  <c r="C457" i="157" a="1"/>
  <c r="H307" i="157" a="1"/>
  <c r="I284" i="157" a="1"/>
  <c r="G135" i="157" a="1"/>
  <c r="F142" i="157" a="1"/>
  <c r="G41" i="157" a="1"/>
  <c r="I156" i="157" a="1"/>
  <c r="D120" i="157" a="1"/>
  <c r="I112" i="157" a="1"/>
  <c r="G237" i="157" a="1"/>
  <c r="F158" i="157" a="1"/>
  <c r="D224" i="157" a="1"/>
  <c r="J185" i="157" a="1"/>
  <c r="G61" i="157" a="1"/>
  <c r="C187" i="157" a="1"/>
  <c r="G382" i="157" a="1"/>
  <c r="E290" i="157" a="1"/>
  <c r="H342" i="157" a="1"/>
  <c r="P10" i="109" a="1"/>
  <c r="I86" i="157" a="1"/>
  <c r="D41" i="157" a="1"/>
  <c r="F413" i="157" a="1"/>
  <c r="C161" i="157" a="1"/>
  <c r="I424" i="157" a="1"/>
  <c r="F309" i="157" a="1"/>
  <c r="I392" i="157" a="1"/>
  <c r="E240" i="157" a="1"/>
  <c r="H116" i="157" a="1"/>
  <c r="E70" i="157" a="1"/>
  <c r="H193" i="157" a="1"/>
  <c r="H220" i="157" a="1"/>
  <c r="I371" i="157" a="1"/>
  <c r="I146" i="157" a="1"/>
  <c r="E284" i="157" a="1"/>
  <c r="D360" i="157" a="1"/>
  <c r="H440" i="157" a="1"/>
  <c r="G262" i="157" a="1"/>
  <c r="D178" i="157" a="1"/>
  <c r="J194" i="157" a="1"/>
  <c r="F132" i="157" a="1"/>
  <c r="H377" i="157" a="1"/>
  <c r="G132" i="157" a="1"/>
  <c r="I417" i="157" a="1"/>
  <c r="E218" i="157" a="1"/>
  <c r="J325" i="157" a="1"/>
  <c r="I136" i="157" a="1"/>
  <c r="E85" i="157" a="1"/>
  <c r="D378" i="157" a="1"/>
  <c r="G108" i="157" a="1"/>
  <c r="J152" i="157" a="1"/>
  <c r="G453" i="157" a="1"/>
  <c r="J364" i="157" a="1"/>
  <c r="E157" i="157" a="1"/>
  <c r="C65" i="157" a="1"/>
  <c r="E181" i="157" a="1"/>
  <c r="F44" i="157" a="1"/>
  <c r="H146" i="157" a="1"/>
  <c r="G371" i="157" a="1"/>
  <c r="F262" i="157" a="1"/>
  <c r="F455" i="157" a="1"/>
  <c r="I438" i="157" a="1"/>
  <c r="F430" i="157" a="1"/>
  <c r="E251" i="157" a="1"/>
  <c r="C137" i="157" a="1"/>
  <c r="I232" i="157" a="1"/>
  <c r="F105" i="157" a="1"/>
  <c r="E24" i="157" a="1"/>
  <c r="D8" i="157" a="1"/>
  <c r="J207" i="157" a="1"/>
  <c r="H70" i="157" a="1"/>
  <c r="C180" i="157" a="1"/>
  <c r="I82" i="157" a="1"/>
  <c r="I199" i="157" a="1"/>
  <c r="F19" i="157" a="1"/>
  <c r="E346" i="157" a="1"/>
  <c r="C304" i="157" a="1"/>
  <c r="J358" i="157" a="1"/>
  <c r="D358" i="157" a="1"/>
  <c r="E121" i="157" a="1"/>
  <c r="C407" i="157" a="1"/>
  <c r="H27" i="157" a="1"/>
  <c r="H389" i="157" a="1"/>
  <c r="I444" i="157" a="1"/>
  <c r="E422" i="157" a="1"/>
  <c r="G354" i="157" a="1"/>
  <c r="E252" i="157" a="1"/>
  <c r="F443" i="157" a="1"/>
  <c r="G85" i="157" a="1"/>
  <c r="E446" i="157" a="1"/>
  <c r="D369" i="157" a="1"/>
  <c r="I132" i="157" a="1"/>
  <c r="F372" i="157" a="1"/>
  <c r="E391" i="157" a="1"/>
  <c r="F390" i="157" a="1"/>
  <c r="F208" i="157" a="1"/>
  <c r="H446" i="157" a="1"/>
  <c r="E204" i="157" a="1"/>
  <c r="C185" i="157" a="1"/>
  <c r="D286" i="157" a="1"/>
  <c r="D188" i="157" a="1"/>
  <c r="J244" i="157" a="1"/>
  <c r="H320" i="157" a="1"/>
  <c r="C236" i="157" a="1"/>
  <c r="C365" i="157" a="1"/>
  <c r="C151" i="157" a="1"/>
  <c r="G343" i="157" a="1"/>
  <c r="I52" i="157" a="1"/>
  <c r="J318" i="157" a="1"/>
  <c r="F266" i="157" a="1"/>
  <c r="D104" i="157" a="1"/>
  <c r="F431" i="157" a="1"/>
  <c r="J286" i="157" a="1"/>
  <c r="C53" i="157" a="1"/>
  <c r="G331" i="157" a="1"/>
  <c r="J260" i="157" a="1"/>
  <c r="I346" i="157" a="1"/>
  <c r="G368" i="157" a="1"/>
  <c r="J273" i="157" a="1"/>
  <c r="E392" i="157" a="1"/>
  <c r="J331" i="157" a="1"/>
  <c r="J19" i="157" a="1"/>
  <c r="P11" i="114" a="1"/>
  <c r="J454" i="157" a="1"/>
  <c r="F311" i="157" a="1"/>
  <c r="E329" i="157" a="1"/>
  <c r="E265" i="157" a="1"/>
  <c r="F139" i="157" a="1"/>
  <c r="G214" i="157" a="1"/>
  <c r="G127" i="157" a="1"/>
  <c r="C96" i="157" a="1"/>
  <c r="G146" i="157" a="1"/>
  <c r="G107" i="157" a="1"/>
  <c r="E272" i="157" a="1"/>
  <c r="J44" i="157" a="1"/>
  <c r="C10" i="157" a="1"/>
  <c r="E244" i="157" a="1"/>
  <c r="D153" i="157" a="1"/>
  <c r="F79" i="157" a="1"/>
  <c r="E77" i="157" a="1"/>
  <c r="J100" i="157" a="1"/>
  <c r="F73" i="157" a="1"/>
  <c r="J442" i="157" a="1"/>
  <c r="G199" i="157" a="1"/>
  <c r="H207" i="157" a="1"/>
  <c r="J165" i="157" a="1"/>
  <c r="C273" i="157" a="1"/>
  <c r="F149" i="157" a="1"/>
  <c r="C347" i="157" a="1"/>
  <c r="H416" i="157" a="1"/>
  <c r="E194" i="157" a="1"/>
  <c r="P11" i="107" a="1"/>
  <c r="J195" i="157" a="1"/>
  <c r="G345" i="157" a="1"/>
  <c r="E450" i="157" a="1"/>
  <c r="E195" i="157" a="1"/>
  <c r="E179" i="157" a="1"/>
  <c r="D239" i="157" a="1"/>
  <c r="F360" i="157" a="1"/>
  <c r="C207" i="157" a="1"/>
  <c r="C349" i="157" a="1"/>
  <c r="J28" i="157" a="1"/>
  <c r="D431" i="157" a="1"/>
  <c r="J22" i="157" a="1"/>
  <c r="G139" i="157" a="1"/>
  <c r="H169" i="157" a="1"/>
  <c r="H119" i="157" a="1"/>
  <c r="E279" i="157" a="1"/>
  <c r="C51" i="157" a="1"/>
  <c r="D55" i="157" a="1"/>
  <c r="E192" i="157" a="1"/>
  <c r="H293" i="157" a="1"/>
  <c r="E294" i="157" a="1"/>
  <c r="D324" i="157" a="1"/>
  <c r="D85" i="157" a="1"/>
  <c r="D236" i="157" a="1"/>
  <c r="I217" i="157" a="1"/>
  <c r="E127" i="157" a="1"/>
  <c r="D297" i="157" a="1"/>
  <c r="G306" i="157" a="1"/>
  <c r="I207" i="157" a="1"/>
  <c r="D366" i="157" a="1"/>
  <c r="C38" i="157" a="1"/>
  <c r="H7" i="157" a="1"/>
  <c r="F458" i="157" a="1"/>
  <c r="H335" i="157" a="1"/>
  <c r="E269" i="157" l="1"/>
  <c r="G167" i="157"/>
  <c r="H242" i="157"/>
  <c r="I159" i="157"/>
  <c r="D388" i="157"/>
  <c r="C393" i="157"/>
  <c r="H45" i="157"/>
  <c r="E378" i="157"/>
  <c r="E349" i="157"/>
  <c r="F392" i="157"/>
  <c r="I370" i="157"/>
  <c r="D339" i="157"/>
  <c r="F160" i="157"/>
  <c r="H446" i="157"/>
  <c r="D96" i="157"/>
  <c r="G385" i="157"/>
  <c r="J344" i="157"/>
  <c r="F340" i="157"/>
  <c r="J65" i="157"/>
  <c r="I146" i="157"/>
  <c r="G377" i="157"/>
  <c r="D31" i="157"/>
  <c r="G273" i="157"/>
  <c r="D328" i="157"/>
  <c r="J63" i="157"/>
  <c r="E153" i="157"/>
  <c r="F443" i="157"/>
  <c r="P11" i="144"/>
  <c r="Q11" i="144" s="1"/>
  <c r="H226" i="157"/>
  <c r="C7" i="157"/>
  <c r="F310" i="157"/>
  <c r="J289" i="157"/>
  <c r="G36" i="157"/>
  <c r="E266" i="157"/>
  <c r="H203" i="157"/>
  <c r="F308" i="157"/>
  <c r="J185" i="157"/>
  <c r="I149" i="157"/>
  <c r="C14" i="157"/>
  <c r="G327" i="157"/>
  <c r="D367" i="157"/>
  <c r="D239" i="157"/>
  <c r="F293" i="157"/>
  <c r="F380" i="157"/>
  <c r="C94" i="157"/>
  <c r="F102" i="157"/>
  <c r="H13" i="157"/>
  <c r="C73" i="157"/>
  <c r="H397" i="157"/>
  <c r="C50" i="157"/>
  <c r="J328" i="157"/>
  <c r="J368" i="157"/>
  <c r="I335" i="157"/>
  <c r="H55" i="157"/>
  <c r="H458" i="157"/>
  <c r="G290" i="157"/>
  <c r="C190" i="157"/>
  <c r="I378" i="157"/>
  <c r="F279" i="157"/>
  <c r="I423" i="157"/>
  <c r="P10" i="134"/>
  <c r="F181" i="157"/>
  <c r="C286" i="157"/>
  <c r="J156" i="157"/>
  <c r="I452" i="157"/>
  <c r="J218" i="157"/>
  <c r="J230" i="157"/>
  <c r="D62" i="157"/>
  <c r="J192" i="157"/>
  <c r="D206" i="157"/>
  <c r="C102" i="157"/>
  <c r="H104" i="157"/>
  <c r="G218" i="157"/>
  <c r="H199" i="157"/>
  <c r="E188" i="157"/>
  <c r="P11" i="146"/>
  <c r="Q11" i="146" s="1"/>
  <c r="C185" i="157"/>
  <c r="F155" i="157"/>
  <c r="D79" i="157"/>
  <c r="H308" i="157"/>
  <c r="D98" i="157"/>
  <c r="G269" i="157"/>
  <c r="G405" i="157"/>
  <c r="I16" i="157"/>
  <c r="E403" i="157"/>
  <c r="C303" i="157"/>
  <c r="C64" i="157"/>
  <c r="I380" i="157"/>
  <c r="C46" i="157"/>
  <c r="E453" i="157"/>
  <c r="E224" i="157"/>
  <c r="I99" i="157"/>
  <c r="D341" i="157"/>
  <c r="D301" i="157"/>
  <c r="J222" i="157"/>
  <c r="C70" i="157"/>
  <c r="D91" i="157"/>
  <c r="J216" i="157"/>
  <c r="J381" i="157"/>
  <c r="J25" i="157"/>
  <c r="H39" i="157"/>
  <c r="C187" i="157"/>
  <c r="E187" i="157"/>
  <c r="H363" i="157"/>
  <c r="H79" i="157"/>
  <c r="H457" i="157"/>
  <c r="H261" i="157"/>
  <c r="C51" i="157"/>
  <c r="C151" i="157"/>
  <c r="I460" i="157"/>
  <c r="H423" i="157"/>
  <c r="I127" i="157"/>
  <c r="G300" i="157"/>
  <c r="C84" i="157"/>
  <c r="E236" i="157"/>
  <c r="D420" i="157"/>
  <c r="I325" i="157"/>
  <c r="D346" i="157"/>
  <c r="H66" i="157"/>
  <c r="I128" i="157"/>
  <c r="J267" i="157"/>
  <c r="I150" i="157"/>
  <c r="C402" i="157"/>
  <c r="H326" i="157"/>
  <c r="I46" i="157"/>
  <c r="F118" i="157"/>
  <c r="J363" i="157"/>
  <c r="D63" i="157"/>
  <c r="C76" i="157"/>
  <c r="G316" i="157"/>
  <c r="G12" i="157"/>
  <c r="J114" i="157"/>
  <c r="H50" i="157"/>
  <c r="J274" i="157"/>
  <c r="H415" i="157"/>
  <c r="C97" i="157"/>
  <c r="I27" i="157"/>
  <c r="P11" i="122"/>
  <c r="Q11" i="122" s="1"/>
  <c r="H89" i="157"/>
  <c r="D376" i="157"/>
  <c r="F165" i="157"/>
  <c r="F179" i="157"/>
  <c r="D23" i="156"/>
  <c r="D449" i="157"/>
  <c r="J367" i="157"/>
  <c r="G370" i="157"/>
  <c r="E204" i="157"/>
  <c r="I167" i="157"/>
  <c r="I143" i="157"/>
  <c r="P11" i="127"/>
  <c r="Q11" i="127" s="1"/>
  <c r="F16" i="157"/>
  <c r="E46" i="157"/>
  <c r="F331" i="157"/>
  <c r="J384" i="157"/>
  <c r="E213" i="157"/>
  <c r="E51" i="157"/>
  <c r="C54" i="157"/>
  <c r="I269" i="157"/>
  <c r="D351" i="157"/>
  <c r="I178" i="157"/>
  <c r="I406" i="157"/>
  <c r="C426" i="157"/>
  <c r="G180" i="157"/>
  <c r="D343" i="157"/>
  <c r="F359" i="157"/>
  <c r="D145" i="157"/>
  <c r="E137" i="157"/>
  <c r="I185" i="157"/>
  <c r="G102" i="157"/>
  <c r="H265" i="157"/>
  <c r="H252" i="157"/>
  <c r="J427" i="157"/>
  <c r="H43" i="157"/>
  <c r="F395" i="157"/>
  <c r="H460" i="157"/>
  <c r="I61" i="157"/>
  <c r="H171" i="157"/>
  <c r="F243" i="157"/>
  <c r="D439" i="157"/>
  <c r="J233" i="157"/>
  <c r="J334" i="157"/>
  <c r="H192" i="157"/>
  <c r="J337" i="157"/>
  <c r="P10" i="116"/>
  <c r="G16" i="157"/>
  <c r="C400" i="157"/>
  <c r="C295" i="157"/>
  <c r="C437" i="157"/>
  <c r="G129" i="157"/>
  <c r="D428" i="157"/>
  <c r="C344" i="157"/>
  <c r="E393" i="157"/>
  <c r="J383" i="157"/>
  <c r="P11" i="155"/>
  <c r="Q11" i="155" s="1"/>
  <c r="J20" i="157"/>
  <c r="J96" i="157"/>
  <c r="D73" i="157"/>
  <c r="H101" i="157"/>
  <c r="J356" i="157"/>
  <c r="D209" i="157"/>
  <c r="E198" i="157"/>
  <c r="F383" i="157"/>
  <c r="F373" i="157"/>
  <c r="H348" i="157"/>
  <c r="E43" i="157"/>
  <c r="E363" i="157"/>
  <c r="F261" i="157"/>
  <c r="H291" i="157"/>
  <c r="E344" i="157"/>
  <c r="P10" i="155"/>
  <c r="D354" i="157"/>
  <c r="J371" i="157"/>
  <c r="C313" i="157"/>
  <c r="D88" i="157"/>
  <c r="G7" i="157"/>
  <c r="C335" i="157"/>
  <c r="J372" i="157"/>
  <c r="I317" i="157"/>
  <c r="D136" i="157"/>
  <c r="H36" i="157"/>
  <c r="D253" i="157"/>
  <c r="C44" i="157"/>
  <c r="E361" i="157"/>
  <c r="C440" i="157"/>
  <c r="H438" i="157"/>
  <c r="F281" i="157"/>
  <c r="J36" i="157"/>
  <c r="F425" i="157"/>
  <c r="G154" i="157"/>
  <c r="E107" i="157"/>
  <c r="G325" i="157"/>
  <c r="J49" i="157"/>
  <c r="C17" i="157"/>
  <c r="J401" i="157"/>
  <c r="G186" i="157"/>
  <c r="D30" i="157"/>
  <c r="E450" i="157"/>
  <c r="D107" i="157"/>
  <c r="C169" i="157"/>
  <c r="G415" i="157"/>
  <c r="G291" i="157"/>
  <c r="G174" i="157"/>
  <c r="C435" i="157"/>
  <c r="I151" i="157"/>
  <c r="C370" i="157"/>
  <c r="F412" i="157"/>
  <c r="H270" i="157"/>
  <c r="E406" i="157"/>
  <c r="F375" i="157"/>
  <c r="E346" i="157"/>
  <c r="H181" i="157"/>
  <c r="G24" i="157"/>
  <c r="D181" i="157"/>
  <c r="J69" i="157"/>
  <c r="H431" i="157"/>
  <c r="G230" i="157"/>
  <c r="I173" i="157"/>
  <c r="J213" i="157"/>
  <c r="E17" i="157"/>
  <c r="C333" i="157"/>
  <c r="J132" i="157"/>
  <c r="I123" i="157"/>
  <c r="H130" i="157"/>
  <c r="J329" i="157"/>
  <c r="F57" i="157"/>
  <c r="I106" i="157"/>
  <c r="G116" i="157"/>
  <c r="J418" i="157"/>
  <c r="D116" i="157"/>
  <c r="G452" i="157"/>
  <c r="G268" i="157"/>
  <c r="C40" i="157"/>
  <c r="D332" i="157"/>
  <c r="G221" i="157"/>
  <c r="G255" i="157"/>
  <c r="D22" i="157"/>
  <c r="H202" i="157"/>
  <c r="C91" i="157"/>
  <c r="I142" i="157"/>
  <c r="I25" i="157"/>
  <c r="C366" i="157"/>
  <c r="C204" i="157"/>
  <c r="D161" i="157"/>
  <c r="G37" i="157"/>
  <c r="D102" i="157"/>
  <c r="J130" i="157"/>
  <c r="D394" i="157"/>
  <c r="D350" i="157"/>
  <c r="G231" i="157"/>
  <c r="F231" i="157"/>
  <c r="C429" i="157"/>
  <c r="J111" i="157"/>
  <c r="F213" i="157"/>
  <c r="C392" i="157"/>
  <c r="G71" i="157"/>
  <c r="J325" i="157"/>
  <c r="E8" i="157"/>
  <c r="J12" i="157"/>
  <c r="E98" i="157"/>
  <c r="F125" i="157"/>
  <c r="I284" i="157"/>
  <c r="D450" i="157"/>
  <c r="C293" i="157"/>
  <c r="C350" i="157"/>
  <c r="I238" i="157"/>
  <c r="C196" i="157"/>
  <c r="G249" i="157"/>
  <c r="I78" i="157"/>
  <c r="E93" i="157"/>
  <c r="C80" i="157"/>
  <c r="D65" i="157"/>
  <c r="F127" i="157"/>
  <c r="G199" i="157"/>
  <c r="H70" i="157"/>
  <c r="E217" i="157"/>
  <c r="D66" i="157"/>
  <c r="I55" i="157"/>
  <c r="E318" i="157"/>
  <c r="I108" i="157"/>
  <c r="G450" i="157"/>
  <c r="C189" i="157"/>
  <c r="H443" i="157"/>
  <c r="F176" i="157"/>
  <c r="H306" i="157"/>
  <c r="G108" i="157"/>
  <c r="E91" i="157"/>
  <c r="H359" i="157"/>
  <c r="I110" i="157"/>
  <c r="C407" i="157"/>
  <c r="C374" i="157"/>
  <c r="D446" i="157"/>
  <c r="G74" i="157"/>
  <c r="J193" i="157"/>
  <c r="E342" i="157"/>
  <c r="F341" i="157"/>
  <c r="E209" i="157"/>
  <c r="D104" i="157"/>
  <c r="I318" i="157"/>
  <c r="J455" i="157"/>
  <c r="D333" i="157"/>
  <c r="F433" i="157"/>
  <c r="J158" i="157"/>
  <c r="J151" i="157"/>
  <c r="J75" i="157"/>
  <c r="J83" i="157"/>
  <c r="D274" i="157"/>
  <c r="I399" i="157"/>
  <c r="D317" i="157"/>
  <c r="D195" i="157"/>
  <c r="D417" i="157"/>
  <c r="H6" i="157"/>
  <c r="I118" i="157"/>
  <c r="E455" i="157"/>
  <c r="I372" i="157"/>
  <c r="E226" i="157"/>
  <c r="G324" i="157"/>
  <c r="I302" i="157"/>
  <c r="D458" i="157"/>
  <c r="I247" i="157"/>
  <c r="C330" i="157"/>
  <c r="C291" i="157"/>
  <c r="F323" i="157"/>
  <c r="D289" i="157"/>
  <c r="G200" i="157"/>
  <c r="C58" i="157"/>
  <c r="F422" i="157"/>
  <c r="G427" i="157"/>
  <c r="C441" i="157"/>
  <c r="C166" i="157"/>
  <c r="D170" i="157"/>
  <c r="I31" i="157"/>
  <c r="E227" i="157"/>
  <c r="J324" i="157"/>
  <c r="H289" i="157"/>
  <c r="G142" i="157"/>
  <c r="G114" i="157"/>
  <c r="E399" i="157"/>
  <c r="C260" i="157"/>
  <c r="J355" i="157"/>
  <c r="C397" i="157"/>
  <c r="E242" i="157"/>
  <c r="H206" i="157"/>
  <c r="I349" i="157"/>
  <c r="E293" i="157"/>
  <c r="E234" i="157"/>
  <c r="J271" i="157"/>
  <c r="I295" i="157"/>
  <c r="I144" i="157"/>
  <c r="I424" i="157"/>
  <c r="H319" i="157"/>
  <c r="D228" i="157"/>
  <c r="E419" i="157"/>
  <c r="D432" i="157"/>
  <c r="I59" i="157"/>
  <c r="F315" i="157"/>
  <c r="G288" i="157"/>
  <c r="I386" i="157"/>
  <c r="G346" i="157"/>
  <c r="I191" i="157"/>
  <c r="I307" i="157"/>
  <c r="H54" i="157"/>
  <c r="G57" i="157"/>
  <c r="J187" i="157"/>
  <c r="F319" i="157"/>
  <c r="F162" i="157"/>
  <c r="J155" i="157"/>
  <c r="C205" i="157"/>
  <c r="J447" i="157"/>
  <c r="E444" i="157"/>
  <c r="J236" i="157"/>
  <c r="I259" i="157"/>
  <c r="C128" i="157"/>
  <c r="E104" i="157"/>
  <c r="E74" i="157"/>
  <c r="C219" i="157"/>
  <c r="G447" i="157"/>
  <c r="F338" i="157"/>
  <c r="J458" i="157"/>
  <c r="I347" i="157"/>
  <c r="C245" i="157"/>
  <c r="H300" i="157"/>
  <c r="H396" i="157"/>
  <c r="I82" i="157"/>
  <c r="P10" i="136"/>
  <c r="D164" i="157"/>
  <c r="I166" i="157"/>
  <c r="I187" i="157"/>
  <c r="P10" i="123"/>
  <c r="G321" i="157"/>
  <c r="I414" i="157"/>
  <c r="D443" i="157"/>
  <c r="I387" i="157"/>
  <c r="G460" i="157"/>
  <c r="I42" i="157"/>
  <c r="H33" i="157"/>
  <c r="G285" i="157"/>
  <c r="H88" i="157"/>
  <c r="H174" i="157"/>
  <c r="D323" i="157"/>
  <c r="H195" i="157"/>
  <c r="D119" i="157"/>
  <c r="C270" i="157"/>
  <c r="I56" i="157"/>
  <c r="J167" i="157"/>
  <c r="D78" i="157"/>
  <c r="C141" i="157"/>
  <c r="I262" i="157"/>
  <c r="E40" i="157"/>
  <c r="J174" i="157"/>
  <c r="E193" i="157"/>
  <c r="C292" i="157"/>
  <c r="F364" i="157"/>
  <c r="G130" i="157"/>
  <c r="G123" i="157"/>
  <c r="D188" i="157"/>
  <c r="F43" i="157"/>
  <c r="I11" i="156"/>
  <c r="H249" i="157"/>
  <c r="H227" i="157"/>
  <c r="E79" i="157"/>
  <c r="I198" i="157"/>
  <c r="D356" i="157"/>
  <c r="H412" i="157"/>
  <c r="F342" i="157"/>
  <c r="C430" i="157"/>
  <c r="I54" i="157"/>
  <c r="D246" i="157"/>
  <c r="P10" i="131"/>
  <c r="E29" i="157"/>
  <c r="C331" i="157"/>
  <c r="J22" i="157"/>
  <c r="H180" i="157"/>
  <c r="H445" i="157"/>
  <c r="P11" i="111"/>
  <c r="Q11" i="111" s="1"/>
  <c r="F347" i="157"/>
  <c r="I365" i="157"/>
  <c r="E297" i="157"/>
  <c r="E253" i="157"/>
  <c r="I392" i="157"/>
  <c r="I49" i="157"/>
  <c r="D429" i="157"/>
  <c r="D154" i="157"/>
  <c r="C289" i="157"/>
  <c r="H311" i="157"/>
  <c r="F275" i="157"/>
  <c r="J50" i="157"/>
  <c r="E31" i="157"/>
  <c r="H325" i="157"/>
  <c r="G241" i="157"/>
  <c r="I413" i="157"/>
  <c r="D178" i="157"/>
  <c r="E52" i="157"/>
  <c r="G453" i="157"/>
  <c r="I214" i="157"/>
  <c r="I34" i="157"/>
  <c r="D67" i="157"/>
  <c r="G333" i="157"/>
  <c r="F19" i="157"/>
  <c r="E197" i="157"/>
  <c r="H427" i="157"/>
  <c r="J154" i="157"/>
  <c r="D276" i="157"/>
  <c r="C449" i="157"/>
  <c r="F233" i="157"/>
  <c r="E192" i="157"/>
  <c r="C33" i="157"/>
  <c r="G211" i="157"/>
  <c r="E66" i="157"/>
  <c r="G120" i="157"/>
  <c r="H453" i="157"/>
  <c r="E9" i="157"/>
  <c r="G403" i="157"/>
  <c r="P11" i="151"/>
  <c r="Q11" i="151" s="1"/>
  <c r="E163" i="157"/>
  <c r="J434" i="157"/>
  <c r="D308" i="157"/>
  <c r="E445" i="157"/>
  <c r="G39" i="157"/>
  <c r="D46" i="157"/>
  <c r="E18" i="157"/>
  <c r="D153" i="157"/>
  <c r="J189" i="157"/>
  <c r="I296" i="157"/>
  <c r="G45" i="157"/>
  <c r="H370" i="157"/>
  <c r="J295" i="157"/>
  <c r="J361" i="157"/>
  <c r="D409" i="157"/>
  <c r="E47" i="157"/>
  <c r="I102" i="157"/>
  <c r="H283" i="157"/>
  <c r="G438" i="157"/>
  <c r="G406" i="157"/>
  <c r="D338" i="157"/>
  <c r="F270" i="157"/>
  <c r="J78" i="157"/>
  <c r="J453" i="157"/>
  <c r="I308" i="157"/>
  <c r="J80" i="157"/>
  <c r="I364" i="157"/>
  <c r="F173" i="157"/>
  <c r="J281" i="157"/>
  <c r="C25" i="157"/>
  <c r="C361" i="157"/>
  <c r="C178" i="157"/>
  <c r="G309" i="157"/>
  <c r="G413" i="157"/>
  <c r="D146" i="157"/>
  <c r="I257" i="157"/>
  <c r="I291" i="157"/>
  <c r="E276" i="157"/>
  <c r="I84" i="157"/>
  <c r="E365" i="157"/>
  <c r="D306" i="157"/>
  <c r="H437" i="157"/>
  <c r="H376" i="157"/>
  <c r="F306" i="157"/>
  <c r="F67" i="157"/>
  <c r="I361" i="157"/>
  <c r="C167" i="157"/>
  <c r="E428" i="157"/>
  <c r="I273" i="157"/>
  <c r="F164" i="157"/>
  <c r="C123" i="157"/>
  <c r="I58" i="157"/>
  <c r="H236" i="157"/>
  <c r="F30" i="157"/>
  <c r="G64" i="157"/>
  <c r="E215" i="157"/>
  <c r="H422" i="157"/>
  <c r="H245" i="157"/>
  <c r="P10" i="108"/>
  <c r="G51" i="157"/>
  <c r="D334" i="157"/>
  <c r="H222" i="157"/>
  <c r="J211" i="157"/>
  <c r="H72" i="157"/>
  <c r="D125" i="157"/>
  <c r="I332" i="157"/>
  <c r="G216" i="157"/>
  <c r="G217" i="157"/>
  <c r="D72" i="157"/>
  <c r="J169" i="157"/>
  <c r="C312" i="157"/>
  <c r="P11" i="124"/>
  <c r="Q11" i="124" s="1"/>
  <c r="I382" i="157"/>
  <c r="G202" i="157"/>
  <c r="F291" i="157"/>
  <c r="C206" i="157"/>
  <c r="J303" i="157"/>
  <c r="D395" i="157"/>
  <c r="J435" i="157"/>
  <c r="F278" i="157"/>
  <c r="E72" i="157"/>
  <c r="H86" i="157"/>
  <c r="C381" i="157"/>
  <c r="I147" i="157"/>
  <c r="J247" i="157"/>
  <c r="E121" i="157"/>
  <c r="C6" i="157"/>
  <c r="C297" i="157"/>
  <c r="F32" i="157"/>
  <c r="F263" i="157"/>
  <c r="I134" i="157"/>
  <c r="J79" i="157"/>
  <c r="E62" i="157"/>
  <c r="F284" i="157"/>
  <c r="C265" i="157"/>
  <c r="I334" i="157"/>
  <c r="P11" i="140"/>
  <c r="Q11" i="140" s="1"/>
  <c r="I301" i="157"/>
  <c r="C411" i="157"/>
  <c r="E64" i="157"/>
  <c r="J127" i="157"/>
  <c r="I196" i="157"/>
  <c r="G162" i="157"/>
  <c r="G275" i="157"/>
  <c r="G314" i="157"/>
  <c r="H395" i="157"/>
  <c r="D75" i="157"/>
  <c r="H98" i="157"/>
  <c r="J249" i="157"/>
  <c r="H238" i="157"/>
  <c r="E400" i="157"/>
  <c r="I225" i="157"/>
  <c r="C451" i="157"/>
  <c r="E408" i="157"/>
  <c r="D370" i="157"/>
  <c r="E392" i="157"/>
  <c r="E335" i="157"/>
  <c r="G422" i="157"/>
  <c r="C288" i="157"/>
  <c r="J322" i="157"/>
  <c r="E320" i="157"/>
  <c r="G390" i="157"/>
  <c r="D51" i="157"/>
  <c r="J422" i="157"/>
  <c r="C241" i="157"/>
  <c r="G289" i="157"/>
  <c r="D101" i="157"/>
  <c r="F445" i="157"/>
  <c r="G193" i="157"/>
  <c r="J17" i="157"/>
  <c r="C227" i="157"/>
  <c r="G175" i="157"/>
  <c r="G305" i="157"/>
  <c r="J209" i="157"/>
  <c r="H368" i="157"/>
  <c r="H12" i="157"/>
  <c r="H340" i="157"/>
  <c r="E341" i="157"/>
  <c r="I343" i="157"/>
  <c r="E33" i="157"/>
  <c r="E452" i="157"/>
  <c r="J304" i="157"/>
  <c r="G366" i="157"/>
  <c r="I404" i="157"/>
  <c r="J263" i="157"/>
  <c r="F355" i="157"/>
  <c r="F41" i="157"/>
  <c r="D435" i="157"/>
  <c r="E257" i="157"/>
  <c r="F426" i="157"/>
  <c r="E200" i="157"/>
  <c r="H298" i="157"/>
  <c r="C138" i="157"/>
  <c r="J98" i="157"/>
  <c r="I304" i="157"/>
  <c r="F289" i="157"/>
  <c r="H102" i="157"/>
  <c r="C60" i="157"/>
  <c r="H250" i="157"/>
  <c r="D329" i="157"/>
  <c r="D379" i="157"/>
  <c r="J292" i="157"/>
  <c r="G383" i="157"/>
  <c r="F369" i="157"/>
  <c r="E316" i="157"/>
  <c r="I227" i="157"/>
  <c r="F348" i="157"/>
  <c r="H218" i="157"/>
  <c r="D312" i="157"/>
  <c r="J57" i="157"/>
  <c r="I421" i="157"/>
  <c r="D135" i="157"/>
  <c r="C301" i="157"/>
  <c r="F313" i="157"/>
  <c r="E155" i="157"/>
  <c r="E140" i="157"/>
  <c r="D103" i="157"/>
  <c r="F89" i="157"/>
  <c r="G173" i="157"/>
  <c r="D143" i="157"/>
  <c r="G195" i="157"/>
  <c r="I165" i="157"/>
  <c r="H141" i="157"/>
  <c r="I283" i="157"/>
  <c r="C236" i="157"/>
  <c r="H197" i="157"/>
  <c r="D322" i="157"/>
  <c r="J168" i="157"/>
  <c r="E451" i="157"/>
  <c r="H135" i="157"/>
  <c r="J10" i="156"/>
  <c r="I68" i="157"/>
  <c r="G140" i="157"/>
  <c r="D176" i="157"/>
  <c r="D402" i="157"/>
  <c r="C256" i="157"/>
  <c r="G9" i="157"/>
  <c r="C150" i="157"/>
  <c r="H339" i="157"/>
  <c r="C43" i="157"/>
  <c r="G25" i="157"/>
  <c r="F71" i="157"/>
  <c r="P10" i="148"/>
  <c r="J461" i="157"/>
  <c r="C107" i="157"/>
  <c r="H323" i="157"/>
  <c r="G212" i="157"/>
  <c r="G164" i="157"/>
  <c r="H138" i="157"/>
  <c r="C325" i="157"/>
  <c r="D386" i="157"/>
  <c r="I241" i="157"/>
  <c r="H122" i="157"/>
  <c r="P11" i="149"/>
  <c r="Q11" i="149" s="1"/>
  <c r="E323" i="157"/>
  <c r="D92" i="157"/>
  <c r="H224" i="157"/>
  <c r="F21" i="157"/>
  <c r="J327" i="157"/>
  <c r="H91" i="157"/>
  <c r="E441" i="157"/>
  <c r="H118" i="157"/>
  <c r="F257" i="157"/>
  <c r="D25" i="157"/>
  <c r="H190" i="157"/>
  <c r="H163" i="157"/>
  <c r="D162" i="157"/>
  <c r="E108" i="157"/>
  <c r="I145" i="157"/>
  <c r="H299" i="157"/>
  <c r="J147" i="157"/>
  <c r="D401" i="157"/>
  <c r="I73" i="157"/>
  <c r="H408" i="157"/>
  <c r="C39" i="157"/>
  <c r="G72" i="157"/>
  <c r="I275" i="157"/>
  <c r="D282" i="157"/>
  <c r="D233" i="157"/>
  <c r="C455" i="157"/>
  <c r="D9" i="157"/>
  <c r="F431" i="157"/>
  <c r="H330" i="157"/>
  <c r="H297" i="157"/>
  <c r="C461" i="157"/>
  <c r="E424" i="157"/>
  <c r="E35" i="157"/>
  <c r="F346" i="157"/>
  <c r="E372" i="157"/>
  <c r="I400" i="157"/>
  <c r="F29" i="157"/>
  <c r="I331" i="157"/>
  <c r="G87" i="157"/>
  <c r="I437" i="157"/>
  <c r="E222" i="157"/>
  <c r="H60" i="157"/>
  <c r="H57" i="157"/>
  <c r="E179" i="157"/>
  <c r="C274" i="157"/>
  <c r="G322" i="157"/>
  <c r="C89" i="157"/>
  <c r="I280" i="157"/>
  <c r="I33" i="157"/>
  <c r="G29" i="157"/>
  <c r="E123" i="157"/>
  <c r="E265" i="157"/>
  <c r="G77" i="157"/>
  <c r="D444" i="157"/>
  <c r="J395" i="157"/>
  <c r="P10" i="125"/>
  <c r="G42" i="157"/>
  <c r="E380" i="157"/>
  <c r="D113" i="157"/>
  <c r="I447" i="157"/>
  <c r="J238" i="157"/>
  <c r="J179" i="157"/>
  <c r="G426" i="157"/>
  <c r="H381" i="157"/>
  <c r="I45" i="157"/>
  <c r="E289" i="157"/>
  <c r="D192" i="157"/>
  <c r="H97" i="157"/>
  <c r="G93" i="157"/>
  <c r="F98" i="157"/>
  <c r="C125" i="157"/>
  <c r="D17" i="157"/>
  <c r="J460" i="157"/>
  <c r="D131" i="157"/>
  <c r="F151" i="157"/>
  <c r="H48" i="157"/>
  <c r="E283" i="157"/>
  <c r="D225" i="157"/>
  <c r="G353" i="157"/>
  <c r="D254" i="157"/>
  <c r="H103" i="157"/>
  <c r="E170" i="157"/>
  <c r="H209" i="157"/>
  <c r="I47" i="157"/>
  <c r="I169" i="157"/>
  <c r="F388" i="157"/>
  <c r="F240" i="157"/>
  <c r="H136" i="157"/>
  <c r="J262" i="157"/>
  <c r="G454" i="157"/>
  <c r="F227" i="157"/>
  <c r="C210" i="157"/>
  <c r="G206" i="157"/>
  <c r="P10" i="122"/>
  <c r="G54" i="157"/>
  <c r="E431" i="157"/>
  <c r="E354" i="157"/>
  <c r="P10" i="127"/>
  <c r="D297" i="157"/>
  <c r="F321" i="157"/>
  <c r="G78" i="157"/>
  <c r="E291" i="157"/>
  <c r="G220" i="157"/>
  <c r="E230" i="157"/>
  <c r="H278" i="157"/>
  <c r="G92" i="157"/>
  <c r="G13" i="157"/>
  <c r="D115" i="157"/>
  <c r="C199" i="157"/>
  <c r="C232" i="157"/>
  <c r="F50" i="157"/>
  <c r="D197" i="157"/>
  <c r="H344" i="157"/>
  <c r="H99" i="157"/>
  <c r="G266" i="157"/>
  <c r="G189" i="157"/>
  <c r="D347" i="157"/>
  <c r="G380" i="157"/>
  <c r="E85" i="157"/>
  <c r="J68" i="157"/>
  <c r="G20" i="157"/>
  <c r="H34" i="157"/>
  <c r="C248" i="157"/>
  <c r="I388" i="157"/>
  <c r="G50" i="157"/>
  <c r="I306" i="157"/>
  <c r="F329" i="157"/>
  <c r="I300" i="157"/>
  <c r="D90" i="157"/>
  <c r="I309" i="157"/>
  <c r="H420" i="157"/>
  <c r="I62" i="157"/>
  <c r="F326" i="157"/>
  <c r="I125" i="157"/>
  <c r="G105" i="157"/>
  <c r="E340" i="157"/>
  <c r="H194" i="157"/>
  <c r="E10" i="157"/>
  <c r="E262" i="157"/>
  <c r="G110" i="157"/>
  <c r="D129" i="157"/>
  <c r="F20" i="157"/>
  <c r="E81" i="157"/>
  <c r="J309" i="157"/>
  <c r="F381" i="157"/>
  <c r="J240" i="157"/>
  <c r="C405" i="157"/>
  <c r="G65" i="157"/>
  <c r="F104" i="157"/>
  <c r="G303" i="157"/>
  <c r="E306" i="157"/>
  <c r="P10" i="150"/>
  <c r="E416" i="157"/>
  <c r="C239" i="157"/>
  <c r="C284" i="157"/>
  <c r="F77" i="157"/>
  <c r="G98" i="157"/>
  <c r="P11" i="133"/>
  <c r="Q11" i="133" s="1"/>
  <c r="H189" i="157"/>
  <c r="E375" i="157"/>
  <c r="C12" i="157"/>
  <c r="G10" i="157"/>
  <c r="D55" i="157"/>
  <c r="E379" i="157"/>
  <c r="I57" i="157"/>
  <c r="F192" i="157"/>
  <c r="J414" i="157"/>
  <c r="G240" i="157"/>
  <c r="H191" i="157"/>
  <c r="H40" i="157"/>
  <c r="E278" i="157"/>
  <c r="G315" i="157"/>
  <c r="G348" i="157"/>
  <c r="C116" i="157"/>
  <c r="J302" i="157"/>
  <c r="F350" i="157"/>
  <c r="D211" i="157"/>
  <c r="D410" i="157"/>
  <c r="C243" i="157"/>
  <c r="D230" i="157"/>
  <c r="F10" i="157"/>
  <c r="I95" i="157"/>
  <c r="J51" i="157"/>
  <c r="D326" i="157"/>
  <c r="I197" i="157"/>
  <c r="G95" i="157"/>
  <c r="H178" i="157"/>
  <c r="D36" i="157"/>
  <c r="F13" i="157"/>
  <c r="P11" i="117"/>
  <c r="Q11" i="117" s="1"/>
  <c r="F271" i="157"/>
  <c r="C32" i="157"/>
  <c r="G404" i="157"/>
  <c r="I90" i="157"/>
  <c r="H100" i="157"/>
  <c r="F236" i="157"/>
  <c r="E221" i="157"/>
  <c r="H116" i="157"/>
  <c r="G395" i="157"/>
  <c r="G181" i="157"/>
  <c r="F152" i="157"/>
  <c r="F386" i="157"/>
  <c r="G459" i="157"/>
  <c r="F439" i="157"/>
  <c r="D316" i="157"/>
  <c r="P10" i="146"/>
  <c r="J307" i="157"/>
  <c r="G31" i="157"/>
  <c r="C235" i="157"/>
  <c r="J333" i="157"/>
  <c r="E73" i="157"/>
  <c r="J141" i="157"/>
  <c r="I340" i="157"/>
  <c r="C71" i="157"/>
  <c r="D281" i="157"/>
  <c r="H287" i="157"/>
  <c r="D26" i="157"/>
  <c r="F90" i="157"/>
  <c r="H366" i="157"/>
  <c r="G349" i="157"/>
  <c r="E219" i="157"/>
  <c r="C188" i="157"/>
  <c r="H166" i="157"/>
  <c r="F117" i="157"/>
  <c r="D83" i="157"/>
  <c r="C257" i="157"/>
  <c r="F199" i="157"/>
  <c r="J120" i="157"/>
  <c r="D126" i="157"/>
  <c r="D227" i="157"/>
  <c r="F51" i="157"/>
  <c r="E414" i="157"/>
  <c r="C238" i="157"/>
  <c r="G294" i="157"/>
  <c r="I201" i="157"/>
  <c r="H406" i="157"/>
  <c r="I360" i="157"/>
  <c r="F297" i="157"/>
  <c r="G246" i="157"/>
  <c r="D229" i="157"/>
  <c r="C445" i="157"/>
  <c r="G351" i="157"/>
  <c r="I337" i="157"/>
  <c r="H257" i="157"/>
  <c r="F177" i="157"/>
  <c r="C218" i="157"/>
  <c r="C460" i="157"/>
  <c r="F142" i="157"/>
  <c r="J103" i="157"/>
  <c r="I88" i="157"/>
  <c r="J387" i="157"/>
  <c r="H155" i="157"/>
  <c r="J153" i="157"/>
  <c r="C423" i="157"/>
  <c r="F183" i="157"/>
  <c r="F95" i="157"/>
  <c r="I374" i="157"/>
  <c r="F312" i="157"/>
  <c r="J439" i="157"/>
  <c r="E336" i="157"/>
  <c r="H87" i="157"/>
  <c r="H125" i="157"/>
  <c r="J449" i="157"/>
  <c r="C419" i="157"/>
  <c r="J70" i="157"/>
  <c r="H221" i="157"/>
  <c r="F267" i="157"/>
  <c r="H402" i="157"/>
  <c r="I139" i="157"/>
  <c r="D207" i="157"/>
  <c r="J365" i="157"/>
  <c r="C11" i="157"/>
  <c r="D335" i="157"/>
  <c r="C321" i="157"/>
  <c r="E261" i="157"/>
  <c r="G457" i="157"/>
  <c r="C413" i="157"/>
  <c r="I422" i="157"/>
  <c r="C24" i="157"/>
  <c r="P11" i="125"/>
  <c r="Q11" i="125" s="1"/>
  <c r="G132" i="157"/>
  <c r="D140" i="157"/>
  <c r="I427" i="157"/>
  <c r="F413" i="157"/>
  <c r="E310" i="157"/>
  <c r="C90" i="157"/>
  <c r="I255" i="157"/>
  <c r="F298" i="157"/>
  <c r="I236" i="157"/>
  <c r="E201" i="157"/>
  <c r="F368" i="157"/>
  <c r="H418" i="157"/>
  <c r="I19" i="157"/>
  <c r="I153" i="157"/>
  <c r="F358" i="157"/>
  <c r="C354" i="157"/>
  <c r="P10" i="151"/>
  <c r="P11" i="116"/>
  <c r="Q11" i="116" s="1"/>
  <c r="D8" i="157"/>
  <c r="E78" i="157"/>
  <c r="D77" i="157"/>
  <c r="G6" i="157"/>
  <c r="H196" i="157"/>
  <c r="I63" i="157"/>
  <c r="G234" i="157"/>
  <c r="I428" i="157"/>
  <c r="C371" i="157"/>
  <c r="J379" i="157"/>
  <c r="F148" i="157"/>
  <c r="H223" i="157"/>
  <c r="I188" i="157"/>
  <c r="E395" i="157"/>
  <c r="I104" i="157"/>
  <c r="J398" i="157"/>
  <c r="D44" i="157"/>
  <c r="I289" i="157"/>
  <c r="E387" i="157"/>
  <c r="F38" i="157"/>
  <c r="C147" i="157"/>
  <c r="H247" i="157"/>
  <c r="J66" i="157"/>
  <c r="G337" i="157"/>
  <c r="C352" i="157"/>
  <c r="F374" i="157"/>
  <c r="C106" i="157"/>
  <c r="E366" i="157"/>
  <c r="G238" i="157"/>
  <c r="J207" i="157"/>
  <c r="I206" i="157"/>
  <c r="C65" i="157"/>
  <c r="C266" i="157"/>
  <c r="J58" i="157"/>
  <c r="F330" i="157"/>
  <c r="C251" i="157"/>
  <c r="J244" i="157"/>
  <c r="H15" i="157"/>
  <c r="J126" i="157"/>
  <c r="G146" i="157"/>
  <c r="D208" i="157"/>
  <c r="H367" i="157"/>
  <c r="I117" i="157"/>
  <c r="G284" i="157"/>
  <c r="D33" i="157"/>
  <c r="E97" i="157"/>
  <c r="J182" i="157"/>
  <c r="J336" i="157"/>
  <c r="I29" i="157"/>
  <c r="E225" i="157"/>
  <c r="I130" i="157"/>
  <c r="D172" i="157"/>
  <c r="G282" i="157"/>
  <c r="C127" i="157"/>
  <c r="E355" i="157"/>
  <c r="G210" i="157"/>
  <c r="C323" i="157"/>
  <c r="E371" i="157"/>
  <c r="J224" i="157"/>
  <c r="J67" i="157"/>
  <c r="G259" i="157"/>
  <c r="P11" i="143"/>
  <c r="Q11" i="143" s="1"/>
  <c r="D425" i="157"/>
  <c r="G59" i="157"/>
  <c r="F207" i="157"/>
  <c r="H151" i="157"/>
  <c r="F73" i="157"/>
  <c r="D309" i="157"/>
  <c r="G257" i="157"/>
  <c r="E156" i="157"/>
  <c r="J183" i="157"/>
  <c r="F146" i="157"/>
  <c r="D311" i="157"/>
  <c r="E446" i="157"/>
  <c r="E117" i="157"/>
  <c r="C377" i="157"/>
  <c r="I163" i="157"/>
  <c r="G235" i="157"/>
  <c r="E162" i="157"/>
  <c r="F55" i="157"/>
  <c r="F131" i="157"/>
  <c r="F434" i="157"/>
  <c r="E63" i="157"/>
  <c r="I313" i="157"/>
  <c r="I258" i="157"/>
  <c r="F28" i="157"/>
  <c r="C439" i="157"/>
  <c r="I114" i="157"/>
  <c r="H382" i="157"/>
  <c r="J208" i="157"/>
  <c r="H53" i="157"/>
  <c r="F269" i="157"/>
  <c r="F74" i="157"/>
  <c r="G141" i="157"/>
  <c r="E252" i="157"/>
  <c r="G286" i="157"/>
  <c r="J139" i="157"/>
  <c r="D12" i="157"/>
  <c r="E438" i="157"/>
  <c r="P11" i="145"/>
  <c r="Q11" i="145" s="1"/>
  <c r="G396" i="157"/>
  <c r="I350" i="157"/>
  <c r="I246" i="157"/>
  <c r="E194" i="157"/>
  <c r="H312" i="157"/>
  <c r="H296" i="157"/>
  <c r="J13" i="157"/>
  <c r="E246" i="157"/>
  <c r="J97" i="157"/>
  <c r="D94" i="157"/>
  <c r="F161" i="157"/>
  <c r="D398" i="157"/>
  <c r="E205" i="157"/>
  <c r="H47" i="157"/>
  <c r="J436" i="157"/>
  <c r="I60" i="157"/>
  <c r="J219" i="157"/>
  <c r="H32" i="157"/>
  <c r="E135" i="157"/>
  <c r="H235" i="157"/>
  <c r="G171" i="157"/>
  <c r="C75" i="157"/>
  <c r="H253" i="157"/>
  <c r="C394" i="157"/>
  <c r="F200" i="157"/>
  <c r="I315" i="157"/>
  <c r="H129" i="157"/>
  <c r="D408" i="157"/>
  <c r="E154" i="157"/>
  <c r="D171" i="157"/>
  <c r="E7" i="157"/>
  <c r="D256" i="157"/>
  <c r="J357" i="157"/>
  <c r="D348" i="157"/>
  <c r="D302" i="157"/>
  <c r="J342" i="157"/>
  <c r="E152" i="157"/>
  <c r="D182" i="157"/>
  <c r="P11" i="128"/>
  <c r="Q11" i="128" s="1"/>
  <c r="D304" i="157"/>
  <c r="F239" i="157"/>
  <c r="J438" i="157"/>
  <c r="D392" i="157"/>
  <c r="H207" i="157"/>
  <c r="F288" i="157"/>
  <c r="I316" i="157"/>
  <c r="D11" i="157"/>
  <c r="I366" i="157"/>
  <c r="G165" i="157"/>
  <c r="F172" i="157"/>
  <c r="D247" i="157"/>
  <c r="E348" i="157"/>
  <c r="F255" i="157"/>
  <c r="E412" i="157"/>
  <c r="F12" i="157"/>
  <c r="G75" i="157"/>
  <c r="G256" i="157"/>
  <c r="E11" i="157"/>
  <c r="C149" i="157"/>
  <c r="C72" i="157"/>
  <c r="E237" i="157"/>
  <c r="D414" i="157"/>
  <c r="H94" i="157"/>
  <c r="F299" i="157"/>
  <c r="F52" i="157"/>
  <c r="G137" i="157"/>
  <c r="H126" i="157"/>
  <c r="E279" i="157"/>
  <c r="I213" i="157"/>
  <c r="I234" i="157"/>
  <c r="H71" i="157"/>
  <c r="I239" i="157"/>
  <c r="J152" i="157"/>
  <c r="F96" i="157"/>
  <c r="H24" i="157"/>
  <c r="F356" i="157"/>
  <c r="G47" i="157"/>
  <c r="G455" i="157"/>
  <c r="I137" i="157"/>
  <c r="J197" i="157"/>
  <c r="G228" i="157"/>
  <c r="C215" i="157"/>
  <c r="J343" i="157"/>
  <c r="J277" i="157"/>
  <c r="E421" i="157"/>
  <c r="P10" i="126"/>
  <c r="D436" i="157"/>
  <c r="J429" i="157"/>
  <c r="J349" i="157"/>
  <c r="I53" i="157"/>
  <c r="D445" i="157"/>
  <c r="D64" i="157"/>
  <c r="C22" i="156"/>
  <c r="D375" i="157"/>
  <c r="J396" i="157"/>
  <c r="P10" i="138"/>
  <c r="Q10" i="138" s="1"/>
  <c r="I299" i="157"/>
  <c r="H19" i="157"/>
  <c r="D406" i="157"/>
  <c r="I371" i="157"/>
  <c r="F145" i="157"/>
  <c r="D263" i="157"/>
  <c r="E303" i="157"/>
  <c r="E391" i="157"/>
  <c r="H288" i="157"/>
  <c r="H177" i="157"/>
  <c r="E285" i="157"/>
  <c r="I222" i="157"/>
  <c r="C103" i="157"/>
  <c r="F405" i="157"/>
  <c r="H49" i="157"/>
  <c r="E437" i="157"/>
  <c r="G304" i="157"/>
  <c r="E304" i="157"/>
  <c r="D258" i="157"/>
  <c r="H378" i="157"/>
  <c r="G409" i="157"/>
  <c r="H81" i="157"/>
  <c r="G332" i="157"/>
  <c r="J341" i="157"/>
  <c r="I91" i="157"/>
  <c r="C269" i="157"/>
  <c r="F332" i="157"/>
  <c r="H451" i="157"/>
  <c r="C365" i="157"/>
  <c r="D284" i="157"/>
  <c r="I278" i="157"/>
  <c r="E273" i="157"/>
  <c r="D416" i="157"/>
  <c r="G397" i="157"/>
  <c r="G160" i="157"/>
  <c r="I116" i="157"/>
  <c r="D108" i="157"/>
  <c r="J74" i="157"/>
  <c r="C23" i="156"/>
  <c r="F215" i="157"/>
  <c r="C193" i="157"/>
  <c r="F367" i="157"/>
  <c r="D231" i="157"/>
  <c r="P11" i="107"/>
  <c r="Q11" i="107" s="1"/>
  <c r="E430" i="157"/>
  <c r="H341" i="157"/>
  <c r="C23" i="157"/>
  <c r="I402" i="157"/>
  <c r="I11" i="157"/>
  <c r="H84" i="157"/>
  <c r="H329" i="157"/>
  <c r="D448" i="157"/>
  <c r="I209" i="157"/>
  <c r="E401" i="157"/>
  <c r="H160" i="157"/>
  <c r="G437" i="157"/>
  <c r="I226" i="157"/>
  <c r="C133" i="157"/>
  <c r="D93" i="157"/>
  <c r="D121" i="157"/>
  <c r="E112" i="157"/>
  <c r="I195" i="157"/>
  <c r="H185" i="157"/>
  <c r="I70" i="157"/>
  <c r="C34" i="157"/>
  <c r="G247" i="157"/>
  <c r="D426" i="157"/>
  <c r="C318" i="157"/>
  <c r="C115" i="157"/>
  <c r="H293" i="157"/>
  <c r="G40" i="157"/>
  <c r="F421" i="157"/>
  <c r="H383" i="157"/>
  <c r="E351" i="157"/>
  <c r="C152" i="157"/>
  <c r="D252" i="157"/>
  <c r="I395" i="157"/>
  <c r="F168" i="157"/>
  <c r="H416" i="157"/>
  <c r="E267" i="157"/>
  <c r="C252" i="157"/>
  <c r="H435" i="157"/>
  <c r="J184" i="157"/>
  <c r="G277" i="157"/>
  <c r="I79" i="157"/>
  <c r="G389" i="157"/>
  <c r="J273" i="157"/>
  <c r="E329" i="157"/>
  <c r="H436" i="157"/>
  <c r="E142" i="157"/>
  <c r="D175" i="157"/>
  <c r="D424" i="157"/>
  <c r="F58" i="157"/>
  <c r="E28" i="157"/>
  <c r="D279" i="157"/>
  <c r="P11" i="154"/>
  <c r="Q11" i="154" s="1"/>
  <c r="F119" i="157"/>
  <c r="J353" i="157"/>
  <c r="G56" i="157"/>
  <c r="F75" i="157"/>
  <c r="J272" i="157"/>
  <c r="G14" i="157"/>
  <c r="E164" i="157"/>
  <c r="E381" i="157"/>
  <c r="D220" i="157"/>
  <c r="H37" i="157"/>
  <c r="I93" i="157"/>
  <c r="D344" i="157"/>
  <c r="C351" i="157"/>
  <c r="G190" i="157"/>
  <c r="E90" i="157"/>
  <c r="C175" i="157"/>
  <c r="C35" i="157"/>
  <c r="G429" i="157"/>
  <c r="J104" i="157"/>
  <c r="D357" i="157"/>
  <c r="E174" i="157"/>
  <c r="I92" i="157"/>
  <c r="J99" i="157"/>
  <c r="G326" i="157"/>
  <c r="I333" i="157"/>
  <c r="J256" i="157"/>
  <c r="C326" i="157"/>
  <c r="D418" i="157"/>
  <c r="E281" i="157"/>
  <c r="I48" i="157"/>
  <c r="C53" i="157"/>
  <c r="E326" i="157"/>
  <c r="F205" i="157"/>
  <c r="E382" i="157"/>
  <c r="I384" i="157"/>
  <c r="P11" i="105"/>
  <c r="Q11" i="105" s="1"/>
  <c r="J34" i="157"/>
  <c r="F238" i="157"/>
  <c r="F8" i="157"/>
  <c r="E100" i="157"/>
  <c r="E328" i="157"/>
  <c r="C319" i="157"/>
  <c r="D133" i="157"/>
  <c r="I36" i="157"/>
  <c r="F18" i="157"/>
  <c r="I432" i="157"/>
  <c r="G121" i="157"/>
  <c r="H455" i="157"/>
  <c r="I444" i="157"/>
  <c r="J203" i="157"/>
  <c r="E53" i="157"/>
  <c r="D369" i="157"/>
  <c r="H85" i="157"/>
  <c r="I43" i="157"/>
  <c r="H93" i="157"/>
  <c r="F157" i="157"/>
  <c r="E189" i="157"/>
  <c r="I242" i="157"/>
  <c r="G287" i="157"/>
  <c r="F72" i="157"/>
  <c r="C194" i="157"/>
  <c r="F417" i="157"/>
  <c r="J279" i="157"/>
  <c r="C396" i="157"/>
  <c r="E436" i="157"/>
  <c r="J360" i="157"/>
  <c r="F140" i="157"/>
  <c r="C29" i="157"/>
  <c r="F430" i="157"/>
  <c r="E57" i="157"/>
  <c r="C78" i="157"/>
  <c r="G388" i="157"/>
  <c r="C139" i="157"/>
  <c r="C362" i="157"/>
  <c r="C385" i="157"/>
  <c r="G19" i="157"/>
  <c r="C383" i="157"/>
  <c r="J326" i="157"/>
  <c r="H7" i="157"/>
  <c r="H170" i="157"/>
  <c r="H264" i="157"/>
  <c r="C442" i="157"/>
  <c r="H106" i="157"/>
  <c r="F382" i="157"/>
  <c r="D380" i="157"/>
  <c r="C131" i="157"/>
  <c r="I181" i="157"/>
  <c r="H333" i="157"/>
  <c r="G46" i="157"/>
  <c r="H259" i="157"/>
  <c r="F460" i="157"/>
  <c r="D358" i="157"/>
  <c r="J404" i="157"/>
  <c r="G418" i="157"/>
  <c r="H304" i="157"/>
  <c r="G178" i="157"/>
  <c r="J106" i="157"/>
  <c r="D152" i="157"/>
  <c r="G22" i="157"/>
  <c r="J255" i="157"/>
  <c r="I124" i="157"/>
  <c r="E60" i="157"/>
  <c r="D130" i="157"/>
  <c r="E133" i="157"/>
  <c r="F143" i="157"/>
  <c r="C450" i="157"/>
  <c r="C179" i="157"/>
  <c r="J323" i="157"/>
  <c r="C30" i="157"/>
  <c r="P10" i="133"/>
  <c r="F56" i="157"/>
  <c r="J191" i="157"/>
  <c r="C338" i="157"/>
  <c r="C406" i="157"/>
  <c r="H169" i="157"/>
  <c r="D42" i="157"/>
  <c r="J149" i="157"/>
  <c r="J445" i="157"/>
  <c r="F185" i="157"/>
  <c r="D190" i="157"/>
  <c r="C201" i="157"/>
  <c r="C81" i="157"/>
  <c r="H232" i="157"/>
  <c r="F301" i="157"/>
  <c r="G203" i="157"/>
  <c r="P11" i="118"/>
  <c r="Q11" i="118" s="1"/>
  <c r="H159" i="157"/>
  <c r="G302" i="157"/>
  <c r="F37" i="157"/>
  <c r="G89" i="157"/>
  <c r="H148" i="157"/>
  <c r="E116" i="157"/>
  <c r="E190" i="157"/>
  <c r="P11" i="115"/>
  <c r="Q11" i="115" s="1"/>
  <c r="I32" i="157"/>
  <c r="J351" i="157"/>
  <c r="F363" i="157"/>
  <c r="I376" i="157"/>
  <c r="I30" i="157"/>
  <c r="C290" i="157"/>
  <c r="E76" i="157"/>
  <c r="J408" i="157"/>
  <c r="H128" i="157"/>
  <c r="C263" i="157"/>
  <c r="F295" i="157"/>
  <c r="F203" i="157"/>
  <c r="E218" i="157"/>
  <c r="E307" i="157"/>
  <c r="H243" i="157"/>
  <c r="F210" i="157"/>
  <c r="F216" i="157"/>
  <c r="E353" i="157"/>
  <c r="C443" i="157"/>
  <c r="J234" i="157"/>
  <c r="I324" i="157"/>
  <c r="I312" i="157"/>
  <c r="G298" i="157"/>
  <c r="J146" i="157"/>
  <c r="J313" i="157"/>
  <c r="I119" i="157"/>
  <c r="I183" i="157"/>
  <c r="E16" i="157"/>
  <c r="J265" i="157"/>
  <c r="I355" i="157"/>
  <c r="I24" i="157"/>
  <c r="J54" i="157"/>
  <c r="J278" i="157"/>
  <c r="J28" i="157"/>
  <c r="P11" i="112"/>
  <c r="Q11" i="112" s="1"/>
  <c r="G445" i="157"/>
  <c r="D368" i="157"/>
  <c r="F456" i="157"/>
  <c r="H301" i="157"/>
  <c r="F252" i="157"/>
  <c r="P11" i="148"/>
  <c r="Q11" i="148" s="1"/>
  <c r="C250" i="157"/>
  <c r="E212" i="157"/>
  <c r="E32" i="157"/>
  <c r="G416" i="157"/>
  <c r="H407" i="157"/>
  <c r="F116" i="157"/>
  <c r="F195" i="157"/>
  <c r="C246" i="157"/>
  <c r="F108" i="157"/>
  <c r="I204" i="157"/>
  <c r="D453" i="157"/>
  <c r="C287" i="157"/>
  <c r="J137" i="157"/>
  <c r="H120" i="157"/>
  <c r="J164" i="157"/>
  <c r="D56" i="157"/>
  <c r="I339" i="157"/>
  <c r="H172" i="157"/>
  <c r="J64" i="157"/>
  <c r="G365" i="157"/>
  <c r="C309" i="157"/>
  <c r="C375" i="157"/>
  <c r="J138" i="157"/>
  <c r="F180" i="157"/>
  <c r="C275" i="157"/>
  <c r="F35" i="157"/>
  <c r="F339" i="157"/>
  <c r="J231" i="157"/>
  <c r="C22" i="157"/>
  <c r="H350" i="157"/>
  <c r="F327" i="157"/>
  <c r="I351" i="157"/>
  <c r="E404" i="157"/>
  <c r="C233" i="157"/>
  <c r="C21" i="157"/>
  <c r="P11" i="131"/>
  <c r="Q11" i="131" s="1"/>
  <c r="H110" i="157"/>
  <c r="H165" i="157"/>
  <c r="F361" i="157"/>
  <c r="J389" i="157"/>
  <c r="E161" i="157"/>
  <c r="H17" i="157"/>
  <c r="D298" i="157"/>
  <c r="F188" i="157"/>
  <c r="C359" i="157"/>
  <c r="D111" i="157"/>
  <c r="I180" i="157"/>
  <c r="F6" i="157"/>
  <c r="E180" i="157"/>
  <c r="C379" i="157"/>
  <c r="E127" i="157"/>
  <c r="D110" i="157"/>
  <c r="H217" i="157"/>
  <c r="F122" i="157"/>
  <c r="G439" i="157"/>
  <c r="H220" i="157"/>
  <c r="H369" i="157"/>
  <c r="G168" i="157"/>
  <c r="H16" i="157"/>
  <c r="D283" i="157"/>
  <c r="F220" i="157"/>
  <c r="J221" i="157"/>
  <c r="G191" i="157"/>
  <c r="D455" i="157"/>
  <c r="J61" i="157"/>
  <c r="H398" i="157"/>
  <c r="C93" i="157"/>
  <c r="C410" i="157"/>
  <c r="I81" i="157"/>
  <c r="C422" i="157"/>
  <c r="C315" i="157"/>
  <c r="H292" i="157"/>
  <c r="E460" i="157"/>
  <c r="I67" i="157"/>
  <c r="I379" i="157"/>
  <c r="E144" i="157"/>
  <c r="J91" i="157"/>
  <c r="P10" i="137"/>
  <c r="I72" i="157"/>
  <c r="P10" i="145"/>
  <c r="G276" i="157"/>
  <c r="F320" i="157"/>
  <c r="C408" i="157"/>
  <c r="C83" i="157"/>
  <c r="D158" i="157"/>
  <c r="E65" i="157"/>
  <c r="J288" i="157"/>
  <c r="J199" i="157"/>
  <c r="F229" i="157"/>
  <c r="P10" i="112"/>
  <c r="G23" i="157"/>
  <c r="G319" i="157"/>
  <c r="D123" i="157"/>
  <c r="G435" i="157"/>
  <c r="C99" i="157"/>
  <c r="J310" i="157"/>
  <c r="J195" i="157"/>
  <c r="F222" i="157"/>
  <c r="J118" i="157"/>
  <c r="F132" i="157"/>
  <c r="F115" i="157"/>
  <c r="I208" i="157"/>
  <c r="E330" i="157"/>
  <c r="E23" i="157"/>
  <c r="G122" i="157"/>
  <c r="J87" i="157"/>
  <c r="C111" i="157"/>
  <c r="P10" i="142"/>
  <c r="J123" i="157"/>
  <c r="G82" i="157"/>
  <c r="D165" i="157"/>
  <c r="H387" i="157"/>
  <c r="J246" i="157"/>
  <c r="C444" i="157"/>
  <c r="I425" i="157"/>
  <c r="F357" i="157"/>
  <c r="I261" i="157"/>
  <c r="G125" i="157"/>
  <c r="D240" i="157"/>
  <c r="J48" i="157"/>
  <c r="F91" i="157"/>
  <c r="I22" i="157"/>
  <c r="E260" i="157"/>
  <c r="H421" i="157"/>
  <c r="I217" i="157"/>
  <c r="E101" i="157"/>
  <c r="I17" i="157"/>
  <c r="G236" i="157"/>
  <c r="J225" i="157"/>
  <c r="D399" i="157"/>
  <c r="G368" i="157"/>
  <c r="H23" i="157"/>
  <c r="I157" i="157"/>
  <c r="D167" i="157"/>
  <c r="C339" i="157"/>
  <c r="J390" i="157"/>
  <c r="D217" i="157"/>
  <c r="G170" i="157"/>
  <c r="E203" i="157"/>
  <c r="H9" i="157"/>
  <c r="G187" i="157"/>
  <c r="I352" i="157"/>
  <c r="C387" i="157"/>
  <c r="J437" i="157"/>
  <c r="E223" i="157"/>
  <c r="F23" i="157"/>
  <c r="C198" i="157"/>
  <c r="H324" i="157"/>
  <c r="C130" i="157"/>
  <c r="E259" i="157"/>
  <c r="J157" i="157"/>
  <c r="D382" i="157"/>
  <c r="J142" i="157"/>
  <c r="C230" i="157"/>
  <c r="G432" i="157"/>
  <c r="H277" i="157"/>
  <c r="D128" i="157"/>
  <c r="E229" i="157"/>
  <c r="J352" i="157"/>
  <c r="J332" i="157"/>
  <c r="F27" i="157"/>
  <c r="J93" i="157"/>
  <c r="F377" i="157"/>
  <c r="G101" i="157"/>
  <c r="F107" i="157"/>
  <c r="I418" i="157"/>
  <c r="I354" i="157"/>
  <c r="C259" i="157"/>
  <c r="G308" i="157"/>
  <c r="J403" i="157"/>
  <c r="E247" i="157"/>
  <c r="J21" i="157"/>
  <c r="G126" i="157"/>
  <c r="G401" i="157"/>
  <c r="G402" i="157"/>
  <c r="J241" i="157"/>
  <c r="D22" i="156"/>
  <c r="I311" i="157"/>
  <c r="G81" i="157"/>
  <c r="D300" i="157"/>
  <c r="I172" i="157"/>
  <c r="J405" i="157"/>
  <c r="H105" i="157"/>
  <c r="J35" i="157"/>
  <c r="E298" i="157"/>
  <c r="C363" i="157"/>
  <c r="I94" i="157"/>
  <c r="I292" i="157"/>
  <c r="J15" i="157"/>
  <c r="E214" i="157"/>
  <c r="H409" i="157"/>
  <c r="H440" i="157"/>
  <c r="F325" i="157"/>
  <c r="D34" i="157"/>
  <c r="I175" i="157"/>
  <c r="E145" i="157"/>
  <c r="D411" i="157"/>
  <c r="D105" i="157"/>
  <c r="G417" i="157"/>
  <c r="H315" i="157"/>
  <c r="H176" i="157"/>
  <c r="I288" i="157"/>
  <c r="I138" i="157"/>
  <c r="F70" i="157"/>
  <c r="D76" i="157"/>
  <c r="H76" i="157"/>
  <c r="G330" i="157"/>
  <c r="G280" i="157"/>
  <c r="J440" i="157"/>
  <c r="J348" i="157"/>
  <c r="H77" i="157"/>
  <c r="J293" i="157"/>
  <c r="E70" i="157"/>
  <c r="P10" i="114"/>
  <c r="J253" i="157"/>
  <c r="D214" i="157"/>
  <c r="H68" i="157"/>
  <c r="H26" i="157"/>
  <c r="G55" i="157"/>
  <c r="G393" i="157"/>
  <c r="F111" i="157"/>
  <c r="H449" i="157"/>
  <c r="F120" i="157"/>
  <c r="H152" i="157"/>
  <c r="G264" i="157"/>
  <c r="D222" i="157"/>
  <c r="G391" i="157"/>
  <c r="J251" i="157"/>
  <c r="E256" i="157"/>
  <c r="J220" i="157"/>
  <c r="D226" i="157"/>
  <c r="I51" i="157"/>
  <c r="C417" i="157"/>
  <c r="D419" i="157"/>
  <c r="H82" i="157"/>
  <c r="J116" i="157"/>
  <c r="G362" i="157"/>
  <c r="J53" i="157"/>
  <c r="D441" i="157"/>
  <c r="I184" i="157"/>
  <c r="H131" i="157"/>
  <c r="J430" i="157"/>
  <c r="D342" i="157"/>
  <c r="F351" i="157"/>
  <c r="F171" i="157"/>
  <c r="I433" i="157"/>
  <c r="J397" i="157"/>
  <c r="E385" i="157"/>
  <c r="G352" i="157"/>
  <c r="E415" i="157"/>
  <c r="D223" i="157"/>
  <c r="C120" i="157"/>
  <c r="C273" i="157"/>
  <c r="E169" i="157"/>
  <c r="D68" i="157"/>
  <c r="D150" i="157"/>
  <c r="E314" i="157"/>
  <c r="E258" i="157"/>
  <c r="H454" i="157"/>
  <c r="J340" i="157"/>
  <c r="F447" i="157"/>
  <c r="I158" i="157"/>
  <c r="G18" i="157"/>
  <c r="D313" i="157"/>
  <c r="G258" i="157"/>
  <c r="G456" i="157"/>
  <c r="J55" i="157"/>
  <c r="F458" i="157"/>
  <c r="C427" i="157"/>
  <c r="F256" i="157"/>
  <c r="H241" i="157"/>
  <c r="E327" i="157"/>
  <c r="E270" i="157"/>
  <c r="G317" i="157"/>
  <c r="E360" i="157"/>
  <c r="P10" i="119"/>
  <c r="G347" i="157"/>
  <c r="F129" i="157"/>
  <c r="C281" i="157"/>
  <c r="H187" i="157"/>
  <c r="F64" i="157"/>
  <c r="D16" i="157"/>
  <c r="I101" i="157"/>
  <c r="I256" i="157"/>
  <c r="J109" i="157"/>
  <c r="C17" i="156"/>
  <c r="H27" i="157"/>
  <c r="F385" i="157"/>
  <c r="F394" i="157"/>
  <c r="H337" i="157"/>
  <c r="E105" i="157"/>
  <c r="I28" i="157"/>
  <c r="E146" i="157"/>
  <c r="C432" i="157"/>
  <c r="D14" i="157"/>
  <c r="D275" i="157"/>
  <c r="P10" i="120"/>
  <c r="C186" i="157"/>
  <c r="H90" i="157"/>
  <c r="G157" i="157"/>
  <c r="E388" i="157"/>
  <c r="C173" i="157"/>
  <c r="I7" i="157"/>
  <c r="G444" i="157"/>
  <c r="G394" i="157"/>
  <c r="D262" i="157"/>
  <c r="C242" i="157"/>
  <c r="D99" i="157"/>
  <c r="I362" i="157"/>
  <c r="C197" i="157"/>
  <c r="D236" i="157"/>
  <c r="G261" i="157"/>
  <c r="H121" i="157"/>
  <c r="J306" i="157"/>
  <c r="I66" i="157"/>
  <c r="J259" i="157"/>
  <c r="P10" i="132"/>
  <c r="D405" i="157"/>
  <c r="E138" i="157"/>
  <c r="C279" i="157"/>
  <c r="C59" i="157"/>
  <c r="D384" i="157"/>
  <c r="P11" i="152"/>
  <c r="Q11" i="152" s="1"/>
  <c r="C63" i="157"/>
  <c r="C172" i="157"/>
  <c r="D142" i="157"/>
  <c r="G127" i="157"/>
  <c r="J416" i="157"/>
  <c r="G421" i="157"/>
  <c r="D60" i="157"/>
  <c r="G192" i="157"/>
  <c r="J159" i="157"/>
  <c r="D243" i="157"/>
  <c r="F208" i="157"/>
  <c r="J194" i="157"/>
  <c r="H143" i="157"/>
  <c r="E124" i="157"/>
  <c r="H286" i="157"/>
  <c r="F219" i="157"/>
  <c r="P11" i="108"/>
  <c r="Q11" i="108" s="1"/>
  <c r="F170" i="157"/>
  <c r="I281" i="157"/>
  <c r="J24" i="157"/>
  <c r="P11" i="126"/>
  <c r="Q11" i="126" s="1"/>
  <c r="P10" i="107"/>
  <c r="E300" i="157"/>
  <c r="F429" i="157"/>
  <c r="C18" i="157"/>
  <c r="F167" i="157"/>
  <c r="D286" i="157"/>
  <c r="H35" i="157"/>
  <c r="C272" i="157"/>
  <c r="F211" i="157"/>
  <c r="F440" i="157"/>
  <c r="F217" i="157"/>
  <c r="D307" i="157"/>
  <c r="I74" i="157"/>
  <c r="I287" i="157"/>
  <c r="D23" i="157"/>
  <c r="D452" i="157"/>
  <c r="J291" i="157"/>
  <c r="E405" i="157"/>
  <c r="E434" i="157"/>
  <c r="F159" i="157"/>
  <c r="H233" i="157"/>
  <c r="E147" i="157"/>
  <c r="F453" i="157"/>
  <c r="H228" i="157"/>
  <c r="J385" i="157"/>
  <c r="G270" i="157"/>
  <c r="H230" i="157"/>
  <c r="D325" i="157"/>
  <c r="I260" i="157"/>
  <c r="G411" i="157"/>
  <c r="C425" i="157"/>
  <c r="C220" i="157"/>
  <c r="C278" i="157"/>
  <c r="C434" i="157"/>
  <c r="E238" i="157"/>
  <c r="C384" i="157"/>
  <c r="F150" i="157"/>
  <c r="C86" i="157"/>
  <c r="I230" i="157"/>
  <c r="I458" i="157"/>
  <c r="F427" i="157"/>
  <c r="E196" i="157"/>
  <c r="F22" i="157"/>
  <c r="F316" i="157"/>
  <c r="D186" i="157"/>
  <c r="C48" i="157"/>
  <c r="G205" i="157"/>
  <c r="J276" i="157"/>
  <c r="D359" i="157"/>
  <c r="I202" i="157"/>
  <c r="D259" i="157"/>
  <c r="C343" i="157"/>
  <c r="H260" i="157"/>
  <c r="C376" i="157"/>
  <c r="C66" i="157"/>
  <c r="C433" i="157"/>
  <c r="H11" i="157"/>
  <c r="G83" i="157"/>
  <c r="I249" i="157"/>
  <c r="E454" i="157"/>
  <c r="D49" i="157"/>
  <c r="J457" i="157"/>
  <c r="J165" i="157"/>
  <c r="G224" i="157"/>
  <c r="H452" i="157"/>
  <c r="I174" i="157"/>
  <c r="E113" i="157"/>
  <c r="E232" i="157"/>
  <c r="D315" i="157"/>
  <c r="H459" i="157"/>
  <c r="C118" i="157"/>
  <c r="D203" i="157"/>
  <c r="I14" i="157"/>
  <c r="C415" i="157"/>
  <c r="I298" i="157"/>
  <c r="J92" i="157"/>
  <c r="E384" i="157"/>
  <c r="G272" i="157"/>
  <c r="E339" i="157"/>
  <c r="G378" i="157"/>
  <c r="I171" i="157"/>
  <c r="J162" i="157"/>
  <c r="C229" i="157"/>
  <c r="I86" i="157"/>
  <c r="E208" i="157"/>
  <c r="C9" i="157"/>
  <c r="C159" i="157"/>
  <c r="E394" i="157"/>
  <c r="F304" i="157"/>
  <c r="E136" i="157"/>
  <c r="D272" i="157"/>
  <c r="D415" i="157"/>
  <c r="D280" i="157"/>
  <c r="I120" i="157"/>
  <c r="F204" i="157"/>
  <c r="G260" i="157"/>
  <c r="H64" i="157"/>
  <c r="I190" i="157"/>
  <c r="E49" i="157"/>
  <c r="C373" i="157"/>
  <c r="E110" i="157"/>
  <c r="D59" i="157"/>
  <c r="D365" i="157"/>
  <c r="H59" i="157"/>
  <c r="E86" i="157"/>
  <c r="P10" i="152"/>
  <c r="I133" i="157"/>
  <c r="H450" i="157"/>
  <c r="F442" i="157"/>
  <c r="H186" i="157"/>
  <c r="C31" i="157"/>
  <c r="D47" i="157"/>
  <c r="P10" i="121"/>
  <c r="G41" i="157"/>
  <c r="I363" i="157"/>
  <c r="C438" i="157"/>
  <c r="E413" i="157"/>
  <c r="G372" i="157"/>
  <c r="D177" i="157"/>
  <c r="I274" i="157"/>
  <c r="D198" i="157"/>
  <c r="D456" i="157"/>
  <c r="E87" i="157"/>
  <c r="J335" i="157"/>
  <c r="I177" i="157"/>
  <c r="I321" i="157"/>
  <c r="G441" i="157"/>
  <c r="D106" i="157"/>
  <c r="I105" i="157"/>
  <c r="C209" i="157"/>
  <c r="D219" i="157"/>
  <c r="E231" i="157"/>
  <c r="D48" i="157"/>
  <c r="F123" i="157"/>
  <c r="I223" i="157"/>
  <c r="H417" i="157"/>
  <c r="F184" i="157"/>
  <c r="H113" i="157"/>
  <c r="E357" i="157"/>
  <c r="C101" i="157"/>
  <c r="I89" i="157"/>
  <c r="J186" i="157"/>
  <c r="F262" i="157"/>
  <c r="H231" i="157"/>
  <c r="D15" i="157"/>
  <c r="H285" i="157"/>
  <c r="F94" i="157"/>
  <c r="H75" i="157"/>
  <c r="I417" i="157"/>
  <c r="C117" i="157"/>
  <c r="F294" i="157"/>
  <c r="D54" i="157"/>
  <c r="E120" i="157"/>
  <c r="I111" i="157"/>
  <c r="F86" i="157"/>
  <c r="I10" i="156"/>
  <c r="D144" i="157"/>
  <c r="C154" i="157"/>
  <c r="H269" i="157"/>
  <c r="J412" i="157"/>
  <c r="E202" i="157"/>
  <c r="H225" i="157"/>
  <c r="C457" i="157"/>
  <c r="F384" i="157"/>
  <c r="H162" i="157"/>
  <c r="J407" i="157"/>
  <c r="C85" i="157"/>
  <c r="H380" i="157"/>
  <c r="G225" i="157"/>
  <c r="D35" i="157"/>
  <c r="F48" i="157"/>
  <c r="D249" i="157"/>
  <c r="G155" i="157"/>
  <c r="I199" i="157"/>
  <c r="F78" i="157"/>
  <c r="E195" i="157"/>
  <c r="C27" i="157"/>
  <c r="G128" i="157"/>
  <c r="I15" i="157"/>
  <c r="G367" i="157"/>
  <c r="E34" i="157"/>
  <c r="H400" i="157"/>
  <c r="G91" i="157"/>
  <c r="C212" i="157"/>
  <c r="E95" i="157"/>
  <c r="C74" i="157"/>
  <c r="H280" i="157"/>
  <c r="J287" i="157"/>
  <c r="I164" i="157"/>
  <c r="E373" i="157"/>
  <c r="E143" i="157"/>
  <c r="D268" i="157"/>
  <c r="H364" i="157"/>
  <c r="E69" i="157"/>
  <c r="H403" i="157"/>
  <c r="D151" i="157"/>
  <c r="E309" i="157"/>
  <c r="P11" i="153"/>
  <c r="Q11" i="153" s="1"/>
  <c r="J7" i="157"/>
  <c r="C171" i="157"/>
  <c r="F423" i="157"/>
  <c r="J200" i="157"/>
  <c r="J19" i="157"/>
  <c r="E456" i="157"/>
  <c r="J296" i="157"/>
  <c r="D366" i="157"/>
  <c r="G386" i="157"/>
  <c r="H282" i="157"/>
  <c r="G96" i="157"/>
  <c r="F437" i="157"/>
  <c r="J242" i="157"/>
  <c r="C414" i="157"/>
  <c r="C358" i="157"/>
  <c r="G253" i="157"/>
  <c r="J176" i="157"/>
  <c r="C68" i="157"/>
  <c r="D327" i="157"/>
  <c r="P11" i="113"/>
  <c r="Q11" i="113" s="1"/>
  <c r="J201" i="157"/>
  <c r="J113" i="157"/>
  <c r="F411" i="157"/>
  <c r="P11" i="129"/>
  <c r="Q11" i="129" s="1"/>
  <c r="E255" i="157"/>
  <c r="C298" i="157"/>
  <c r="F334" i="157"/>
  <c r="E151" i="157"/>
  <c r="F126" i="157"/>
  <c r="C108" i="157"/>
  <c r="I456" i="157"/>
  <c r="D363" i="157"/>
  <c r="C304" i="157"/>
  <c r="P10" i="118"/>
  <c r="C42" i="157"/>
  <c r="E220" i="157"/>
  <c r="F333" i="157"/>
  <c r="F17" i="157"/>
  <c r="E131" i="157"/>
  <c r="C322" i="157"/>
  <c r="H327" i="157"/>
  <c r="G145" i="157"/>
  <c r="C364" i="157"/>
  <c r="G371" i="157"/>
  <c r="D117" i="157"/>
  <c r="C386" i="157"/>
  <c r="D168" i="157"/>
  <c r="E128" i="157"/>
  <c r="I129" i="157"/>
  <c r="E254" i="157"/>
  <c r="E139" i="157"/>
  <c r="H214" i="157"/>
  <c r="H29" i="157"/>
  <c r="C170" i="157"/>
  <c r="J62" i="157"/>
  <c r="D118" i="157"/>
  <c r="C52" i="157"/>
  <c r="F265" i="157"/>
  <c r="C191" i="157"/>
  <c r="C436" i="157"/>
  <c r="I161" i="157"/>
  <c r="D440" i="157"/>
  <c r="J369" i="157"/>
  <c r="G223" i="157"/>
  <c r="E402" i="157"/>
  <c r="I389" i="157"/>
  <c r="C82" i="157"/>
  <c r="D148" i="157"/>
  <c r="F410" i="157"/>
  <c r="I345" i="157"/>
  <c r="G414" i="157"/>
  <c r="E67" i="157"/>
  <c r="E294" i="157"/>
  <c r="H210" i="157"/>
  <c r="E44" i="157"/>
  <c r="G8" i="157"/>
  <c r="E173" i="157"/>
  <c r="D183" i="157"/>
  <c r="P10" i="130"/>
  <c r="J358" i="157"/>
  <c r="C160" i="157"/>
  <c r="I369" i="157"/>
  <c r="C453" i="157"/>
  <c r="H372" i="157"/>
  <c r="C176" i="157"/>
  <c r="D87" i="157"/>
  <c r="C55" i="157"/>
  <c r="C148" i="157"/>
  <c r="J112" i="157"/>
  <c r="J454" i="157"/>
  <c r="F34" i="157"/>
  <c r="D191" i="157"/>
  <c r="C161" i="157"/>
  <c r="C336" i="157"/>
  <c r="E12" i="157"/>
  <c r="I405" i="157"/>
  <c r="G194" i="157"/>
  <c r="C398" i="157"/>
  <c r="G374" i="157"/>
  <c r="D288" i="157"/>
  <c r="E25" i="157"/>
  <c r="C61" i="157"/>
  <c r="J170" i="157"/>
  <c r="F305" i="157"/>
  <c r="J317" i="157"/>
  <c r="G66" i="157"/>
  <c r="G301" i="157"/>
  <c r="D24" i="157"/>
  <c r="H439" i="157"/>
  <c r="G425" i="157"/>
  <c r="H80" i="157"/>
  <c r="I207" i="157"/>
  <c r="D457" i="157"/>
  <c r="J81" i="157"/>
  <c r="G73" i="157"/>
  <c r="G400" i="157"/>
  <c r="D244" i="157"/>
  <c r="I429" i="157"/>
  <c r="H46" i="157"/>
  <c r="I221" i="157"/>
  <c r="E435" i="157"/>
  <c r="J364" i="157"/>
  <c r="I112" i="157"/>
  <c r="C202" i="157"/>
  <c r="F457" i="157"/>
  <c r="I305" i="157"/>
  <c r="D400" i="157"/>
  <c r="I320" i="157"/>
  <c r="G297" i="157"/>
  <c r="D320" i="157"/>
  <c r="C122" i="157"/>
  <c r="F105" i="157"/>
  <c r="I65" i="157"/>
  <c r="H432" i="157"/>
  <c r="C378" i="157"/>
  <c r="G227" i="157"/>
  <c r="F134" i="157"/>
  <c r="E160" i="157"/>
  <c r="D95" i="157"/>
  <c r="H342" i="157"/>
  <c r="E126" i="157"/>
  <c r="I229" i="157"/>
  <c r="D242" i="157"/>
  <c r="G159" i="157"/>
  <c r="H14" i="157"/>
  <c r="G34" i="157"/>
  <c r="I330" i="157"/>
  <c r="F246" i="157"/>
  <c r="D337" i="157"/>
  <c r="D50" i="157"/>
  <c r="E461" i="157"/>
  <c r="C356" i="157"/>
  <c r="I397" i="157"/>
  <c r="C264" i="157"/>
  <c r="I103" i="157"/>
  <c r="H108" i="157"/>
  <c r="G113" i="157"/>
  <c r="C134" i="157"/>
  <c r="J290" i="157"/>
  <c r="H361" i="157"/>
  <c r="I182" i="157"/>
  <c r="E287" i="157"/>
  <c r="P10" i="149"/>
  <c r="E103" i="157"/>
  <c r="D431" i="157"/>
  <c r="J71" i="157"/>
  <c r="H229" i="157"/>
  <c r="I224" i="157"/>
  <c r="E370" i="157"/>
  <c r="D6" i="157"/>
  <c r="D184" i="157"/>
  <c r="C225" i="157"/>
  <c r="G143" i="157"/>
  <c r="F391" i="157"/>
  <c r="E315" i="157"/>
  <c r="G243" i="157"/>
  <c r="J347" i="157"/>
  <c r="I179" i="157"/>
  <c r="J441" i="157"/>
  <c r="C224" i="157"/>
  <c r="P10" i="147"/>
  <c r="J95" i="157"/>
  <c r="C249" i="157"/>
  <c r="D273" i="157"/>
  <c r="C391" i="157"/>
  <c r="H331" i="157"/>
  <c r="G172" i="157"/>
  <c r="D383" i="157"/>
  <c r="J88" i="157"/>
  <c r="F92" i="157"/>
  <c r="D39" i="157"/>
  <c r="E268" i="157"/>
  <c r="D294" i="157"/>
  <c r="I297" i="157"/>
  <c r="F226" i="157"/>
  <c r="E350" i="157"/>
  <c r="J431" i="157"/>
  <c r="J204" i="157"/>
  <c r="I220" i="157"/>
  <c r="F88" i="157"/>
  <c r="I170" i="157"/>
  <c r="D393" i="157"/>
  <c r="I250" i="157"/>
  <c r="F191" i="157"/>
  <c r="H343" i="157"/>
  <c r="E458" i="157"/>
  <c r="C420" i="157"/>
  <c r="F387" i="157"/>
  <c r="G183" i="157"/>
  <c r="I409" i="157"/>
  <c r="F302" i="157"/>
  <c r="G197" i="157"/>
  <c r="I218" i="157"/>
  <c r="H115" i="157"/>
  <c r="F397" i="157"/>
  <c r="H386" i="157"/>
  <c r="C283" i="157"/>
  <c r="E249" i="157"/>
  <c r="J312" i="157"/>
  <c r="G198" i="157"/>
  <c r="J285" i="157"/>
  <c r="J286" i="157"/>
  <c r="I293" i="157"/>
  <c r="J205" i="157"/>
  <c r="E442" i="157"/>
  <c r="E181" i="157"/>
  <c r="F307" i="157"/>
  <c r="H208" i="157"/>
  <c r="E45" i="157"/>
  <c r="J446" i="157"/>
  <c r="J377" i="157"/>
  <c r="J131" i="157"/>
  <c r="J314" i="157"/>
  <c r="F286" i="157"/>
  <c r="D232" i="157"/>
  <c r="J45" i="157"/>
  <c r="I71" i="157"/>
  <c r="I135" i="157"/>
  <c r="G354" i="157"/>
  <c r="P10" i="124"/>
  <c r="C418" i="157"/>
  <c r="F415" i="157"/>
  <c r="F209" i="157"/>
  <c r="C447" i="157"/>
  <c r="J44" i="157"/>
  <c r="E290" i="157"/>
  <c r="H268" i="157"/>
  <c r="D412" i="157"/>
  <c r="G306" i="157"/>
  <c r="E459" i="157"/>
  <c r="G384" i="157"/>
  <c r="H314" i="157"/>
  <c r="H425" i="157"/>
  <c r="G100" i="157"/>
  <c r="D407" i="157"/>
  <c r="F371" i="157"/>
  <c r="J84" i="157"/>
  <c r="C56" i="157"/>
  <c r="J350" i="157"/>
  <c r="F247" i="157"/>
  <c r="E115" i="157"/>
  <c r="J406" i="157"/>
  <c r="D264" i="157"/>
  <c r="H274" i="157"/>
  <c r="J391" i="157"/>
  <c r="D69" i="157"/>
  <c r="J196" i="157"/>
  <c r="I435" i="157"/>
  <c r="C67" i="157"/>
  <c r="E42" i="157"/>
  <c r="D292" i="157"/>
  <c r="D120" i="157"/>
  <c r="I356" i="157"/>
  <c r="D251" i="157"/>
  <c r="D180" i="157"/>
  <c r="G219" i="157"/>
  <c r="J318" i="157"/>
  <c r="I243" i="157"/>
  <c r="D269" i="157"/>
  <c r="F45" i="157"/>
  <c r="I336" i="157"/>
  <c r="H362" i="157"/>
  <c r="J423" i="157"/>
  <c r="J346" i="157"/>
  <c r="D215" i="157"/>
  <c r="F189" i="157"/>
  <c r="H389" i="157"/>
  <c r="E324" i="157"/>
  <c r="I235" i="157"/>
  <c r="D179" i="157"/>
  <c r="D132" i="157"/>
  <c r="I192" i="157"/>
  <c r="E295" i="157"/>
  <c r="P11" i="109"/>
  <c r="Q11" i="109" s="1"/>
  <c r="D373" i="157"/>
  <c r="J136" i="157"/>
  <c r="H212" i="157"/>
  <c r="I6" i="157"/>
  <c r="D7" i="157"/>
  <c r="D196" i="157"/>
  <c r="C145" i="157"/>
  <c r="D43" i="157"/>
  <c r="G201" i="157"/>
  <c r="G153" i="157"/>
  <c r="J145" i="157"/>
  <c r="I35" i="157"/>
  <c r="H124" i="157"/>
  <c r="F251" i="157"/>
  <c r="F149" i="157"/>
  <c r="I327" i="157"/>
  <c r="P10" i="113"/>
  <c r="F365" i="157"/>
  <c r="C308" i="157"/>
  <c r="C168" i="157"/>
  <c r="I12" i="157"/>
  <c r="H258" i="157"/>
  <c r="I459" i="157"/>
  <c r="F328" i="157"/>
  <c r="I393" i="157"/>
  <c r="E356" i="157"/>
  <c r="I294" i="157"/>
  <c r="F416" i="157"/>
  <c r="D204" i="157"/>
  <c r="C16" i="157"/>
  <c r="D193" i="157"/>
  <c r="E184" i="157"/>
  <c r="D201" i="157"/>
  <c r="F79" i="157"/>
  <c r="G188" i="157"/>
  <c r="F303" i="157"/>
  <c r="E250" i="157"/>
  <c r="D173" i="157"/>
  <c r="H295" i="157"/>
  <c r="F389" i="157"/>
  <c r="G117" i="157"/>
  <c r="E264" i="157"/>
  <c r="D70" i="157"/>
  <c r="I326" i="157"/>
  <c r="G35" i="157"/>
  <c r="D447" i="157"/>
  <c r="I328" i="157"/>
  <c r="G430" i="157"/>
  <c r="E210" i="157"/>
  <c r="E96" i="157"/>
  <c r="F461" i="157"/>
  <c r="D330" i="157"/>
  <c r="C163" i="157"/>
  <c r="I285" i="157"/>
  <c r="J163" i="157"/>
  <c r="G185" i="157"/>
  <c r="H332" i="157"/>
  <c r="F436" i="157"/>
  <c r="F175" i="157"/>
  <c r="G60" i="157"/>
  <c r="F258" i="157"/>
  <c r="H134" i="157"/>
  <c r="H430" i="157"/>
  <c r="D336" i="157"/>
  <c r="E68" i="157"/>
  <c r="E83" i="157"/>
  <c r="F441" i="157"/>
  <c r="J171" i="157"/>
  <c r="C164" i="157"/>
  <c r="H22" i="157"/>
  <c r="I267" i="157"/>
  <c r="E158" i="157"/>
  <c r="H360" i="157"/>
  <c r="D29" i="157"/>
  <c r="G152" i="157"/>
  <c r="D427" i="157"/>
  <c r="E129" i="157"/>
  <c r="I455" i="157"/>
  <c r="C380" i="157"/>
  <c r="G244" i="157"/>
  <c r="H67" i="157"/>
  <c r="G449" i="157"/>
  <c r="G233" i="157"/>
  <c r="G26" i="157"/>
  <c r="D52" i="157"/>
  <c r="I156" i="157"/>
  <c r="F182" i="157"/>
  <c r="P11" i="120"/>
  <c r="Q11" i="120" s="1"/>
  <c r="C156" i="157"/>
  <c r="H73" i="157"/>
  <c r="F450" i="157"/>
  <c r="H365" i="157"/>
  <c r="F444" i="157"/>
  <c r="H153" i="157"/>
  <c r="D235" i="157"/>
  <c r="F80" i="157"/>
  <c r="C247" i="157"/>
  <c r="F353" i="157"/>
  <c r="H351" i="157"/>
  <c r="H335" i="157"/>
  <c r="G392" i="157"/>
  <c r="H392" i="157"/>
  <c r="J16" i="157"/>
  <c r="D377" i="157"/>
  <c r="H240" i="157"/>
  <c r="J181" i="157"/>
  <c r="D84" i="157"/>
  <c r="C119" i="157"/>
  <c r="E167" i="157"/>
  <c r="I194" i="157"/>
  <c r="I272" i="157"/>
  <c r="I265" i="157"/>
  <c r="F448" i="157"/>
  <c r="I107" i="157"/>
  <c r="F249" i="157"/>
  <c r="H213" i="157"/>
  <c r="H284" i="157"/>
  <c r="C328" i="157"/>
  <c r="D81" i="157"/>
  <c r="G177" i="157"/>
  <c r="E177" i="157"/>
  <c r="F135" i="157"/>
  <c r="G364" i="157"/>
  <c r="J419" i="157"/>
  <c r="I80" i="157"/>
  <c r="F141" i="157"/>
  <c r="D319" i="157"/>
  <c r="I353" i="157"/>
  <c r="H433" i="157"/>
  <c r="G448" i="157"/>
  <c r="C416" i="157"/>
  <c r="C213" i="157"/>
  <c r="F196" i="157"/>
  <c r="C459" i="157"/>
  <c r="C452" i="157"/>
  <c r="E245" i="157"/>
  <c r="J399" i="157"/>
  <c r="D57" i="157"/>
  <c r="G358" i="157"/>
  <c r="G424" i="157"/>
  <c r="I264" i="157"/>
  <c r="D271" i="157"/>
  <c r="D353" i="157"/>
  <c r="C124" i="157"/>
  <c r="H310" i="157"/>
  <c r="E322" i="157"/>
  <c r="H137" i="157"/>
  <c r="J428" i="157"/>
  <c r="C15" i="157"/>
  <c r="J330" i="157"/>
  <c r="C47" i="157"/>
  <c r="G62" i="157"/>
  <c r="G176" i="157"/>
  <c r="E199" i="157"/>
  <c r="D45" i="157"/>
  <c r="D266" i="157"/>
  <c r="H69" i="157"/>
  <c r="I237" i="157"/>
  <c r="F296" i="157"/>
  <c r="H146" i="157"/>
  <c r="E216" i="157"/>
  <c r="G229" i="157"/>
  <c r="G61" i="157"/>
  <c r="E345" i="157"/>
  <c r="I451" i="157"/>
  <c r="P10" i="111"/>
  <c r="E308" i="157"/>
  <c r="F93" i="157"/>
  <c r="J23" i="157"/>
  <c r="F11" i="157"/>
  <c r="J321" i="157"/>
  <c r="H215" i="157"/>
  <c r="F438" i="157"/>
  <c r="J202" i="157"/>
  <c r="F396" i="157"/>
  <c r="I41" i="157"/>
  <c r="F163" i="157"/>
  <c r="G350" i="157"/>
  <c r="G76" i="157"/>
  <c r="C395" i="157"/>
  <c r="H201" i="157"/>
  <c r="C216" i="157"/>
  <c r="G184" i="157"/>
  <c r="I375" i="157"/>
  <c r="H266" i="157"/>
  <c r="I391" i="157"/>
  <c r="F84" i="157"/>
  <c r="J128" i="157"/>
  <c r="I37" i="157"/>
  <c r="D234" i="157"/>
  <c r="I251" i="157"/>
  <c r="J448" i="157"/>
  <c r="H200" i="157"/>
  <c r="J94" i="157"/>
  <c r="I411" i="157"/>
  <c r="I270" i="157"/>
  <c r="G86" i="157"/>
  <c r="F103" i="157"/>
  <c r="G179" i="157"/>
  <c r="D245" i="157"/>
  <c r="D141" i="157"/>
  <c r="H219" i="157"/>
  <c r="P10" i="117"/>
  <c r="F153" i="157"/>
  <c r="E280" i="157"/>
  <c r="G361" i="157"/>
  <c r="C307" i="157"/>
  <c r="F47" i="157"/>
  <c r="J308" i="157"/>
  <c r="F144" i="157"/>
  <c r="I140" i="157"/>
  <c r="D331" i="157"/>
  <c r="I290" i="157"/>
  <c r="F82" i="157"/>
  <c r="D163" i="157"/>
  <c r="D389" i="157"/>
  <c r="H271" i="157"/>
  <c r="C311" i="157"/>
  <c r="C337" i="157"/>
  <c r="F42" i="157"/>
  <c r="H8" i="157"/>
  <c r="G420" i="157"/>
  <c r="G48" i="157"/>
  <c r="H379" i="157"/>
  <c r="H184" i="157"/>
  <c r="H279" i="157"/>
  <c r="H275" i="157"/>
  <c r="G103" i="157"/>
  <c r="J8" i="157"/>
  <c r="F169" i="157"/>
  <c r="G138" i="157"/>
  <c r="D221" i="157"/>
  <c r="J32" i="157"/>
  <c r="H313" i="157"/>
  <c r="J378" i="157"/>
  <c r="H377" i="157"/>
  <c r="H385" i="157"/>
  <c r="J456" i="157"/>
  <c r="J388" i="157"/>
  <c r="E19" i="157"/>
  <c r="I141" i="157"/>
  <c r="I160" i="157"/>
  <c r="F406" i="157"/>
  <c r="J77" i="157"/>
  <c r="C342" i="157"/>
  <c r="J135" i="157"/>
  <c r="C180" i="157"/>
  <c r="H58" i="157"/>
  <c r="I319" i="157"/>
  <c r="C155" i="157"/>
  <c r="J89" i="157"/>
  <c r="G21" i="157"/>
  <c r="I162" i="157"/>
  <c r="P11" i="106"/>
  <c r="Q11" i="106" s="1"/>
  <c r="E447" i="157"/>
  <c r="P10" i="106"/>
  <c r="D385" i="157"/>
  <c r="G32" i="157"/>
  <c r="J417" i="157"/>
  <c r="F197" i="157"/>
  <c r="G267" i="157"/>
  <c r="C129" i="157"/>
  <c r="F83" i="157"/>
  <c r="F274" i="157"/>
  <c r="C195" i="157"/>
  <c r="F33" i="157"/>
  <c r="G144" i="157"/>
  <c r="F25" i="157"/>
  <c r="I131" i="157"/>
  <c r="F402" i="157"/>
  <c r="E429" i="157"/>
  <c r="J148" i="157"/>
  <c r="H150" i="157"/>
  <c r="C36" i="157"/>
  <c r="I69" i="157"/>
  <c r="E55" i="157"/>
  <c r="G85" i="157"/>
  <c r="F59" i="157"/>
  <c r="D460" i="157"/>
  <c r="I40" i="157"/>
  <c r="D255" i="157"/>
  <c r="H414" i="157"/>
  <c r="G53" i="157"/>
  <c r="H51" i="157"/>
  <c r="E183" i="157"/>
  <c r="I279" i="157"/>
  <c r="H244" i="157"/>
  <c r="J31" i="157"/>
  <c r="C446" i="157"/>
  <c r="D295" i="157"/>
  <c r="F432" i="157"/>
  <c r="J319" i="157"/>
  <c r="J320" i="157"/>
  <c r="H83" i="157"/>
  <c r="E359" i="157"/>
  <c r="E274" i="157"/>
  <c r="C38" i="157"/>
  <c r="J46" i="157"/>
  <c r="H355" i="157"/>
  <c r="J85" i="157"/>
  <c r="E106" i="157"/>
  <c r="F193" i="157"/>
  <c r="F49" i="157"/>
  <c r="F343" i="157"/>
  <c r="F224" i="157"/>
  <c r="P10" i="144"/>
  <c r="I420" i="157"/>
  <c r="D364" i="157"/>
  <c r="G329" i="157"/>
  <c r="G434" i="157"/>
  <c r="H444" i="157"/>
  <c r="D278" i="157"/>
  <c r="C79" i="157"/>
  <c r="F106" i="157"/>
  <c r="H373" i="157"/>
  <c r="G70" i="157"/>
  <c r="C316" i="157"/>
  <c r="J227" i="157"/>
  <c r="I23" i="157"/>
  <c r="H161" i="157"/>
  <c r="J215" i="157"/>
  <c r="I232" i="157"/>
  <c r="I322" i="157"/>
  <c r="C183" i="157"/>
  <c r="C41" i="157"/>
  <c r="H164" i="157"/>
  <c r="F212" i="157"/>
  <c r="E228" i="157"/>
  <c r="J409" i="157"/>
  <c r="D82" i="157"/>
  <c r="F454" i="157"/>
  <c r="I457" i="157"/>
  <c r="C332" i="157"/>
  <c r="D112" i="157"/>
  <c r="G112" i="157"/>
  <c r="F221" i="157"/>
  <c r="I439" i="157"/>
  <c r="E71" i="157"/>
  <c r="F268" i="157"/>
  <c r="J424" i="157"/>
  <c r="D114" i="157"/>
  <c r="G428" i="157"/>
  <c r="C132" i="157"/>
  <c r="E182" i="157"/>
  <c r="I211" i="157"/>
  <c r="E125" i="157"/>
  <c r="G97" i="157"/>
  <c r="H317" i="157"/>
  <c r="F113" i="157"/>
  <c r="C136" i="157"/>
  <c r="I282" i="157"/>
  <c r="C207" i="157"/>
  <c r="F225" i="157"/>
  <c r="E398" i="157"/>
  <c r="E148" i="157"/>
  <c r="G307" i="157"/>
  <c r="E235" i="157"/>
  <c r="E24" i="157"/>
  <c r="H294" i="157"/>
  <c r="I100" i="157"/>
  <c r="H216" i="157"/>
  <c r="H353" i="157"/>
  <c r="D138" i="157"/>
  <c r="J442" i="157"/>
  <c r="E243" i="157"/>
  <c r="J450" i="157"/>
  <c r="G360" i="157"/>
  <c r="I64" i="157"/>
  <c r="P10" i="110"/>
  <c r="F69" i="157"/>
  <c r="H307" i="157"/>
  <c r="G118" i="157"/>
  <c r="C261" i="157"/>
  <c r="D238" i="157"/>
  <c r="G318" i="157"/>
  <c r="J133" i="157"/>
  <c r="F130" i="157"/>
  <c r="J298" i="157"/>
  <c r="H371" i="157"/>
  <c r="H147" i="157"/>
  <c r="I426" i="157"/>
  <c r="D16" i="156"/>
  <c r="G245" i="157"/>
  <c r="J354" i="157"/>
  <c r="D372" i="157"/>
  <c r="H237" i="157"/>
  <c r="I13" i="157"/>
  <c r="C10" i="157"/>
  <c r="I303" i="157"/>
  <c r="J374" i="157"/>
  <c r="D422" i="157"/>
  <c r="I176" i="157"/>
  <c r="J42" i="157"/>
  <c r="C162" i="157"/>
  <c r="I410" i="157"/>
  <c r="H142" i="157"/>
  <c r="G111" i="157"/>
  <c r="J214" i="157"/>
  <c r="E248" i="157"/>
  <c r="D199" i="157"/>
  <c r="G94" i="157"/>
  <c r="G357" i="157"/>
  <c r="H404" i="157"/>
  <c r="E22" i="157"/>
  <c r="E312" i="157"/>
  <c r="C341" i="157"/>
  <c r="F39" i="157"/>
  <c r="F234" i="157"/>
  <c r="D277" i="157"/>
  <c r="C345" i="157"/>
  <c r="E383" i="157"/>
  <c r="D97" i="157"/>
  <c r="C153" i="157"/>
  <c r="D433" i="157"/>
  <c r="J60" i="157"/>
  <c r="F237" i="157"/>
  <c r="F194" i="157"/>
  <c r="H441" i="157"/>
  <c r="I154" i="157"/>
  <c r="J248" i="157"/>
  <c r="E376" i="157"/>
  <c r="D349" i="157"/>
  <c r="H248" i="157"/>
  <c r="D396" i="157"/>
  <c r="J459" i="157"/>
  <c r="D20" i="157"/>
  <c r="P10" i="154"/>
  <c r="I233" i="157"/>
  <c r="I87" i="157"/>
  <c r="J47" i="157"/>
  <c r="D41" i="157"/>
  <c r="C69" i="157"/>
  <c r="H144" i="157"/>
  <c r="G458" i="157"/>
  <c r="F408" i="157"/>
  <c r="H393" i="157"/>
  <c r="J6" i="157"/>
  <c r="H20" i="157"/>
  <c r="C62" i="157"/>
  <c r="F40" i="157"/>
  <c r="H246" i="157"/>
  <c r="G115" i="157"/>
  <c r="C104" i="157"/>
  <c r="C340" i="157"/>
  <c r="C192" i="157"/>
  <c r="F253" i="157"/>
  <c r="D257" i="157"/>
  <c r="C177" i="157"/>
  <c r="E244" i="157"/>
  <c r="J316" i="157"/>
  <c r="C431" i="157"/>
  <c r="C403" i="157"/>
  <c r="I113" i="157"/>
  <c r="I83" i="157"/>
  <c r="C346" i="157"/>
  <c r="D305" i="157"/>
  <c r="E368" i="157"/>
  <c r="E80" i="157"/>
  <c r="E178" i="157"/>
  <c r="J140" i="157"/>
  <c r="H267" i="157"/>
  <c r="J10" i="157"/>
  <c r="C8" i="157"/>
  <c r="H255" i="157"/>
  <c r="I441" i="157"/>
  <c r="C217" i="157"/>
  <c r="C253" i="157"/>
  <c r="F335" i="157"/>
  <c r="H234" i="157"/>
  <c r="C240" i="157"/>
  <c r="I454" i="157"/>
  <c r="F99" i="157"/>
  <c r="F230" i="157"/>
  <c r="E443" i="157"/>
  <c r="C404" i="157"/>
  <c r="C409" i="157"/>
  <c r="J59" i="157"/>
  <c r="D387" i="157"/>
  <c r="F241" i="157"/>
  <c r="P10" i="129"/>
  <c r="G107" i="157"/>
  <c r="C57" i="157"/>
  <c r="C184" i="157"/>
  <c r="J76" i="157"/>
  <c r="J90" i="157"/>
  <c r="H18" i="157"/>
  <c r="I342" i="157"/>
  <c r="E448" i="157"/>
  <c r="H182" i="157"/>
  <c r="E369" i="157"/>
  <c r="G15" i="157"/>
  <c r="H62" i="157"/>
  <c r="G99" i="157"/>
  <c r="P11" i="132"/>
  <c r="Q11" i="132" s="1"/>
  <c r="J250" i="157"/>
  <c r="J254" i="157"/>
  <c r="E277" i="157"/>
  <c r="F290" i="157"/>
  <c r="J452" i="157"/>
  <c r="F398" i="157"/>
  <c r="H354" i="157"/>
  <c r="J345" i="157"/>
  <c r="E311" i="157"/>
  <c r="E21" i="157"/>
  <c r="H447" i="157"/>
  <c r="J40" i="157"/>
  <c r="I9" i="157"/>
  <c r="J11" i="156"/>
  <c r="E99" i="157"/>
  <c r="E37" i="157"/>
  <c r="H394" i="157"/>
  <c r="P10" i="105"/>
  <c r="E411" i="157"/>
  <c r="C211" i="157"/>
  <c r="H262" i="157"/>
  <c r="J206" i="157"/>
  <c r="D32" i="157"/>
  <c r="C77" i="157"/>
  <c r="D434" i="157"/>
  <c r="F202" i="157"/>
  <c r="E367" i="157"/>
  <c r="G369" i="157"/>
  <c r="D345" i="157"/>
  <c r="E118" i="157"/>
  <c r="I277" i="157"/>
  <c r="G340" i="157"/>
  <c r="D321" i="157"/>
  <c r="D397" i="157"/>
  <c r="I276" i="157"/>
  <c r="H10" i="157"/>
  <c r="J392" i="157"/>
  <c r="F344" i="157"/>
  <c r="G27" i="157"/>
  <c r="G90" i="157"/>
  <c r="J451" i="157"/>
  <c r="E88" i="157"/>
  <c r="E56" i="157"/>
  <c r="G339" i="157"/>
  <c r="F128" i="157"/>
  <c r="J9" i="157"/>
  <c r="P11" i="150"/>
  <c r="Q11" i="150" s="1"/>
  <c r="J266" i="157"/>
  <c r="E26" i="157"/>
  <c r="C388" i="157"/>
  <c r="C113" i="157"/>
  <c r="F60" i="157"/>
  <c r="H448" i="157"/>
  <c r="D157" i="157"/>
  <c r="D213" i="157"/>
  <c r="F379" i="157"/>
  <c r="I126" i="157"/>
  <c r="F61" i="157"/>
  <c r="H388" i="157"/>
  <c r="C174" i="157"/>
  <c r="D27" i="157"/>
  <c r="C355" i="157"/>
  <c r="D430" i="157"/>
  <c r="F259" i="157"/>
  <c r="D293" i="157"/>
  <c r="F403" i="157"/>
  <c r="E423" i="157"/>
  <c r="H78" i="157"/>
  <c r="D17" i="156"/>
  <c r="J175" i="157"/>
  <c r="H198" i="157"/>
  <c r="F65" i="157"/>
  <c r="E141" i="157"/>
  <c r="P11" i="135"/>
  <c r="Q11" i="135" s="1"/>
  <c r="I215" i="157"/>
  <c r="F366" i="157"/>
  <c r="E175" i="157"/>
  <c r="E13" i="157"/>
  <c r="H193" i="157"/>
  <c r="H338" i="157"/>
  <c r="F414" i="157"/>
  <c r="G30" i="157"/>
  <c r="G375" i="157"/>
  <c r="G412" i="157"/>
  <c r="G69" i="157"/>
  <c r="J72" i="157"/>
  <c r="C126" i="157"/>
  <c r="J235" i="157"/>
  <c r="G150" i="157"/>
  <c r="E39" i="157"/>
  <c r="C16" i="156"/>
  <c r="I368" i="157"/>
  <c r="P11" i="130"/>
  <c r="Q11" i="130" s="1"/>
  <c r="J86" i="157"/>
  <c r="D362" i="157"/>
  <c r="F187" i="157"/>
  <c r="G68" i="157"/>
  <c r="J239" i="157"/>
  <c r="F218" i="157"/>
  <c r="C49" i="157"/>
  <c r="E396" i="157"/>
  <c r="F14" i="157"/>
  <c r="J134" i="157"/>
  <c r="P11" i="142"/>
  <c r="Q11" i="142" s="1"/>
  <c r="F178" i="157"/>
  <c r="G373" i="157"/>
  <c r="G336" i="157"/>
  <c r="E84" i="157"/>
  <c r="D19" i="157"/>
  <c r="C456" i="157"/>
  <c r="I461" i="157"/>
  <c r="H273" i="157"/>
  <c r="G281" i="157"/>
  <c r="J380" i="157"/>
  <c r="J301" i="157"/>
  <c r="D61" i="157"/>
  <c r="F283" i="157"/>
  <c r="D378" i="157"/>
  <c r="C121" i="157"/>
  <c r="D71" i="157"/>
  <c r="D423" i="157"/>
  <c r="I216" i="157"/>
  <c r="I76" i="157"/>
  <c r="C109" i="157"/>
  <c r="G196" i="157"/>
  <c r="G382" i="157"/>
  <c r="E207" i="157"/>
  <c r="F228" i="157"/>
  <c r="G440" i="157"/>
  <c r="D80" i="157"/>
  <c r="H25" i="157"/>
  <c r="C347" i="157"/>
  <c r="G262" i="157"/>
  <c r="D296" i="157"/>
  <c r="J38" i="157"/>
  <c r="D287" i="157"/>
  <c r="F110" i="157"/>
  <c r="C262" i="157"/>
  <c r="D314" i="157"/>
  <c r="E296" i="157"/>
  <c r="D155" i="157"/>
  <c r="F112" i="157"/>
  <c r="G237" i="157"/>
  <c r="G161" i="157"/>
  <c r="C329" i="157"/>
  <c r="C357" i="157"/>
  <c r="J373" i="157"/>
  <c r="E191" i="157"/>
  <c r="F223" i="157"/>
  <c r="F446" i="157"/>
  <c r="D290" i="157"/>
  <c r="I39" i="157"/>
  <c r="D212" i="157"/>
  <c r="J411" i="157"/>
  <c r="F424" i="157"/>
  <c r="E418" i="157"/>
  <c r="H111" i="157"/>
  <c r="E77" i="157"/>
  <c r="G341" i="157"/>
  <c r="C98" i="157"/>
  <c r="G79" i="157"/>
  <c r="E334" i="157"/>
  <c r="F324" i="157"/>
  <c r="C157" i="157"/>
  <c r="G296" i="157"/>
  <c r="E157" i="157"/>
  <c r="H316" i="157"/>
  <c r="C37" i="157"/>
  <c r="C158" i="157"/>
  <c r="H434" i="157"/>
  <c r="H95" i="157"/>
  <c r="P11" i="114"/>
  <c r="Q11" i="114" s="1"/>
  <c r="H442" i="157"/>
  <c r="C399" i="157"/>
  <c r="H461" i="157"/>
  <c r="G335" i="157"/>
  <c r="I412" i="157"/>
  <c r="F44" i="157"/>
  <c r="E457" i="157"/>
  <c r="C305" i="157"/>
  <c r="I263" i="157"/>
  <c r="E397" i="157"/>
  <c r="H117" i="157"/>
  <c r="J339" i="157"/>
  <c r="I346" i="157"/>
  <c r="I245" i="157"/>
  <c r="F292" i="157"/>
  <c r="E417" i="157"/>
  <c r="J410" i="157"/>
  <c r="J432" i="157"/>
  <c r="J226" i="157"/>
  <c r="J261" i="157"/>
  <c r="C105" i="157"/>
  <c r="I148" i="157"/>
  <c r="H127" i="157"/>
  <c r="H44" i="157"/>
  <c r="H61" i="157"/>
  <c r="G215" i="157"/>
  <c r="P10" i="140"/>
  <c r="I408" i="157"/>
  <c r="C112" i="157"/>
  <c r="G313" i="157"/>
  <c r="G410" i="157"/>
  <c r="H419" i="157"/>
  <c r="H405" i="157"/>
  <c r="E337" i="157"/>
  <c r="E390" i="157"/>
  <c r="D189" i="157"/>
  <c r="C110" i="157"/>
  <c r="H107" i="157"/>
  <c r="H167" i="157"/>
  <c r="G451" i="157"/>
  <c r="P10" i="143"/>
  <c r="H345" i="157"/>
  <c r="G293" i="157"/>
  <c r="C237" i="157"/>
  <c r="I450" i="157"/>
  <c r="J117" i="157"/>
  <c r="J30" i="157"/>
  <c r="G408" i="157"/>
  <c r="D442" i="157"/>
  <c r="E422" i="157"/>
  <c r="H321" i="157"/>
  <c r="G446" i="157"/>
  <c r="D137" i="157"/>
  <c r="F409" i="157"/>
  <c r="G169" i="157"/>
  <c r="G158" i="157"/>
  <c r="G248" i="157"/>
  <c r="H426" i="157"/>
  <c r="H309" i="157"/>
  <c r="F420" i="157"/>
  <c r="C302" i="157"/>
  <c r="D265" i="157"/>
  <c r="H251" i="157"/>
  <c r="F435" i="157"/>
  <c r="C360" i="157"/>
  <c r="E364" i="157"/>
  <c r="C45" i="157"/>
  <c r="J243" i="157"/>
  <c r="F76" i="157"/>
  <c r="C412" i="157"/>
  <c r="F376" i="157"/>
  <c r="H456" i="157"/>
  <c r="E50" i="157"/>
  <c r="J366" i="157"/>
  <c r="G344" i="157"/>
  <c r="E14" i="157"/>
  <c r="D391" i="157"/>
  <c r="E410" i="157"/>
  <c r="H428" i="157"/>
  <c r="C320" i="157"/>
  <c r="I446" i="157"/>
  <c r="H119" i="157"/>
  <c r="D187" i="157"/>
  <c r="G443" i="157"/>
  <c r="C267" i="157"/>
  <c r="G182" i="157"/>
  <c r="C372" i="157"/>
  <c r="F190" i="157"/>
  <c r="F109" i="157"/>
  <c r="I329" i="157"/>
  <c r="J107" i="157"/>
  <c r="J143" i="157"/>
  <c r="J41" i="157"/>
  <c r="H132" i="157"/>
  <c r="H74" i="157"/>
  <c r="P11" i="134"/>
  <c r="Q11" i="134" s="1"/>
  <c r="G271" i="157"/>
  <c r="C181" i="157"/>
  <c r="J245" i="157"/>
  <c r="D13" i="157"/>
  <c r="E321" i="157"/>
  <c r="J190" i="157"/>
  <c r="F62" i="157"/>
  <c r="J177" i="157"/>
  <c r="P11" i="138"/>
  <c r="Q11" i="138" s="1"/>
  <c r="G251" i="157"/>
  <c r="F266" i="157"/>
  <c r="G207" i="157"/>
  <c r="E111" i="157"/>
  <c r="I377" i="157"/>
  <c r="G139" i="157"/>
  <c r="C310" i="157"/>
  <c r="D40" i="157"/>
  <c r="E109" i="157"/>
  <c r="J275" i="157"/>
  <c r="E331" i="157"/>
  <c r="E150" i="157"/>
  <c r="H347" i="157"/>
  <c r="C268" i="157"/>
  <c r="D241" i="157"/>
  <c r="I210" i="157"/>
  <c r="H281" i="157"/>
  <c r="D21" i="157"/>
  <c r="E358" i="157"/>
  <c r="E427" i="157"/>
  <c r="E263" i="157"/>
  <c r="G136" i="157"/>
  <c r="H302" i="157"/>
  <c r="E426" i="157"/>
  <c r="F206" i="157"/>
  <c r="D224" i="157"/>
  <c r="I381" i="157"/>
  <c r="G58" i="157"/>
  <c r="D18" i="157"/>
  <c r="H157" i="157"/>
  <c r="F87" i="157"/>
  <c r="J26" i="157"/>
  <c r="C143" i="157"/>
  <c r="H123" i="157"/>
  <c r="P11" i="123"/>
  <c r="Q11" i="123" s="1"/>
  <c r="D381" i="157"/>
  <c r="G28" i="157"/>
  <c r="D285" i="157"/>
  <c r="F260" i="157"/>
  <c r="G433" i="157"/>
  <c r="C234" i="157"/>
  <c r="I155" i="157"/>
  <c r="G166" i="157"/>
  <c r="D200" i="157"/>
  <c r="F54" i="157"/>
  <c r="C448" i="157"/>
  <c r="D355" i="157"/>
  <c r="F235" i="157"/>
  <c r="I77" i="157"/>
  <c r="F336" i="157"/>
  <c r="H318" i="157"/>
  <c r="G213" i="157"/>
  <c r="F138" i="157"/>
  <c r="F26" i="157"/>
  <c r="E433" i="157"/>
  <c r="J144" i="157"/>
  <c r="E239" i="157"/>
  <c r="J39" i="157"/>
  <c r="J37" i="157"/>
  <c r="I310" i="157"/>
  <c r="I442" i="157"/>
  <c r="I136" i="157"/>
  <c r="H168" i="157"/>
  <c r="F452" i="157"/>
  <c r="E420" i="157"/>
  <c r="J300" i="157"/>
  <c r="P10" i="135"/>
  <c r="I109" i="157"/>
  <c r="H30" i="157"/>
  <c r="I286" i="157"/>
  <c r="D156" i="157"/>
  <c r="E206" i="157"/>
  <c r="J444" i="157"/>
  <c r="E38" i="157"/>
  <c r="I98" i="157"/>
  <c r="J315" i="157"/>
  <c r="I205" i="157"/>
  <c r="G423" i="157"/>
  <c r="D318" i="157"/>
  <c r="J43" i="157"/>
  <c r="F81" i="157"/>
  <c r="F399" i="157"/>
  <c r="C142" i="157"/>
  <c r="E409" i="157"/>
  <c r="F309" i="157"/>
  <c r="J14" i="157"/>
  <c r="G109" i="157"/>
  <c r="E284" i="157"/>
  <c r="G263" i="157"/>
  <c r="I10" i="157"/>
  <c r="I219" i="157"/>
  <c r="I314" i="157"/>
  <c r="J228" i="157"/>
  <c r="J217" i="157"/>
  <c r="G135" i="157"/>
  <c r="C324" i="157"/>
  <c r="C277" i="157"/>
  <c r="I348" i="157"/>
  <c r="I445" i="157"/>
  <c r="I203" i="157"/>
  <c r="H411" i="157"/>
  <c r="G252" i="157"/>
  <c r="G163" i="157"/>
  <c r="G151" i="157"/>
  <c r="J150" i="157"/>
  <c r="E82" i="157"/>
  <c r="I231" i="157"/>
  <c r="H322" i="157"/>
  <c r="D403" i="157"/>
  <c r="D216" i="157"/>
  <c r="G343" i="157"/>
  <c r="C421" i="157"/>
  <c r="P10" i="141"/>
  <c r="F360" i="157"/>
  <c r="E251" i="157"/>
  <c r="D270" i="157"/>
  <c r="E159" i="157"/>
  <c r="P11" i="137"/>
  <c r="Q11" i="137" s="1"/>
  <c r="D37" i="157"/>
  <c r="P11" i="147"/>
  <c r="Q11" i="147" s="1"/>
  <c r="I44" i="157"/>
  <c r="F166" i="157"/>
  <c r="E92" i="157"/>
  <c r="I341" i="157"/>
  <c r="G399" i="157"/>
  <c r="D134" i="157"/>
  <c r="F201" i="157"/>
  <c r="P11" i="141"/>
  <c r="Q11" i="141" s="1"/>
  <c r="H424" i="157"/>
  <c r="F362" i="157"/>
  <c r="G214" i="157"/>
  <c r="J425" i="157"/>
  <c r="J212" i="157"/>
  <c r="J297" i="157"/>
  <c r="H349" i="157"/>
  <c r="H21" i="157"/>
  <c r="P10" i="128"/>
  <c r="E347" i="157"/>
  <c r="H390" i="157"/>
  <c r="H401" i="157"/>
  <c r="G84" i="157"/>
  <c r="H173" i="157"/>
  <c r="J311" i="157"/>
  <c r="I18" i="157"/>
  <c r="F337" i="157"/>
  <c r="H92" i="157"/>
  <c r="D421" i="157"/>
  <c r="D89" i="157"/>
  <c r="C137" i="157"/>
  <c r="F147" i="157"/>
  <c r="J198" i="157"/>
  <c r="I443" i="157"/>
  <c r="E130" i="157"/>
  <c r="J257" i="157"/>
  <c r="H384" i="157"/>
  <c r="H41" i="157"/>
  <c r="H139" i="157"/>
  <c r="E59" i="157"/>
  <c r="G67" i="157"/>
  <c r="F245" i="157"/>
  <c r="H256" i="157"/>
  <c r="I419" i="157"/>
  <c r="D310" i="157"/>
  <c r="I401" i="157"/>
  <c r="D124" i="157"/>
  <c r="H352" i="157"/>
  <c r="F137" i="157"/>
  <c r="P11" i="119"/>
  <c r="Q11" i="119" s="1"/>
  <c r="G338" i="157"/>
  <c r="G278" i="157"/>
  <c r="F272" i="157"/>
  <c r="G232" i="157"/>
  <c r="E439" i="157"/>
  <c r="F393" i="157"/>
  <c r="E272" i="157"/>
  <c r="F24" i="157"/>
  <c r="F459" i="157"/>
  <c r="H336" i="157"/>
  <c r="I50" i="157"/>
  <c r="I431" i="157"/>
  <c r="I115" i="157"/>
  <c r="F400" i="157"/>
  <c r="E282" i="157"/>
  <c r="C140" i="157"/>
  <c r="E166" i="157"/>
  <c r="I449" i="157"/>
  <c r="I430" i="157"/>
  <c r="E61" i="157"/>
  <c r="F300" i="157"/>
  <c r="J105" i="157"/>
  <c r="F317" i="157"/>
  <c r="F85" i="157"/>
  <c r="D260" i="157"/>
  <c r="G323" i="157"/>
  <c r="E332" i="157"/>
  <c r="C200" i="157"/>
  <c r="F354" i="157"/>
  <c r="C214" i="157"/>
  <c r="C226" i="157"/>
  <c r="G379" i="157"/>
  <c r="G436" i="157"/>
  <c r="C208" i="157"/>
  <c r="C114" i="157"/>
  <c r="E362" i="157"/>
  <c r="D437" i="157"/>
  <c r="C424" i="157"/>
  <c r="E299" i="157"/>
  <c r="J331" i="157"/>
  <c r="H358" i="157"/>
  <c r="E15" i="157"/>
  <c r="F232" i="157"/>
  <c r="F36" i="157"/>
  <c r="F280" i="157"/>
  <c r="C348" i="157"/>
  <c r="F154" i="157"/>
  <c r="H429" i="157"/>
  <c r="G17" i="157"/>
  <c r="G376" i="157"/>
  <c r="G265" i="157"/>
  <c r="F100" i="157"/>
  <c r="C369" i="157"/>
  <c r="C254" i="157"/>
  <c r="G209" i="157"/>
  <c r="J258" i="157"/>
  <c r="J73" i="157"/>
  <c r="H183" i="157"/>
  <c r="G345" i="157"/>
  <c r="D139" i="157"/>
  <c r="F248" i="157"/>
  <c r="J161" i="157"/>
  <c r="F136" i="157"/>
  <c r="E89" i="157"/>
  <c r="I357" i="157"/>
  <c r="P11" i="121"/>
  <c r="Q11" i="121" s="1"/>
  <c r="E389" i="157"/>
  <c r="F311" i="157"/>
  <c r="H31" i="157"/>
  <c r="C95" i="157"/>
  <c r="C96" i="157"/>
  <c r="E271" i="157"/>
  <c r="J160" i="157"/>
  <c r="G310" i="157"/>
  <c r="F244" i="157"/>
  <c r="H158" i="157"/>
  <c r="G119" i="157"/>
  <c r="C349" i="157"/>
  <c r="H391" i="157"/>
  <c r="G134" i="157"/>
  <c r="C317" i="157"/>
  <c r="H375" i="157"/>
  <c r="G311" i="157"/>
  <c r="E20" i="157"/>
  <c r="G283" i="157"/>
  <c r="H114" i="157"/>
  <c r="D371" i="157"/>
  <c r="C428" i="157"/>
  <c r="D166" i="157"/>
  <c r="F451" i="157"/>
  <c r="G356" i="157"/>
  <c r="G33" i="157"/>
  <c r="H52" i="157"/>
  <c r="E288" i="157"/>
  <c r="G63" i="157"/>
  <c r="E317" i="157"/>
  <c r="J166" i="157"/>
  <c r="G149" i="157"/>
  <c r="C401" i="157"/>
  <c r="C182" i="157"/>
  <c r="J421" i="157"/>
  <c r="I253" i="157"/>
  <c r="E119" i="157"/>
  <c r="F418" i="157"/>
  <c r="H112" i="157"/>
  <c r="I240" i="157"/>
  <c r="F9" i="157"/>
  <c r="E30" i="157"/>
  <c r="G104" i="157"/>
  <c r="J420" i="157"/>
  <c r="I367" i="157"/>
  <c r="J27" i="157"/>
  <c r="I26" i="157"/>
  <c r="F63" i="157"/>
  <c r="F254" i="157"/>
  <c r="P10" i="139"/>
  <c r="J282" i="157"/>
  <c r="G363" i="157"/>
  <c r="F273" i="157"/>
  <c r="F156" i="157"/>
  <c r="F401" i="157"/>
  <c r="I415" i="157"/>
  <c r="I75" i="157"/>
  <c r="I20" i="157"/>
  <c r="C368" i="157"/>
  <c r="C389" i="157"/>
  <c r="I8" i="157"/>
  <c r="H276" i="157"/>
  <c r="D185" i="157"/>
  <c r="F198" i="157"/>
  <c r="G250" i="157"/>
  <c r="J129" i="157"/>
  <c r="E432" i="157"/>
  <c r="I189" i="157"/>
  <c r="J223" i="157"/>
  <c r="E343" i="157"/>
  <c r="C296" i="157"/>
  <c r="G274" i="157"/>
  <c r="J237" i="157"/>
  <c r="J415" i="157"/>
  <c r="I359" i="157"/>
  <c r="E407" i="157"/>
  <c r="I266" i="157"/>
  <c r="P11" i="139"/>
  <c r="Q11" i="139" s="1"/>
  <c r="G106" i="157"/>
  <c r="D413" i="157"/>
  <c r="C294" i="157"/>
  <c r="I407" i="157"/>
  <c r="F242" i="157"/>
  <c r="D340" i="157"/>
  <c r="H356" i="157"/>
  <c r="J370" i="157"/>
  <c r="E302" i="157"/>
  <c r="G131" i="157"/>
  <c r="C285" i="157"/>
  <c r="J402" i="157"/>
  <c r="J180" i="157"/>
  <c r="G148" i="157"/>
  <c r="H413" i="157"/>
  <c r="J394" i="157"/>
  <c r="C165" i="157"/>
  <c r="J400" i="157"/>
  <c r="D352" i="157"/>
  <c r="G239" i="157"/>
  <c r="I252" i="157"/>
  <c r="H239" i="157"/>
  <c r="F121" i="157"/>
  <c r="F133" i="157"/>
  <c r="E168" i="157"/>
  <c r="H374" i="157"/>
  <c r="D324" i="157"/>
  <c r="F455" i="157"/>
  <c r="D459" i="157"/>
  <c r="C146" i="157"/>
  <c r="F449" i="157"/>
  <c r="J29" i="157"/>
  <c r="G334" i="157"/>
  <c r="E149" i="157"/>
  <c r="C92" i="157"/>
  <c r="G133" i="157"/>
  <c r="D38" i="157"/>
  <c r="H38" i="157"/>
  <c r="D100" i="157"/>
  <c r="J376" i="157"/>
  <c r="E275" i="157"/>
  <c r="F124" i="157"/>
  <c r="I152" i="157"/>
  <c r="H410" i="157"/>
  <c r="F322" i="157"/>
  <c r="D169" i="157"/>
  <c r="J82" i="157"/>
  <c r="F419" i="157"/>
  <c r="E241" i="157"/>
  <c r="E36" i="157"/>
  <c r="G359" i="157"/>
  <c r="C390" i="157"/>
  <c r="G52" i="157"/>
  <c r="E233" i="157"/>
  <c r="J443" i="157"/>
  <c r="F370" i="157"/>
  <c r="C100" i="157"/>
  <c r="H133" i="157"/>
  <c r="E338" i="157"/>
  <c r="G44" i="157"/>
  <c r="J172" i="157"/>
  <c r="I193" i="157"/>
  <c r="I436" i="157"/>
  <c r="I403" i="157"/>
  <c r="H320" i="157"/>
  <c r="H140" i="157"/>
  <c r="E292" i="157"/>
  <c r="F276" i="157"/>
  <c r="G320" i="157"/>
  <c r="D361" i="157"/>
  <c r="I358" i="157"/>
  <c r="I440" i="157"/>
  <c r="C454" i="157"/>
  <c r="J173" i="157"/>
  <c r="F31" i="157"/>
  <c r="C222" i="157"/>
  <c r="G147" i="157"/>
  <c r="H346" i="157"/>
  <c r="D202" i="157"/>
  <c r="D248" i="157"/>
  <c r="C20" i="157"/>
  <c r="C19" i="157"/>
  <c r="J52" i="157"/>
  <c r="E313" i="157"/>
  <c r="D210" i="157"/>
  <c r="E176" i="157"/>
  <c r="F372" i="157"/>
  <c r="J102" i="157"/>
  <c r="C314" i="157"/>
  <c r="I186" i="157"/>
  <c r="C367" i="157"/>
  <c r="C28" i="157"/>
  <c r="F158" i="157"/>
  <c r="F404" i="157"/>
  <c r="G295" i="157"/>
  <c r="G407" i="157"/>
  <c r="J280" i="157"/>
  <c r="C258" i="157"/>
  <c r="E286" i="157"/>
  <c r="D194" i="157"/>
  <c r="H272" i="157"/>
  <c r="G204" i="157"/>
  <c r="I416" i="157"/>
  <c r="H328" i="157"/>
  <c r="D122" i="157"/>
  <c r="J382" i="157"/>
  <c r="J359" i="157"/>
  <c r="H56" i="157"/>
  <c r="D299" i="157"/>
  <c r="D160" i="157"/>
  <c r="D85" i="157"/>
  <c r="G222" i="157"/>
  <c r="G355" i="157"/>
  <c r="I383" i="157"/>
  <c r="F66" i="157"/>
  <c r="I438" i="157"/>
  <c r="J119" i="157"/>
  <c r="G342" i="157"/>
  <c r="C135" i="157"/>
  <c r="I344" i="157"/>
  <c r="G299" i="157"/>
  <c r="E134" i="157"/>
  <c r="D218" i="157"/>
  <c r="H357" i="157"/>
  <c r="H28" i="157"/>
  <c r="C299" i="157"/>
  <c r="G49" i="157"/>
  <c r="D58" i="157"/>
  <c r="J101" i="157"/>
  <c r="E6" i="157"/>
  <c r="H156" i="157"/>
  <c r="H154" i="157"/>
  <c r="G208" i="157"/>
  <c r="J210" i="157"/>
  <c r="E305" i="157"/>
  <c r="C300" i="157"/>
  <c r="G381" i="157"/>
  <c r="C280" i="157"/>
  <c r="C334" i="157"/>
  <c r="H205" i="157"/>
  <c r="I434" i="157"/>
  <c r="D149" i="157"/>
  <c r="E319" i="157"/>
  <c r="C223" i="157"/>
  <c r="I390" i="157"/>
  <c r="I228" i="157"/>
  <c r="D159" i="157"/>
  <c r="D261" i="157"/>
  <c r="E171" i="157"/>
  <c r="E374" i="157"/>
  <c r="D303" i="157"/>
  <c r="I338" i="157"/>
  <c r="C382" i="157"/>
  <c r="J188" i="157"/>
  <c r="D250" i="157"/>
  <c r="J33" i="157"/>
  <c r="J393" i="157"/>
  <c r="E48" i="157"/>
  <c r="D451" i="157"/>
  <c r="I244" i="157"/>
  <c r="D147" i="157"/>
  <c r="D267" i="157"/>
  <c r="J375" i="157"/>
  <c r="E386" i="157"/>
  <c r="E114" i="157"/>
  <c r="F390" i="157"/>
  <c r="E301" i="157"/>
  <c r="C244" i="157"/>
  <c r="F277" i="157"/>
  <c r="I121" i="157"/>
  <c r="J260" i="157"/>
  <c r="F15" i="157"/>
  <c r="J125" i="157"/>
  <c r="C228" i="157"/>
  <c r="F214" i="157"/>
  <c r="I453" i="157"/>
  <c r="J11" i="157"/>
  <c r="J264" i="157"/>
  <c r="H109" i="157"/>
  <c r="C306" i="157"/>
  <c r="E75" i="157"/>
  <c r="G254" i="157"/>
  <c r="G387" i="157"/>
  <c r="G38" i="157"/>
  <c r="F174" i="157"/>
  <c r="I323" i="157"/>
  <c r="E58" i="157"/>
  <c r="P10" i="109"/>
  <c r="C458" i="157"/>
  <c r="D205" i="157"/>
  <c r="J232" i="157"/>
  <c r="E186" i="157"/>
  <c r="G312" i="157"/>
  <c r="G461" i="157"/>
  <c r="H63" i="157"/>
  <c r="F264" i="157"/>
  <c r="H149" i="157"/>
  <c r="G88" i="157"/>
  <c r="E102" i="157"/>
  <c r="J426" i="157"/>
  <c r="J229" i="157"/>
  <c r="J18" i="157"/>
  <c r="H211" i="157"/>
  <c r="G442" i="157"/>
  <c r="C88" i="157"/>
  <c r="F282" i="157"/>
  <c r="F345" i="157"/>
  <c r="I21" i="157"/>
  <c r="I248" i="157"/>
  <c r="J121" i="157"/>
  <c r="J110" i="157"/>
  <c r="C353" i="157"/>
  <c r="D174" i="157"/>
  <c r="F101" i="157"/>
  <c r="D109" i="157"/>
  <c r="H204" i="157"/>
  <c r="I97" i="157"/>
  <c r="G328" i="157"/>
  <c r="I271" i="157"/>
  <c r="D438" i="157"/>
  <c r="H179" i="157"/>
  <c r="H175" i="157"/>
  <c r="F186" i="157"/>
  <c r="E54" i="157"/>
  <c r="E240" i="157"/>
  <c r="I212" i="157"/>
  <c r="I448" i="157"/>
  <c r="G398" i="157"/>
  <c r="E325" i="157"/>
  <c r="E94" i="157"/>
  <c r="F250" i="157"/>
  <c r="J433" i="157"/>
  <c r="I96" i="157"/>
  <c r="C221" i="157"/>
  <c r="J386" i="157"/>
  <c r="I373" i="157"/>
  <c r="J362" i="157"/>
  <c r="H290" i="157"/>
  <c r="H305" i="157"/>
  <c r="I122" i="157"/>
  <c r="E333" i="157"/>
  <c r="J413" i="157"/>
  <c r="D461" i="157"/>
  <c r="F349" i="157"/>
  <c r="I385" i="157"/>
  <c r="J268" i="157"/>
  <c r="J100" i="157"/>
  <c r="H303" i="157"/>
  <c r="P10" i="153"/>
  <c r="C13" i="157"/>
  <c r="I52" i="157"/>
  <c r="J124" i="157"/>
  <c r="G242" i="157"/>
  <c r="J283" i="157"/>
  <c r="H96" i="157"/>
  <c r="D291" i="157"/>
  <c r="H65" i="157"/>
  <c r="P11" i="110"/>
  <c r="Q11" i="110" s="1"/>
  <c r="C271" i="157"/>
  <c r="F139" i="157"/>
  <c r="D86" i="157"/>
  <c r="G226" i="157"/>
  <c r="I132" i="157"/>
  <c r="J299" i="157"/>
  <c r="E165" i="157"/>
  <c r="D374" i="157"/>
  <c r="J122" i="157"/>
  <c r="J338" i="157"/>
  <c r="C282" i="157"/>
  <c r="F7" i="157"/>
  <c r="F314" i="157"/>
  <c r="I200" i="157"/>
  <c r="J108" i="157"/>
  <c r="J56" i="157"/>
  <c r="I268" i="157"/>
  <c r="F68" i="157"/>
  <c r="E352" i="157"/>
  <c r="C255" i="157"/>
  <c r="H42" i="157"/>
  <c r="H334" i="157"/>
  <c r="D390" i="157"/>
  <c r="E41" i="157"/>
  <c r="G331" i="157"/>
  <c r="I254" i="157"/>
  <c r="P10" i="115"/>
  <c r="D237" i="157"/>
  <c r="F53" i="157"/>
  <c r="G279" i="157"/>
  <c r="E377" i="157"/>
  <c r="G43" i="157"/>
  <c r="C231" i="157"/>
  <c r="I85" i="157"/>
  <c r="J284" i="157"/>
  <c r="D404" i="157"/>
  <c r="H263" i="157"/>
  <c r="E172" i="157"/>
  <c r="G156" i="157"/>
  <c r="D74" i="157"/>
  <c r="C203" i="157"/>
  <c r="E122" i="157"/>
  <c r="C276" i="157"/>
  <c r="E440" i="157"/>
  <c r="H254" i="157"/>
  <c r="G11" i="157"/>
  <c r="C327" i="157"/>
  <c r="I396" i="157"/>
  <c r="E27" i="157"/>
  <c r="C26" i="157"/>
  <c r="G124" i="157"/>
  <c r="F318" i="157"/>
  <c r="D360" i="157"/>
  <c r="I38" i="157"/>
  <c r="G80" i="157"/>
  <c r="J294" i="157"/>
  <c r="E449" i="157"/>
  <c r="J178" i="157"/>
  <c r="E211" i="157"/>
  <c r="D53" i="157"/>
  <c r="F378" i="157"/>
  <c r="C87" i="157"/>
  <c r="E132" i="157"/>
  <c r="F285" i="157"/>
  <c r="G292" i="157"/>
  <c r="F97" i="157"/>
  <c r="J269" i="157"/>
  <c r="I168" i="157"/>
  <c r="D454" i="157"/>
  <c r="G431" i="157"/>
  <c r="E425" i="157"/>
  <c r="G419" i="157"/>
  <c r="D28" i="157"/>
  <c r="F114" i="157"/>
  <c r="F352" i="157"/>
  <c r="J115" i="157"/>
  <c r="J252" i="157"/>
  <c r="D10" i="157"/>
  <c r="P11" i="136"/>
  <c r="Q11" i="136" s="1"/>
  <c r="D127" i="157"/>
  <c r="E185" i="157"/>
  <c r="F428" i="157"/>
  <c r="J305" i="157"/>
  <c r="C144" i="157"/>
  <c r="I398" i="157"/>
  <c r="F407" i="157"/>
  <c r="H188" i="157"/>
  <c r="F46" i="157"/>
  <c r="I394" i="157"/>
  <c r="F287" i="157"/>
  <c r="H145" i="157"/>
  <c r="J270" i="157"/>
  <c r="H399" i="157"/>
  <c r="J12" i="156" l="1"/>
  <c r="K11" i="156"/>
  <c r="Q10" i="140"/>
  <c r="P12" i="140"/>
  <c r="Q12" i="140" s="1"/>
  <c r="P12" i="121"/>
  <c r="Q12" i="121" s="1"/>
  <c r="Q10" i="121"/>
  <c r="P12" i="107"/>
  <c r="Q12" i="107" s="1"/>
  <c r="Q10" i="107"/>
  <c r="Q10" i="120"/>
  <c r="P12" i="120"/>
  <c r="Q12" i="120" s="1"/>
  <c r="P12" i="134"/>
  <c r="Q12" i="134" s="1"/>
  <c r="Q10" i="134"/>
  <c r="P12" i="153"/>
  <c r="Q12" i="153" s="1"/>
  <c r="Q10" i="153"/>
  <c r="P12" i="141"/>
  <c r="Q12" i="141" s="1"/>
  <c r="Q10" i="141"/>
  <c r="E23" i="156"/>
  <c r="Q10" i="148"/>
  <c r="P12" i="148"/>
  <c r="Q12" i="148" s="1"/>
  <c r="P12" i="108"/>
  <c r="Q12" i="108" s="1"/>
  <c r="Q10" i="108"/>
  <c r="Q10" i="123"/>
  <c r="P12" i="123"/>
  <c r="Q12" i="123" s="1"/>
  <c r="P12" i="143"/>
  <c r="Q12" i="143" s="1"/>
  <c r="Q10" i="143"/>
  <c r="D11" i="156"/>
  <c r="Q10" i="126"/>
  <c r="P12" i="126"/>
  <c r="Q12" i="126" s="1"/>
  <c r="P12" i="112"/>
  <c r="Q12" i="112" s="1"/>
  <c r="Q10" i="112"/>
  <c r="P12" i="144"/>
  <c r="Q12" i="144" s="1"/>
  <c r="Q10" i="144"/>
  <c r="P12" i="114"/>
  <c r="Q12" i="114" s="1"/>
  <c r="Q10" i="114"/>
  <c r="Q10" i="110"/>
  <c r="P12" i="110"/>
  <c r="Q12" i="110" s="1"/>
  <c r="P12" i="113"/>
  <c r="Q12" i="113" s="1"/>
  <c r="Q10" i="113"/>
  <c r="Q10" i="127"/>
  <c r="P12" i="127"/>
  <c r="Q12" i="127" s="1"/>
  <c r="P12" i="105"/>
  <c r="Q12" i="105" s="1"/>
  <c r="Q10" i="105"/>
  <c r="P12" i="129"/>
  <c r="Q12" i="129" s="1"/>
  <c r="Q10" i="129"/>
  <c r="P12" i="106"/>
  <c r="Q12" i="106" s="1"/>
  <c r="Q10" i="106"/>
  <c r="I12" i="156"/>
  <c r="K10" i="156"/>
  <c r="Q10" i="119"/>
  <c r="P12" i="119"/>
  <c r="Q12" i="119" s="1"/>
  <c r="Q10" i="136"/>
  <c r="P12" i="136"/>
  <c r="Q12" i="136" s="1"/>
  <c r="P12" i="116"/>
  <c r="Q12" i="116" s="1"/>
  <c r="Q10" i="116"/>
  <c r="P12" i="139"/>
  <c r="Q12" i="139" s="1"/>
  <c r="Q10" i="139"/>
  <c r="Q10" i="147"/>
  <c r="P12" i="147"/>
  <c r="Q12" i="147" s="1"/>
  <c r="D10" i="156"/>
  <c r="D18" i="156"/>
  <c r="P12" i="152"/>
  <c r="Q12" i="152" s="1"/>
  <c r="Q10" i="152"/>
  <c r="P12" i="149"/>
  <c r="Q12" i="149" s="1"/>
  <c r="Q10" i="149"/>
  <c r="D24" i="156"/>
  <c r="P12" i="138"/>
  <c r="Q12" i="138" s="1"/>
  <c r="Q10" i="146"/>
  <c r="P12" i="146"/>
  <c r="Q12" i="146" s="1"/>
  <c r="Q10" i="122"/>
  <c r="P12" i="122"/>
  <c r="Q12" i="122" s="1"/>
  <c r="P12" i="128"/>
  <c r="Q12" i="128" s="1"/>
  <c r="Q10" i="128"/>
  <c r="P12" i="118"/>
  <c r="Q12" i="118" s="1"/>
  <c r="Q10" i="118"/>
  <c r="P12" i="145"/>
  <c r="Q12" i="145" s="1"/>
  <c r="Q10" i="145"/>
  <c r="P12" i="131"/>
  <c r="Q12" i="131" s="1"/>
  <c r="Q10" i="131"/>
  <c r="Q10" i="115"/>
  <c r="P12" i="115"/>
  <c r="Q12" i="115" s="1"/>
  <c r="P12" i="151"/>
  <c r="Q12" i="151" s="1"/>
  <c r="Q10" i="151"/>
  <c r="P12" i="150"/>
  <c r="Q12" i="150" s="1"/>
  <c r="Q10" i="150"/>
  <c r="P12" i="125"/>
  <c r="Q12" i="125" s="1"/>
  <c r="Q10" i="125"/>
  <c r="Q10" i="154"/>
  <c r="P12" i="154"/>
  <c r="Q12" i="154" s="1"/>
  <c r="Q10" i="117"/>
  <c r="P12" i="117"/>
  <c r="Q12" i="117" s="1"/>
  <c r="P12" i="133"/>
  <c r="Q12" i="133" s="1"/>
  <c r="Q10" i="133"/>
  <c r="Q10" i="109"/>
  <c r="P12" i="109"/>
  <c r="Q12" i="109" s="1"/>
  <c r="P12" i="135"/>
  <c r="Q12" i="135" s="1"/>
  <c r="Q10" i="135"/>
  <c r="P12" i="124"/>
  <c r="Q12" i="124" s="1"/>
  <c r="Q10" i="124"/>
  <c r="C11" i="156"/>
  <c r="E17" i="156"/>
  <c r="Q10" i="137"/>
  <c r="P12" i="137"/>
  <c r="Q12" i="137" s="1"/>
  <c r="C24" i="156"/>
  <c r="E22" i="156"/>
  <c r="Q10" i="155"/>
  <c r="P12" i="155"/>
  <c r="Q12" i="155" s="1"/>
  <c r="P12" i="142"/>
  <c r="Q12" i="142" s="1"/>
  <c r="Q10" i="142"/>
  <c r="P12" i="111"/>
  <c r="Q12" i="111" s="1"/>
  <c r="Q10" i="111"/>
  <c r="E16" i="156"/>
  <c r="C10" i="156"/>
  <c r="C18" i="156"/>
  <c r="P12" i="130"/>
  <c r="Q12" i="130" s="1"/>
  <c r="Q10" i="130"/>
  <c r="Q10" i="132"/>
  <c r="P12" i="132"/>
  <c r="Q12" i="132" s="1"/>
  <c r="K12" i="156" l="1"/>
  <c r="E11" i="156"/>
  <c r="C12" i="156"/>
  <c r="C13" i="156" s="1"/>
  <c r="D12" i="156"/>
  <c r="D13" i="156" s="1"/>
  <c r="E10" i="156"/>
  <c r="E18" i="156"/>
  <c r="E24" i="156"/>
  <c r="E12" i="156" l="1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<sst xmlns="http://schemas.openxmlformats.org/spreadsheetml/2006/main" count="7168" uniqueCount="361">
  <si>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</si>
  <si>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</si>
  <si>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</si>
  <si>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</si>
  <si>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</si>
  <si>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</si>
  <si>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</si>
  <si>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</si>
  <si>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</si>
  <si>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</si>
  <si>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</si>
  <si>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</si>
  <si>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</si>
  <si>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</si>
  <si>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</si>
  <si>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</si>
  <si>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</si>
  <si>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</si>
  <si>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</si>
  <si>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</si>
  <si>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</si>
  <si>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</si>
  <si>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</si>
  <si>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</si>
  <si>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</si>
  <si>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</si>
  <si>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</si>
  <si>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</si>
  <si>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</si>
  <si>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</si>
  <si>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</si>
  <si>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</si>
  <si>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</si>
  <si>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</si>
  <si>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</si>
  <si>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</si>
  <si>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</si>
  <si>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</si>
  <si>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</si>
  <si>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</si>
  <si>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</si>
  <si>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</si>
  <si>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</si>
  <si>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</si>
  <si>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</si>
  <si>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</si>
  <si>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</si>
  <si>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</si>
  <si>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</si>
  <si>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</si>
  <si>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</si>
  <si>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</si>
  <si>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</si>
  <si>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</si>
  <si>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</si>
  <si>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</si>
  <si>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</si>
  <si>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</si>
  <si>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</si>
  <si>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</si>
  <si>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</si>
  <si>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</si>
  <si>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</si>
  <si>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</si>
  <si>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</si>
  <si>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</si>
  <si>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</si>
  <si>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</si>
  <si>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</si>
  <si>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</si>
  <si>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</si>
  <si>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</si>
  <si>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</si>
  <si>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</si>
  <si>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</si>
  <si>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</si>
  <si>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</si>
  <si>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</si>
  <si>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</si>
  <si>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</si>
  <si>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</si>
  <si>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</si>
  <si>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</si>
  <si>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</si>
  <si>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</si>
  <si>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</si>
  <si>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</si>
  <si>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</si>
  <si>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</si>
  <si>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</si>
  <si>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</si>
  <si>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</si>
  <si>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</si>
  <si>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</si>
  <si>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</si>
  <si>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</si>
  <si>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</si>
  <si>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</si>
  <si>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</si>
  <si>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</si>
  <si>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</si>
  <si>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</si>
  <si>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</si>
  <si>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</si>
  <si>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</si>
  <si>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</si>
  <si>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</si>
  <si>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</si>
  <si>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</si>
  <si>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</si>
  <si>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</si>
  <si>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</si>
  <si>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</si>
  <si>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</si>
  <si>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</si>
  <si>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</si>
  <si>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</si>
  <si>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</si>
  <si>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</si>
  <si>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</si>
  <si>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</si>
  <si>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</si>
  <si>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</si>
  <si>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</si>
  <si>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</si>
  <si>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</si>
  <si>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</si>
  <si>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</si>
  <si>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</si>
  <si>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</si>
  <si>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</si>
  <si>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</si>
  <si>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</si>
  <si>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</si>
  <si>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</si>
  <si>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</si>
  <si>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</si>
  <si>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</si>
  <si>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</si>
  <si>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</si>
  <si>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</si>
  <si>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</si>
  <si>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</si>
  <si>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</si>
  <si>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</si>
  <si>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</si>
  <si>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</si>
  <si>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</si>
  <si>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</si>
  <si>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</si>
  <si>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</si>
  <si>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</si>
  <si>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</si>
  <si>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</si>
  <si>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</si>
  <si>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</si>
  <si>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</si>
  <si>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</si>
  <si>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</si>
  <si>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</si>
  <si>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</si>
  <si>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</si>
  <si>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</si>
  <si>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</si>
  <si>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</si>
  <si>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</si>
  <si>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</si>
  <si>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</si>
  <si>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</si>
  <si>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</si>
  <si>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</si>
  <si>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</si>
  <si>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</si>
  <si>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</si>
  <si>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</si>
  <si>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</si>
  <si>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</si>
  <si>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</si>
  <si>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</si>
  <si>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</si>
  <si>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</si>
  <si>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</si>
  <si>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</si>
  <si>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</si>
  <si>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</si>
  <si>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</si>
  <si>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</si>
  <si>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</si>
  <si>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</si>
  <si>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</si>
  <si>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</si>
  <si>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</si>
  <si>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</si>
  <si>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</si>
  <si>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</si>
  <si>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</si>
  <si>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</si>
  <si>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</si>
  <si>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</si>
  <si>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</si>
  <si>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</si>
  <si>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</si>
  <si>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</si>
  <si>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</si>
  <si>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</si>
  <si>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</si>
  <si>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</si>
  <si>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</si>
  <si>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</si>
  <si>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</si>
  <si>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</si>
  <si>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</si>
  <si>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</si>
  <si>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</si>
  <si>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</si>
  <si>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</si>
  <si>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</si>
  <si>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</si>
  <si>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</si>
  <si>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</si>
  <si>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</si>
  <si>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</si>
  <si>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</si>
  <si>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</si>
  <si>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</si>
  <si>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</si>
  <si>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</si>
  <si>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</si>
  <si>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</si>
  <si>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</si>
  <si>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</si>
  <si>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</si>
  <si>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</si>
  <si>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</si>
  <si>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G</t>
  </si>
  <si>
    <t>DIAM Turkey</t>
  </si>
  <si>
    <t>DIAM PORTUGAL</t>
  </si>
  <si>
    <t>Diam Japan(L)</t>
  </si>
  <si>
    <t>Diam Japan(PACK)</t>
  </si>
  <si>
    <t>DDA(PACK)</t>
  </si>
  <si>
    <t>D3(PACK)</t>
  </si>
  <si>
    <t>Diam Poland（PACK)</t>
  </si>
  <si>
    <t>Diam Tunisia</t>
  </si>
  <si>
    <t>Diam Tunisia(PACK)</t>
  </si>
  <si>
    <t>Lancome/BIOTHERM</t>
  </si>
  <si>
    <t>Loreal(FR team)</t>
  </si>
  <si>
    <t>Tarte</t>
  </si>
  <si>
    <t>E</t>
  </si>
  <si>
    <t>KVD/FENTY</t>
  </si>
  <si>
    <t>KENDO</t>
  </si>
  <si>
    <t>LM/Bibbi Brown /MAC/Estee Lauder</t>
  </si>
  <si>
    <t>ESTEE LAUDER(RDDC)</t>
  </si>
  <si>
    <t>Benefit/Fresh</t>
  </si>
  <si>
    <t>LVMH</t>
  </si>
  <si>
    <t xml:space="preserve">SEPHORA </t>
  </si>
  <si>
    <t>Sephora</t>
  </si>
  <si>
    <t>NARS/Shiseido</t>
  </si>
  <si>
    <t>Shiseido(D3 team)</t>
  </si>
  <si>
    <t>Luxottica</t>
  </si>
  <si>
    <t>Luxottica(D3 team)</t>
  </si>
  <si>
    <t>Laura Mercier/Bareminerals</t>
  </si>
  <si>
    <t>Laura Mercier/BAREMINERALS</t>
  </si>
  <si>
    <t>Chanel</t>
  </si>
  <si>
    <t>Chanel(FR team)</t>
  </si>
  <si>
    <t>Hourglass</t>
  </si>
  <si>
    <t>Hourglass(D3 team)</t>
  </si>
  <si>
    <t>ONE SIZE</t>
  </si>
  <si>
    <t>Burberry/GUCCI</t>
  </si>
  <si>
    <t>COTY</t>
  </si>
  <si>
    <t>OLE HENRIKSEN</t>
  </si>
  <si>
    <t>Huda Beauty</t>
  </si>
  <si>
    <t xml:space="preserve">ESTEE LAUDER </t>
  </si>
  <si>
    <t>ESTEE LAUDER (PACK)</t>
  </si>
  <si>
    <t>L'OREAL/Prada</t>
  </si>
  <si>
    <t>L'OREAL(PACK)</t>
  </si>
  <si>
    <t>DIAM PRESTIGE EUROPE</t>
  </si>
  <si>
    <t>MUGLER</t>
  </si>
  <si>
    <t>MUGLER(FR team)</t>
  </si>
  <si>
    <t xml:space="preserve">PRUGENT DIAM EUROPE </t>
  </si>
  <si>
    <t>Shiseido</t>
  </si>
  <si>
    <t>LOUIS VUITTON</t>
  </si>
  <si>
    <t>LOUIS VUITTON(FR team)</t>
  </si>
  <si>
    <t>Shiseido(P)</t>
    <phoneticPr fontId="21"/>
  </si>
  <si>
    <t>Shiseido(P)</t>
  </si>
  <si>
    <t>DIAM ITALY</t>
  </si>
  <si>
    <t>NOR LINE</t>
  </si>
  <si>
    <t>Total amount 2027</t>
    <phoneticPr fontId="21"/>
  </si>
  <si>
    <t>Total amount 2027</t>
    <phoneticPr fontId="21"/>
  </si>
  <si>
    <t>Total amount 2027</t>
    <phoneticPr fontId="21"/>
  </si>
  <si>
    <t>Lancome/BIOTHERM/ARMANI</t>
    <phoneticPr fontId="21"/>
  </si>
  <si>
    <t>Lancome/BIOTHERM/ARMANI</t>
  </si>
  <si>
    <t>Diam Japan(Naya team)</t>
    <phoneticPr fontId="21"/>
  </si>
  <si>
    <t>Diam Japan(Naya team)</t>
  </si>
  <si>
    <t>G</t>
    <phoneticPr fontId="21"/>
  </si>
  <si>
    <t>RITUALS</t>
  </si>
  <si>
    <t>E</t>
    <phoneticPr fontId="21"/>
  </si>
  <si>
    <t>MARIO</t>
  </si>
  <si>
    <t>Salt&amp;Stone</t>
  </si>
  <si>
    <t>Luxottica(D3 team)</t>
    <phoneticPr fontId="21"/>
  </si>
  <si>
    <t>DIAM Lurcy</t>
    <phoneticPr fontId="21"/>
  </si>
  <si>
    <t>DIAM Lurcy</t>
    <phoneticPr fontId="21"/>
  </si>
  <si>
    <t>Prugent Portugal</t>
  </si>
  <si>
    <t>TCT(PACK)</t>
  </si>
  <si>
    <t>TCT(PACK)</t>
    <phoneticPr fontId="21"/>
  </si>
  <si>
    <t>Electrowatt(PACK)</t>
  </si>
  <si>
    <t>Electrowatt(PACK)</t>
    <phoneticPr fontId="21"/>
  </si>
  <si>
    <t>Diam Italy</t>
    <phoneticPr fontId="21"/>
  </si>
  <si>
    <t>LUNE &amp; ASTER</t>
    <phoneticPr fontId="21"/>
  </si>
  <si>
    <t>LUNE &amp; ASTER(D3 team)</t>
    <phoneticPr fontId="21"/>
  </si>
  <si>
    <t>DIAM Lurcy</t>
  </si>
  <si>
    <t>LUNE &amp; ASTER</t>
  </si>
  <si>
    <t>LUNE &amp; ASTER(D3 team)</t>
  </si>
  <si>
    <t>Diam Thailand</t>
    <phoneticPr fontId="21"/>
  </si>
  <si>
    <t>G</t>
    <phoneticPr fontId="21"/>
  </si>
  <si>
    <t>Diam Italy</t>
    <phoneticPr fontId="21"/>
  </si>
  <si>
    <t>Diam Thailand</t>
  </si>
  <si>
    <t>DIAM Poland</t>
  </si>
  <si>
    <r>
      <t>DIAM Poland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PACK)</t>
    </r>
    <phoneticPr fontId="21"/>
  </si>
  <si>
    <t>DIAM Poland（PACK)</t>
  </si>
  <si>
    <t>Burberry/GUCCI/Chloe</t>
    <phoneticPr fontId="21"/>
  </si>
  <si>
    <t>Burberry/GUCCI/Chloe</t>
  </si>
  <si>
    <t>ESTEE LAUDER(TR)</t>
    <phoneticPr fontId="21"/>
  </si>
  <si>
    <t>Bibbi Brown /MAC/Estee Lauder</t>
    <phoneticPr fontId="21"/>
  </si>
  <si>
    <t>Bibbi Brown /MAC/Estee Lauder</t>
  </si>
  <si>
    <t>ESTEE LAUDER(TR)</t>
  </si>
  <si>
    <t>Loreal(FR team)</t>
    <phoneticPr fontId="21"/>
  </si>
  <si>
    <t>MUGLER(FR team)</t>
    <phoneticPr fontId="21"/>
  </si>
  <si>
    <t>Miumiu</t>
    <phoneticPr fontId="21"/>
  </si>
  <si>
    <t>Miumiu(FR team)</t>
    <phoneticPr fontId="21"/>
  </si>
  <si>
    <t>Miumiu</t>
  </si>
  <si>
    <t>Miumiu(FR team)</t>
  </si>
  <si>
    <t>KOSAS</t>
    <phoneticPr fontId="21"/>
  </si>
  <si>
    <t>KOSAS</t>
    <phoneticPr fontId="21"/>
  </si>
  <si>
    <t>ABH</t>
    <phoneticPr fontId="21"/>
  </si>
  <si>
    <t>ABH</t>
    <phoneticPr fontId="21"/>
  </si>
  <si>
    <t>KOSAS</t>
  </si>
  <si>
    <t>ABH</t>
  </si>
  <si>
    <t>DIAM PRESTIGE EUROPE</t>
    <phoneticPr fontId="21"/>
  </si>
  <si>
    <t>DIAM UK</t>
  </si>
  <si>
    <t>DIAM UK</t>
    <phoneticPr fontId="21"/>
  </si>
  <si>
    <t>E</t>
    <phoneticPr fontId="21"/>
  </si>
  <si>
    <t>Sheglam</t>
  </si>
  <si>
    <t>Sheglam</t>
    <phoneticPr fontId="21"/>
  </si>
  <si>
    <t>OAKLEY</t>
  </si>
  <si>
    <t>G</t>
    <phoneticPr fontId="21"/>
  </si>
  <si>
    <t>OAKLEY(BD team)</t>
    <phoneticPr fontId="21"/>
  </si>
  <si>
    <t>Diam Italy</t>
    <phoneticPr fontId="21"/>
  </si>
  <si>
    <t>OAKLEY(BD team)</t>
  </si>
  <si>
    <t>DIAM Poland(PACK)</t>
  </si>
  <si>
    <t>AUNA</t>
    <phoneticPr fontId="21"/>
  </si>
  <si>
    <t>Bonjout Beauty</t>
    <phoneticPr fontId="21"/>
  </si>
  <si>
    <t>Bonjout Beauty(Pack)</t>
    <phoneticPr fontId="21"/>
  </si>
  <si>
    <t>AUNA</t>
  </si>
  <si>
    <t>Bonjout Beauty</t>
  </si>
  <si>
    <t>Bonjout Beauty(Pack)</t>
  </si>
  <si>
    <t>Diam Mexico</t>
    <phoneticPr fontId="21"/>
  </si>
  <si>
    <t xml:space="preserve">Prugent America </t>
    <phoneticPr fontId="21"/>
  </si>
  <si>
    <t>Sisley</t>
    <phoneticPr fontId="21"/>
  </si>
  <si>
    <t>Sisley(FR team)</t>
    <phoneticPr fontId="21"/>
  </si>
  <si>
    <t>Mario</t>
    <phoneticPr fontId="21"/>
  </si>
  <si>
    <t>Mario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</si>
</sst>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  <numFmt numFmtId="191" formatCode="#,##0.000"/>
  </numFmts>
  <fonts count="67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8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43" fontId="65" fillId="0" borderId="0" applyFont="0" applyFill="0" applyBorder="0" applyAlignment="0" applyProtection="0">
      <alignment vertical="center"/>
    </xf>
  </cellStyleXfs>
  <cellXfs count="220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3" fontId="35" fillId="8" borderId="6" xfId="536" applyNumberFormat="1" applyFont="1" applyFill="1" applyBorder="1" applyAlignment="1" applyProtection="1">
      <alignment horizontal="right"/>
      <protection locked="0"/>
    </xf>
    <xf numFmtId="3" fontId="1" fillId="8" borderId="6" xfId="536" applyNumberFormat="1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43" fontId="1" fillId="0" borderId="0" xfId="657" applyFont="1" applyAlignment="1" applyProtection="1">
      <alignment horizontal="center"/>
      <protection locked="0"/>
    </xf>
    <xf numFmtId="179" fontId="5" fillId="8" borderId="6" xfId="3" applyNumberFormat="1" applyFont="1" applyFill="1" applyBorder="1" applyAlignment="1" applyProtection="1">
      <alignment horizontal="right"/>
      <protection locked="0"/>
    </xf>
    <xf numFmtId="180" fontId="5" fillId="8" borderId="6" xfId="536" applyNumberFormat="1" applyFont="1" applyFill="1" applyBorder="1" applyAlignment="1" applyProtection="1">
      <alignment horizontal="right"/>
      <protection locked="0"/>
    </xf>
    <xf numFmtId="188" fontId="16" fillId="8" borderId="6" xfId="536" applyFont="1" applyFill="1" applyBorder="1" applyAlignment="1" applyProtection="1">
      <alignment horizontal="right"/>
      <protection locked="0"/>
    </xf>
    <xf numFmtId="188" fontId="24" fillId="8" borderId="6" xfId="536" applyFont="1" applyFill="1" applyBorder="1" applyAlignment="1" applyProtection="1">
      <alignment horizontal="right"/>
      <protection locked="0"/>
    </xf>
    <xf numFmtId="188" fontId="66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Protection="1">
      <protection locked="0"/>
    </xf>
    <xf numFmtId="188" fontId="39" fillId="8" borderId="6" xfId="536" applyFont="1" applyFill="1" applyBorder="1" applyAlignment="1" applyProtection="1">
      <alignment horizontal="right"/>
      <protection locked="0"/>
    </xf>
    <xf numFmtId="188" fontId="66" fillId="8" borderId="6" xfId="536" applyFont="1" applyFill="1" applyBorder="1" applyAlignment="1" applyProtection="1">
      <alignment horizontal="right"/>
      <protection locked="0"/>
    </xf>
    <xf numFmtId="191" fontId="43" fillId="8" borderId="6" xfId="536" applyNumberFormat="1" applyFont="1" applyFill="1" applyBorder="1" applyAlignment="1" applyProtection="1">
      <alignment horizontal="right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8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" xfId="657" builtinId="3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4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="" xmlns:a16="http://schemas.microsoft.com/office/drawing/2014/main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29">
      <pivotArea type="all" dataOnly="0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43">
      <pivotArea type="all" dataOnly="0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field="0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80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DE HONG KONG</v>
      </c>
      <c r="D2" s="37" t="str">
        <f>VLOOKUP(C2, parameters!A:B, 2,0)</f>
        <v>DEHK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65.798000000000002</v>
      </c>
      <c r="D10" s="33">
        <f t="shared" ref="D10:E10" ca="1" si="0">+D16-D22</f>
        <v>68.361999999999995</v>
      </c>
      <c r="E10" s="33">
        <f t="shared" ca="1" si="0"/>
        <v>134.16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131.20199999999932</v>
      </c>
      <c r="D11" s="33">
        <f t="shared" ca="1" si="1"/>
        <v>133.3010000000013</v>
      </c>
      <c r="E11" s="184">
        <f t="shared" ca="1" si="1"/>
        <v>264.50300000000061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196.99999999999909</v>
      </c>
      <c r="D12" s="35">
        <f t="shared" ca="1" si="1"/>
        <v>201.66300000000138</v>
      </c>
      <c r="E12" s="35">
        <f t="shared" ca="1" si="1"/>
        <v>398.66300000000047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-2.2737367544323206E-13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65.798000000000002</v>
      </c>
      <c r="D16" s="33" cm="1">
        <f t="array" aca="1" ref="D16" ca="1">INDIRECT(ADDRESS(11,8,,,$C$4))</f>
        <v>68.361999999999995</v>
      </c>
      <c r="E16" s="33">
        <f ca="1">SUM(C16:D16)</f>
        <v>134.16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7404.08</v>
      </c>
      <c r="D17" s="33" cm="1">
        <f t="array" aca="1" ref="D17" ca="1">INDIRECT(ADDRESS(18,11,,,$C$4))</f>
        <v>4795.0990000000002</v>
      </c>
      <c r="E17" s="33">
        <f ca="1">SUM(C17:D17)</f>
        <v>12199.179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7469.8779999999997</v>
      </c>
      <c r="D18" s="35">
        <f t="shared" ref="D18:E18" ca="1" si="3">SUM(D16:D17)</f>
        <v>4863.4610000000002</v>
      </c>
      <c r="E18" s="35">
        <f t="shared" ca="1" si="3"/>
        <v>12333.339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7272.8780000000006</v>
      </c>
      <c r="D23" s="33" cm="1">
        <f t="array" aca="1" ref="D23" ca="1">INDIRECT(ADDRESS(18,11,,,$D$4))</f>
        <v>4661.7979999999989</v>
      </c>
      <c r="E23" s="33">
        <f ca="1">SUM(C23:D23)</f>
        <v>11934.675999999999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7272.8780000000006</v>
      </c>
      <c r="D24" s="35">
        <f t="shared" ref="D24:E24" ca="1" si="5">SUM(D22:D23)</f>
        <v>4661.7979999999989</v>
      </c>
      <c r="E24" s="35">
        <f t="shared" ca="1" si="5"/>
        <v>11934.675999999999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D3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D3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3331.75</v>
      </c>
      <c r="I6" s="45" cm="1">
        <f t="array" aca="1" ref="I6" ca="1">INDIRECT(ADDRESS($A6,I$4,,,$B6))</f>
        <v>3331.75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France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France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16.780999999999999</v>
      </c>
      <c r="I7" s="45" cm="1">
        <f t="array" aca="1" ref="I7" ca="1">INDIRECT(ADDRESS($A7,I$4,,,$B7))</f>
        <v>16.780999999999999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DIAM Turkey</v>
      </c>
      <c r="D8" s="45" t="str" cm="1">
        <f t="array" aca="1" ref="D8" ca="1">INDIRECT(ADDRESS($A8,D$4,,,$B8))</f>
        <v>Group</v>
      </c>
      <c r="E8" s="45" t="str" cm="1">
        <f t="array" aca="1" ref="E8" ca="1">INDIRECT(ADDRESS($A8,E$4,,,$B8))</f>
        <v>DIAM Turkey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G</v>
      </c>
      <c r="H8" s="45" cm="1">
        <f t="array" aca="1" ref="H8" ca="1">INDIRECT(ADDRESS($A8,H$4,,,$B8))</f>
        <v>166.23000000000002</v>
      </c>
      <c r="I8" s="45" cm="1">
        <f t="array" aca="1" ref="I8" ca="1">INDIRECT(ADDRESS($A8,I$4,,,$B8))</f>
        <v>166.23000000000002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Nevacril</v>
      </c>
      <c r="D9" s="45" t="str" cm="1">
        <f t="array" aca="1" ref="D9" ca="1">INDIRECT(ADDRESS($A9,D$4,,,$B9))</f>
        <v>Group</v>
      </c>
      <c r="E9" s="45" t="str" cm="1">
        <f t="array" aca="1" ref="E9" ca="1">INDIRECT(ADDRESS($A9,E$4,,,$B9))</f>
        <v>Nevacril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G</v>
      </c>
      <c r="H9" s="45" cm="1">
        <f t="array" aca="1" ref="H9" ca="1">INDIRECT(ADDRESS($A9,H$4,,,$B9))</f>
        <v>3.2589999999999999</v>
      </c>
      <c r="I9" s="45" cm="1">
        <f t="array" aca="1" ref="I9" ca="1">INDIRECT(ADDRESS($A9,I$4,,,$B9))</f>
        <v>3.2589999999999999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Diam UK</v>
      </c>
      <c r="D10" s="45" t="str" cm="1">
        <f t="array" aca="1" ref="D10" ca="1">INDIRECT(ADDRESS($A10,D$4,,,$B10))</f>
        <v>Group</v>
      </c>
      <c r="E10" s="45" t="str" cm="1">
        <f t="array" aca="1" ref="E10" ca="1">INDIRECT(ADDRESS($A10,E$4,,,$B10))</f>
        <v>Diam UK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G</v>
      </c>
      <c r="H10" s="45" cm="1">
        <f t="array" aca="1" ref="H10" ca="1">INDIRECT(ADDRESS($A10,H$4,,,$B10))</f>
        <v>191</v>
      </c>
      <c r="I10" s="45" cm="1">
        <f t="array" aca="1" ref="I10" ca="1">INDIRECT(ADDRESS($A10,I$4,,,$B10))</f>
        <v>191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DIAM PORTUGAL</v>
      </c>
      <c r="D11" s="45" t="str" cm="1">
        <f t="array" aca="1" ref="D11" ca="1">INDIRECT(ADDRESS($A11,D$4,,,$B11))</f>
        <v>Group</v>
      </c>
      <c r="E11" s="45" t="str" cm="1">
        <f t="array" aca="1" ref="E11" ca="1">INDIRECT(ADDRESS($A11,E$4,,,$B11))</f>
        <v>DIAM PORTUGAL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G</v>
      </c>
      <c r="H11" s="45" cm="1">
        <f t="array" aca="1" ref="H11" ca="1">INDIRECT(ADDRESS($A11,H$4,,,$B11))</f>
        <v>3.5</v>
      </c>
      <c r="I11" s="45" cm="1">
        <f t="array" aca="1" ref="I11" ca="1">INDIRECT(ADDRESS($A11,I$4,,,$B11))</f>
        <v>3.5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DIAM PRESTIGE EUROPE</v>
      </c>
      <c r="D12" s="45" t="str" cm="1">
        <f t="array" aca="1" ref="D12" ca="1">INDIRECT(ADDRESS($A12,D$4,,,$B12))</f>
        <v>Group</v>
      </c>
      <c r="E12" s="45" t="str" cm="1">
        <f t="array" aca="1" ref="E12" ca="1">INDIRECT(ADDRESS($A12,E$4,,,$B12))</f>
        <v>DIAM PRESTIGE EUROPE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G</v>
      </c>
      <c r="H12" s="45" cm="1">
        <f t="array" aca="1" ref="H12" ca="1">INDIRECT(ADDRESS($A12,H$4,,,$B12))</f>
        <v>153.29400000000001</v>
      </c>
      <c r="I12" s="45" cm="1">
        <f t="array" aca="1" ref="I12" ca="1">INDIRECT(ADDRESS($A12,I$4,,,$B12))</f>
        <v>153.29400000000001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 xml:space="preserve">PRUGENT DIAM EUROPE </v>
      </c>
      <c r="D13" s="45" t="str" cm="1">
        <f t="array" aca="1" ref="D13" ca="1">INDIRECT(ADDRESS($A13,D$4,,,$B13))</f>
        <v>Group</v>
      </c>
      <c r="E13" s="45" t="str" cm="1">
        <f t="array" aca="1" ref="E13" ca="1">INDIRECT(ADDRESS($A13,E$4,,,$B13))</f>
        <v xml:space="preserve">PRUGENT DIAM EUROPE 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G</v>
      </c>
      <c r="H13" s="45" cm="1">
        <f t="array" aca="1" ref="H13" ca="1">INDIRECT(ADDRESS($A13,H$4,,,$B13))</f>
        <v>1.4430000000000001</v>
      </c>
      <c r="I13" s="45" cm="1">
        <f t="array" aca="1" ref="I13" ca="1">INDIRECT(ADDRESS($A13,I$4,,,$B13))</f>
        <v>1.4430000000000001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Diam Japan</v>
      </c>
      <c r="D14" s="45" t="str" cm="1">
        <f t="array" aca="1" ref="D14" ca="1">INDIRECT(ADDRESS($A14,D$4,,,$B14))</f>
        <v>Group</v>
      </c>
      <c r="E14" s="45" t="str" cm="1">
        <f t="array" aca="1" ref="E14" ca="1">INDIRECT(ADDRESS($A14,E$4,,,$B14))</f>
        <v>Diam Japan(L)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G</v>
      </c>
      <c r="H14" s="45" cm="1">
        <f t="array" aca="1" ref="H14" ca="1">INDIRECT(ADDRESS($A14,H$4,,,$B14))</f>
        <v>412.89499999999998</v>
      </c>
      <c r="I14" s="45" cm="1">
        <f t="array" aca="1" ref="I14" ca="1">INDIRECT(ADDRESS($A14,I$4,,,$B14))</f>
        <v>412.89499999999998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Diam Japan</v>
      </c>
      <c r="D15" s="45" t="str" cm="1">
        <f t="array" aca="1" ref="D15" ca="1">INDIRECT(ADDRESS($A15,D$4,,,$B15))</f>
        <v>Group</v>
      </c>
      <c r="E15" s="45" t="str" cm="1">
        <f t="array" aca="1" ref="E15" ca="1">INDIRECT(ADDRESS($A15,E$4,,,$B15))</f>
        <v>Diam Japan(PACK)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G</v>
      </c>
      <c r="H15" s="45" cm="1">
        <f t="array" aca="1" ref="H15" ca="1">INDIRECT(ADDRESS($A15,H$4,,,$B15))</f>
        <v>254.566</v>
      </c>
      <c r="I15" s="45" cm="1">
        <f t="array" aca="1" ref="I15" ca="1">INDIRECT(ADDRESS($A15,I$4,,,$B15))</f>
        <v>254.566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DDA</v>
      </c>
      <c r="D16" s="45" t="str" cm="1">
        <f t="array" aca="1" ref="D16" ca="1">INDIRECT(ADDRESS($A16,D$4,,,$B16))</f>
        <v>Group</v>
      </c>
      <c r="E16" s="45" t="str" cm="1">
        <f t="array" aca="1" ref="E16" ca="1">INDIRECT(ADDRESS($A16,E$4,,,$B16))</f>
        <v>DDA(PACK)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G</v>
      </c>
      <c r="H16" s="45" cm="1">
        <f t="array" aca="1" ref="H16" ca="1">INDIRECT(ADDRESS($A16,H$4,,,$B16))</f>
        <v>10</v>
      </c>
      <c r="I16" s="45" cm="1">
        <f t="array" aca="1" ref="I16" ca="1">INDIRECT(ADDRESS($A16,I$4,,,$B16))</f>
        <v>10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D3</v>
      </c>
      <c r="D17" s="45" t="str" cm="1">
        <f t="array" aca="1" ref="D17" ca="1">INDIRECT(ADDRESS($A17,D$4,,,$B17))</f>
        <v>Group</v>
      </c>
      <c r="E17" s="45" t="str" cm="1">
        <f t="array" aca="1" ref="E17" ca="1">INDIRECT(ADDRESS($A17,E$4,,,$B17))</f>
        <v>D3(PACK)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34.495999999999995</v>
      </c>
      <c r="I17" s="45" cm="1">
        <f t="array" aca="1" ref="I17" ca="1">INDIRECT(ADDRESS($A17,I$4,,,$B17))</f>
        <v>34.495999999999995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Diam Poland</v>
      </c>
      <c r="D18" s="45" t="str" cm="1">
        <f t="array" aca="1" ref="D18" ca="1">INDIRECT(ADDRESS($A18,D$4,,,$B18))</f>
        <v>Group</v>
      </c>
      <c r="E18" s="45" t="str" cm="1">
        <f t="array" aca="1" ref="E18" ca="1">INDIRECT(ADDRESS($A18,E$4,,,$B18))</f>
        <v>Diam Poland（PACK)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G</v>
      </c>
      <c r="H18" s="45" cm="1">
        <f t="array" aca="1" ref="H18" ca="1">INDIRECT(ADDRESS($A18,H$4,,,$B18))</f>
        <v>128.23099999999999</v>
      </c>
      <c r="I18" s="45" cm="1">
        <f t="array" aca="1" ref="I18" ca="1">INDIRECT(ADDRESS($A18,I$4,,,$B18))</f>
        <v>128.23099999999999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Diam Tunisia</v>
      </c>
      <c r="D19" s="45" t="str" cm="1">
        <f t="array" aca="1" ref="D19" ca="1">INDIRECT(ADDRESS($A19,D$4,,,$B19))</f>
        <v>Group</v>
      </c>
      <c r="E19" s="45" t="str" cm="1">
        <f t="array" aca="1" ref="E19" ca="1">INDIRECT(ADDRESS($A19,E$4,,,$B19))</f>
        <v>Diam Tunisia(PACK)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G</v>
      </c>
      <c r="H19" s="45" cm="1">
        <f t="array" aca="1" ref="H19" ca="1">INDIRECT(ADDRESS($A19,H$4,,,$B19))</f>
        <v>87.653999999999996</v>
      </c>
      <c r="I19" s="45" cm="1">
        <f t="array" aca="1" ref="I19" ca="1">INDIRECT(ADDRESS($A19,I$4,,,$B19))</f>
        <v>87.653999999999996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Chanel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Chanel(FR team)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G</v>
      </c>
      <c r="H20" s="45" cm="1">
        <f t="array" aca="1" ref="H20" ca="1">INDIRECT(ADDRESS($A20,H$4,,,$B20))</f>
        <v>349.22300000000001</v>
      </c>
      <c r="I20" s="45" cm="1">
        <f t="array" aca="1" ref="I20" ca="1">INDIRECT(ADDRESS($A20,I$4,,,$B20))</f>
        <v>349.22300000000001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t="str" cm="1">
        <f t="array" aca="1" ref="C21" ca="1">INDIRECT(ADDRESS($A21,C$4,,,$B21))</f>
        <v>Lancome/BIOTHERM</v>
      </c>
      <c r="D21" s="45" t="str" cm="1">
        <f t="array" aca="1" ref="D21" ca="1">INDIRECT(ADDRESS($A21,D$4,,,$B21))</f>
        <v>External</v>
      </c>
      <c r="E21" s="45" t="str" cm="1">
        <f t="array" aca="1" ref="E21" ca="1">INDIRECT(ADDRESS($A21,E$4,,,$B21))</f>
        <v>Loreal(FR team)</v>
      </c>
      <c r="F21" s="45" cm="1">
        <f t="array" aca="1" ref="F21" ca="1">INDIRECT(ADDRESS($A21,F$4,,,$B21))</f>
        <v>0</v>
      </c>
      <c r="G21" s="45" t="str" cm="1">
        <f t="array" aca="1" ref="G21" ca="1">INDIRECT(ADDRESS($A21,G$4,,,$B21))</f>
        <v>G</v>
      </c>
      <c r="H21" s="45" cm="1">
        <f t="array" aca="1" ref="H21" ca="1">INDIRECT(ADDRESS($A21,H$4,,,$B21))</f>
        <v>1654.3739999999998</v>
      </c>
      <c r="I21" s="45" cm="1">
        <f t="array" aca="1" ref="I21" ca="1">INDIRECT(ADDRESS($A21,I$4,,,$B21))</f>
        <v>1654.3739999999998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t="str" cm="1">
        <f t="array" aca="1" ref="C22" ca="1">INDIRECT(ADDRESS($A22,C$4,,,$B22))</f>
        <v>MUGLER</v>
      </c>
      <c r="D22" s="45" t="str" cm="1">
        <f t="array" aca="1" ref="D22" ca="1">INDIRECT(ADDRESS($A22,D$4,,,$B22))</f>
        <v>External</v>
      </c>
      <c r="E22" s="45" t="str" cm="1">
        <f t="array" aca="1" ref="E22" ca="1">INDIRECT(ADDRESS($A22,E$4,,,$B22))</f>
        <v>MUGLER(FR team)</v>
      </c>
      <c r="F22" s="45" cm="1">
        <f t="array" aca="1" ref="F22" ca="1">INDIRECT(ADDRESS($A22,F$4,,,$B22))</f>
        <v>0</v>
      </c>
      <c r="G22" s="45" t="str" cm="1">
        <f t="array" aca="1" ref="G22" ca="1">INDIRECT(ADDRESS($A22,G$4,,,$B22))</f>
        <v>G</v>
      </c>
      <c r="H22" s="45" cm="1">
        <f t="array" aca="1" ref="H22" ca="1">INDIRECT(ADDRESS($A22,H$4,,,$B22))</f>
        <v>186.46299999999999</v>
      </c>
      <c r="I22" s="45" cm="1">
        <f t="array" aca="1" ref="I22" ca="1">INDIRECT(ADDRESS($A22,I$4,,,$B22))</f>
        <v>186.46299999999999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t="str" cm="1">
        <f t="array" aca="1" ref="C23" ca="1">INDIRECT(ADDRESS($A23,C$4,,,$B23))</f>
        <v>LOUIS VUITTON</v>
      </c>
      <c r="D23" s="45" t="str" cm="1">
        <f t="array" aca="1" ref="D23" ca="1">INDIRECT(ADDRESS($A23,D$4,,,$B23))</f>
        <v>External</v>
      </c>
      <c r="E23" s="45" t="str" cm="1">
        <f t="array" aca="1" ref="E23" ca="1">INDIRECT(ADDRESS($A23,E$4,,,$B23))</f>
        <v>LOUIS VUITTON(FR team)</v>
      </c>
      <c r="F23" s="45" cm="1">
        <f t="array" aca="1" ref="F23" ca="1">INDIRECT(ADDRESS($A23,F$4,,,$B23))</f>
        <v>0</v>
      </c>
      <c r="G23" s="45" t="str" cm="1">
        <f t="array" aca="1" ref="G23" ca="1">INDIRECT(ADDRESS($A23,G$4,,,$B23))</f>
        <v>G</v>
      </c>
      <c r="H23" s="45" cm="1">
        <f t="array" aca="1" ref="H23" ca="1">INDIRECT(ADDRESS($A23,H$4,,,$B23))</f>
        <v>113</v>
      </c>
      <c r="I23" s="45" cm="1">
        <f t="array" aca="1" ref="I23" ca="1">INDIRECT(ADDRESS($A23,I$4,,,$B23))</f>
        <v>113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t="str" cm="1">
        <f t="array" aca="1" ref="C24" ca="1">INDIRECT(ADDRESS($A24,C$4,,,$B24))</f>
        <v>NARS/Shiseido</v>
      </c>
      <c r="D24" s="45" t="str" cm="1">
        <f t="array" aca="1" ref="D24" ca="1">INDIRECT(ADDRESS($A24,D$4,,,$B24))</f>
        <v>External</v>
      </c>
      <c r="E24" s="45" t="str" cm="1">
        <f t="array" aca="1" ref="E24" ca="1">INDIRECT(ADDRESS($A24,E$4,,,$B24))</f>
        <v>Shiseido(D3 team)</v>
      </c>
      <c r="F24" s="45" cm="1">
        <f t="array" aca="1" ref="F24" ca="1">INDIRECT(ADDRESS($A24,F$4,,,$B24))</f>
        <v>0</v>
      </c>
      <c r="G24" s="45" t="str" cm="1">
        <f t="array" aca="1" ref="G24" ca="1">INDIRECT(ADDRESS($A24,G$4,,,$B24))</f>
        <v>G</v>
      </c>
      <c r="H24" s="45" cm="1">
        <f t="array" aca="1" ref="H24" ca="1">INDIRECT(ADDRESS($A24,H$4,,,$B24))</f>
        <v>622.20100000000002</v>
      </c>
      <c r="I24" s="45" cm="1">
        <f t="array" aca="1" ref="I24" ca="1">INDIRECT(ADDRESS($A24,I$4,,,$B24))</f>
        <v>622.20100000000002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t="str" cm="1">
        <f t="array" aca="1" ref="C25" ca="1">INDIRECT(ADDRESS($A25,C$4,,,$B25))</f>
        <v>Hourglass</v>
      </c>
      <c r="D25" s="45" t="str" cm="1">
        <f t="array" aca="1" ref="D25" ca="1">INDIRECT(ADDRESS($A25,D$4,,,$B25))</f>
        <v>External</v>
      </c>
      <c r="E25" s="45" t="str" cm="1">
        <f t="array" aca="1" ref="E25" ca="1">INDIRECT(ADDRESS($A25,E$4,,,$B25))</f>
        <v>Hourglass(D3 team)</v>
      </c>
      <c r="F25" s="45" cm="1">
        <f t="array" aca="1" ref="F25" ca="1">INDIRECT(ADDRESS($A25,F$4,,,$B25))</f>
        <v>0</v>
      </c>
      <c r="G25" s="45" t="str" cm="1">
        <f t="array" aca="1" ref="G25" ca="1">INDIRECT(ADDRESS($A25,G$4,,,$B25))</f>
        <v>G</v>
      </c>
      <c r="H25" s="45" cm="1">
        <f t="array" aca="1" ref="H25" ca="1">INDIRECT(ADDRESS($A25,H$4,,,$B25))</f>
        <v>163.24299999999999</v>
      </c>
      <c r="I25" s="45" cm="1">
        <f t="array" aca="1" ref="I25" ca="1">INDIRECT(ADDRESS($A25,I$4,,,$B25))</f>
        <v>163.24299999999999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t="str" cm="1">
        <f t="array" aca="1" ref="C26" ca="1">INDIRECT(ADDRESS($A26,C$4,,,$B26))</f>
        <v>Luxottica</v>
      </c>
      <c r="D26" s="45" t="str" cm="1">
        <f t="array" aca="1" ref="D26" ca="1">INDIRECT(ADDRESS($A26,D$4,,,$B26))</f>
        <v>External</v>
      </c>
      <c r="E26" s="45" t="str" cm="1">
        <f t="array" aca="1" ref="E26" ca="1">INDIRECT(ADDRESS($A26,E$4,,,$B26))</f>
        <v>Luxottica(D3 team)</v>
      </c>
      <c r="F26" s="45" cm="1">
        <f t="array" aca="1" ref="F26" ca="1">INDIRECT(ADDRESS($A26,F$4,,,$B26))</f>
        <v>0</v>
      </c>
      <c r="G26" s="45" t="str" cm="1">
        <f t="array" aca="1" ref="G26" ca="1">INDIRECT(ADDRESS($A26,G$4,,,$B26))</f>
        <v>G</v>
      </c>
      <c r="H26" s="45" cm="1">
        <f t="array" aca="1" ref="H26" ca="1">INDIRECT(ADDRESS($A26,H$4,,,$B26))</f>
        <v>321.58</v>
      </c>
      <c r="I26" s="45" cm="1">
        <f t="array" aca="1" ref="I26" ca="1">INDIRECT(ADDRESS($A26,I$4,,,$B26))</f>
        <v>321.58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t="str" cm="1">
        <f t="array" aca="1" ref="C27" ca="1">INDIRECT(ADDRESS($A27,C$4,,,$B27))</f>
        <v>LM/Bibbi Brown /MAC/Estee Lauder</v>
      </c>
      <c r="D27" s="45" t="str" cm="1">
        <f t="array" aca="1" ref="D27" ca="1">INDIRECT(ADDRESS($A27,D$4,,,$B27))</f>
        <v>External</v>
      </c>
      <c r="E27" s="45" t="str" cm="1">
        <f t="array" aca="1" ref="E27" ca="1">INDIRECT(ADDRESS($A27,E$4,,,$B27))</f>
        <v>ESTEE LAUDER(RDDC)</v>
      </c>
      <c r="F27" s="45" cm="1">
        <f t="array" aca="1" ref="F27" ca="1">INDIRECT(ADDRESS($A27,F$4,,,$B27))</f>
        <v>0</v>
      </c>
      <c r="G27" s="45" t="str" cm="1">
        <f t="array" aca="1" ref="G27" ca="1">INDIRECT(ADDRESS($A27,G$4,,,$B27))</f>
        <v>E</v>
      </c>
      <c r="H27" s="45" cm="1">
        <f t="array" aca="1" ref="H27" ca="1">INDIRECT(ADDRESS($A27,H$4,,,$B27))</f>
        <v>1815.4779999999998</v>
      </c>
      <c r="I27" s="45" cm="1">
        <f t="array" aca="1" ref="I27" ca="1">INDIRECT(ADDRESS($A27,I$4,,,$B27))</f>
        <v>1815.4779999999998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t="str" cm="1">
        <f t="array" aca="1" ref="C28" ca="1">INDIRECT(ADDRESS($A28,C$4,,,$B28))</f>
        <v xml:space="preserve">SEPHORA </v>
      </c>
      <c r="D28" s="45" t="str" cm="1">
        <f t="array" aca="1" ref="D28" ca="1">INDIRECT(ADDRESS($A28,D$4,,,$B28))</f>
        <v>External</v>
      </c>
      <c r="E28" s="45" t="str" cm="1">
        <f t="array" aca="1" ref="E28" ca="1">INDIRECT(ADDRESS($A28,E$4,,,$B28))</f>
        <v>Sephora</v>
      </c>
      <c r="F28" s="45" cm="1">
        <f t="array" aca="1" ref="F28" ca="1">INDIRECT(ADDRESS($A28,F$4,,,$B28))</f>
        <v>0</v>
      </c>
      <c r="G28" s="45" t="str" cm="1">
        <f t="array" aca="1" ref="G28" ca="1">INDIRECT(ADDRESS($A28,G$4,,,$B28))</f>
        <v>E</v>
      </c>
      <c r="H28" s="45" cm="1">
        <f t="array" aca="1" ref="H28" ca="1">INDIRECT(ADDRESS($A28,H$4,,,$B28))</f>
        <v>505.91899999999998</v>
      </c>
      <c r="I28" s="45" cm="1">
        <f t="array" aca="1" ref="I28" ca="1">INDIRECT(ADDRESS($A28,I$4,,,$B28))</f>
        <v>505.91899999999998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t="str" cm="1">
        <f t="array" aca="1" ref="C29" ca="1">INDIRECT(ADDRESS($A29,C$4,,,$B29))</f>
        <v>Burberry/GUCCI</v>
      </c>
      <c r="D29" s="45" t="str" cm="1">
        <f t="array" aca="1" ref="D29" ca="1">INDIRECT(ADDRESS($A29,D$4,,,$B29))</f>
        <v>External</v>
      </c>
      <c r="E29" s="45" t="str" cm="1">
        <f t="array" aca="1" ref="E29" ca="1">INDIRECT(ADDRESS($A29,E$4,,,$B29))</f>
        <v>COTY</v>
      </c>
      <c r="F29" s="45" cm="1">
        <f t="array" aca="1" ref="F29" ca="1">INDIRECT(ADDRESS($A29,F$4,,,$B29))</f>
        <v>0</v>
      </c>
      <c r="G29" s="45" t="str" cm="1">
        <f t="array" aca="1" ref="G29" ca="1">INDIRECT(ADDRESS($A29,G$4,,,$B29))</f>
        <v>E</v>
      </c>
      <c r="H29" s="45" cm="1">
        <f t="array" aca="1" ref="H29" ca="1">INDIRECT(ADDRESS($A29,H$4,,,$B29))</f>
        <v>15.048999999999999</v>
      </c>
      <c r="I29" s="45" cm="1">
        <f t="array" aca="1" ref="I29" ca="1">INDIRECT(ADDRESS($A29,I$4,,,$B29))</f>
        <v>15.048999999999999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t="str" cm="1">
        <f t="array" aca="1" ref="C30" ca="1">INDIRECT(ADDRESS($A30,C$4,,,$B30))</f>
        <v>Tarte</v>
      </c>
      <c r="D30" s="45" t="str" cm="1">
        <f t="array" aca="1" ref="D30" ca="1">INDIRECT(ADDRESS($A30,D$4,,,$B30))</f>
        <v>External</v>
      </c>
      <c r="E30" s="45" t="str" cm="1">
        <f t="array" aca="1" ref="E30" ca="1">INDIRECT(ADDRESS($A30,E$4,,,$B30))</f>
        <v>Tarte</v>
      </c>
      <c r="F30" s="45" cm="1">
        <f t="array" aca="1" ref="F30" ca="1">INDIRECT(ADDRESS($A30,F$4,,,$B30))</f>
        <v>0</v>
      </c>
      <c r="G30" s="45" t="str" cm="1">
        <f t="array" aca="1" ref="G30" ca="1">INDIRECT(ADDRESS($A30,G$4,,,$B30))</f>
        <v>E</v>
      </c>
      <c r="H30" s="45" cm="1">
        <f t="array" aca="1" ref="H30" ca="1">INDIRECT(ADDRESS($A30,H$4,,,$B30))</f>
        <v>309.072</v>
      </c>
      <c r="I30" s="45" cm="1">
        <f t="array" aca="1" ref="I30" ca="1">INDIRECT(ADDRESS($A30,I$4,,,$B30))</f>
        <v>309.072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t="str" cm="1">
        <f t="array" aca="1" ref="C31" ca="1">INDIRECT(ADDRESS($A31,C$4,,,$B31))</f>
        <v>KVD/FENTY</v>
      </c>
      <c r="D31" s="45" t="str" cm="1">
        <f t="array" aca="1" ref="D31" ca="1">INDIRECT(ADDRESS($A31,D$4,,,$B31))</f>
        <v>External</v>
      </c>
      <c r="E31" s="45" t="str" cm="1">
        <f t="array" aca="1" ref="E31" ca="1">INDIRECT(ADDRESS($A31,E$4,,,$B31))</f>
        <v>KENDO</v>
      </c>
      <c r="F31" s="45" cm="1">
        <f t="array" aca="1" ref="F31" ca="1">INDIRECT(ADDRESS($A31,F$4,,,$B31))</f>
        <v>0</v>
      </c>
      <c r="G31" s="45" t="str" cm="1">
        <f t="array" aca="1" ref="G31" ca="1">INDIRECT(ADDRESS($A31,G$4,,,$B31))</f>
        <v>E</v>
      </c>
      <c r="H31" s="45" cm="1">
        <f t="array" aca="1" ref="H31" ca="1">INDIRECT(ADDRESS($A31,H$4,,,$B31))</f>
        <v>590.41300000000001</v>
      </c>
      <c r="I31" s="45" cm="1">
        <f t="array" aca="1" ref="I31" ca="1">INDIRECT(ADDRESS($A31,I$4,,,$B31))</f>
        <v>590.41300000000001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t="str" cm="1">
        <f t="array" aca="1" ref="C32" ca="1">INDIRECT(ADDRESS($A32,C$4,,,$B32))</f>
        <v>OLE HENRIKSEN</v>
      </c>
      <c r="D32" s="45" t="str" cm="1">
        <f t="array" aca="1" ref="D32" ca="1">INDIRECT(ADDRESS($A32,D$4,,,$B32))</f>
        <v>External</v>
      </c>
      <c r="E32" s="45" t="str" cm="1">
        <f t="array" aca="1" ref="E32" ca="1">INDIRECT(ADDRESS($A32,E$4,,,$B32))</f>
        <v>OLE HENRIKSEN</v>
      </c>
      <c r="F32" s="45" cm="1">
        <f t="array" aca="1" ref="F32" ca="1">INDIRECT(ADDRESS($A32,F$4,,,$B32))</f>
        <v>0</v>
      </c>
      <c r="G32" s="45" t="str" cm="1">
        <f t="array" aca="1" ref="G32" ca="1">INDIRECT(ADDRESS($A32,G$4,,,$B32))</f>
        <v>E</v>
      </c>
      <c r="H32" s="45" cm="1">
        <f t="array" aca="1" ref="H32" ca="1">INDIRECT(ADDRESS($A32,H$4,,,$B32))</f>
        <v>1.0820000000000007</v>
      </c>
      <c r="I32" s="45" cm="1">
        <f t="array" aca="1" ref="I32" ca="1">INDIRECT(ADDRESS($A32,I$4,,,$B32))</f>
        <v>1.0820000000000007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t="str" cm="1">
        <f t="array" aca="1" ref="C33" ca="1">INDIRECT(ADDRESS($A33,C$4,,,$B33))</f>
        <v>Benefit/Fresh</v>
      </c>
      <c r="D33" s="45" t="str" cm="1">
        <f t="array" aca="1" ref="D33" ca="1">INDIRECT(ADDRESS($A33,D$4,,,$B33))</f>
        <v>External</v>
      </c>
      <c r="E33" s="45" t="str" cm="1">
        <f t="array" aca="1" ref="E33" ca="1">INDIRECT(ADDRESS($A33,E$4,,,$B33))</f>
        <v>LVMH</v>
      </c>
      <c r="F33" s="45" cm="1">
        <f t="array" aca="1" ref="F33" ca="1">INDIRECT(ADDRESS($A33,F$4,,,$B33))</f>
        <v>0</v>
      </c>
      <c r="G33" s="45" t="str" cm="1">
        <f t="array" aca="1" ref="G33" ca="1">INDIRECT(ADDRESS($A33,G$4,,,$B33))</f>
        <v>E</v>
      </c>
      <c r="H33" s="45" cm="1">
        <f t="array" aca="1" ref="H33" ca="1">INDIRECT(ADDRESS($A33,H$4,,,$B33))</f>
        <v>170.88800000000001</v>
      </c>
      <c r="I33" s="45" cm="1">
        <f t="array" aca="1" ref="I33" ca="1">INDIRECT(ADDRESS($A33,I$4,,,$B33))</f>
        <v>170.88800000000001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t="str" cm="1">
        <f t="array" aca="1" ref="C34" ca="1">INDIRECT(ADDRESS($A34,C$4,,,$B34))</f>
        <v>Laura Mercier/Bareminerals</v>
      </c>
      <c r="D34" s="45" t="str" cm="1">
        <f t="array" aca="1" ref="D34" ca="1">INDIRECT(ADDRESS($A34,D$4,,,$B34))</f>
        <v>External</v>
      </c>
      <c r="E34" s="45" t="str" cm="1">
        <f t="array" aca="1" ref="E34" ca="1">INDIRECT(ADDRESS($A34,E$4,,,$B34))</f>
        <v>Laura Mercier/BAREMINERALS</v>
      </c>
      <c r="F34" s="45" cm="1">
        <f t="array" aca="1" ref="F34" ca="1">INDIRECT(ADDRESS($A34,F$4,,,$B34))</f>
        <v>0</v>
      </c>
      <c r="G34" s="45" t="str" cm="1">
        <f t="array" aca="1" ref="G34" ca="1">INDIRECT(ADDRESS($A34,G$4,,,$B34))</f>
        <v>E</v>
      </c>
      <c r="H34" s="45" cm="1">
        <f t="array" aca="1" ref="H34" ca="1">INDIRECT(ADDRESS($A34,H$4,,,$B34))</f>
        <v>72.174999999999997</v>
      </c>
      <c r="I34" s="45" cm="1">
        <f t="array" aca="1" ref="I34" ca="1">INDIRECT(ADDRESS($A34,I$4,,,$B34))</f>
        <v>72.174999999999997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t="str" cm="1">
        <f t="array" aca="1" ref="C35" ca="1">INDIRECT(ADDRESS($A35,C$4,,,$B35))</f>
        <v>Shiseido</v>
      </c>
      <c r="D35" s="45" t="str" cm="1">
        <f t="array" aca="1" ref="D35" ca="1">INDIRECT(ADDRESS($A35,D$4,,,$B35))</f>
        <v>External</v>
      </c>
      <c r="E35" s="45" t="str" cm="1">
        <f t="array" aca="1" ref="E35" ca="1">INDIRECT(ADDRESS($A35,E$4,,,$B35))</f>
        <v>Shiseido(P)</v>
      </c>
      <c r="F35" s="45" cm="1">
        <f t="array" aca="1" ref="F35" ca="1">INDIRECT(ADDRESS($A35,F$4,,,$B35))</f>
        <v>0</v>
      </c>
      <c r="G35" s="45" t="str" cm="1">
        <f t="array" aca="1" ref="G35" ca="1">INDIRECT(ADDRESS($A35,G$4,,,$B35))</f>
        <v>E</v>
      </c>
      <c r="H35" s="45" cm="1">
        <f t="array" aca="1" ref="H35" ca="1">INDIRECT(ADDRESS($A35,H$4,,,$B35))</f>
        <v>12.688000000000001</v>
      </c>
      <c r="I35" s="45" cm="1">
        <f t="array" aca="1" ref="I35" ca="1">INDIRECT(ADDRESS($A35,I$4,,,$B35))</f>
        <v>12.688000000000001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t="str" cm="1">
        <f t="array" aca="1" ref="C36" ca="1">INDIRECT(ADDRESS($A36,C$4,,,$B36))</f>
        <v>ONE SIZE</v>
      </c>
      <c r="D36" s="45" t="str" cm="1">
        <f t="array" aca="1" ref="D36" ca="1">INDIRECT(ADDRESS($A36,D$4,,,$B36))</f>
        <v>External</v>
      </c>
      <c r="E36" s="45" t="str" cm="1">
        <f t="array" aca="1" ref="E36" ca="1">INDIRECT(ADDRESS($A36,E$4,,,$B36))</f>
        <v>ONE SIZE</v>
      </c>
      <c r="F36" s="45" cm="1">
        <f t="array" aca="1" ref="F36" ca="1">INDIRECT(ADDRESS($A36,F$4,,,$B36))</f>
        <v>0</v>
      </c>
      <c r="G36" s="45" t="str" cm="1">
        <f t="array" aca="1" ref="G36" ca="1">INDIRECT(ADDRESS($A36,G$4,,,$B36))</f>
        <v>E</v>
      </c>
      <c r="H36" s="45" cm="1">
        <f t="array" aca="1" ref="H36" ca="1">INDIRECT(ADDRESS($A36,H$4,,,$B36))</f>
        <v>232.38800000000001</v>
      </c>
      <c r="I36" s="45" cm="1">
        <f t="array" aca="1" ref="I36" ca="1">INDIRECT(ADDRESS($A36,I$4,,,$B36))</f>
        <v>232.38800000000001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t="str" cm="1">
        <f t="array" aca="1" ref="C37" ca="1">INDIRECT(ADDRESS($A37,C$4,,,$B37))</f>
        <v>Huda Beauty</v>
      </c>
      <c r="D37" s="45" t="str" cm="1">
        <f t="array" aca="1" ref="D37" ca="1">INDIRECT(ADDRESS($A37,D$4,,,$B37))</f>
        <v>External</v>
      </c>
      <c r="E37" s="45" t="str" cm="1">
        <f t="array" aca="1" ref="E37" ca="1">INDIRECT(ADDRESS($A37,E$4,,,$B37))</f>
        <v>Huda Beauty</v>
      </c>
      <c r="F37" s="45" cm="1">
        <f t="array" aca="1" ref="F37" ca="1">INDIRECT(ADDRESS($A37,F$4,,,$B37))</f>
        <v>0</v>
      </c>
      <c r="G37" s="45" t="str" cm="1">
        <f t="array" aca="1" ref="G37" ca="1">INDIRECT(ADDRESS($A37,G$4,,,$B37))</f>
        <v>E</v>
      </c>
      <c r="H37" s="45" cm="1">
        <f t="array" aca="1" ref="H37" ca="1">INDIRECT(ADDRESS($A37,H$4,,,$B37))</f>
        <v>8.4499999999999993</v>
      </c>
      <c r="I37" s="45" cm="1">
        <f t="array" aca="1" ref="I37" ca="1">INDIRECT(ADDRESS($A37,I$4,,,$B37))</f>
        <v>8.4499999999999993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t="str" cm="1">
        <f t="array" aca="1" ref="C38" ca="1">INDIRECT(ADDRESS($A38,C$4,,,$B38))</f>
        <v xml:space="preserve">ESTEE LAUDER </v>
      </c>
      <c r="D38" s="45" t="str" cm="1">
        <f t="array" aca="1" ref="D38" ca="1">INDIRECT(ADDRESS($A38,D$4,,,$B38))</f>
        <v>External</v>
      </c>
      <c r="E38" s="45" t="str" cm="1">
        <f t="array" aca="1" ref="E38" ca="1">INDIRECT(ADDRESS($A38,E$4,,,$B38))</f>
        <v>ESTEE LAUDER (PACK)</v>
      </c>
      <c r="F38" s="45" cm="1">
        <f t="array" aca="1" ref="F38" ca="1">INDIRECT(ADDRESS($A38,F$4,,,$B38))</f>
        <v>0</v>
      </c>
      <c r="G38" s="45" t="str" cm="1">
        <f t="array" aca="1" ref="G38" ca="1">INDIRECT(ADDRESS($A38,G$4,,,$B38))</f>
        <v>E</v>
      </c>
      <c r="H38" s="45" cm="1">
        <f t="array" aca="1" ref="H38" ca="1">INDIRECT(ADDRESS($A38,H$4,,,$B38))</f>
        <v>242.38800000000001</v>
      </c>
      <c r="I38" s="45" cm="1">
        <f t="array" aca="1" ref="I38" ca="1">INDIRECT(ADDRESS($A38,I$4,,,$B38))</f>
        <v>242.38800000000001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t="str" cm="1">
        <f t="array" aca="1" ref="C39" ca="1">INDIRECT(ADDRESS($A39,C$4,,,$B39))</f>
        <v>L'OREAL/Prada</v>
      </c>
      <c r="D39" s="45" t="str" cm="1">
        <f t="array" aca="1" ref="D39" ca="1">INDIRECT(ADDRESS($A39,D$4,,,$B39))</f>
        <v>External</v>
      </c>
      <c r="E39" s="45" t="str" cm="1">
        <f t="array" aca="1" ref="E39" ca="1">INDIRECT(ADDRESS($A39,E$4,,,$B39))</f>
        <v>L'OREAL(PACK)</v>
      </c>
      <c r="F39" s="45" cm="1">
        <f t="array" aca="1" ref="F39" ca="1">INDIRECT(ADDRESS($A39,F$4,,,$B39))</f>
        <v>0</v>
      </c>
      <c r="G39" s="45" t="str" cm="1">
        <f t="array" aca="1" ref="G39" ca="1">INDIRECT(ADDRESS($A39,G$4,,,$B39))</f>
        <v>E</v>
      </c>
      <c r="H39" s="45" cm="1">
        <f t="array" aca="1" ref="H39" ca="1">INDIRECT(ADDRESS($A39,H$4,,,$B39))</f>
        <v>18.006</v>
      </c>
      <c r="I39" s="45" cm="1">
        <f t="array" aca="1" ref="I39" ca="1">INDIRECT(ADDRESS($A39,I$4,,,$B39))</f>
        <v>18.006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D3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D3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3385.2829999999999</v>
      </c>
      <c r="I234" s="45" cm="1">
        <f t="array" aca="1" ref="I234" ca="1">INDIRECT(ADDRESS($A234,I$4,,,$B234))</f>
        <v>3385.2829999999999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France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France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16.780999999999999</v>
      </c>
      <c r="I235" s="45" cm="1">
        <f t="array" aca="1" ref="I235" ca="1">INDIRECT(ADDRESS($A235,I$4,,,$B235))</f>
        <v>16.780999999999999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DIAM Turkey</v>
      </c>
      <c r="D236" s="45" t="str" cm="1">
        <f t="array" aca="1" ref="D236" ca="1">INDIRECT(ADDRESS($A236,D$4,,,$B236))</f>
        <v>Group</v>
      </c>
      <c r="E236" s="45" t="str" cm="1">
        <f t="array" aca="1" ref="E236" ca="1">INDIRECT(ADDRESS($A236,E$4,,,$B236))</f>
        <v>DIAM Turkey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G</v>
      </c>
      <c r="H236" s="45" cm="1">
        <f t="array" aca="1" ref="H236" ca="1">INDIRECT(ADDRESS($A236,H$4,,,$B236))</f>
        <v>177.71100000000001</v>
      </c>
      <c r="I236" s="45" cm="1">
        <f t="array" aca="1" ref="I236" ca="1">INDIRECT(ADDRESS($A236,I$4,,,$B236))</f>
        <v>177.71100000000001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Nevacril</v>
      </c>
      <c r="D237" s="45" t="str" cm="1">
        <f t="array" aca="1" ref="D237" ca="1">INDIRECT(ADDRESS($A237,D$4,,,$B237))</f>
        <v>Group</v>
      </c>
      <c r="E237" s="45" t="str" cm="1">
        <f t="array" aca="1" ref="E237" ca="1">INDIRECT(ADDRESS($A237,E$4,,,$B237))</f>
        <v>Nevacril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G</v>
      </c>
      <c r="H237" s="45" cm="1">
        <f t="array" aca="1" ref="H237" ca="1">INDIRECT(ADDRESS($A237,H$4,,,$B237))</f>
        <v>3.2589999999999999</v>
      </c>
      <c r="I237" s="45" cm="1">
        <f t="array" aca="1" ref="I237" ca="1">INDIRECT(ADDRESS($A237,I$4,,,$B237))</f>
        <v>3.2589999999999999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Diam UK</v>
      </c>
      <c r="D238" s="45" t="str" cm="1">
        <f t="array" aca="1" ref="D238" ca="1">INDIRECT(ADDRESS($A238,D$4,,,$B238))</f>
        <v>Group</v>
      </c>
      <c r="E238" s="45" t="str" cm="1">
        <f t="array" aca="1" ref="E238" ca="1">INDIRECT(ADDRESS($A238,E$4,,,$B238))</f>
        <v>Diam UK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G</v>
      </c>
      <c r="H238" s="45" cm="1">
        <f t="array" aca="1" ref="H238" ca="1">INDIRECT(ADDRESS($A238,H$4,,,$B238))</f>
        <v>134</v>
      </c>
      <c r="I238" s="45" cm="1">
        <f t="array" aca="1" ref="I238" ca="1">INDIRECT(ADDRESS($A238,I$4,,,$B238))</f>
        <v>134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DIAM PORTUGAL</v>
      </c>
      <c r="D239" s="45" t="str" cm="1">
        <f t="array" aca="1" ref="D239" ca="1">INDIRECT(ADDRESS($A239,D$4,,,$B239))</f>
        <v>Group</v>
      </c>
      <c r="E239" s="45" t="str" cm="1">
        <f t="array" aca="1" ref="E239" ca="1">INDIRECT(ADDRESS($A239,E$4,,,$B239))</f>
        <v>DIAM PORTUGAL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G</v>
      </c>
      <c r="H239" s="45" cm="1">
        <f t="array" aca="1" ref="H239" ca="1">INDIRECT(ADDRESS($A239,H$4,,,$B239))</f>
        <v>3.5</v>
      </c>
      <c r="I239" s="45" cm="1">
        <f t="array" aca="1" ref="I239" ca="1">INDIRECT(ADDRESS($A239,I$4,,,$B239))</f>
        <v>3.5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DIAM PRESTIGE EUROPE</v>
      </c>
      <c r="D240" s="45" t="str" cm="1">
        <f t="array" aca="1" ref="D240" ca="1">INDIRECT(ADDRESS($A240,D$4,,,$B240))</f>
        <v>Group</v>
      </c>
      <c r="E240" s="45" t="str" cm="1">
        <f t="array" aca="1" ref="E240" ca="1">INDIRECT(ADDRESS($A240,E$4,,,$B240))</f>
        <v>DIAM PRESTIGE EUROPE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G</v>
      </c>
      <c r="H240" s="45" cm="1">
        <f t="array" aca="1" ref="H240" ca="1">INDIRECT(ADDRESS($A240,H$4,,,$B240))</f>
        <v>153.29400000000001</v>
      </c>
      <c r="I240" s="45" cm="1">
        <f t="array" aca="1" ref="I240" ca="1">INDIRECT(ADDRESS($A240,I$4,,,$B240))</f>
        <v>153.29400000000001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 xml:space="preserve">PRUGENT DIAM EUROPE </v>
      </c>
      <c r="D241" s="45" t="str" cm="1">
        <f t="array" aca="1" ref="D241" ca="1">INDIRECT(ADDRESS($A241,D$4,,,$B241))</f>
        <v>Group</v>
      </c>
      <c r="E241" s="45" t="str" cm="1">
        <f t="array" aca="1" ref="E241" ca="1">INDIRECT(ADDRESS($A241,E$4,,,$B241))</f>
        <v xml:space="preserve">PRUGENT DIAM EUROPE 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G</v>
      </c>
      <c r="H241" s="45" cm="1">
        <f t="array" aca="1" ref="H241" ca="1">INDIRECT(ADDRESS($A241,H$4,,,$B241))</f>
        <v>1.75</v>
      </c>
      <c r="I241" s="45" cm="1">
        <f t="array" aca="1" ref="I241" ca="1">INDIRECT(ADDRESS($A241,I$4,,,$B241))</f>
        <v>1.75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Diam Japan</v>
      </c>
      <c r="D242" s="45" t="str" cm="1">
        <f t="array" aca="1" ref="D242" ca="1">INDIRECT(ADDRESS($A242,D$4,,,$B242))</f>
        <v>Group</v>
      </c>
      <c r="E242" s="45" t="str" cm="1">
        <f t="array" aca="1" ref="E242" ca="1">INDIRECT(ADDRESS($A242,E$4,,,$B242))</f>
        <v>Diam Japan(L)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G</v>
      </c>
      <c r="H242" s="45" cm="1">
        <f t="array" aca="1" ref="H242" ca="1">INDIRECT(ADDRESS($A242,H$4,,,$B242))</f>
        <v>385.93600000000004</v>
      </c>
      <c r="I242" s="45" cm="1">
        <f t="array" aca="1" ref="I242" ca="1">INDIRECT(ADDRESS($A242,I$4,,,$B242))</f>
        <v>385.93600000000004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Diam Japan</v>
      </c>
      <c r="D243" s="45" t="str" cm="1">
        <f t="array" aca="1" ref="D243" ca="1">INDIRECT(ADDRESS($A243,D$4,,,$B243))</f>
        <v>Group</v>
      </c>
      <c r="E243" s="45" t="str" cm="1">
        <f t="array" aca="1" ref="E243" ca="1">INDIRECT(ADDRESS($A243,E$4,,,$B243))</f>
        <v>Diam Japan(PACK)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G</v>
      </c>
      <c r="H243" s="45" cm="1">
        <f t="array" aca="1" ref="H243" ca="1">INDIRECT(ADDRESS($A243,H$4,,,$B243))</f>
        <v>139.56599999999997</v>
      </c>
      <c r="I243" s="45" cm="1">
        <f t="array" aca="1" ref="I243" ca="1">INDIRECT(ADDRESS($A243,I$4,,,$B243))</f>
        <v>139.56599999999997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DDA</v>
      </c>
      <c r="D244" s="45" t="str" cm="1">
        <f t="array" aca="1" ref="D244" ca="1">INDIRECT(ADDRESS($A244,D$4,,,$B244))</f>
        <v>Group</v>
      </c>
      <c r="E244" s="45" t="str" cm="1">
        <f t="array" aca="1" ref="E244" ca="1">INDIRECT(ADDRESS($A244,E$4,,,$B244))</f>
        <v>DDA(PACK)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G</v>
      </c>
      <c r="H244" s="45" cm="1">
        <f t="array" aca="1" ref="H244" ca="1">INDIRECT(ADDRESS($A244,H$4,,,$B244))</f>
        <v>10.337</v>
      </c>
      <c r="I244" s="45" cm="1">
        <f t="array" aca="1" ref="I244" ca="1">INDIRECT(ADDRESS($A244,I$4,,,$B244))</f>
        <v>10.337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D3</v>
      </c>
      <c r="D245" s="45" t="str" cm="1">
        <f t="array" aca="1" ref="D245" ca="1">INDIRECT(ADDRESS($A245,D$4,,,$B245))</f>
        <v>Group</v>
      </c>
      <c r="E245" s="45" t="str" cm="1">
        <f t="array" aca="1" ref="E245" ca="1">INDIRECT(ADDRESS($A245,E$4,,,$B245))</f>
        <v>D3(PACK)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G</v>
      </c>
      <c r="H245" s="45" cm="1">
        <f t="array" aca="1" ref="H245" ca="1">INDIRECT(ADDRESS($A245,H$4,,,$B245))</f>
        <v>34.496000000000002</v>
      </c>
      <c r="I245" s="45" cm="1">
        <f t="array" aca="1" ref="I245" ca="1">INDIRECT(ADDRESS($A245,I$4,,,$B245))</f>
        <v>34.496000000000002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t="str" cm="1">
        <f t="array" aca="1" ref="C246" ca="1">INDIRECT(ADDRESS($A246,C$4,,,$B246))</f>
        <v>Diam Poland</v>
      </c>
      <c r="D246" s="45" t="str" cm="1">
        <f t="array" aca="1" ref="D246" ca="1">INDIRECT(ADDRESS($A246,D$4,,,$B246))</f>
        <v>Group</v>
      </c>
      <c r="E246" s="45" t="str" cm="1">
        <f t="array" aca="1" ref="E246" ca="1">INDIRECT(ADDRESS($A246,E$4,,,$B246))</f>
        <v>Diam Poland（PACK)</v>
      </c>
      <c r="F246" s="45" cm="1">
        <f t="array" aca="1" ref="F246" ca="1">INDIRECT(ADDRESS($A246,F$4,,,$B246))</f>
        <v>0</v>
      </c>
      <c r="G246" s="45" t="str" cm="1">
        <f t="array" aca="1" ref="G246" ca="1">INDIRECT(ADDRESS($A246,G$4,,,$B246))</f>
        <v>G</v>
      </c>
      <c r="H246" s="45" cm="1">
        <f t="array" aca="1" ref="H246" ca="1">INDIRECT(ADDRESS($A246,H$4,,,$B246))</f>
        <v>128.23099999999999</v>
      </c>
      <c r="I246" s="45" cm="1">
        <f t="array" aca="1" ref="I246" ca="1">INDIRECT(ADDRESS($A246,I$4,,,$B246))</f>
        <v>128.23099999999999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t="str" cm="1">
        <f t="array" aca="1" ref="C247" ca="1">INDIRECT(ADDRESS($A247,C$4,,,$B247))</f>
        <v>Diam Tunisia</v>
      </c>
      <c r="D247" s="45" t="str" cm="1">
        <f t="array" aca="1" ref="D247" ca="1">INDIRECT(ADDRESS($A247,D$4,,,$B247))</f>
        <v>Group</v>
      </c>
      <c r="E247" s="45" t="str" cm="1">
        <f t="array" aca="1" ref="E247" ca="1">INDIRECT(ADDRESS($A247,E$4,,,$B247))</f>
        <v>Diam Tunisia(PACK)</v>
      </c>
      <c r="F247" s="45" cm="1">
        <f t="array" aca="1" ref="F247" ca="1">INDIRECT(ADDRESS($A247,F$4,,,$B247))</f>
        <v>0</v>
      </c>
      <c r="G247" s="45" t="str" cm="1">
        <f t="array" aca="1" ref="G247" ca="1">INDIRECT(ADDRESS($A247,G$4,,,$B247))</f>
        <v>G</v>
      </c>
      <c r="H247" s="45" cm="1">
        <f t="array" aca="1" ref="H247" ca="1">INDIRECT(ADDRESS($A247,H$4,,,$B247))</f>
        <v>87.653999999999996</v>
      </c>
      <c r="I247" s="45" cm="1">
        <f t="array" aca="1" ref="I247" ca="1">INDIRECT(ADDRESS($A247,I$4,,,$B247))</f>
        <v>87.653999999999996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t="str" cm="1">
        <f t="array" aca="1" ref="C248" ca="1">INDIRECT(ADDRESS($A248,C$4,,,$B248))</f>
        <v>Chanel</v>
      </c>
      <c r="D248" s="45" t="str" cm="1">
        <f t="array" aca="1" ref="D248" ca="1">INDIRECT(ADDRESS($A248,D$4,,,$B248))</f>
        <v>External</v>
      </c>
      <c r="E248" s="45" t="str" cm="1">
        <f t="array" aca="1" ref="E248" ca="1">INDIRECT(ADDRESS($A248,E$4,,,$B248))</f>
        <v>Chanel(FR team)</v>
      </c>
      <c r="F248" s="45" cm="1">
        <f t="array" aca="1" ref="F248" ca="1">INDIRECT(ADDRESS($A248,F$4,,,$B248))</f>
        <v>0</v>
      </c>
      <c r="G248" s="45" t="str" cm="1">
        <f t="array" aca="1" ref="G248" ca="1">INDIRECT(ADDRESS($A248,G$4,,,$B248))</f>
        <v>G</v>
      </c>
      <c r="H248" s="45" cm="1">
        <f t="array" aca="1" ref="H248" ca="1">INDIRECT(ADDRESS($A248,H$4,,,$B248))</f>
        <v>319.2229999999999</v>
      </c>
      <c r="I248" s="45" cm="1">
        <f t="array" aca="1" ref="I248" ca="1">INDIRECT(ADDRESS($A248,I$4,,,$B248))</f>
        <v>319.2229999999999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t="str" cm="1">
        <f t="array" aca="1" ref="C249" ca="1">INDIRECT(ADDRESS($A249,C$4,,,$B249))</f>
        <v>Lancome/BIOTHERM</v>
      </c>
      <c r="D249" s="45" t="str" cm="1">
        <f t="array" aca="1" ref="D249" ca="1">INDIRECT(ADDRESS($A249,D$4,,,$B249))</f>
        <v>External</v>
      </c>
      <c r="E249" s="45" t="str" cm="1">
        <f t="array" aca="1" ref="E249" ca="1">INDIRECT(ADDRESS($A249,E$4,,,$B249))</f>
        <v>Loreal(FR team)</v>
      </c>
      <c r="F249" s="45" cm="1">
        <f t="array" aca="1" ref="F249" ca="1">INDIRECT(ADDRESS($A249,F$4,,,$B249))</f>
        <v>0</v>
      </c>
      <c r="G249" s="45" t="str" cm="1">
        <f t="array" aca="1" ref="G249" ca="1">INDIRECT(ADDRESS($A249,G$4,,,$B249))</f>
        <v>G</v>
      </c>
      <c r="H249" s="45" cm="1">
        <f t="array" aca="1" ref="H249" ca="1">INDIRECT(ADDRESS($A249,H$4,,,$B249))</f>
        <v>1654.3739999999998</v>
      </c>
      <c r="I249" s="45" cm="1">
        <f t="array" aca="1" ref="I249" ca="1">INDIRECT(ADDRESS($A249,I$4,,,$B249))</f>
        <v>1654.3739999999998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t="str" cm="1">
        <f t="array" aca="1" ref="C250" ca="1">INDIRECT(ADDRESS($A250,C$4,,,$B250))</f>
        <v>MUGLER</v>
      </c>
      <c r="D250" s="45" t="str" cm="1">
        <f t="array" aca="1" ref="D250" ca="1">INDIRECT(ADDRESS($A250,D$4,,,$B250))</f>
        <v>External</v>
      </c>
      <c r="E250" s="45" t="str" cm="1">
        <f t="array" aca="1" ref="E250" ca="1">INDIRECT(ADDRESS($A250,E$4,,,$B250))</f>
        <v>MUGLER(FR team)</v>
      </c>
      <c r="F250" s="45" cm="1">
        <f t="array" aca="1" ref="F250" ca="1">INDIRECT(ADDRESS($A250,F$4,,,$B250))</f>
        <v>0</v>
      </c>
      <c r="G250" s="45" t="str" cm="1">
        <f t="array" aca="1" ref="G250" ca="1">INDIRECT(ADDRESS($A250,G$4,,,$B250))</f>
        <v>G</v>
      </c>
      <c r="H250" s="45" cm="1">
        <f t="array" aca="1" ref="H250" ca="1">INDIRECT(ADDRESS($A250,H$4,,,$B250))</f>
        <v>186.46299999999999</v>
      </c>
      <c r="I250" s="45" cm="1">
        <f t="array" aca="1" ref="I250" ca="1">INDIRECT(ADDRESS($A250,I$4,,,$B250))</f>
        <v>186.46299999999999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t="str" cm="1">
        <f t="array" aca="1" ref="C251" ca="1">INDIRECT(ADDRESS($A251,C$4,,,$B251))</f>
        <v>LOUIS VUITTON</v>
      </c>
      <c r="D251" s="45" t="str" cm="1">
        <f t="array" aca="1" ref="D251" ca="1">INDIRECT(ADDRESS($A251,D$4,,,$B251))</f>
        <v>External</v>
      </c>
      <c r="E251" s="45" t="str" cm="1">
        <f t="array" aca="1" ref="E251" ca="1">INDIRECT(ADDRESS($A251,E$4,,,$B251))</f>
        <v>LOUIS VUITTON(FR team)</v>
      </c>
      <c r="F251" s="45" cm="1">
        <f t="array" aca="1" ref="F251" ca="1">INDIRECT(ADDRESS($A251,F$4,,,$B251))</f>
        <v>0</v>
      </c>
      <c r="G251" s="45" t="str" cm="1">
        <f t="array" aca="1" ref="G251" ca="1">INDIRECT(ADDRESS($A251,G$4,,,$B251))</f>
        <v>G</v>
      </c>
      <c r="H251" s="45" cm="1">
        <f t="array" aca="1" ref="H251" ca="1">INDIRECT(ADDRESS($A251,H$4,,,$B251))</f>
        <v>113</v>
      </c>
      <c r="I251" s="45" cm="1">
        <f t="array" aca="1" ref="I251" ca="1">INDIRECT(ADDRESS($A251,I$4,,,$B251))</f>
        <v>113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t="str" cm="1">
        <f t="array" aca="1" ref="C252" ca="1">INDIRECT(ADDRESS($A252,C$4,,,$B252))</f>
        <v>NARS/Shiseido</v>
      </c>
      <c r="D252" s="45" t="str" cm="1">
        <f t="array" aca="1" ref="D252" ca="1">INDIRECT(ADDRESS($A252,D$4,,,$B252))</f>
        <v>External</v>
      </c>
      <c r="E252" s="45" t="str" cm="1">
        <f t="array" aca="1" ref="E252" ca="1">INDIRECT(ADDRESS($A252,E$4,,,$B252))</f>
        <v>Shiseido(D3 team)</v>
      </c>
      <c r="F252" s="45" cm="1">
        <f t="array" aca="1" ref="F252" ca="1">INDIRECT(ADDRESS($A252,F$4,,,$B252))</f>
        <v>0</v>
      </c>
      <c r="G252" s="45" t="str" cm="1">
        <f t="array" aca="1" ref="G252" ca="1">INDIRECT(ADDRESS($A252,G$4,,,$B252))</f>
        <v>G</v>
      </c>
      <c r="H252" s="45" cm="1">
        <f t="array" aca="1" ref="H252" ca="1">INDIRECT(ADDRESS($A252,H$4,,,$B252))</f>
        <v>636</v>
      </c>
      <c r="I252" s="45" cm="1">
        <f t="array" aca="1" ref="I252" ca="1">INDIRECT(ADDRESS($A252,I$4,,,$B252))</f>
        <v>636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t="str" cm="1">
        <f t="array" aca="1" ref="C253" ca="1">INDIRECT(ADDRESS($A253,C$4,,,$B253))</f>
        <v>Hourglass</v>
      </c>
      <c r="D253" s="45" t="str" cm="1">
        <f t="array" aca="1" ref="D253" ca="1">INDIRECT(ADDRESS($A253,D$4,,,$B253))</f>
        <v>External</v>
      </c>
      <c r="E253" s="45" t="str" cm="1">
        <f t="array" aca="1" ref="E253" ca="1">INDIRECT(ADDRESS($A253,E$4,,,$B253))</f>
        <v>Hourglass(D3 team)</v>
      </c>
      <c r="F253" s="45" cm="1">
        <f t="array" aca="1" ref="F253" ca="1">INDIRECT(ADDRESS($A253,F$4,,,$B253))</f>
        <v>0</v>
      </c>
      <c r="G253" s="45" t="str" cm="1">
        <f t="array" aca="1" ref="G253" ca="1">INDIRECT(ADDRESS($A253,G$4,,,$B253))</f>
        <v>G</v>
      </c>
      <c r="H253" s="45" cm="1">
        <f t="array" aca="1" ref="H253" ca="1">INDIRECT(ADDRESS($A253,H$4,,,$B253))</f>
        <v>185.81399999999999</v>
      </c>
      <c r="I253" s="45" cm="1">
        <f t="array" aca="1" ref="I253" ca="1">INDIRECT(ADDRESS($A253,I$4,,,$B253))</f>
        <v>185.81399999999999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t="str" cm="1">
        <f t="array" aca="1" ref="C254" ca="1">INDIRECT(ADDRESS($A254,C$4,,,$B254))</f>
        <v>Luxottica</v>
      </c>
      <c r="D254" s="45" t="str" cm="1">
        <f t="array" aca="1" ref="D254" ca="1">INDIRECT(ADDRESS($A254,D$4,,,$B254))</f>
        <v>External</v>
      </c>
      <c r="E254" s="45" t="str" cm="1">
        <f t="array" aca="1" ref="E254" ca="1">INDIRECT(ADDRESS($A254,E$4,,,$B254))</f>
        <v>Luxottica(D3 team)</v>
      </c>
      <c r="F254" s="45" cm="1">
        <f t="array" aca="1" ref="F254" ca="1">INDIRECT(ADDRESS($A254,F$4,,,$B254))</f>
        <v>0</v>
      </c>
      <c r="G254" s="45" t="str" cm="1">
        <f t="array" aca="1" ref="G254" ca="1">INDIRECT(ADDRESS($A254,G$4,,,$B254))</f>
        <v>G</v>
      </c>
      <c r="H254" s="45" cm="1">
        <f t="array" aca="1" ref="H254" ca="1">INDIRECT(ADDRESS($A254,H$4,,,$B254))</f>
        <v>321.58</v>
      </c>
      <c r="I254" s="45" cm="1">
        <f t="array" aca="1" ref="I254" ca="1">INDIRECT(ADDRESS($A254,I$4,,,$B254))</f>
        <v>321.58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t="str" cm="1">
        <f t="array" aca="1" ref="C255" ca="1">INDIRECT(ADDRESS($A255,C$4,,,$B255))</f>
        <v>LM/Bibbi Brown /MAC/Estee Lauder</v>
      </c>
      <c r="D255" s="45" t="str" cm="1">
        <f t="array" aca="1" ref="D255" ca="1">INDIRECT(ADDRESS($A255,D$4,,,$B255))</f>
        <v>External</v>
      </c>
      <c r="E255" s="45" t="str" cm="1">
        <f t="array" aca="1" ref="E255" ca="1">INDIRECT(ADDRESS($A255,E$4,,,$B255))</f>
        <v>ESTEE LAUDER(RDDC)</v>
      </c>
      <c r="F255" s="45" cm="1">
        <f t="array" aca="1" ref="F255" ca="1">INDIRECT(ADDRESS($A255,F$4,,,$B255))</f>
        <v>0</v>
      </c>
      <c r="G255" s="45" t="str" cm="1">
        <f t="array" aca="1" ref="G255" ca="1">INDIRECT(ADDRESS($A255,G$4,,,$B255))</f>
        <v>E</v>
      </c>
      <c r="H255" s="45" cm="1">
        <f t="array" aca="1" ref="H255" ca="1">INDIRECT(ADDRESS($A255,H$4,,,$B255))</f>
        <v>1815.4779999999998</v>
      </c>
      <c r="I255" s="45" cm="1">
        <f t="array" aca="1" ref="I255" ca="1">INDIRECT(ADDRESS($A255,I$4,,,$B255))</f>
        <v>1815.4779999999998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t="str" cm="1">
        <f t="array" aca="1" ref="C256" ca="1">INDIRECT(ADDRESS($A256,C$4,,,$B256))</f>
        <v xml:space="preserve">SEPHORA </v>
      </c>
      <c r="D256" s="45" t="str" cm="1">
        <f t="array" aca="1" ref="D256" ca="1">INDIRECT(ADDRESS($A256,D$4,,,$B256))</f>
        <v>External</v>
      </c>
      <c r="E256" s="45" t="str" cm="1">
        <f t="array" aca="1" ref="E256" ca="1">INDIRECT(ADDRESS($A256,E$4,,,$B256))</f>
        <v>Sephora</v>
      </c>
      <c r="F256" s="45" cm="1">
        <f t="array" aca="1" ref="F256" ca="1">INDIRECT(ADDRESS($A256,F$4,,,$B256))</f>
        <v>0</v>
      </c>
      <c r="G256" s="45" t="str" cm="1">
        <f t="array" aca="1" ref="G256" ca="1">INDIRECT(ADDRESS($A256,G$4,,,$B256))</f>
        <v>E</v>
      </c>
      <c r="H256" s="45" cm="1">
        <f t="array" aca="1" ref="H256" ca="1">INDIRECT(ADDRESS($A256,H$4,,,$B256))</f>
        <v>491.91899999999998</v>
      </c>
      <c r="I256" s="45" cm="1">
        <f t="array" aca="1" ref="I256" ca="1">INDIRECT(ADDRESS($A256,I$4,,,$B256))</f>
        <v>491.91899999999998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t="str" cm="1">
        <f t="array" aca="1" ref="C257" ca="1">INDIRECT(ADDRESS($A257,C$4,,,$B257))</f>
        <v>Burberry/GUCCI</v>
      </c>
      <c r="D257" s="45" t="str" cm="1">
        <f t="array" aca="1" ref="D257" ca="1">INDIRECT(ADDRESS($A257,D$4,,,$B257))</f>
        <v>External</v>
      </c>
      <c r="E257" s="45" t="str" cm="1">
        <f t="array" aca="1" ref="E257" ca="1">INDIRECT(ADDRESS($A257,E$4,,,$B257))</f>
        <v>COTY</v>
      </c>
      <c r="F257" s="45" cm="1">
        <f t="array" aca="1" ref="F257" ca="1">INDIRECT(ADDRESS($A257,F$4,,,$B257))</f>
        <v>0</v>
      </c>
      <c r="G257" s="45" t="str" cm="1">
        <f t="array" aca="1" ref="G257" ca="1">INDIRECT(ADDRESS($A257,G$4,,,$B257))</f>
        <v>E</v>
      </c>
      <c r="H257" s="45" cm="1">
        <f t="array" aca="1" ref="H257" ca="1">INDIRECT(ADDRESS($A257,H$4,,,$B257))</f>
        <v>15.048999999999999</v>
      </c>
      <c r="I257" s="45" cm="1">
        <f t="array" aca="1" ref="I257" ca="1">INDIRECT(ADDRESS($A257,I$4,,,$B257))</f>
        <v>15.048999999999999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t="str" cm="1">
        <f t="array" aca="1" ref="C258" ca="1">INDIRECT(ADDRESS($A258,C$4,,,$B258))</f>
        <v>Tarte</v>
      </c>
      <c r="D258" s="45" t="str" cm="1">
        <f t="array" aca="1" ref="D258" ca="1">INDIRECT(ADDRESS($A258,D$4,,,$B258))</f>
        <v>External</v>
      </c>
      <c r="E258" s="45" t="str" cm="1">
        <f t="array" aca="1" ref="E258" ca="1">INDIRECT(ADDRESS($A258,E$4,,,$B258))</f>
        <v>Tarte</v>
      </c>
      <c r="F258" s="45" cm="1">
        <f t="array" aca="1" ref="F258" ca="1">INDIRECT(ADDRESS($A258,F$4,,,$B258))</f>
        <v>0</v>
      </c>
      <c r="G258" s="45" t="str" cm="1">
        <f t="array" aca="1" ref="G258" ca="1">INDIRECT(ADDRESS($A258,G$4,,,$B258))</f>
        <v>E</v>
      </c>
      <c r="H258" s="45" cm="1">
        <f t="array" aca="1" ref="H258" ca="1">INDIRECT(ADDRESS($A258,H$4,,,$B258))</f>
        <v>257.072</v>
      </c>
      <c r="I258" s="45" cm="1">
        <f t="array" aca="1" ref="I258" ca="1">INDIRECT(ADDRESS($A258,I$4,,,$B258))</f>
        <v>257.072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t="str" cm="1">
        <f t="array" aca="1" ref="C259" ca="1">INDIRECT(ADDRESS($A259,C$4,,,$B259))</f>
        <v>KVD/FENTY</v>
      </c>
      <c r="D259" s="45" t="str" cm="1">
        <f t="array" aca="1" ref="D259" ca="1">INDIRECT(ADDRESS($A259,D$4,,,$B259))</f>
        <v>External</v>
      </c>
      <c r="E259" s="45" t="str" cm="1">
        <f t="array" aca="1" ref="E259" ca="1">INDIRECT(ADDRESS($A259,E$4,,,$B259))</f>
        <v>KENDO</v>
      </c>
      <c r="F259" s="45" cm="1">
        <f t="array" aca="1" ref="F259" ca="1">INDIRECT(ADDRESS($A259,F$4,,,$B259))</f>
        <v>0</v>
      </c>
      <c r="G259" s="45" t="str" cm="1">
        <f t="array" aca="1" ref="G259" ca="1">INDIRECT(ADDRESS($A259,G$4,,,$B259))</f>
        <v>E</v>
      </c>
      <c r="H259" s="45" cm="1">
        <f t="array" aca="1" ref="H259" ca="1">INDIRECT(ADDRESS($A259,H$4,,,$B259))</f>
        <v>590.41300000000001</v>
      </c>
      <c r="I259" s="45" cm="1">
        <f t="array" aca="1" ref="I259" ca="1">INDIRECT(ADDRESS($A259,I$4,,,$B259))</f>
        <v>590.41300000000001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t="str" cm="1">
        <f t="array" aca="1" ref="C260" ca="1">INDIRECT(ADDRESS($A260,C$4,,,$B260))</f>
        <v>OLE HENRIKSEN</v>
      </c>
      <c r="D260" s="45" t="str" cm="1">
        <f t="array" aca="1" ref="D260" ca="1">INDIRECT(ADDRESS($A260,D$4,,,$B260))</f>
        <v>External</v>
      </c>
      <c r="E260" s="45" t="str" cm="1">
        <f t="array" aca="1" ref="E260" ca="1">INDIRECT(ADDRESS($A260,E$4,,,$B260))</f>
        <v>OLE HENRIKSEN</v>
      </c>
      <c r="F260" s="45" cm="1">
        <f t="array" aca="1" ref="F260" ca="1">INDIRECT(ADDRESS($A260,F$4,,,$B260))</f>
        <v>0</v>
      </c>
      <c r="G260" s="45" t="str" cm="1">
        <f t="array" aca="1" ref="G260" ca="1">INDIRECT(ADDRESS($A260,G$4,,,$B260))</f>
        <v>E</v>
      </c>
      <c r="H260" s="45" cm="1">
        <f t="array" aca="1" ref="H260" ca="1">INDIRECT(ADDRESS($A260,H$4,,,$B260))</f>
        <v>1.0820000000000007</v>
      </c>
      <c r="I260" s="45" cm="1">
        <f t="array" aca="1" ref="I260" ca="1">INDIRECT(ADDRESS($A260,I$4,,,$B260))</f>
        <v>1.0820000000000007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t="str" cm="1">
        <f t="array" aca="1" ref="C261" ca="1">INDIRECT(ADDRESS($A261,C$4,,,$B261))</f>
        <v>Benefit/Fresh</v>
      </c>
      <c r="D261" s="45" t="str" cm="1">
        <f t="array" aca="1" ref="D261" ca="1">INDIRECT(ADDRESS($A261,D$4,,,$B261))</f>
        <v>External</v>
      </c>
      <c r="E261" s="45" t="str" cm="1">
        <f t="array" aca="1" ref="E261" ca="1">INDIRECT(ADDRESS($A261,E$4,,,$B261))</f>
        <v>LVMH</v>
      </c>
      <c r="F261" s="45" cm="1">
        <f t="array" aca="1" ref="F261" ca="1">INDIRECT(ADDRESS($A261,F$4,,,$B261))</f>
        <v>0</v>
      </c>
      <c r="G261" s="45" t="str" cm="1">
        <f t="array" aca="1" ref="G261" ca="1">INDIRECT(ADDRESS($A261,G$4,,,$B261))</f>
        <v>E</v>
      </c>
      <c r="H261" s="45" cm="1">
        <f t="array" aca="1" ref="H261" ca="1">INDIRECT(ADDRESS($A261,H$4,,,$B261))</f>
        <v>173.119</v>
      </c>
      <c r="I261" s="45" cm="1">
        <f t="array" aca="1" ref="I261" ca="1">INDIRECT(ADDRESS($A261,I$4,,,$B261))</f>
        <v>173.119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t="str" cm="1">
        <f t="array" aca="1" ref="C262" ca="1">INDIRECT(ADDRESS($A262,C$4,,,$B262))</f>
        <v>Laura Mercier/Bareminerals</v>
      </c>
      <c r="D262" s="45" t="str" cm="1">
        <f t="array" aca="1" ref="D262" ca="1">INDIRECT(ADDRESS($A262,D$4,,,$B262))</f>
        <v>External</v>
      </c>
      <c r="E262" s="45" t="str" cm="1">
        <f t="array" aca="1" ref="E262" ca="1">INDIRECT(ADDRESS($A262,E$4,,,$B262))</f>
        <v>Laura Mercier/BAREMINERALS</v>
      </c>
      <c r="F262" s="45" cm="1">
        <f t="array" aca="1" ref="F262" ca="1">INDIRECT(ADDRESS($A262,F$4,,,$B262))</f>
        <v>0</v>
      </c>
      <c r="G262" s="45" t="str" cm="1">
        <f t="array" aca="1" ref="G262" ca="1">INDIRECT(ADDRESS($A262,G$4,,,$B262))</f>
        <v>E</v>
      </c>
      <c r="H262" s="45" cm="1">
        <f t="array" aca="1" ref="H262" ca="1">INDIRECT(ADDRESS($A262,H$4,,,$B262))</f>
        <v>88.372</v>
      </c>
      <c r="I262" s="45" cm="1">
        <f t="array" aca="1" ref="I262" ca="1">INDIRECT(ADDRESS($A262,I$4,,,$B262))</f>
        <v>88.372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t="str" cm="1">
        <f t="array" aca="1" ref="C263" ca="1">INDIRECT(ADDRESS($A263,C$4,,,$B263))</f>
        <v>Shiseido</v>
      </c>
      <c r="D263" s="45" t="str" cm="1">
        <f t="array" aca="1" ref="D263" ca="1">INDIRECT(ADDRESS($A263,D$4,,,$B263))</f>
        <v>External</v>
      </c>
      <c r="E263" s="45" t="str" cm="1">
        <f t="array" aca="1" ref="E263" ca="1">INDIRECT(ADDRESS($A263,E$4,,,$B263))</f>
        <v>Shiseido(P)</v>
      </c>
      <c r="F263" s="45" cm="1">
        <f t="array" aca="1" ref="F263" ca="1">INDIRECT(ADDRESS($A263,F$4,,,$B263))</f>
        <v>0</v>
      </c>
      <c r="G263" s="45" t="str" cm="1">
        <f t="array" aca="1" ref="G263" ca="1">INDIRECT(ADDRESS($A263,G$4,,,$B263))</f>
        <v>E</v>
      </c>
      <c r="H263" s="45" cm="1">
        <f t="array" aca="1" ref="H263" ca="1">INDIRECT(ADDRESS($A263,H$4,,,$B263))</f>
        <v>12.688000000000001</v>
      </c>
      <c r="I263" s="45" cm="1">
        <f t="array" aca="1" ref="I263" ca="1">INDIRECT(ADDRESS($A263,I$4,,,$B263))</f>
        <v>12.688000000000001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t="str" cm="1">
        <f t="array" aca="1" ref="C264" ca="1">INDIRECT(ADDRESS($A264,C$4,,,$B264))</f>
        <v>ONE SIZE</v>
      </c>
      <c r="D264" s="45" t="str" cm="1">
        <f t="array" aca="1" ref="D264" ca="1">INDIRECT(ADDRESS($A264,D$4,,,$B264))</f>
        <v>External</v>
      </c>
      <c r="E264" s="45" t="str" cm="1">
        <f t="array" aca="1" ref="E264" ca="1">INDIRECT(ADDRESS($A264,E$4,,,$B264))</f>
        <v>ONE SIZE</v>
      </c>
      <c r="F264" s="45" cm="1">
        <f t="array" aca="1" ref="F264" ca="1">INDIRECT(ADDRESS($A264,F$4,,,$B264))</f>
        <v>0</v>
      </c>
      <c r="G264" s="45" t="str" cm="1">
        <f t="array" aca="1" ref="G264" ca="1">INDIRECT(ADDRESS($A264,G$4,,,$B264))</f>
        <v>E</v>
      </c>
      <c r="H264" s="45" cm="1">
        <f t="array" aca="1" ref="H264" ca="1">INDIRECT(ADDRESS($A264,H$4,,,$B264))</f>
        <v>232.38800000000001</v>
      </c>
      <c r="I264" s="45" cm="1">
        <f t="array" aca="1" ref="I264" ca="1">INDIRECT(ADDRESS($A264,I$4,,,$B264))</f>
        <v>232.38800000000001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t="str" cm="1">
        <f t="array" aca="1" ref="C265" ca="1">INDIRECT(ADDRESS($A265,C$4,,,$B265))</f>
        <v>Huda Beauty</v>
      </c>
      <c r="D265" s="45" t="str" cm="1">
        <f t="array" aca="1" ref="D265" ca="1">INDIRECT(ADDRESS($A265,D$4,,,$B265))</f>
        <v>External</v>
      </c>
      <c r="E265" s="45" t="str" cm="1">
        <f t="array" aca="1" ref="E265" ca="1">INDIRECT(ADDRESS($A265,E$4,,,$B265))</f>
        <v>Huda Beauty</v>
      </c>
      <c r="F265" s="45" cm="1">
        <f t="array" aca="1" ref="F265" ca="1">INDIRECT(ADDRESS($A265,F$4,,,$B265))</f>
        <v>0</v>
      </c>
      <c r="G265" s="45" t="str" cm="1">
        <f t="array" aca="1" ref="G265" ca="1">INDIRECT(ADDRESS($A265,G$4,,,$B265))</f>
        <v>E</v>
      </c>
      <c r="H265" s="45" cm="1">
        <f t="array" aca="1" ref="H265" ca="1">INDIRECT(ADDRESS($A265,H$4,,,$B265))</f>
        <v>8.4499999999999993</v>
      </c>
      <c r="I265" s="45" cm="1">
        <f t="array" aca="1" ref="I265" ca="1">INDIRECT(ADDRESS($A265,I$4,,,$B265))</f>
        <v>8.4499999999999993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t="str" cm="1">
        <f t="array" aca="1" ref="C266" ca="1">INDIRECT(ADDRESS($A266,C$4,,,$B266))</f>
        <v xml:space="preserve">ESTEE LAUDER </v>
      </c>
      <c r="D266" s="45" t="str" cm="1">
        <f t="array" aca="1" ref="D266" ca="1">INDIRECT(ADDRESS($A266,D$4,,,$B266))</f>
        <v>External</v>
      </c>
      <c r="E266" s="45" t="str" cm="1">
        <f t="array" aca="1" ref="E266" ca="1">INDIRECT(ADDRESS($A266,E$4,,,$B266))</f>
        <v>ESTEE LAUDER (PACK)</v>
      </c>
      <c r="F266" s="45" cm="1">
        <f t="array" aca="1" ref="F266" ca="1">INDIRECT(ADDRESS($A266,F$4,,,$B266))</f>
        <v>0</v>
      </c>
      <c r="G266" s="45" t="str" cm="1">
        <f t="array" aca="1" ref="G266" ca="1">INDIRECT(ADDRESS($A266,G$4,,,$B266))</f>
        <v>E</v>
      </c>
      <c r="H266" s="45" cm="1">
        <f t="array" aca="1" ref="H266" ca="1">INDIRECT(ADDRESS($A266,H$4,,,$B266))</f>
        <v>160.38799999999998</v>
      </c>
      <c r="I266" s="45" cm="1">
        <f t="array" aca="1" ref="I266" ca="1">INDIRECT(ADDRESS($A266,I$4,,,$B266))</f>
        <v>160.38799999999998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t="str" cm="1">
        <f t="array" aca="1" ref="C267" ca="1">INDIRECT(ADDRESS($A267,C$4,,,$B267))</f>
        <v>L'OREAL/Prada</v>
      </c>
      <c r="D267" s="45" t="str" cm="1">
        <f t="array" aca="1" ref="D267" ca="1">INDIRECT(ADDRESS($A267,D$4,,,$B267))</f>
        <v>External</v>
      </c>
      <c r="E267" s="45" t="str" cm="1">
        <f t="array" aca="1" ref="E267" ca="1">INDIRECT(ADDRESS($A267,E$4,,,$B267))</f>
        <v>L'OREAL(PACK)</v>
      </c>
      <c r="F267" s="45" cm="1">
        <f t="array" aca="1" ref="F267" ca="1">INDIRECT(ADDRESS($A267,F$4,,,$B267))</f>
        <v>0</v>
      </c>
      <c r="G267" s="45" t="str" cm="1">
        <f t="array" aca="1" ref="G267" ca="1">INDIRECT(ADDRESS($A267,G$4,,,$B267))</f>
        <v>E</v>
      </c>
      <c r="H267" s="45" cm="1">
        <f t="array" aca="1" ref="H267" ca="1">INDIRECT(ADDRESS($A267,H$4,,,$B267))</f>
        <v>10.006</v>
      </c>
      <c r="I267" s="45" cm="1">
        <f t="array" aca="1" ref="I267" ca="1">INDIRECT(ADDRESS($A267,I$4,,,$B267))</f>
        <v>10.006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17" t="s">
        <v>0</v>
      </c>
      <c r="B8" s="218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11934.675999999999</v>
      </c>
      <c r="E12" s="145"/>
      <c r="F12" s="146">
        <f>+B12+D12</f>
        <v>11934.675999999999</v>
      </c>
      <c r="G12" s="145"/>
      <c r="H12" s="146">
        <f>D12+B12-D10</f>
        <v>11934.675999999999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134.16</v>
      </c>
      <c r="D13" s="146">
        <f>+'W2'!$K$19</f>
        <v>12199.179</v>
      </c>
      <c r="E13" s="145"/>
      <c r="F13" s="146">
        <f>+B13+D13</f>
        <v>12333.339</v>
      </c>
      <c r="G13" s="145"/>
      <c r="H13" s="146">
        <f>F13-F12</f>
        <v>398.66300000000047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395.40899999999999</v>
      </c>
      <c r="D14" s="146">
        <f>+'W3'!$K$19</f>
        <v>12129.126</v>
      </c>
      <c r="E14" s="145"/>
      <c r="F14" s="146">
        <f>+B14+D14</f>
        <v>12524.535</v>
      </c>
      <c r="G14" s="145"/>
      <c r="H14" s="146">
        <f>F14-F13</f>
        <v>191.19599999999991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2343.9299999999998</v>
      </c>
      <c r="D15" s="146">
        <f>+'W4'!$K$19</f>
        <v>10743.054999999998</v>
      </c>
      <c r="E15" s="145"/>
      <c r="F15" s="146">
        <f>+B15+D15</f>
        <v>13086.984999999999</v>
      </c>
      <c r="G15" s="145"/>
      <c r="H15" s="146">
        <f>F15-F14</f>
        <v>562.44999999999891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6896.1049999999996</v>
      </c>
      <c r="D16" s="146">
        <f>+'W5'!$K$19</f>
        <v>6609.79</v>
      </c>
      <c r="E16" s="145"/>
      <c r="F16" s="146">
        <f>+B16+D16</f>
        <v>13505.895</v>
      </c>
      <c r="G16" s="145"/>
      <c r="H16" s="146">
        <f>F16-F15</f>
        <v>418.91000000000167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244.423</v>
      </c>
      <c r="D18" s="146">
        <f>+'W6'!$K$19</f>
        <v>7450.1169999999993</v>
      </c>
      <c r="E18" s="145"/>
      <c r="F18" s="146">
        <f>+B17+B18+D18</f>
        <v>7694.5399999999991</v>
      </c>
      <c r="G18" s="145"/>
      <c r="H18" s="146">
        <f>F18-F16</f>
        <v>-5811.3550000000014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244.423</v>
      </c>
      <c r="D19" s="146">
        <f>+'W7'!$K$19</f>
        <v>7479.1169999999993</v>
      </c>
      <c r="E19" s="145"/>
      <c r="F19" s="146">
        <f>+B17+B19+D19</f>
        <v>7723.5399999999991</v>
      </c>
      <c r="G19" s="145"/>
      <c r="H19" s="146">
        <f>F19-F18</f>
        <v>29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244.423</v>
      </c>
      <c r="D20" s="146">
        <f>+'W8'!$K$19</f>
        <v>7479.1169999999993</v>
      </c>
      <c r="E20" s="145"/>
      <c r="F20" s="146">
        <f>+B17+B20+D20</f>
        <v>7723.5399999999991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1477.5519999999999</v>
      </c>
      <c r="D21" s="146">
        <f>+'W9'!$K$19</f>
        <v>6437.674</v>
      </c>
      <c r="E21" s="145"/>
      <c r="F21" s="146">
        <f>+B22+B21+D21</f>
        <v>7915.2259999999997</v>
      </c>
      <c r="G21" s="145"/>
      <c r="H21" s="146">
        <f>F21-F20</f>
        <v>191.6860000000006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129.928</v>
      </c>
      <c r="D23" s="146">
        <f>+'W10'!$K$19</f>
        <v>6731.4000000000005</v>
      </c>
      <c r="E23" s="145"/>
      <c r="F23" s="146">
        <f>+B22+B23+D23</f>
        <v>6861.3280000000004</v>
      </c>
      <c r="G23" s="145"/>
      <c r="H23" s="146">
        <f>F23-F21</f>
        <v>-1053.8979999999992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559.70399999999995</v>
      </c>
      <c r="D24" s="146">
        <f>+'W11'!$K$19</f>
        <v>6747.139000000001</v>
      </c>
      <c r="E24" s="145"/>
      <c r="F24" s="146">
        <f>+B22+B24+D24</f>
        <v>7306.8430000000008</v>
      </c>
      <c r="G24" s="145"/>
      <c r="H24" s="146">
        <f>F24-F23</f>
        <v>445.51500000000033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776.65100000000007</v>
      </c>
      <c r="D25" s="146">
        <f>+'W12'!$K$19</f>
        <v>6566.65</v>
      </c>
      <c r="E25" s="145"/>
      <c r="F25" s="146">
        <f>+B22+B25+D25</f>
        <v>7343.3009999999995</v>
      </c>
      <c r="G25" s="145"/>
      <c r="H25" s="146">
        <f>F25-F24</f>
        <v>36.457999999998719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1302.566</v>
      </c>
      <c r="D26" s="146">
        <f>+'W13'!$K$19</f>
        <v>7502.6350000000002</v>
      </c>
      <c r="E26" s="145"/>
      <c r="F26" s="146">
        <f>+B22+B26+D26</f>
        <v>8805.2010000000009</v>
      </c>
      <c r="G26" s="145"/>
      <c r="H26" s="146">
        <f>F26-F25</f>
        <v>1461.9000000000015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8474.3029999999999</v>
      </c>
      <c r="E28" s="145"/>
      <c r="F28" s="146">
        <f>+B27+B28+D28</f>
        <v>8474.3029999999999</v>
      </c>
      <c r="G28" s="145"/>
      <c r="H28" s="146">
        <f>F28-F26</f>
        <v>-330.89800000000105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1254.829</v>
      </c>
      <c r="D29" s="146">
        <f>+'W15'!$K$19</f>
        <v>7647.4740000000002</v>
      </c>
      <c r="E29" s="145"/>
      <c r="F29" s="146">
        <f>+B27+B29+D29</f>
        <v>8902.3029999999999</v>
      </c>
      <c r="G29" s="145"/>
      <c r="H29" s="146">
        <f>F29-F28</f>
        <v>428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1796.085</v>
      </c>
      <c r="D30" s="146">
        <f>+'W16'!$K$19</f>
        <v>7677.3030000000008</v>
      </c>
      <c r="E30" s="145"/>
      <c r="F30" s="146">
        <f>+B27+B30+D30</f>
        <v>9473.3880000000008</v>
      </c>
      <c r="G30" s="145"/>
      <c r="H30" s="146">
        <f>F30-F29</f>
        <v>571.08500000000095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2828.752</v>
      </c>
      <c r="D31" s="146">
        <f>+'W17'!$K$19</f>
        <v>7692.4679999999998</v>
      </c>
      <c r="E31" s="145"/>
      <c r="F31" s="146">
        <f>+B27+B31+D31</f>
        <v>10521.22</v>
      </c>
      <c r="G31" s="145"/>
      <c r="H31" s="146">
        <f>F31-F30</f>
        <v>1047.8319999999985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2688.6269999999995</v>
      </c>
      <c r="D32" s="146">
        <f>+'W18'!$K$19</f>
        <v>8235.3460000000014</v>
      </c>
      <c r="E32" s="145"/>
      <c r="F32" s="146">
        <f>+B33+B32+D32</f>
        <v>10923.973000000002</v>
      </c>
      <c r="G32" s="145"/>
      <c r="H32" s="146">
        <f>F32-F31</f>
        <v>402.75300000000243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8392.3470000000016</v>
      </c>
      <c r="E34" s="145"/>
      <c r="F34" s="146">
        <f>+B33+B34+D34</f>
        <v>8392.3470000000016</v>
      </c>
      <c r="G34" s="145"/>
      <c r="H34" s="146">
        <f>F34-F32</f>
        <v>-2531.6260000000002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338.93099999999998</v>
      </c>
      <c r="D35" s="146">
        <f>+'W20'!$K$19</f>
        <v>8389.723</v>
      </c>
      <c r="E35" s="145"/>
      <c r="F35" s="146">
        <f>+B33+B35+D35</f>
        <v>8728.6540000000005</v>
      </c>
      <c r="G35" s="145"/>
      <c r="H35" s="146">
        <f>F35-F34</f>
        <v>336.30699999999888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531.47799999999995</v>
      </c>
      <c r="D36" s="146">
        <f>+'W21'!$K$19</f>
        <v>8718.7239999999983</v>
      </c>
      <c r="E36" s="145"/>
      <c r="F36" s="146">
        <f>+B33+B36+D36</f>
        <v>9250.2019999999975</v>
      </c>
      <c r="G36" s="145"/>
      <c r="H36" s="146">
        <f>F36-F35</f>
        <v>521.54799999999705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2446.6450000000004</v>
      </c>
      <c r="D37" s="146">
        <f>+'W22'!$K$19</f>
        <v>7432.1579999999994</v>
      </c>
      <c r="E37" s="145"/>
      <c r="F37" s="146">
        <f>+B38+B37+D37</f>
        <v>9878.8029999999999</v>
      </c>
      <c r="G37" s="145"/>
      <c r="H37" s="146">
        <f>F37-F36</f>
        <v>628.60100000000239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7718.5019999999986</v>
      </c>
      <c r="E39" s="145"/>
      <c r="F39" s="146">
        <f>+B38+B39+D39</f>
        <v>7718.5019999999986</v>
      </c>
      <c r="G39" s="145"/>
      <c r="H39" s="146">
        <f>F39-F37</f>
        <v>-2160.3010000000013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295.78899999999999</v>
      </c>
      <c r="D40" s="146">
        <f>+'W24'!$K$19</f>
        <v>8068.5679999999984</v>
      </c>
      <c r="E40" s="145"/>
      <c r="F40" s="146">
        <f>+B38+B40+D40</f>
        <v>8364.3569999999982</v>
      </c>
      <c r="G40" s="145"/>
      <c r="H40" s="146">
        <f>F40-F39</f>
        <v>645.85499999999956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500.27499999999998</v>
      </c>
      <c r="D41" s="146">
        <f>+'W25'!$K$19</f>
        <v>8738.0820000000003</v>
      </c>
      <c r="E41" s="145"/>
      <c r="F41" s="146">
        <f>+B38+B41+D41</f>
        <v>9238.357</v>
      </c>
      <c r="G41" s="145"/>
      <c r="H41" s="146">
        <f>F41-F40</f>
        <v>874.00000000000182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2845.3319999999999</v>
      </c>
      <c r="D42" s="146">
        <f>+'W26'!$K$19</f>
        <v>7088.7379999999985</v>
      </c>
      <c r="E42" s="145"/>
      <c r="F42" s="146">
        <f>+B38+B42+D42</f>
        <v>9934.0699999999979</v>
      </c>
      <c r="G42" s="145"/>
      <c r="H42" s="146">
        <f>F42-F41</f>
        <v>695.71299999999792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7548.5779999999995</v>
      </c>
      <c r="E44" s="145"/>
      <c r="F44" s="146">
        <f>+B43+B44+D44</f>
        <v>7548.5779999999995</v>
      </c>
      <c r="G44" s="145"/>
      <c r="H44" s="146">
        <f>F44-F42</f>
        <v>-2385.4919999999984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442.33199999999999</v>
      </c>
      <c r="D45" s="146">
        <f>+'W28'!$K$19</f>
        <v>8415.3250000000007</v>
      </c>
      <c r="E45" s="145"/>
      <c r="F45" s="146">
        <f>+B43+B45+D45</f>
        <v>8857.6570000000011</v>
      </c>
      <c r="G45" s="145"/>
      <c r="H45" s="146">
        <f>F45-F44</f>
        <v>1309.0790000000015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2190.2430000000004</v>
      </c>
      <c r="D46" s="146">
        <f>+'W29'!$K$19</f>
        <v>7224.4140000000007</v>
      </c>
      <c r="E46" s="145"/>
      <c r="F46" s="146">
        <f>+B43+B46+D46</f>
        <v>9414.6570000000011</v>
      </c>
      <c r="G46" s="145"/>
      <c r="H46" s="146">
        <f>F46-F45</f>
        <v>557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2367.3020000000001</v>
      </c>
      <c r="D47" s="146">
        <f>+'W30'!$K$19</f>
        <v>7695.7919999999995</v>
      </c>
      <c r="E47" s="145"/>
      <c r="F47" s="146">
        <f>+B43+B47+D47</f>
        <v>10063.093999999999</v>
      </c>
      <c r="G47" s="145"/>
      <c r="H47" s="146">
        <f>F47-F46</f>
        <v>648.43699999999808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2860.2629999999999</v>
      </c>
      <c r="D48" s="146">
        <f>+'W31'!$K$19</f>
        <v>8186.9060000000009</v>
      </c>
      <c r="E48" s="145"/>
      <c r="F48" s="146">
        <f>+B43+B48+D48</f>
        <v>11047.169000000002</v>
      </c>
      <c r="G48" s="145"/>
      <c r="H48" s="146">
        <f>F48-F47</f>
        <v>984.07500000000255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660.06600000000003</v>
      </c>
      <c r="D50" s="146">
        <f>+'W32'!$K$19</f>
        <v>8175.4060000000018</v>
      </c>
      <c r="E50" s="145"/>
      <c r="F50" s="146">
        <f>+B49+B50+D50</f>
        <v>8835.4720000000016</v>
      </c>
      <c r="G50" s="145"/>
      <c r="H50" s="146">
        <f>F50-F48</f>
        <v>-2211.6970000000001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793.82299999999998</v>
      </c>
      <c r="D51" s="146">
        <f>+'W33'!$K$19</f>
        <v>9095.6130000000012</v>
      </c>
      <c r="E51" s="145"/>
      <c r="F51" s="146">
        <f>+B49+B51+D51</f>
        <v>9889.4360000000015</v>
      </c>
      <c r="G51" s="145"/>
      <c r="H51" s="146">
        <f>F51-F50</f>
        <v>1053.9639999999999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1933.915</v>
      </c>
      <c r="D52" s="146">
        <f>+'W34'!$K$19</f>
        <v>9270.487000000001</v>
      </c>
      <c r="E52" s="145"/>
      <c r="F52" s="146">
        <f>+B49+B52+D52</f>
        <v>11204.402000000002</v>
      </c>
      <c r="G52" s="145"/>
      <c r="H52" s="146">
        <f>F52-F51</f>
        <v>1314.9660000000003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3131.692</v>
      </c>
      <c r="D53" s="146">
        <f>+'W35'!$K$19</f>
        <v>8775.9419999999991</v>
      </c>
      <c r="E53" s="145"/>
      <c r="F53" s="146">
        <f>+B48+B53+D53</f>
        <v>14767.896999999999</v>
      </c>
      <c r="G53" s="145"/>
      <c r="H53" s="146">
        <f>F53-F52</f>
        <v>3563.4949999999972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529.09699999999998</v>
      </c>
      <c r="D55" s="146">
        <f>+'W36'!$K$19</f>
        <v>8510.121000000001</v>
      </c>
      <c r="E55" s="145"/>
      <c r="F55" s="146">
        <f>+B54+B55+D55</f>
        <v>9039.2180000000008</v>
      </c>
      <c r="G55" s="145"/>
      <c r="H55" s="146">
        <f>F55-F53</f>
        <v>-5728.6789999999983</v>
      </c>
      <c r="I55" s="145"/>
      <c r="J55" s="146">
        <f>+'W36'!$L$19</f>
        <v>210</v>
      </c>
    </row>
    <row r="56" spans="1:10">
      <c r="A56" s="147" t="s">
        <v>23</v>
      </c>
      <c r="B56" s="140">
        <f>+'W37'!$J$12</f>
        <v>0</v>
      </c>
      <c r="D56" s="146">
        <f>+'W37'!$K$19</f>
        <v>0</v>
      </c>
      <c r="E56" s="145"/>
      <c r="F56" s="146">
        <f>+B54+B56+D56</f>
        <v>0</v>
      </c>
      <c r="G56" s="145"/>
      <c r="H56" s="146">
        <f>F56-F55</f>
        <v>-9039.2180000000008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0</v>
      </c>
      <c r="D57" s="146">
        <f>+'W38'!$K$19</f>
        <v>0</v>
      </c>
      <c r="E57" s="145"/>
      <c r="F57" s="146">
        <f>+B54+B57+D57</f>
        <v>0</v>
      </c>
      <c r="G57" s="145"/>
      <c r="H57" s="146">
        <f>F57-F56</f>
        <v>0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0</v>
      </c>
      <c r="D58" s="146">
        <f>+'W39'!$K$19</f>
        <v>0</v>
      </c>
      <c r="E58" s="145"/>
      <c r="F58" s="146">
        <f>+B54+B58+D58</f>
        <v>0</v>
      </c>
      <c r="G58" s="145"/>
      <c r="H58" s="146">
        <f>F58-F57</f>
        <v>0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0</v>
      </c>
      <c r="E60" s="145"/>
      <c r="F60" s="146">
        <f>+B59+B60+D60</f>
        <v>0</v>
      </c>
      <c r="G60" s="145"/>
      <c r="H60" s="146">
        <f>F60-F58</f>
        <v>0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0</v>
      </c>
      <c r="E61" s="145"/>
      <c r="F61" s="146">
        <f>+B59+B61+D61</f>
        <v>0</v>
      </c>
      <c r="G61" s="145"/>
      <c r="H61" s="146">
        <f>F61-F60</f>
        <v>0</v>
      </c>
      <c r="I61" s="145"/>
      <c r="J61" s="146">
        <f>+'W41'!$L$19</f>
        <v>0</v>
      </c>
    </row>
    <row r="62" spans="1:10">
      <c r="A62" s="147" t="s">
        <v>28</v>
      </c>
      <c r="B62" s="140">
        <f>+'W42'!$J$12</f>
        <v>0</v>
      </c>
      <c r="D62" s="146">
        <f>+'W42'!$K$19</f>
        <v>0</v>
      </c>
      <c r="E62" s="145"/>
      <c r="F62" s="146">
        <f>+B59+B62+D62</f>
        <v>0</v>
      </c>
      <c r="G62" s="145"/>
      <c r="H62" s="146">
        <f>F62-F61</f>
        <v>0</v>
      </c>
      <c r="I62" s="145"/>
      <c r="J62" s="146">
        <f>+'W42'!$L$19</f>
        <v>0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0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0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7"/>
  <sheetViews>
    <sheetView showGridLines="0" topLeftCell="D28" zoomScaleNormal="100" workbookViewId="0">
      <selection activeCell="G44" sqref="G44: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4734.7219999999998</v>
      </c>
      <c r="N10" s="57"/>
      <c r="O10" s="180">
        <f>+H10+K17</f>
        <v>7272.8780000000006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1592.8729999999998</v>
      </c>
      <c r="N11" s="57"/>
      <c r="O11" s="160">
        <f>+H11+K18</f>
        <v>4661.7979999999989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6327.5949999999993</v>
      </c>
      <c r="M12" s="67"/>
      <c r="N12" s="67"/>
      <c r="O12" s="161">
        <f>SUM(O10:O11)</f>
        <v>11934.675999999999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+SUMIF($F$24:$F$247,"External",$J$24:$J$247)</f>
        <v>7272.8780000000006</v>
      </c>
      <c r="K17" s="110">
        <f>+SUMIF($F$24:$F$247,"External",$K$24:$K$247)</f>
        <v>7272.8780000000006</v>
      </c>
      <c r="L17" s="111">
        <f>+SUMIF($F$24:$F$247,"External",$L$24:$L$247)</f>
        <v>0</v>
      </c>
      <c r="M17" s="112"/>
      <c r="N17" s="113">
        <f t="shared" ref="N17:Y17" si="0">+SUMIF($F$24:$F$247,"External",N$24:N$247)</f>
        <v>4734.7219999999998</v>
      </c>
      <c r="O17" s="113">
        <f t="shared" si="0"/>
        <v>1618.7570000000001</v>
      </c>
      <c r="P17" s="113">
        <f t="shared" si="0"/>
        <v>96</v>
      </c>
      <c r="Q17" s="113">
        <f t="shared" si="0"/>
        <v>135.041</v>
      </c>
      <c r="R17" s="113">
        <f t="shared" si="0"/>
        <v>537.35799999999995</v>
      </c>
      <c r="S17" s="113">
        <f t="shared" si="0"/>
        <v>140</v>
      </c>
      <c r="T17" s="113">
        <f t="shared" si="0"/>
        <v>11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+SUMIF($F$24:$F$247,"External",AA$24:AA$247)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+SUMIF($F$24:$F$247,"Group",$J$24:$J$247)</f>
        <v>4661.7979999999989</v>
      </c>
      <c r="K18" s="115">
        <f>+SUMIF($F$24:$F$247,"Group",$K$24:$K$247)</f>
        <v>4661.7979999999989</v>
      </c>
      <c r="L18" s="116">
        <f>SUMIF($F$24:$F$247,"Group",$L$24:$L$247)</f>
        <v>0</v>
      </c>
      <c r="M18" s="112"/>
      <c r="N18" s="116">
        <f t="shared" ref="N18:Y18" si="2">+SUMIF($F$24:$F$247,"Group",N$24:N$247)</f>
        <v>1592.8729999999998</v>
      </c>
      <c r="O18" s="116">
        <f t="shared" si="2"/>
        <v>584.29399999999998</v>
      </c>
      <c r="P18" s="116">
        <f t="shared" si="2"/>
        <v>629</v>
      </c>
      <c r="Q18" s="116">
        <f t="shared" si="2"/>
        <v>255.631</v>
      </c>
      <c r="R18" s="116">
        <f t="shared" si="2"/>
        <v>0</v>
      </c>
      <c r="S18" s="116">
        <f t="shared" si="2"/>
        <v>1600</v>
      </c>
      <c r="T18" s="116">
        <f t="shared" si="2"/>
        <v>0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+SUMIF($F$24:$F$247,"Group",AA$24:AA$247)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11934.675999999999</v>
      </c>
      <c r="K19" s="117">
        <f>SUM(K17:K18)</f>
        <v>11934.675999999999</v>
      </c>
      <c r="L19" s="118">
        <f>SUM(L17:L18)</f>
        <v>0</v>
      </c>
      <c r="M19" s="119"/>
      <c r="N19" s="118">
        <f>SUM(N17:N18)</f>
        <v>6327.5949999999993</v>
      </c>
      <c r="O19" s="118">
        <f t="shared" ref="O19:Y19" si="4">SUM(O17:O18)</f>
        <v>2203.0509999999999</v>
      </c>
      <c r="P19" s="118">
        <f t="shared" si="4"/>
        <v>725</v>
      </c>
      <c r="Q19" s="118">
        <f t="shared" si="4"/>
        <v>390.67200000000003</v>
      </c>
      <c r="R19" s="118">
        <f t="shared" si="4"/>
        <v>537.35799999999995</v>
      </c>
      <c r="S19" s="118">
        <f t="shared" si="4"/>
        <v>1740</v>
      </c>
      <c r="T19" s="118">
        <f t="shared" si="4"/>
        <v>11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IF(SUM(J24:J247)=J19,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6">+K24+L24</f>
        <v>3385.2829999999999</v>
      </c>
      <c r="K24" s="121">
        <f t="shared" ref="K24" si="7">SUM(N24:Y24)</f>
        <v>3385.2829999999999</v>
      </c>
      <c r="L24" s="121">
        <f t="shared" ref="L24" si="8">SUM(AA24:AL24)</f>
        <v>0</v>
      </c>
      <c r="M24" s="25"/>
      <c r="N24" s="26">
        <v>1235.2829999999999</v>
      </c>
      <c r="O24" s="26">
        <v>50</v>
      </c>
      <c r="P24" s="26">
        <v>500</v>
      </c>
      <c r="Q24" s="26"/>
      <c r="R24" s="26"/>
      <c r="S24" s="26">
        <v>1600</v>
      </c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3" si="9">+K25+L25</f>
        <v>16.780999999999999</v>
      </c>
      <c r="K25" s="121">
        <f t="shared" ref="K25:K83" si="10">SUM(N25:Y25)</f>
        <v>16.780999999999999</v>
      </c>
      <c r="L25" s="121">
        <f t="shared" ref="L25:L83" si="11">SUM(AA25:AL25)</f>
        <v>0</v>
      </c>
      <c r="M25" s="25"/>
      <c r="N25" s="26">
        <v>7.7809999999999988</v>
      </c>
      <c r="O25" s="26"/>
      <c r="P25" s="26">
        <v>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9"/>
        <v>177.71100000000001</v>
      </c>
      <c r="K26" s="121">
        <f t="shared" si="10"/>
        <v>177.71100000000001</v>
      </c>
      <c r="L26" s="121">
        <f t="shared" si="11"/>
        <v>0</v>
      </c>
      <c r="M26" s="25"/>
      <c r="N26" s="26">
        <v>33</v>
      </c>
      <c r="O26" s="26"/>
      <c r="P26" s="26"/>
      <c r="Q26" s="26">
        <v>144.71100000000001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9"/>
        <v>3.2589999999999999</v>
      </c>
      <c r="K27" s="121">
        <f t="shared" si="10"/>
        <v>3.2589999999999999</v>
      </c>
      <c r="L27" s="121">
        <f t="shared" si="11"/>
        <v>0</v>
      </c>
      <c r="M27" s="25"/>
      <c r="N27" s="26">
        <v>3.2589999999999999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9"/>
        <v>134</v>
      </c>
      <c r="K28" s="121">
        <f t="shared" si="10"/>
        <v>134</v>
      </c>
      <c r="L28" s="121">
        <f t="shared" si="11"/>
        <v>0</v>
      </c>
      <c r="M28" s="25"/>
      <c r="N28" s="26">
        <v>14</v>
      </c>
      <c r="O28" s="26"/>
      <c r="P28" s="26">
        <v>120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5" t="s">
        <v>234</v>
      </c>
      <c r="J29" s="120">
        <f t="shared" si="9"/>
        <v>3.5</v>
      </c>
      <c r="K29" s="121">
        <f t="shared" si="10"/>
        <v>3.5</v>
      </c>
      <c r="L29" s="121">
        <f t="shared" si="11"/>
        <v>0</v>
      </c>
      <c r="M29" s="25"/>
      <c r="N29" s="26">
        <v>3.5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>+K30+L30</f>
        <v>153.29400000000001</v>
      </c>
      <c r="K30" s="121">
        <f>SUM(N30:Y30)</f>
        <v>153.29400000000001</v>
      </c>
      <c r="L30" s="121">
        <f>SUM(AA30:AL30)</f>
        <v>0</v>
      </c>
      <c r="M30" s="17"/>
      <c r="N30" s="26">
        <v>3</v>
      </c>
      <c r="O30" s="26">
        <v>150.29400000000001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>+K31+L31</f>
        <v>1.75</v>
      </c>
      <c r="K31" s="121">
        <f>SUM(N31:Y31)</f>
        <v>1.75</v>
      </c>
      <c r="L31" s="121">
        <f>SUM(AA31:AL31)</f>
        <v>0</v>
      </c>
      <c r="M31" s="17"/>
      <c r="N31" s="26">
        <v>1.75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237</v>
      </c>
      <c r="H32" s="197"/>
      <c r="I32" s="195" t="s">
        <v>234</v>
      </c>
      <c r="J32" s="120">
        <f t="shared" si="9"/>
        <v>385.93600000000004</v>
      </c>
      <c r="K32" s="121">
        <f t="shared" si="10"/>
        <v>385.93600000000004</v>
      </c>
      <c r="L32" s="121">
        <f t="shared" si="11"/>
        <v>0</v>
      </c>
      <c r="M32" s="25"/>
      <c r="N32" s="26">
        <v>121.93600000000001</v>
      </c>
      <c r="O32" s="26">
        <v>264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9"/>
        <v>139.56599999999997</v>
      </c>
      <c r="K33" s="121">
        <f t="shared" si="10"/>
        <v>139.56599999999997</v>
      </c>
      <c r="L33" s="121">
        <f t="shared" si="11"/>
        <v>0</v>
      </c>
      <c r="M33" s="25"/>
      <c r="N33" s="26">
        <v>79.565999999999988</v>
      </c>
      <c r="O33" s="26">
        <v>60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9"/>
        <v>10.337</v>
      </c>
      <c r="K34" s="121">
        <f t="shared" si="10"/>
        <v>10.337</v>
      </c>
      <c r="L34" s="121">
        <f t="shared" si="11"/>
        <v>0</v>
      </c>
      <c r="M34" s="17"/>
      <c r="N34" s="26">
        <v>10.337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9"/>
        <v>34.496000000000002</v>
      </c>
      <c r="K35" s="121">
        <f t="shared" si="10"/>
        <v>34.496000000000002</v>
      </c>
      <c r="L35" s="121">
        <f t="shared" si="11"/>
        <v>0</v>
      </c>
      <c r="M35" s="17"/>
      <c r="N35" s="26">
        <v>24.496000000000002</v>
      </c>
      <c r="O35" s="26">
        <v>10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103</v>
      </c>
      <c r="F36" s="9" t="s">
        <v>10</v>
      </c>
      <c r="G36" s="9" t="s">
        <v>241</v>
      </c>
      <c r="H36" s="197"/>
      <c r="I36" s="195" t="s">
        <v>234</v>
      </c>
      <c r="J36" s="120">
        <f t="shared" si="9"/>
        <v>128.23099999999999</v>
      </c>
      <c r="K36" s="121">
        <f t="shared" si="10"/>
        <v>128.23099999999999</v>
      </c>
      <c r="L36" s="121">
        <f t="shared" si="11"/>
        <v>0</v>
      </c>
      <c r="M36" s="17"/>
      <c r="N36" s="26">
        <v>54.965000000000003</v>
      </c>
      <c r="O36" s="26">
        <v>50</v>
      </c>
      <c r="P36" s="26"/>
      <c r="Q36" s="26">
        <v>23.266000000000002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242</v>
      </c>
      <c r="F37" s="9" t="s">
        <v>10</v>
      </c>
      <c r="G37" s="9" t="s">
        <v>243</v>
      </c>
      <c r="H37" s="197"/>
      <c r="I37" s="195" t="s">
        <v>234</v>
      </c>
      <c r="J37" s="120">
        <f t="shared" si="9"/>
        <v>87.653999999999996</v>
      </c>
      <c r="K37" s="121">
        <f t="shared" si="10"/>
        <v>87.653999999999996</v>
      </c>
      <c r="L37" s="121">
        <f t="shared" si="11"/>
        <v>0</v>
      </c>
      <c r="M37" s="17"/>
      <c r="N37" s="26"/>
      <c r="O37" s="26"/>
      <c r="P37" s="26"/>
      <c r="Q37" s="26">
        <v>87.653999999999996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8"/>
      <c r="I38" s="195" t="s">
        <v>234</v>
      </c>
      <c r="J38" s="120">
        <f>+K38+L38</f>
        <v>319.2229999999999</v>
      </c>
      <c r="K38" s="121">
        <f>SUM(N38:Y38)</f>
        <v>319.2229999999999</v>
      </c>
      <c r="L38" s="121">
        <f>SUM(AA38:AL38)</f>
        <v>0</v>
      </c>
      <c r="M38" s="17"/>
      <c r="N38" s="26">
        <v>103.2229999999999</v>
      </c>
      <c r="O38" s="26">
        <v>216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244</v>
      </c>
      <c r="F39" s="9" t="s">
        <v>40</v>
      </c>
      <c r="G39" s="9" t="s">
        <v>245</v>
      </c>
      <c r="H39" s="197"/>
      <c r="I39" s="195" t="s">
        <v>234</v>
      </c>
      <c r="J39" s="120">
        <f t="shared" si="9"/>
        <v>1654.3739999999998</v>
      </c>
      <c r="K39" s="121">
        <f t="shared" si="10"/>
        <v>1654.3739999999998</v>
      </c>
      <c r="L39" s="121">
        <f t="shared" si="11"/>
        <v>0</v>
      </c>
      <c r="M39" s="17"/>
      <c r="N39" s="26">
        <v>1621.7959999999998</v>
      </c>
      <c r="O39" s="26">
        <v>32.578000000000003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276</v>
      </c>
      <c r="F40" s="9" t="s">
        <v>40</v>
      </c>
      <c r="G40" s="9" t="s">
        <v>277</v>
      </c>
      <c r="H40" s="197"/>
      <c r="I40" s="195" t="s">
        <v>234</v>
      </c>
      <c r="J40" s="120">
        <f t="shared" ref="J40:J47" si="12">+K40+L40</f>
        <v>186.46299999999999</v>
      </c>
      <c r="K40" s="121">
        <f t="shared" ref="K40:K47" si="13">SUM(N40:Y40)</f>
        <v>186.46299999999999</v>
      </c>
      <c r="L40" s="121">
        <f t="shared" ref="L40:L47" si="14">SUM(AA40:AL40)</f>
        <v>0</v>
      </c>
      <c r="M40" s="17"/>
      <c r="N40" s="26">
        <v>186.46299999999999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281</v>
      </c>
      <c r="H41" s="198"/>
      <c r="I41" s="195" t="s">
        <v>234</v>
      </c>
      <c r="J41" s="120">
        <f t="shared" si="12"/>
        <v>113</v>
      </c>
      <c r="K41" s="121">
        <f t="shared" si="13"/>
        <v>113</v>
      </c>
      <c r="L41" s="121">
        <f t="shared" si="14"/>
        <v>0</v>
      </c>
      <c r="M41" s="17"/>
      <c r="N41" s="26">
        <v>113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256</v>
      </c>
      <c r="F42" s="9" t="s">
        <v>40</v>
      </c>
      <c r="G42" s="9" t="s">
        <v>257</v>
      </c>
      <c r="H42" s="197"/>
      <c r="I42" s="195" t="s">
        <v>234</v>
      </c>
      <c r="J42" s="120">
        <f t="shared" si="12"/>
        <v>636</v>
      </c>
      <c r="K42" s="121">
        <f t="shared" si="13"/>
        <v>636</v>
      </c>
      <c r="L42" s="121">
        <f t="shared" si="14"/>
        <v>0</v>
      </c>
      <c r="M42" s="17"/>
      <c r="N42" s="26">
        <v>321</v>
      </c>
      <c r="O42" s="26">
        <v>138</v>
      </c>
      <c r="P42" s="26"/>
      <c r="Q42" s="26">
        <v>100</v>
      </c>
      <c r="R42" s="26">
        <v>77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264</v>
      </c>
      <c r="F43" s="9" t="s">
        <v>40</v>
      </c>
      <c r="G43" s="9" t="s">
        <v>265</v>
      </c>
      <c r="H43" s="195"/>
      <c r="I43" s="195" t="s">
        <v>234</v>
      </c>
      <c r="J43" s="120">
        <f t="shared" si="12"/>
        <v>185.81399999999999</v>
      </c>
      <c r="K43" s="121">
        <f t="shared" si="13"/>
        <v>185.81399999999999</v>
      </c>
      <c r="L43" s="121">
        <f t="shared" si="14"/>
        <v>0</v>
      </c>
      <c r="M43" s="17"/>
      <c r="N43" s="26">
        <v>35.814</v>
      </c>
      <c r="O43" s="26">
        <v>10</v>
      </c>
      <c r="P43" s="26"/>
      <c r="Q43" s="26"/>
      <c r="R43" s="26"/>
      <c r="S43" s="26">
        <v>140</v>
      </c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258</v>
      </c>
      <c r="F44" s="9" t="s">
        <v>40</v>
      </c>
      <c r="G44" s="9" t="s">
        <v>259</v>
      </c>
      <c r="H44" s="198"/>
      <c r="I44" s="195" t="s">
        <v>234</v>
      </c>
      <c r="J44" s="120">
        <f t="shared" si="12"/>
        <v>321.58</v>
      </c>
      <c r="K44" s="121">
        <f t="shared" si="13"/>
        <v>321.58</v>
      </c>
      <c r="L44" s="121">
        <f t="shared" si="14"/>
        <v>0</v>
      </c>
      <c r="M44" s="17"/>
      <c r="N44" s="26">
        <v>255.57999999999998</v>
      </c>
      <c r="O44" s="26">
        <v>66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250</v>
      </c>
      <c r="F45" s="9" t="s">
        <v>40</v>
      </c>
      <c r="G45" s="9" t="s">
        <v>251</v>
      </c>
      <c r="H45" s="197"/>
      <c r="I45" s="195" t="s">
        <v>247</v>
      </c>
      <c r="J45" s="120">
        <f t="shared" si="12"/>
        <v>1815.4779999999998</v>
      </c>
      <c r="K45" s="121">
        <f t="shared" si="13"/>
        <v>1815.4779999999998</v>
      </c>
      <c r="L45" s="121">
        <f t="shared" si="14"/>
        <v>0</v>
      </c>
      <c r="M45" s="17"/>
      <c r="N45" s="26">
        <v>775.12</v>
      </c>
      <c r="O45" s="26">
        <v>491</v>
      </c>
      <c r="P45" s="26">
        <v>89</v>
      </c>
      <c r="Q45" s="26"/>
      <c r="R45" s="26">
        <v>460.35799999999989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254</v>
      </c>
      <c r="F46" s="9" t="s">
        <v>40</v>
      </c>
      <c r="G46" s="9" t="s">
        <v>255</v>
      </c>
      <c r="H46" s="197"/>
      <c r="I46" s="195" t="s">
        <v>247</v>
      </c>
      <c r="J46" s="120">
        <f t="shared" si="12"/>
        <v>491.91899999999998</v>
      </c>
      <c r="K46" s="121">
        <f t="shared" si="13"/>
        <v>491.91899999999998</v>
      </c>
      <c r="L46" s="121">
        <f t="shared" si="14"/>
        <v>0</v>
      </c>
      <c r="M46" s="17"/>
      <c r="N46" s="26">
        <v>133.91899999999998</v>
      </c>
      <c r="O46" s="26">
        <v>351</v>
      </c>
      <c r="P46" s="26">
        <v>7</v>
      </c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267</v>
      </c>
      <c r="F47" s="9" t="s">
        <v>40</v>
      </c>
      <c r="G47" s="9" t="s">
        <v>268</v>
      </c>
      <c r="H47" s="196"/>
      <c r="I47" s="195" t="s">
        <v>247</v>
      </c>
      <c r="J47" s="120">
        <f t="shared" si="12"/>
        <v>15.048999999999999</v>
      </c>
      <c r="K47" s="121">
        <f t="shared" si="13"/>
        <v>15.048999999999999</v>
      </c>
      <c r="L47" s="121">
        <f t="shared" si="14"/>
        <v>0</v>
      </c>
      <c r="M47" s="17"/>
      <c r="N47" s="26">
        <v>15.048999999999999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246</v>
      </c>
      <c r="F48" s="9" t="s">
        <v>40</v>
      </c>
      <c r="G48" s="9" t="s">
        <v>246</v>
      </c>
      <c r="H48" s="197"/>
      <c r="I48" s="195" t="s">
        <v>247</v>
      </c>
      <c r="J48" s="120">
        <f t="shared" si="9"/>
        <v>257.072</v>
      </c>
      <c r="K48" s="121">
        <f t="shared" si="10"/>
        <v>257.072</v>
      </c>
      <c r="L48" s="121">
        <f t="shared" si="11"/>
        <v>0</v>
      </c>
      <c r="M48" s="17"/>
      <c r="N48" s="26">
        <v>7.8930000000000105</v>
      </c>
      <c r="O48" s="26">
        <v>249.17899999999997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248</v>
      </c>
      <c r="F49" s="9" t="s">
        <v>40</v>
      </c>
      <c r="G49" s="9" t="s">
        <v>249</v>
      </c>
      <c r="H49" s="197"/>
      <c r="I49" s="195" t="s">
        <v>247</v>
      </c>
      <c r="J49" s="120">
        <f t="shared" si="9"/>
        <v>590.41300000000001</v>
      </c>
      <c r="K49" s="121">
        <f t="shared" si="10"/>
        <v>590.41300000000001</v>
      </c>
      <c r="L49" s="121">
        <f t="shared" si="11"/>
        <v>0</v>
      </c>
      <c r="M49" s="17"/>
      <c r="N49" s="26">
        <v>558.41300000000001</v>
      </c>
      <c r="O49" s="26"/>
      <c r="P49" s="26"/>
      <c r="Q49" s="26">
        <v>21</v>
      </c>
      <c r="R49" s="26"/>
      <c r="S49" s="26"/>
      <c r="T49" s="26">
        <v>11</v>
      </c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7"/>
      <c r="I50" s="195" t="s">
        <v>247</v>
      </c>
      <c r="J50" s="120">
        <f>+K50+L50</f>
        <v>1.0820000000000007</v>
      </c>
      <c r="K50" s="121">
        <f>SUM(N50:Y50)</f>
        <v>1.0820000000000007</v>
      </c>
      <c r="L50" s="121">
        <f>SUM(AA50:AL50)</f>
        <v>0</v>
      </c>
      <c r="M50" s="17"/>
      <c r="N50" s="26">
        <v>1.0820000000000007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252</v>
      </c>
      <c r="F51" s="9" t="s">
        <v>40</v>
      </c>
      <c r="G51" s="9" t="s">
        <v>253</v>
      </c>
      <c r="H51" s="197"/>
      <c r="I51" s="195" t="s">
        <v>247</v>
      </c>
      <c r="J51" s="120">
        <f t="shared" si="9"/>
        <v>173.119</v>
      </c>
      <c r="K51" s="121">
        <f t="shared" si="10"/>
        <v>173.119</v>
      </c>
      <c r="L51" s="121">
        <f t="shared" si="11"/>
        <v>0</v>
      </c>
      <c r="M51" s="17"/>
      <c r="N51" s="26">
        <v>173.119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260</v>
      </c>
      <c r="F52" s="9" t="s">
        <v>40</v>
      </c>
      <c r="G52" s="9" t="s">
        <v>261</v>
      </c>
      <c r="H52" s="198"/>
      <c r="I52" s="195" t="s">
        <v>247</v>
      </c>
      <c r="J52" s="120">
        <f t="shared" si="9"/>
        <v>88.372</v>
      </c>
      <c r="K52" s="121">
        <f t="shared" si="10"/>
        <v>88.372</v>
      </c>
      <c r="L52" s="121">
        <f t="shared" si="11"/>
        <v>0</v>
      </c>
      <c r="M52" s="17"/>
      <c r="N52" s="26">
        <v>74.331000000000003</v>
      </c>
      <c r="O52" s="26"/>
      <c r="P52" s="26"/>
      <c r="Q52" s="26">
        <v>14.041</v>
      </c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279</v>
      </c>
      <c r="F53" s="9" t="s">
        <v>40</v>
      </c>
      <c r="G53" s="9" t="s">
        <v>282</v>
      </c>
      <c r="H53" s="197"/>
      <c r="I53" s="195" t="s">
        <v>247</v>
      </c>
      <c r="J53" s="120">
        <f>+K53+L53</f>
        <v>12.688000000000001</v>
      </c>
      <c r="K53" s="121">
        <f>SUM(N53:Y53)</f>
        <v>12.688000000000001</v>
      </c>
      <c r="L53" s="121">
        <f>SUM(AA53:AL53)</f>
        <v>0</v>
      </c>
      <c r="M53" s="17"/>
      <c r="N53" s="26">
        <v>12.688000000000001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5"/>
      <c r="I54" s="195" t="s">
        <v>247</v>
      </c>
      <c r="J54" s="120">
        <f t="shared" si="9"/>
        <v>232.38800000000001</v>
      </c>
      <c r="K54" s="121">
        <f t="shared" si="10"/>
        <v>232.38800000000001</v>
      </c>
      <c r="L54" s="121">
        <f t="shared" si="11"/>
        <v>0</v>
      </c>
      <c r="M54" s="17"/>
      <c r="N54" s="26">
        <v>232.38800000000001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270</v>
      </c>
      <c r="F55" s="9" t="s">
        <v>40</v>
      </c>
      <c r="G55" s="9" t="s">
        <v>270</v>
      </c>
      <c r="H55" s="197"/>
      <c r="I55" s="195" t="s">
        <v>247</v>
      </c>
      <c r="J55" s="120">
        <f t="shared" si="9"/>
        <v>8.4499999999999993</v>
      </c>
      <c r="K55" s="121">
        <f t="shared" si="10"/>
        <v>8.4499999999999993</v>
      </c>
      <c r="L55" s="121">
        <f t="shared" si="11"/>
        <v>0</v>
      </c>
      <c r="M55" s="17"/>
      <c r="N55" s="26">
        <v>8.4499999999999993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271</v>
      </c>
      <c r="F56" s="9" t="s">
        <v>40</v>
      </c>
      <c r="G56" s="9" t="s">
        <v>272</v>
      </c>
      <c r="H56" s="197"/>
      <c r="I56" s="195" t="s">
        <v>247</v>
      </c>
      <c r="J56" s="120">
        <f t="shared" si="9"/>
        <v>160.38799999999998</v>
      </c>
      <c r="K56" s="121">
        <f t="shared" si="10"/>
        <v>160.38799999999998</v>
      </c>
      <c r="L56" s="121">
        <f t="shared" si="11"/>
        <v>0</v>
      </c>
      <c r="M56" s="17"/>
      <c r="N56" s="26">
        <v>100.38799999999999</v>
      </c>
      <c r="O56" s="26">
        <v>60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273</v>
      </c>
      <c r="F57" s="9" t="s">
        <v>40</v>
      </c>
      <c r="G57" s="9" t="s">
        <v>274</v>
      </c>
      <c r="H57" s="197"/>
      <c r="I57" s="195" t="s">
        <v>247</v>
      </c>
      <c r="J57" s="120">
        <f t="shared" si="9"/>
        <v>10.006</v>
      </c>
      <c r="K57" s="121">
        <f t="shared" si="10"/>
        <v>10.006</v>
      </c>
      <c r="L57" s="121">
        <f t="shared" si="11"/>
        <v>0</v>
      </c>
      <c r="M57" s="17"/>
      <c r="N57" s="26">
        <v>5.0060000000000002</v>
      </c>
      <c r="O57" s="26">
        <v>5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8"/>
      <c r="I58" s="195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4"/>
      <c r="I59" s="195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15"/>
      <c r="F60" s="9"/>
      <c r="G60" s="8"/>
      <c r="H60" s="14"/>
      <c r="I60" s="195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95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95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95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95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15"/>
      <c r="F66" s="9"/>
      <c r="G66" s="8"/>
      <c r="H66" s="13"/>
      <c r="I66" s="195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95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95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95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1"/>
      <c r="I70" s="195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1"/>
      <c r="I71" s="195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2"/>
      <c r="I72" s="195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95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95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95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95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95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95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95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95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95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95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95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95"/>
      <c r="J84" s="120">
        <f t="shared" ref="J84:J147" si="15">+K84+L84</f>
        <v>0</v>
      </c>
      <c r="K84" s="121">
        <f t="shared" ref="K84:K147" si="16">SUM(N84:Y84)</f>
        <v>0</v>
      </c>
      <c r="L84" s="121">
        <f t="shared" ref="L84:L147" si="17">SUM(AA84:AL84)</f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95"/>
      <c r="J85" s="120">
        <f t="shared" si="15"/>
        <v>0</v>
      </c>
      <c r="K85" s="121">
        <f t="shared" si="16"/>
        <v>0</v>
      </c>
      <c r="L85" s="121">
        <f t="shared" si="17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4"/>
      <c r="I86" s="195"/>
      <c r="J86" s="120">
        <f t="shared" si="15"/>
        <v>0</v>
      </c>
      <c r="K86" s="121">
        <f t="shared" si="16"/>
        <v>0</v>
      </c>
      <c r="L86" s="121">
        <f t="shared" si="17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4"/>
      <c r="I87" s="195"/>
      <c r="J87" s="120">
        <f t="shared" si="15"/>
        <v>0</v>
      </c>
      <c r="K87" s="121">
        <f t="shared" si="16"/>
        <v>0</v>
      </c>
      <c r="L87" s="121">
        <f t="shared" si="17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15"/>
      <c r="F88" s="9"/>
      <c r="G88" s="8"/>
      <c r="H88" s="14"/>
      <c r="I88" s="195"/>
      <c r="J88" s="120">
        <f t="shared" si="15"/>
        <v>0</v>
      </c>
      <c r="K88" s="121">
        <f t="shared" si="16"/>
        <v>0</v>
      </c>
      <c r="L88" s="121">
        <f t="shared" si="17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1"/>
      <c r="I89" s="195"/>
      <c r="J89" s="120">
        <f t="shared" si="15"/>
        <v>0</v>
      </c>
      <c r="K89" s="121">
        <f t="shared" si="16"/>
        <v>0</v>
      </c>
      <c r="L89" s="121">
        <f t="shared" si="17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1"/>
      <c r="I90" s="195"/>
      <c r="J90" s="120">
        <f t="shared" si="15"/>
        <v>0</v>
      </c>
      <c r="K90" s="121">
        <f t="shared" si="16"/>
        <v>0</v>
      </c>
      <c r="L90" s="121">
        <f t="shared" si="17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2"/>
      <c r="I91" s="195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95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95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95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95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95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95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95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95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95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4"/>
      <c r="I105" s="14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4"/>
      <c r="I106" s="14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15"/>
      <c r="F107" s="9"/>
      <c r="G107" s="8"/>
      <c r="H107" s="14"/>
      <c r="I107" s="14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15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1"/>
      <c r="I118" s="11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1"/>
      <c r="I119" s="11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2"/>
      <c r="I120" s="12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4"/>
      <c r="I134" s="14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4"/>
      <c r="I135" s="14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15"/>
      <c r="F136" s="9"/>
      <c r="G136" s="8"/>
      <c r="H136" s="14"/>
      <c r="I136" s="14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1"/>
      <c r="I137" s="11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1"/>
      <c r="I138" s="11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2"/>
      <c r="I139" s="12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ref="J148:J211" si="18">+K148+L148</f>
        <v>0</v>
      </c>
      <c r="K148" s="121">
        <f t="shared" ref="K148:K211" si="19">SUM(N148:Y148)</f>
        <v>0</v>
      </c>
      <c r="L148" s="121">
        <f t="shared" ref="L148:L211" si="20">SUM(AA148:AL148)</f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8"/>
        <v>0</v>
      </c>
      <c r="K149" s="121">
        <f t="shared" si="19"/>
        <v>0</v>
      </c>
      <c r="L149" s="121">
        <f t="shared" si="20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8"/>
        <v>0</v>
      </c>
      <c r="K150" s="121">
        <f t="shared" si="19"/>
        <v>0</v>
      </c>
      <c r="L150" s="121">
        <f t="shared" si="20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8"/>
        <v>0</v>
      </c>
      <c r="K151" s="121">
        <f t="shared" si="19"/>
        <v>0</v>
      </c>
      <c r="L151" s="121">
        <f t="shared" si="20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8"/>
        <v>0</v>
      </c>
      <c r="K152" s="121">
        <f t="shared" si="19"/>
        <v>0</v>
      </c>
      <c r="L152" s="121">
        <f t="shared" si="20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4"/>
      <c r="I153" s="14"/>
      <c r="J153" s="120">
        <f t="shared" si="18"/>
        <v>0</v>
      </c>
      <c r="K153" s="121">
        <f t="shared" si="19"/>
        <v>0</v>
      </c>
      <c r="L153" s="121">
        <f t="shared" si="20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4"/>
      <c r="I154" s="14"/>
      <c r="J154" s="120">
        <f t="shared" si="18"/>
        <v>0</v>
      </c>
      <c r="K154" s="121">
        <f t="shared" si="19"/>
        <v>0</v>
      </c>
      <c r="L154" s="121">
        <f t="shared" si="20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15"/>
      <c r="F155" s="9"/>
      <c r="G155" s="8"/>
      <c r="H155" s="14"/>
      <c r="I155" s="14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15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1"/>
      <c r="I165" s="11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1"/>
      <c r="I166" s="11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2"/>
      <c r="I167" s="12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4"/>
      <c r="I181" s="14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4"/>
      <c r="I182" s="14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15"/>
      <c r="F183" s="9"/>
      <c r="G183" s="8"/>
      <c r="H183" s="14"/>
      <c r="I183" s="14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1"/>
      <c r="I184" s="11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1"/>
      <c r="I185" s="11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2"/>
      <c r="I186" s="12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4"/>
      <c r="I200" s="14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4"/>
      <c r="I201" s="14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15"/>
      <c r="F202" s="9"/>
      <c r="G202" s="8"/>
      <c r="H202" s="14"/>
      <c r="I202" s="14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15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ref="J212:J247" si="21">+K212+L212</f>
        <v>0</v>
      </c>
      <c r="K212" s="121">
        <f t="shared" ref="K212:K247" si="22">SUM(N212:Y212)</f>
        <v>0</v>
      </c>
      <c r="L212" s="121">
        <f t="shared" ref="L212:L247" si="23">SUM(AA212:AL212)</f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1"/>
      <c r="I213" s="11"/>
      <c r="J213" s="120">
        <f t="shared" si="21"/>
        <v>0</v>
      </c>
      <c r="K213" s="121">
        <f t="shared" si="22"/>
        <v>0</v>
      </c>
      <c r="L213" s="121">
        <f t="shared" si="23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1"/>
      <c r="I214" s="11"/>
      <c r="J214" s="120">
        <f t="shared" si="21"/>
        <v>0</v>
      </c>
      <c r="K214" s="121">
        <f t="shared" si="22"/>
        <v>0</v>
      </c>
      <c r="L214" s="121">
        <f t="shared" si="23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2"/>
      <c r="I215" s="12"/>
      <c r="J215" s="120">
        <f t="shared" si="21"/>
        <v>0</v>
      </c>
      <c r="K215" s="121">
        <f t="shared" si="22"/>
        <v>0</v>
      </c>
      <c r="L215" s="121">
        <f t="shared" si="23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21"/>
        <v>0</v>
      </c>
      <c r="K216" s="121">
        <f t="shared" si="22"/>
        <v>0</v>
      </c>
      <c r="L216" s="121">
        <f t="shared" si="23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21"/>
        <v>0</v>
      </c>
      <c r="K217" s="121">
        <f t="shared" si="22"/>
        <v>0</v>
      </c>
      <c r="L217" s="121">
        <f t="shared" si="23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21"/>
        <v>0</v>
      </c>
      <c r="K218" s="121">
        <f t="shared" si="22"/>
        <v>0</v>
      </c>
      <c r="L218" s="121">
        <f t="shared" si="23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4"/>
      <c r="I230" s="14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4"/>
      <c r="I231" s="14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15"/>
      <c r="F232" s="9"/>
      <c r="G232" s="8"/>
      <c r="H232" s="14"/>
      <c r="I232" s="14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15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6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6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 s="24" customFormat="1">
      <c r="E247" s="16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17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</sheetData>
  <sheetProtection formatCells="0" formatColumns="0" formatRows="0" insertRows="0" deleteRows="0" autoFilter="0"/>
  <autoFilter ref="E23:AL360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7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D19" zoomScale="90" zoomScaleNormal="90" workbookViewId="0">
      <selection activeCell="G58" sqref="G5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65.798000000000002</v>
      </c>
      <c r="I10" s="63"/>
      <c r="J10" s="162">
        <f>0+65.798</f>
        <v>65.798000000000002</v>
      </c>
      <c r="L10" s="162">
        <f>J10+N17</f>
        <v>4534.4789999999994</v>
      </c>
      <c r="N10" s="57"/>
      <c r="O10" s="173">
        <f>+H10+K17</f>
        <v>7469.8779999999997</v>
      </c>
      <c r="P10" s="174" cm="1">
        <f t="array" aca="1" ref="P10" ca="1">INDIRECT(ADDRESS(10,15,,,VLOOKUP($G$4,parameters!$G:$I,3,0)))</f>
        <v>7272.8780000000006</v>
      </c>
      <c r="Q10" s="186">
        <f ca="1">O10-P10</f>
        <v>196.99999999999909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68.361999999999995</v>
      </c>
      <c r="I11" s="63"/>
      <c r="J11" s="18">
        <f>0+68.362</f>
        <v>68.361999999999995</v>
      </c>
      <c r="L11" s="18">
        <f>J11+N18</f>
        <v>1815.5410000000002</v>
      </c>
      <c r="N11" s="57"/>
      <c r="O11" s="155">
        <f>+H11+K18</f>
        <v>4863.4610000000002</v>
      </c>
      <c r="P11" s="156" cm="1">
        <f t="array" aca="1" ref="P11" ca="1">INDIRECT(ADDRESS(11,15,,,VLOOKUP($G$4,parameters!$G:$I,3,0)))</f>
        <v>4661.7979999999989</v>
      </c>
      <c r="Q11" s="187">
        <f t="shared" ref="Q11:Q12" ca="1" si="0">O11-P11</f>
        <v>201.66300000000138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134.16</v>
      </c>
      <c r="I12" s="63"/>
      <c r="J12" s="128">
        <f>SUM(J10:J11)</f>
        <v>134.16</v>
      </c>
      <c r="K12" s="67"/>
      <c r="L12" s="128">
        <f>SUM(L10:L11)</f>
        <v>6350.0199999999995</v>
      </c>
      <c r="M12" s="67"/>
      <c r="N12" s="67"/>
      <c r="O12" s="157">
        <f>SUM(O10:O11)</f>
        <v>12333.339</v>
      </c>
      <c r="P12" s="158">
        <f ca="1">SUM(P10:P11)</f>
        <v>11934.675999999999</v>
      </c>
      <c r="Q12" s="159">
        <f t="shared" ca="1" si="0"/>
        <v>398.66300000000047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7404.08</v>
      </c>
      <c r="K17" s="110">
        <f>+SUMIF($F$24:$F$251,"External",$K$24:$K$251)</f>
        <v>7404.08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4468.6809999999996</v>
      </c>
      <c r="O17" s="113">
        <f t="shared" si="1"/>
        <v>1678.798</v>
      </c>
      <c r="P17" s="113">
        <f t="shared" si="1"/>
        <v>360</v>
      </c>
      <c r="Q17" s="113">
        <f t="shared" si="1"/>
        <v>21</v>
      </c>
      <c r="R17" s="113">
        <f t="shared" si="1"/>
        <v>105.358</v>
      </c>
      <c r="S17" s="113">
        <f t="shared" si="1"/>
        <v>84.242999999999995</v>
      </c>
      <c r="T17" s="113">
        <f t="shared" si="1"/>
        <v>11</v>
      </c>
      <c r="U17" s="113">
        <f t="shared" si="1"/>
        <v>675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4795.0990000000002</v>
      </c>
      <c r="K18" s="115">
        <f>+SUMIF($F$24:$F$251,"Group",$K$24:$K$251)</f>
        <v>4795.0990000000002</v>
      </c>
      <c r="L18" s="116">
        <f>SUMIF($F$24:$F$251,"Group",$L$24:$L$251)</f>
        <v>0</v>
      </c>
      <c r="M18" s="112"/>
      <c r="N18" s="116">
        <f t="shared" ref="N18:Y18" si="3">+SUMIF($F$24:$F$251,"Group",N$24:N$251)</f>
        <v>1747.1790000000001</v>
      </c>
      <c r="O18" s="116">
        <f t="shared" si="3"/>
        <v>640.23699999999997</v>
      </c>
      <c r="P18" s="116">
        <f t="shared" si="3"/>
        <v>121</v>
      </c>
      <c r="Q18" s="116">
        <f t="shared" si="3"/>
        <v>410.68299999999999</v>
      </c>
      <c r="R18" s="116">
        <f t="shared" si="3"/>
        <v>0</v>
      </c>
      <c r="S18" s="116">
        <f t="shared" si="3"/>
        <v>124</v>
      </c>
      <c r="T18" s="116">
        <f t="shared" si="3"/>
        <v>450</v>
      </c>
      <c r="U18" s="116">
        <f t="shared" si="3"/>
        <v>1302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12199.179</v>
      </c>
      <c r="K19" s="117">
        <f>SUM(K17:K18)</f>
        <v>12199.179</v>
      </c>
      <c r="L19" s="118">
        <f>SUM(L17:L18)</f>
        <v>0</v>
      </c>
      <c r="M19" s="119"/>
      <c r="N19" s="118">
        <f>SUM(N17:N18)</f>
        <v>6215.86</v>
      </c>
      <c r="O19" s="118">
        <f t="shared" ref="O19:Y19" si="5">SUM(O17:O18)</f>
        <v>2319.0349999999999</v>
      </c>
      <c r="P19" s="118">
        <f t="shared" si="5"/>
        <v>481</v>
      </c>
      <c r="Q19" s="118">
        <f t="shared" si="5"/>
        <v>431.68299999999999</v>
      </c>
      <c r="R19" s="118">
        <f t="shared" si="5"/>
        <v>105.358</v>
      </c>
      <c r="S19" s="118">
        <f t="shared" si="5"/>
        <v>208.24299999999999</v>
      </c>
      <c r="T19" s="118">
        <f t="shared" si="5"/>
        <v>461</v>
      </c>
      <c r="U19" s="118">
        <f t="shared" si="5"/>
        <v>1977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287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3331.75</v>
      </c>
      <c r="K24" s="121">
        <f t="shared" ref="K24" si="8">SUM(N24:Y24)</f>
        <v>3331.75</v>
      </c>
      <c r="L24" s="121">
        <f t="shared" ref="L24" si="9">SUM(AA24:AL24)</f>
        <v>0</v>
      </c>
      <c r="M24" s="25"/>
      <c r="N24" s="26">
        <f>1235.283-53.533+141</f>
        <v>1322.75</v>
      </c>
      <c r="O24" s="26">
        <f>50+56</f>
        <v>106</v>
      </c>
      <c r="P24" s="26">
        <v>1</v>
      </c>
      <c r="Q24" s="26">
        <v>26</v>
      </c>
      <c r="R24" s="26"/>
      <c r="S24" s="26">
        <v>124</v>
      </c>
      <c r="T24" s="26">
        <f>500-1-26-23</f>
        <v>450</v>
      </c>
      <c r="U24" s="200">
        <f>1600-141-56+23-124</f>
        <v>1302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16.780999999999999</v>
      </c>
      <c r="K25" s="121">
        <f t="shared" ref="K25:K88" si="11">SUM(N25:Y25)</f>
        <v>16.780999999999999</v>
      </c>
      <c r="L25" s="121">
        <f t="shared" ref="L25:L88" si="12">SUM(AA25:AL25)</f>
        <v>0</v>
      </c>
      <c r="M25" s="25"/>
      <c r="N25" s="26">
        <f>7.781-3</f>
        <v>4.7809999999999997</v>
      </c>
      <c r="O25" s="26"/>
      <c r="P25" s="26">
        <f>9+3</f>
        <v>12</v>
      </c>
      <c r="Q25" s="26"/>
      <c r="R25" s="26"/>
      <c r="S25" s="26"/>
      <c r="T25" s="26"/>
      <c r="U25" s="200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166.23000000000002</v>
      </c>
      <c r="K26" s="121">
        <f t="shared" si="11"/>
        <v>166.23000000000002</v>
      </c>
      <c r="L26" s="121">
        <f t="shared" si="12"/>
        <v>0</v>
      </c>
      <c r="M26" s="25"/>
      <c r="N26" s="26">
        <f>33-1.568-10</f>
        <v>21.431999999999999</v>
      </c>
      <c r="O26" s="26"/>
      <c r="P26" s="26"/>
      <c r="Q26" s="26">
        <f>144.711+10-8.265-0.531-1.117</f>
        <v>144.79800000000003</v>
      </c>
      <c r="R26" s="26"/>
      <c r="S26" s="26"/>
      <c r="T26" s="26"/>
      <c r="U26" s="200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3.2589999999999999</v>
      </c>
      <c r="K27" s="121">
        <f t="shared" si="11"/>
        <v>3.2589999999999999</v>
      </c>
      <c r="L27" s="121">
        <f t="shared" si="12"/>
        <v>0</v>
      </c>
      <c r="M27" s="25"/>
      <c r="N27" s="26">
        <v>3.2589999999999999</v>
      </c>
      <c r="O27" s="26"/>
      <c r="P27" s="26"/>
      <c r="Q27" s="26"/>
      <c r="R27" s="26"/>
      <c r="S27" s="26"/>
      <c r="T27" s="26"/>
      <c r="U27" s="200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191</v>
      </c>
      <c r="K28" s="121">
        <f t="shared" si="11"/>
        <v>191</v>
      </c>
      <c r="L28" s="121">
        <f t="shared" si="12"/>
        <v>0</v>
      </c>
      <c r="M28" s="25"/>
      <c r="N28" s="26"/>
      <c r="O28" s="26">
        <f>120+14+57</f>
        <v>191</v>
      </c>
      <c r="P28" s="26"/>
      <c r="Q28" s="26"/>
      <c r="R28" s="26"/>
      <c r="S28" s="26"/>
      <c r="T28" s="26"/>
      <c r="U28" s="200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5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>
        <v>3.5</v>
      </c>
      <c r="P29" s="26"/>
      <c r="Q29" s="26"/>
      <c r="R29" s="26"/>
      <c r="S29" s="26"/>
      <c r="T29" s="26"/>
      <c r="U29" s="200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153.29400000000001</v>
      </c>
      <c r="K30" s="121">
        <f t="shared" si="11"/>
        <v>153.29400000000001</v>
      </c>
      <c r="L30" s="121">
        <f t="shared" si="12"/>
        <v>0</v>
      </c>
      <c r="M30" s="25"/>
      <c r="N30" s="26"/>
      <c r="O30" s="26">
        <f>150.294+3</f>
        <v>153.29400000000001</v>
      </c>
      <c r="P30" s="26"/>
      <c r="Q30" s="26"/>
      <c r="R30" s="26"/>
      <c r="S30" s="26"/>
      <c r="T30" s="26"/>
      <c r="U30" s="200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1.4430000000000001</v>
      </c>
      <c r="K31" s="121">
        <f t="shared" si="11"/>
        <v>1.4430000000000001</v>
      </c>
      <c r="L31" s="121">
        <f t="shared" si="12"/>
        <v>0</v>
      </c>
      <c r="M31" s="25"/>
      <c r="N31" s="26"/>
      <c r="O31" s="26">
        <f>1.75-0.307</f>
        <v>1.4430000000000001</v>
      </c>
      <c r="P31" s="26"/>
      <c r="Q31" s="26"/>
      <c r="R31" s="26"/>
      <c r="S31" s="26"/>
      <c r="T31" s="26"/>
      <c r="U31" s="200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237</v>
      </c>
      <c r="H32" s="197"/>
      <c r="I32" s="195" t="s">
        <v>234</v>
      </c>
      <c r="J32" s="120">
        <f t="shared" si="10"/>
        <v>412.89499999999998</v>
      </c>
      <c r="K32" s="121">
        <f t="shared" si="11"/>
        <v>412.89499999999998</v>
      </c>
      <c r="L32" s="121">
        <f t="shared" si="12"/>
        <v>0</v>
      </c>
      <c r="M32" s="17"/>
      <c r="N32" s="26">
        <f>121.936-3.041+13</f>
        <v>131.89500000000001</v>
      </c>
      <c r="O32" s="26">
        <f>264-13-68</f>
        <v>183</v>
      </c>
      <c r="P32" s="26">
        <f>68+30</f>
        <v>98</v>
      </c>
      <c r="Q32" s="26"/>
      <c r="R32" s="26"/>
      <c r="S32" s="26"/>
      <c r="T32" s="26"/>
      <c r="U32" s="200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254.566</v>
      </c>
      <c r="K33" s="121">
        <f t="shared" si="11"/>
        <v>254.566</v>
      </c>
      <c r="L33" s="121">
        <f t="shared" si="12"/>
        <v>0</v>
      </c>
      <c r="M33" s="17"/>
      <c r="N33" s="26">
        <f>79.566+60+115</f>
        <v>254.566</v>
      </c>
      <c r="O33" s="26"/>
      <c r="P33" s="26"/>
      <c r="Q33" s="26"/>
      <c r="R33" s="26"/>
      <c r="S33" s="26"/>
      <c r="T33" s="26"/>
      <c r="U33" s="200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ref="J34" si="13">+K34+L34</f>
        <v>10</v>
      </c>
      <c r="K34" s="121">
        <f t="shared" ref="K34" si="14">SUM(N34:Y34)</f>
        <v>10</v>
      </c>
      <c r="L34" s="121">
        <f t="shared" ref="L34" si="15">SUM(AA34:AL34)</f>
        <v>0</v>
      </c>
      <c r="M34" s="17"/>
      <c r="N34" s="26"/>
      <c r="O34" s="26"/>
      <c r="P34" s="26"/>
      <c r="Q34" s="26">
        <v>10</v>
      </c>
      <c r="R34" s="26"/>
      <c r="S34" s="26"/>
      <c r="T34" s="26"/>
      <c r="U34" s="200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34.495999999999995</v>
      </c>
      <c r="K35" s="121">
        <f t="shared" si="11"/>
        <v>34.495999999999995</v>
      </c>
      <c r="L35" s="121">
        <f t="shared" si="12"/>
        <v>0</v>
      </c>
      <c r="M35" s="17"/>
      <c r="N35" s="26">
        <f>24.496-16</f>
        <v>8.4959999999999987</v>
      </c>
      <c r="O35" s="26">
        <f>10-8</f>
        <v>2</v>
      </c>
      <c r="P35" s="26">
        <f>16+8-14</f>
        <v>10</v>
      </c>
      <c r="Q35" s="26">
        <v>14</v>
      </c>
      <c r="R35" s="26"/>
      <c r="S35" s="26"/>
      <c r="T35" s="26"/>
      <c r="U35" s="200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103</v>
      </c>
      <c r="F36" s="9" t="s">
        <v>10</v>
      </c>
      <c r="G36" s="9" t="s">
        <v>241</v>
      </c>
      <c r="H36" s="197"/>
      <c r="I36" s="195" t="s">
        <v>234</v>
      </c>
      <c r="J36" s="120">
        <f t="shared" si="10"/>
        <v>128.23099999999999</v>
      </c>
      <c r="K36" s="121">
        <f t="shared" si="11"/>
        <v>128.23099999999999</v>
      </c>
      <c r="L36" s="121">
        <f t="shared" si="12"/>
        <v>0</v>
      </c>
      <c r="M36" s="17"/>
      <c r="N36" s="26"/>
      <c r="O36" s="26"/>
      <c r="P36" s="26"/>
      <c r="Q36" s="26">
        <f>54.965+50+23.266</f>
        <v>128.23099999999999</v>
      </c>
      <c r="R36" s="26"/>
      <c r="S36" s="26"/>
      <c r="T36" s="26"/>
      <c r="U36" s="200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242</v>
      </c>
      <c r="F37" s="9" t="s">
        <v>10</v>
      </c>
      <c r="G37" s="9" t="s">
        <v>243</v>
      </c>
      <c r="H37" s="197"/>
      <c r="I37" s="195" t="s">
        <v>234</v>
      </c>
      <c r="J37" s="120">
        <f t="shared" si="10"/>
        <v>87.653999999999996</v>
      </c>
      <c r="K37" s="121">
        <f t="shared" si="11"/>
        <v>87.653999999999996</v>
      </c>
      <c r="L37" s="121">
        <f t="shared" si="12"/>
        <v>0</v>
      </c>
      <c r="M37" s="17"/>
      <c r="N37" s="26"/>
      <c r="O37" s="26"/>
      <c r="P37" s="26"/>
      <c r="Q37" s="26">
        <v>87.653999999999996</v>
      </c>
      <c r="R37" s="26"/>
      <c r="S37" s="26"/>
      <c r="T37" s="26"/>
      <c r="U37" s="200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349.22300000000001</v>
      </c>
      <c r="K38" s="121">
        <f t="shared" si="11"/>
        <v>349.22300000000001</v>
      </c>
      <c r="L38" s="121">
        <f t="shared" si="12"/>
        <v>0</v>
      </c>
      <c r="M38" s="17"/>
      <c r="N38" s="26">
        <f>103.223+30</f>
        <v>133.22300000000001</v>
      </c>
      <c r="O38" s="26">
        <v>216</v>
      </c>
      <c r="P38" s="26"/>
      <c r="Q38" s="26"/>
      <c r="R38" s="26"/>
      <c r="S38" s="26"/>
      <c r="T38" s="26"/>
      <c r="U38" s="200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244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1654.3739999999998</v>
      </c>
      <c r="K39" s="121">
        <f t="shared" si="11"/>
        <v>1654.3739999999998</v>
      </c>
      <c r="L39" s="121">
        <f t="shared" si="12"/>
        <v>0</v>
      </c>
      <c r="M39" s="17"/>
      <c r="N39" s="26">
        <v>1621.7959999999998</v>
      </c>
      <c r="O39" s="26">
        <v>32.578000000000003</v>
      </c>
      <c r="P39" s="26"/>
      <c r="Q39" s="26"/>
      <c r="R39" s="26"/>
      <c r="S39" s="26"/>
      <c r="T39" s="26"/>
      <c r="U39" s="200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276</v>
      </c>
      <c r="F40" s="9" t="s">
        <v>40</v>
      </c>
      <c r="G40" s="9" t="s">
        <v>277</v>
      </c>
      <c r="H40" s="197"/>
      <c r="I40" s="195" t="s">
        <v>234</v>
      </c>
      <c r="J40" s="120">
        <f t="shared" si="10"/>
        <v>186.46299999999999</v>
      </c>
      <c r="K40" s="121">
        <f t="shared" si="11"/>
        <v>186.46299999999999</v>
      </c>
      <c r="L40" s="121">
        <f t="shared" si="12"/>
        <v>0</v>
      </c>
      <c r="M40" s="17"/>
      <c r="N40" s="26">
        <v>186.46299999999999</v>
      </c>
      <c r="O40" s="26"/>
      <c r="P40" s="26"/>
      <c r="Q40" s="26"/>
      <c r="R40" s="26"/>
      <c r="S40" s="26"/>
      <c r="T40" s="26"/>
      <c r="U40" s="200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281</v>
      </c>
      <c r="H41" s="197"/>
      <c r="I41" s="195" t="s">
        <v>234</v>
      </c>
      <c r="J41" s="120">
        <f t="shared" si="10"/>
        <v>113</v>
      </c>
      <c r="K41" s="121">
        <f t="shared" si="11"/>
        <v>113</v>
      </c>
      <c r="L41" s="121">
        <f t="shared" si="12"/>
        <v>0</v>
      </c>
      <c r="M41" s="17"/>
      <c r="N41" s="26">
        <f>113</f>
        <v>113</v>
      </c>
      <c r="O41" s="26"/>
      <c r="P41" s="26"/>
      <c r="Q41" s="26"/>
      <c r="R41" s="26"/>
      <c r="S41" s="26"/>
      <c r="T41" s="26"/>
      <c r="U41" s="200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256</v>
      </c>
      <c r="F42" s="9" t="s">
        <v>40</v>
      </c>
      <c r="G42" s="9" t="s">
        <v>257</v>
      </c>
      <c r="H42" s="197"/>
      <c r="I42" s="195" t="s">
        <v>234</v>
      </c>
      <c r="J42" s="120">
        <f t="shared" si="10"/>
        <v>622.20100000000002</v>
      </c>
      <c r="K42" s="121">
        <f t="shared" si="11"/>
        <v>622.20100000000002</v>
      </c>
      <c r="L42" s="121">
        <f t="shared" si="12"/>
        <v>0</v>
      </c>
      <c r="M42" s="17"/>
      <c r="N42" s="26">
        <f>321-13.799-305+8</f>
        <v>10.201000000000022</v>
      </c>
      <c r="O42" s="26">
        <f>138+62</f>
        <v>200</v>
      </c>
      <c r="P42" s="26">
        <f>100+77+15</f>
        <v>192</v>
      </c>
      <c r="Q42" s="26"/>
      <c r="R42" s="26"/>
      <c r="S42" s="26">
        <v>28</v>
      </c>
      <c r="T42" s="26"/>
      <c r="U42" s="200">
        <f>305-62-15-28-8</f>
        <v>192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264</v>
      </c>
      <c r="F43" s="9" t="s">
        <v>40</v>
      </c>
      <c r="G43" s="9" t="s">
        <v>265</v>
      </c>
      <c r="H43" s="198"/>
      <c r="I43" s="195" t="s">
        <v>234</v>
      </c>
      <c r="J43" s="120">
        <f t="shared" si="10"/>
        <v>163.24299999999999</v>
      </c>
      <c r="K43" s="121">
        <f t="shared" si="11"/>
        <v>163.24299999999999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>
        <f>35.814-22.571+10+33</f>
        <v>56.242999999999995</v>
      </c>
      <c r="T43" s="26"/>
      <c r="U43" s="200">
        <f>140-33</f>
        <v>107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258</v>
      </c>
      <c r="F44" s="9" t="s">
        <v>40</v>
      </c>
      <c r="G44" s="9" t="s">
        <v>259</v>
      </c>
      <c r="H44" s="198"/>
      <c r="I44" s="195" t="s">
        <v>234</v>
      </c>
      <c r="J44" s="120">
        <f t="shared" si="10"/>
        <v>321.58</v>
      </c>
      <c r="K44" s="121">
        <f t="shared" si="11"/>
        <v>321.58</v>
      </c>
      <c r="L44" s="121">
        <f t="shared" si="12"/>
        <v>0</v>
      </c>
      <c r="M44" s="17"/>
      <c r="N44" s="26">
        <v>255.57999999999998</v>
      </c>
      <c r="O44" s="26">
        <v>66</v>
      </c>
      <c r="P44" s="26"/>
      <c r="Q44" s="26"/>
      <c r="R44" s="26"/>
      <c r="S44" s="26"/>
      <c r="T44" s="26"/>
      <c r="U44" s="200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250</v>
      </c>
      <c r="F45" s="9" t="s">
        <v>40</v>
      </c>
      <c r="G45" s="9" t="s">
        <v>251</v>
      </c>
      <c r="H45" s="198"/>
      <c r="I45" s="195" t="s">
        <v>247</v>
      </c>
      <c r="J45" s="120">
        <f t="shared" si="10"/>
        <v>1815.4779999999998</v>
      </c>
      <c r="K45" s="121">
        <f t="shared" si="11"/>
        <v>1815.4779999999998</v>
      </c>
      <c r="L45" s="121">
        <f t="shared" si="12"/>
        <v>0</v>
      </c>
      <c r="M45" s="17"/>
      <c r="N45" s="26">
        <f>775.12-54</f>
        <v>721.12</v>
      </c>
      <c r="O45" s="26">
        <f>491-16</f>
        <v>475</v>
      </c>
      <c r="P45" s="26">
        <f>89+49</f>
        <v>138</v>
      </c>
      <c r="Q45" s="26"/>
      <c r="R45" s="26">
        <f>460.358-355</f>
        <v>105.358</v>
      </c>
      <c r="S45" s="26"/>
      <c r="T45" s="199"/>
      <c r="U45" s="200">
        <f>54+16-49+355</f>
        <v>376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254</v>
      </c>
      <c r="F46" s="9" t="s">
        <v>40</v>
      </c>
      <c r="G46" s="9" t="s">
        <v>255</v>
      </c>
      <c r="H46" s="195"/>
      <c r="I46" s="195" t="s">
        <v>247</v>
      </c>
      <c r="J46" s="120">
        <f t="shared" si="10"/>
        <v>505.91899999999998</v>
      </c>
      <c r="K46" s="121">
        <f t="shared" si="11"/>
        <v>505.91899999999998</v>
      </c>
      <c r="L46" s="121">
        <f t="shared" si="12"/>
        <v>0</v>
      </c>
      <c r="M46" s="17"/>
      <c r="N46" s="26">
        <f>133.919+87</f>
        <v>220.91900000000001</v>
      </c>
      <c r="O46" s="26">
        <f>351-87-2</f>
        <v>262</v>
      </c>
      <c r="P46" s="26">
        <f>7+2+14</f>
        <v>23</v>
      </c>
      <c r="Q46" s="26"/>
      <c r="R46" s="26"/>
      <c r="S46" s="26"/>
      <c r="T46" s="26"/>
      <c r="U46" s="200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267</v>
      </c>
      <c r="F47" s="9" t="s">
        <v>40</v>
      </c>
      <c r="G47" s="9" t="s">
        <v>268</v>
      </c>
      <c r="H47" s="195"/>
      <c r="I47" s="195" t="s">
        <v>247</v>
      </c>
      <c r="J47" s="120">
        <f t="shared" si="10"/>
        <v>15.048999999999999</v>
      </c>
      <c r="K47" s="121">
        <f t="shared" si="11"/>
        <v>15.048999999999999</v>
      </c>
      <c r="L47" s="121">
        <f t="shared" si="12"/>
        <v>0</v>
      </c>
      <c r="M47" s="17"/>
      <c r="N47" s="26">
        <f>15.049-7</f>
        <v>8.0489999999999995</v>
      </c>
      <c r="O47" s="26"/>
      <c r="P47" s="26">
        <f>7</f>
        <v>7</v>
      </c>
      <c r="Q47" s="26"/>
      <c r="R47" s="26"/>
      <c r="S47" s="26"/>
      <c r="T47" s="26"/>
      <c r="U47" s="200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246</v>
      </c>
      <c r="F48" s="9" t="s">
        <v>40</v>
      </c>
      <c r="G48" s="9" t="s">
        <v>246</v>
      </c>
      <c r="H48" s="196"/>
      <c r="I48" s="195" t="s">
        <v>247</v>
      </c>
      <c r="J48" s="120">
        <f t="shared" si="10"/>
        <v>309.072</v>
      </c>
      <c r="K48" s="121">
        <f t="shared" si="11"/>
        <v>309.072</v>
      </c>
      <c r="L48" s="121">
        <f t="shared" si="12"/>
        <v>0</v>
      </c>
      <c r="M48" s="17"/>
      <c r="N48" s="26">
        <f>7.89300000000001-6</f>
        <v>1.8930000000000096</v>
      </c>
      <c r="O48" s="26">
        <f>249.179+6+52</f>
        <v>307.17899999999997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248</v>
      </c>
      <c r="F49" s="9" t="s">
        <v>40</v>
      </c>
      <c r="G49" s="9" t="s">
        <v>249</v>
      </c>
      <c r="H49" s="197"/>
      <c r="I49" s="195" t="s">
        <v>247</v>
      </c>
      <c r="J49" s="120">
        <f t="shared" si="10"/>
        <v>590.41300000000001</v>
      </c>
      <c r="K49" s="121">
        <f t="shared" si="11"/>
        <v>590.41300000000001</v>
      </c>
      <c r="L49" s="121">
        <f t="shared" si="12"/>
        <v>0</v>
      </c>
      <c r="M49" s="17"/>
      <c r="N49" s="26">
        <v>558.41300000000001</v>
      </c>
      <c r="O49" s="26"/>
      <c r="P49" s="26"/>
      <c r="Q49" s="26">
        <v>21</v>
      </c>
      <c r="R49" s="26"/>
      <c r="S49" s="26"/>
      <c r="T49" s="26">
        <v>11</v>
      </c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7"/>
      <c r="I50" s="195" t="s">
        <v>247</v>
      </c>
      <c r="J50" s="120">
        <f t="shared" si="10"/>
        <v>1.0820000000000007</v>
      </c>
      <c r="K50" s="121">
        <f t="shared" si="11"/>
        <v>1.0820000000000007</v>
      </c>
      <c r="L50" s="121">
        <f t="shared" si="12"/>
        <v>0</v>
      </c>
      <c r="M50" s="17"/>
      <c r="N50" s="26">
        <v>1.0820000000000007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252</v>
      </c>
      <c r="F51" s="9" t="s">
        <v>40</v>
      </c>
      <c r="G51" s="9" t="s">
        <v>253</v>
      </c>
      <c r="H51" s="197"/>
      <c r="I51" s="195" t="s">
        <v>247</v>
      </c>
      <c r="J51" s="120">
        <f t="shared" si="10"/>
        <v>170.88800000000001</v>
      </c>
      <c r="K51" s="121">
        <f t="shared" si="11"/>
        <v>170.88800000000001</v>
      </c>
      <c r="L51" s="121">
        <f t="shared" si="12"/>
        <v>0</v>
      </c>
      <c r="M51" s="17"/>
      <c r="N51" s="26">
        <f>173.119-1.331-0.9</f>
        <v>170.88800000000001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260</v>
      </c>
      <c r="F52" s="9" t="s">
        <v>40</v>
      </c>
      <c r="G52" s="9" t="s">
        <v>261</v>
      </c>
      <c r="H52" s="197"/>
      <c r="I52" s="195" t="s">
        <v>247</v>
      </c>
      <c r="J52" s="120">
        <f t="shared" si="10"/>
        <v>72.174999999999997</v>
      </c>
      <c r="K52" s="121">
        <f t="shared" si="11"/>
        <v>72.174999999999997</v>
      </c>
      <c r="L52" s="121">
        <f t="shared" si="12"/>
        <v>0</v>
      </c>
      <c r="M52" s="17"/>
      <c r="N52" s="26">
        <f>74.331-27.197-20</f>
        <v>27.134</v>
      </c>
      <c r="O52" s="26">
        <f>20+14.041+11</f>
        <v>45.040999999999997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279</v>
      </c>
      <c r="F53" s="9" t="s">
        <v>40</v>
      </c>
      <c r="G53" s="9" t="s">
        <v>283</v>
      </c>
      <c r="H53" s="197"/>
      <c r="I53" s="195" t="s">
        <v>247</v>
      </c>
      <c r="J53" s="120">
        <f t="shared" si="10"/>
        <v>12.688000000000001</v>
      </c>
      <c r="K53" s="121">
        <f t="shared" si="11"/>
        <v>12.688000000000001</v>
      </c>
      <c r="L53" s="121">
        <f t="shared" si="12"/>
        <v>0</v>
      </c>
      <c r="M53" s="17"/>
      <c r="N53" s="26">
        <v>12.688000000000001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7"/>
      <c r="I54" s="195" t="s">
        <v>247</v>
      </c>
      <c r="J54" s="120">
        <f t="shared" si="10"/>
        <v>232.38800000000001</v>
      </c>
      <c r="K54" s="121">
        <f t="shared" si="11"/>
        <v>232.38800000000001</v>
      </c>
      <c r="L54" s="121">
        <f t="shared" si="12"/>
        <v>0</v>
      </c>
      <c r="M54" s="17"/>
      <c r="N54" s="26">
        <v>232.38800000000001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270</v>
      </c>
      <c r="F55" s="9" t="s">
        <v>40</v>
      </c>
      <c r="G55" s="9" t="s">
        <v>270</v>
      </c>
      <c r="H55" s="197"/>
      <c r="I55" s="195" t="s">
        <v>247</v>
      </c>
      <c r="J55" s="120">
        <f t="shared" si="10"/>
        <v>8.4499999999999993</v>
      </c>
      <c r="K55" s="121">
        <f t="shared" si="11"/>
        <v>8.4499999999999993</v>
      </c>
      <c r="L55" s="121">
        <f t="shared" si="12"/>
        <v>0</v>
      </c>
      <c r="M55" s="17"/>
      <c r="N55" s="26">
        <v>8.4499999999999993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271</v>
      </c>
      <c r="F56" s="9" t="s">
        <v>40</v>
      </c>
      <c r="G56" s="9" t="s">
        <v>272</v>
      </c>
      <c r="H56" s="197"/>
      <c r="I56" s="195" t="s">
        <v>247</v>
      </c>
      <c r="J56" s="120">
        <f t="shared" si="10"/>
        <v>242.38800000000001</v>
      </c>
      <c r="K56" s="121">
        <f t="shared" si="11"/>
        <v>242.38800000000001</v>
      </c>
      <c r="L56" s="121">
        <f t="shared" si="12"/>
        <v>0</v>
      </c>
      <c r="M56" s="17"/>
      <c r="N56" s="26">
        <f>100.388+60+12</f>
        <v>172.38800000000001</v>
      </c>
      <c r="O56" s="26">
        <v>70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273</v>
      </c>
      <c r="F57" s="9" t="s">
        <v>40</v>
      </c>
      <c r="G57" s="9" t="s">
        <v>274</v>
      </c>
      <c r="H57" s="197"/>
      <c r="I57" s="195" t="s">
        <v>247</v>
      </c>
      <c r="J57" s="120">
        <f t="shared" si="10"/>
        <v>18.006</v>
      </c>
      <c r="K57" s="121">
        <f t="shared" si="11"/>
        <v>18.006</v>
      </c>
      <c r="L57" s="121">
        <f t="shared" si="12"/>
        <v>0</v>
      </c>
      <c r="M57" s="17"/>
      <c r="N57" s="26">
        <f>5.006+5+3</f>
        <v>13.006</v>
      </c>
      <c r="O57" s="26">
        <v>5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6">+K89+L89</f>
        <v>0</v>
      </c>
      <c r="K89" s="121">
        <f t="shared" ref="K89:K152" si="17">SUM(N89:Y89)</f>
        <v>0</v>
      </c>
      <c r="L89" s="121">
        <f t="shared" ref="L89:L152" si="18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9">+K153+L153</f>
        <v>0</v>
      </c>
      <c r="K153" s="121">
        <f t="shared" ref="K153:K216" si="20">SUM(N153:Y153)</f>
        <v>0</v>
      </c>
      <c r="L153" s="121">
        <f t="shared" ref="L153:L216" si="21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2">+K217+L217</f>
        <v>0</v>
      </c>
      <c r="K217" s="121">
        <f t="shared" ref="K217:K252" si="23">SUM(N217:Y217)</f>
        <v>0</v>
      </c>
      <c r="L217" s="121">
        <f t="shared" ref="L217:L252" si="24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2"/>
        <v>0</v>
      </c>
      <c r="K252" s="121">
        <f t="shared" si="23"/>
        <v>0</v>
      </c>
      <c r="L252" s="121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4"/>
  <sheetViews>
    <sheetView showGridLines="0" topLeftCell="C1" zoomScale="80" zoomScaleNormal="80" workbookViewId="0">
      <selection activeCell="L23" sqref="L2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2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253.44399999999999</v>
      </c>
      <c r="I10" s="63"/>
      <c r="J10" s="162">
        <f>0+65.798+187.646</f>
        <v>253.44399999999999</v>
      </c>
      <c r="L10" s="162">
        <f>J10+N17</f>
        <v>4208.6889999999994</v>
      </c>
      <c r="N10" s="57"/>
      <c r="O10" s="173">
        <f>+H10+K17</f>
        <v>7633.3990000000003</v>
      </c>
      <c r="P10" s="174" cm="1">
        <f t="array" aca="1" ref="P10" ca="1">INDIRECT(ADDRESS(10,15,,,VLOOKUP($G$4,parameters!$G:$I,3,0)))</f>
        <v>7469.8779999999997</v>
      </c>
      <c r="Q10" s="186">
        <f ca="1">O10-P10</f>
        <v>163.52100000000064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141.96499999999997</v>
      </c>
      <c r="I11" s="63"/>
      <c r="J11" s="18">
        <f>0+68.362+73.603</f>
        <v>141.96499999999997</v>
      </c>
      <c r="L11" s="18">
        <f>J11+N18</f>
        <v>1894.1049999999998</v>
      </c>
      <c r="N11" s="57"/>
      <c r="O11" s="155">
        <f>+H11+K18</f>
        <v>4891.1360000000004</v>
      </c>
      <c r="P11" s="156" cm="1">
        <f t="array" aca="1" ref="P11" ca="1">INDIRECT(ADDRESS(11,15,,,VLOOKUP($G$4,parameters!$G:$I,3,0)))</f>
        <v>4863.4610000000002</v>
      </c>
      <c r="Q11" s="187">
        <f t="shared" ref="Q11:Q12" ca="1" si="0">O11-P11</f>
        <v>27.675000000000182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395.40899999999999</v>
      </c>
      <c r="I12" s="63"/>
      <c r="J12" s="128">
        <f>SUM(J10:J11)</f>
        <v>395.40899999999999</v>
      </c>
      <c r="K12" s="67"/>
      <c r="L12" s="128">
        <f>SUM(L10:L11)</f>
        <v>6102.793999999999</v>
      </c>
      <c r="M12" s="67"/>
      <c r="N12" s="67"/>
      <c r="O12" s="157">
        <f>SUM(O10:O11)</f>
        <v>12524.535</v>
      </c>
      <c r="P12" s="158">
        <f ca="1">SUM(P10:P11)</f>
        <v>12333.339</v>
      </c>
      <c r="Q12" s="159">
        <f t="shared" ca="1" si="0"/>
        <v>191.19599999999991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+SUMIF($F$24:$F$253,"External",$J$24:$J$253)</f>
        <v>7379.9549999999999</v>
      </c>
      <c r="K17" s="110">
        <f>+SUMIF($F$24:$F$253,"External",$K$24:$K$253)</f>
        <v>7379.9549999999999</v>
      </c>
      <c r="L17" s="111">
        <f>+SUMIF($F$24:$F$253,"External",$L$24:$L$253)</f>
        <v>0</v>
      </c>
      <c r="M17" s="112"/>
      <c r="N17" s="113">
        <f t="shared" ref="N17:Y17" si="1">+SUMIF($F$24:$F$253,"External",N$24:N$253)</f>
        <v>3955.2449999999994</v>
      </c>
      <c r="O17" s="113">
        <f t="shared" si="1"/>
        <v>1772.079</v>
      </c>
      <c r="P17" s="113">
        <f t="shared" si="1"/>
        <v>375.45</v>
      </c>
      <c r="Q17" s="113">
        <f t="shared" si="1"/>
        <v>21</v>
      </c>
      <c r="R17" s="113">
        <f t="shared" si="1"/>
        <v>105.358</v>
      </c>
      <c r="S17" s="113">
        <f t="shared" si="1"/>
        <v>374.24299999999999</v>
      </c>
      <c r="T17" s="113">
        <f t="shared" si="1"/>
        <v>11</v>
      </c>
      <c r="U17" s="113">
        <f t="shared" si="1"/>
        <v>765.58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+SUMIF($F$24:$F$253,"External",AA$24:AA$253)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+SUMIF($F$24:$F$253,"Group",$J$24:$J$253)</f>
        <v>4749.1710000000003</v>
      </c>
      <c r="K18" s="115">
        <f>+SUMIF($F$24:$F$253,"Group",$K$24:$K$253)</f>
        <v>4749.1710000000003</v>
      </c>
      <c r="L18" s="116">
        <f>SUMIF($F$24:$F$253,"Group",$L$24:$L$253)</f>
        <v>0</v>
      </c>
      <c r="M18" s="112"/>
      <c r="N18" s="116">
        <f t="shared" ref="N18:Y18" si="3">+SUMIF($F$24:$F$253,"Group",N$24:N$253)</f>
        <v>1752.1399999999999</v>
      </c>
      <c r="O18" s="116">
        <f t="shared" si="3"/>
        <v>496.74299999999999</v>
      </c>
      <c r="P18" s="116">
        <f t="shared" si="3"/>
        <v>119.32900000000001</v>
      </c>
      <c r="Q18" s="116">
        <f t="shared" si="3"/>
        <v>511.95900000000006</v>
      </c>
      <c r="R18" s="116">
        <f t="shared" si="3"/>
        <v>0</v>
      </c>
      <c r="S18" s="116">
        <f t="shared" si="3"/>
        <v>124</v>
      </c>
      <c r="T18" s="116">
        <f t="shared" si="3"/>
        <v>450</v>
      </c>
      <c r="U18" s="116">
        <f t="shared" si="3"/>
        <v>1295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+SUMIF($F$24:$F$253,"Group",AA$24:AA$253)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12129.126</v>
      </c>
      <c r="K19" s="117">
        <f>SUM(K17:K18)</f>
        <v>12129.126</v>
      </c>
      <c r="L19" s="118">
        <f>SUM(L17:L18)</f>
        <v>0</v>
      </c>
      <c r="M19" s="119"/>
      <c r="N19" s="118">
        <f>SUM(N17:N18)</f>
        <v>5707.3849999999993</v>
      </c>
      <c r="O19" s="118">
        <f t="shared" ref="O19:Y19" si="5">SUM(O17:O18)</f>
        <v>2268.8220000000001</v>
      </c>
      <c r="P19" s="118">
        <f t="shared" si="5"/>
        <v>494.779</v>
      </c>
      <c r="Q19" s="118">
        <f t="shared" si="5"/>
        <v>532.95900000000006</v>
      </c>
      <c r="R19" s="118">
        <f t="shared" si="5"/>
        <v>105.358</v>
      </c>
      <c r="S19" s="118">
        <f t="shared" si="5"/>
        <v>498.24299999999999</v>
      </c>
      <c r="T19" s="118">
        <f t="shared" si="5"/>
        <v>461</v>
      </c>
      <c r="U19" s="118">
        <f t="shared" si="5"/>
        <v>2060.58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3325.6489999999999</v>
      </c>
      <c r="K24" s="121">
        <f t="shared" ref="K24" si="8">SUM(N24:Y24)</f>
        <v>3325.6489999999999</v>
      </c>
      <c r="L24" s="121">
        <f t="shared" ref="L24" si="9">SUM(AA24:AL24)</f>
        <v>0</v>
      </c>
      <c r="M24" s="25"/>
      <c r="N24" s="26">
        <f>1322.75-6.101+7</f>
        <v>1323.6489999999999</v>
      </c>
      <c r="O24" s="26">
        <v>106</v>
      </c>
      <c r="P24" s="26">
        <v>1</v>
      </c>
      <c r="Q24" s="26">
        <v>26</v>
      </c>
      <c r="R24" s="26"/>
      <c r="S24" s="26">
        <v>124</v>
      </c>
      <c r="T24" s="26">
        <v>450</v>
      </c>
      <c r="U24" s="26">
        <f>1302-7</f>
        <v>1295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90" si="10">+K25+L25</f>
        <v>12.329000000000001</v>
      </c>
      <c r="K25" s="121">
        <f t="shared" ref="K25:K90" si="11">SUM(N25:Y25)</f>
        <v>12.329000000000001</v>
      </c>
      <c r="L25" s="121">
        <f t="shared" ref="L25:L90" si="12">SUM(AA25:AL25)</f>
        <v>0</v>
      </c>
      <c r="M25" s="25"/>
      <c r="N25" s="26">
        <v>5</v>
      </c>
      <c r="O25" s="26"/>
      <c r="P25" s="26">
        <f>4.781-4.295-0.157+12-5</f>
        <v>7.3290000000000006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148.39800000000002</v>
      </c>
      <c r="K26" s="121">
        <f t="shared" si="11"/>
        <v>148.39800000000002</v>
      </c>
      <c r="L26" s="121">
        <f t="shared" si="12"/>
        <v>0</v>
      </c>
      <c r="M26" s="25"/>
      <c r="N26" s="26">
        <f>21.432-17.832</f>
        <v>3.5999999999999979</v>
      </c>
      <c r="O26" s="26"/>
      <c r="P26" s="26"/>
      <c r="Q26" s="26">
        <v>144.79800000000003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 ht="15.75" customHeight="1">
      <c r="E27" s="9" t="s">
        <v>285</v>
      </c>
      <c r="F27" s="9" t="s">
        <v>10</v>
      </c>
      <c r="G27" s="9" t="s">
        <v>285</v>
      </c>
      <c r="H27" s="195"/>
      <c r="I27" s="195" t="s">
        <v>234</v>
      </c>
      <c r="J27" s="120">
        <f t="shared" ref="J27" si="13">+K27+L27</f>
        <v>4</v>
      </c>
      <c r="K27" s="121">
        <f t="shared" ref="K27" si="14">SUM(N27:Y27)</f>
        <v>4</v>
      </c>
      <c r="L27" s="121">
        <f t="shared" ref="L27" si="15">SUM(AA27:AL27)</f>
        <v>0</v>
      </c>
      <c r="M27" s="25"/>
      <c r="N27" s="26">
        <v>4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167</v>
      </c>
      <c r="F28" s="9" t="s">
        <v>10</v>
      </c>
      <c r="G28" s="9" t="s">
        <v>167</v>
      </c>
      <c r="H28" s="195"/>
      <c r="I28" s="9" t="s">
        <v>234</v>
      </c>
      <c r="J28" s="120">
        <f t="shared" si="10"/>
        <v>15.259</v>
      </c>
      <c r="K28" s="121">
        <f t="shared" si="11"/>
        <v>15.259</v>
      </c>
      <c r="L28" s="121">
        <f t="shared" si="12"/>
        <v>0</v>
      </c>
      <c r="M28" s="25"/>
      <c r="N28" s="26">
        <f>3.259+12</f>
        <v>15.259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106</v>
      </c>
      <c r="F29" s="9" t="s">
        <v>10</v>
      </c>
      <c r="G29" s="9" t="s">
        <v>106</v>
      </c>
      <c r="H29" s="195"/>
      <c r="I29" s="9" t="s">
        <v>234</v>
      </c>
      <c r="J29" s="120">
        <f t="shared" si="10"/>
        <v>197</v>
      </c>
      <c r="K29" s="121">
        <f t="shared" si="11"/>
        <v>197</v>
      </c>
      <c r="L29" s="121">
        <f t="shared" si="12"/>
        <v>0</v>
      </c>
      <c r="M29" s="25"/>
      <c r="N29" s="26">
        <v>3</v>
      </c>
      <c r="O29" s="26">
        <v>191</v>
      </c>
      <c r="P29" s="26">
        <v>3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236</v>
      </c>
      <c r="F30" s="9" t="s">
        <v>10</v>
      </c>
      <c r="G30" s="9" t="s">
        <v>236</v>
      </c>
      <c r="H30" s="196"/>
      <c r="I30" s="9" t="s">
        <v>234</v>
      </c>
      <c r="J30" s="120">
        <f t="shared" si="10"/>
        <v>3.5</v>
      </c>
      <c r="K30" s="121">
        <f t="shared" si="11"/>
        <v>3.5</v>
      </c>
      <c r="L30" s="121">
        <f t="shared" si="12"/>
        <v>0</v>
      </c>
      <c r="M30" s="25"/>
      <c r="N30" s="26"/>
      <c r="O30" s="26"/>
      <c r="P30" s="26"/>
      <c r="Q30" s="26">
        <v>3.5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275</v>
      </c>
      <c r="F31" s="9" t="s">
        <v>10</v>
      </c>
      <c r="G31" s="9" t="s">
        <v>275</v>
      </c>
      <c r="H31" s="197"/>
      <c r="I31" s="9" t="s">
        <v>234</v>
      </c>
      <c r="J31" s="120">
        <f t="shared" si="10"/>
        <v>109.77600000000001</v>
      </c>
      <c r="K31" s="121">
        <f t="shared" si="11"/>
        <v>109.77600000000001</v>
      </c>
      <c r="L31" s="121">
        <f t="shared" si="12"/>
        <v>0</v>
      </c>
      <c r="M31" s="25"/>
      <c r="N31" s="26"/>
      <c r="O31" s="26">
        <v>12</v>
      </c>
      <c r="P31" s="26"/>
      <c r="Q31" s="26">
        <f>153.294-43.518-12</f>
        <v>97.77600000000001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278</v>
      </c>
      <c r="F32" s="9" t="s">
        <v>10</v>
      </c>
      <c r="G32" s="9" t="s">
        <v>278</v>
      </c>
      <c r="H32" s="197"/>
      <c r="I32" s="9" t="s">
        <v>234</v>
      </c>
      <c r="J32" s="120">
        <f t="shared" si="10"/>
        <v>2.7430000000000003</v>
      </c>
      <c r="K32" s="121">
        <f t="shared" si="11"/>
        <v>2.7430000000000003</v>
      </c>
      <c r="L32" s="121">
        <f t="shared" si="12"/>
        <v>0</v>
      </c>
      <c r="M32" s="25"/>
      <c r="N32" s="26"/>
      <c r="O32" s="26">
        <f>1.443-1.7+3</f>
        <v>2.7430000000000003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237</v>
      </c>
      <c r="H33" s="197"/>
      <c r="I33" s="9" t="s">
        <v>234</v>
      </c>
      <c r="J33" s="120">
        <f t="shared" si="10"/>
        <v>412.89499999999998</v>
      </c>
      <c r="K33" s="121">
        <f t="shared" si="11"/>
        <v>412.89499999999998</v>
      </c>
      <c r="L33" s="121">
        <f t="shared" si="12"/>
        <v>0</v>
      </c>
      <c r="M33" s="17"/>
      <c r="N33" s="26">
        <v>131.89500000000001</v>
      </c>
      <c r="O33" s="26">
        <v>183</v>
      </c>
      <c r="P33" s="26">
        <v>98</v>
      </c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284</v>
      </c>
      <c r="F34" s="9" t="s">
        <v>10</v>
      </c>
      <c r="G34" s="9" t="s">
        <v>284</v>
      </c>
      <c r="H34" s="197"/>
      <c r="I34" s="9" t="s">
        <v>234</v>
      </c>
      <c r="J34" s="120">
        <f t="shared" ref="J34" si="16">+K34+L34</f>
        <v>2.6749999999999998</v>
      </c>
      <c r="K34" s="121">
        <f t="shared" ref="K34" si="17">SUM(N34:Y34)</f>
        <v>2.6749999999999998</v>
      </c>
      <c r="L34" s="121">
        <f t="shared" ref="L34" si="18">SUM(AA34:AL34)</f>
        <v>0</v>
      </c>
      <c r="M34" s="17"/>
      <c r="N34" s="26">
        <v>2.6749999999999998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144</v>
      </c>
      <c r="F35" s="9" t="s">
        <v>10</v>
      </c>
      <c r="G35" s="9" t="s">
        <v>238</v>
      </c>
      <c r="H35" s="197"/>
      <c r="I35" s="9" t="s">
        <v>234</v>
      </c>
      <c r="J35" s="120">
        <f t="shared" si="10"/>
        <v>254.566</v>
      </c>
      <c r="K35" s="121">
        <f t="shared" si="11"/>
        <v>254.566</v>
      </c>
      <c r="L35" s="121">
        <f t="shared" si="12"/>
        <v>0</v>
      </c>
      <c r="M35" s="17"/>
      <c r="N35" s="26">
        <v>254.566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207</v>
      </c>
      <c r="F36" s="9" t="s">
        <v>10</v>
      </c>
      <c r="G36" s="9" t="s">
        <v>239</v>
      </c>
      <c r="H36" s="197"/>
      <c r="I36" s="9" t="s">
        <v>234</v>
      </c>
      <c r="J36" s="120">
        <f t="shared" si="10"/>
        <v>10</v>
      </c>
      <c r="K36" s="121">
        <f t="shared" si="11"/>
        <v>10</v>
      </c>
      <c r="L36" s="121">
        <f t="shared" si="12"/>
        <v>0</v>
      </c>
      <c r="M36" s="17"/>
      <c r="N36" s="26"/>
      <c r="O36" s="26"/>
      <c r="P36" s="26"/>
      <c r="Q36" s="26">
        <v>10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9" t="s">
        <v>234</v>
      </c>
      <c r="J37" s="120">
        <f t="shared" si="10"/>
        <v>34.495999999999995</v>
      </c>
      <c r="K37" s="121">
        <f t="shared" si="11"/>
        <v>34.495999999999995</v>
      </c>
      <c r="L37" s="121">
        <f t="shared" si="12"/>
        <v>0</v>
      </c>
      <c r="M37" s="17"/>
      <c r="N37" s="26">
        <v>8.4959999999999987</v>
      </c>
      <c r="O37" s="26">
        <v>2</v>
      </c>
      <c r="P37" s="26">
        <v>10</v>
      </c>
      <c r="Q37" s="26">
        <v>14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103</v>
      </c>
      <c r="F38" s="9" t="s">
        <v>10</v>
      </c>
      <c r="G38" s="9" t="s">
        <v>241</v>
      </c>
      <c r="H38" s="197"/>
      <c r="I38" s="9" t="s">
        <v>234</v>
      </c>
      <c r="J38" s="120">
        <f t="shared" si="10"/>
        <v>128.23099999999999</v>
      </c>
      <c r="K38" s="121">
        <f t="shared" si="11"/>
        <v>128.23099999999999</v>
      </c>
      <c r="L38" s="121">
        <f t="shared" si="12"/>
        <v>0</v>
      </c>
      <c r="M38" s="17"/>
      <c r="N38" s="26"/>
      <c r="O38" s="26"/>
      <c r="P38" s="26"/>
      <c r="Q38" s="26">
        <v>128.23099999999999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242</v>
      </c>
      <c r="F39" s="9" t="s">
        <v>10</v>
      </c>
      <c r="G39" s="9" t="s">
        <v>243</v>
      </c>
      <c r="H39" s="197"/>
      <c r="I39" s="9" t="s">
        <v>234</v>
      </c>
      <c r="J39" s="120">
        <f t="shared" si="10"/>
        <v>87.653999999999996</v>
      </c>
      <c r="K39" s="121">
        <f t="shared" si="11"/>
        <v>87.653999999999996</v>
      </c>
      <c r="L39" s="121">
        <f t="shared" si="12"/>
        <v>0</v>
      </c>
      <c r="M39" s="17"/>
      <c r="N39" s="26"/>
      <c r="O39" s="26"/>
      <c r="P39" s="26"/>
      <c r="Q39" s="26">
        <v>87.653999999999996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262</v>
      </c>
      <c r="F40" s="9" t="s">
        <v>40</v>
      </c>
      <c r="G40" s="9" t="s">
        <v>263</v>
      </c>
      <c r="H40" s="197"/>
      <c r="I40" s="9" t="s">
        <v>234</v>
      </c>
      <c r="J40" s="120">
        <f t="shared" si="10"/>
        <v>349.22300000000001</v>
      </c>
      <c r="K40" s="121">
        <f t="shared" si="11"/>
        <v>349.22300000000001</v>
      </c>
      <c r="L40" s="121">
        <f t="shared" si="12"/>
        <v>0</v>
      </c>
      <c r="M40" s="17"/>
      <c r="N40" s="26">
        <v>133.22300000000001</v>
      </c>
      <c r="O40" s="26">
        <v>216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244</v>
      </c>
      <c r="F41" s="9" t="s">
        <v>40</v>
      </c>
      <c r="G41" s="9" t="s">
        <v>245</v>
      </c>
      <c r="H41" s="197"/>
      <c r="I41" s="9" t="s">
        <v>234</v>
      </c>
      <c r="J41" s="120">
        <f t="shared" si="10"/>
        <v>1644.9739999999999</v>
      </c>
      <c r="K41" s="121">
        <f t="shared" si="11"/>
        <v>1644.9739999999999</v>
      </c>
      <c r="L41" s="121">
        <f t="shared" si="12"/>
        <v>0</v>
      </c>
      <c r="M41" s="17"/>
      <c r="N41" s="26">
        <f>1621.796-15-9.4</f>
        <v>1597.396</v>
      </c>
      <c r="O41" s="26">
        <f>32.578+15-38</f>
        <v>9.578000000000003</v>
      </c>
      <c r="P41" s="26">
        <v>38</v>
      </c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276</v>
      </c>
      <c r="F42" s="9" t="s">
        <v>40</v>
      </c>
      <c r="G42" s="9" t="s">
        <v>277</v>
      </c>
      <c r="H42" s="197"/>
      <c r="I42" s="9" t="s">
        <v>234</v>
      </c>
      <c r="J42" s="120">
        <f t="shared" si="10"/>
        <v>186.46299999999999</v>
      </c>
      <c r="K42" s="121">
        <f t="shared" si="11"/>
        <v>186.46299999999999</v>
      </c>
      <c r="L42" s="121">
        <f t="shared" si="12"/>
        <v>0</v>
      </c>
      <c r="M42" s="17"/>
      <c r="N42" s="26">
        <v>186.46299999999999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280</v>
      </c>
      <c r="F43" s="9" t="s">
        <v>40</v>
      </c>
      <c r="G43" s="9" t="s">
        <v>281</v>
      </c>
      <c r="H43" s="197"/>
      <c r="I43" s="9" t="s">
        <v>234</v>
      </c>
      <c r="J43" s="120">
        <f t="shared" si="10"/>
        <v>36.891999999999996</v>
      </c>
      <c r="K43" s="121">
        <f t="shared" si="11"/>
        <v>36.891999999999996</v>
      </c>
      <c r="L43" s="121">
        <f t="shared" si="12"/>
        <v>0</v>
      </c>
      <c r="M43" s="17"/>
      <c r="N43" s="26">
        <f>113-76.108</f>
        <v>36.891999999999996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256</v>
      </c>
      <c r="F44" s="9" t="s">
        <v>40</v>
      </c>
      <c r="G44" s="9" t="s">
        <v>257</v>
      </c>
      <c r="H44" s="197"/>
      <c r="I44" s="9" t="s">
        <v>234</v>
      </c>
      <c r="J44" s="120">
        <f t="shared" si="10"/>
        <v>528.43000000000006</v>
      </c>
      <c r="K44" s="121">
        <f t="shared" si="11"/>
        <v>528.43000000000006</v>
      </c>
      <c r="L44" s="121">
        <f t="shared" si="12"/>
        <v>0</v>
      </c>
      <c r="M44" s="17"/>
      <c r="N44" s="26">
        <f>10.201-93.771+168</f>
        <v>84.43</v>
      </c>
      <c r="O44" s="26">
        <f>200-5</f>
        <v>195</v>
      </c>
      <c r="P44" s="26">
        <f>192-168-9</f>
        <v>15</v>
      </c>
      <c r="Q44" s="26"/>
      <c r="R44" s="26"/>
      <c r="S44" s="26">
        <v>28</v>
      </c>
      <c r="T44" s="26"/>
      <c r="U44" s="26">
        <f>192+5+9</f>
        <v>206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264</v>
      </c>
      <c r="F45" s="9" t="s">
        <v>40</v>
      </c>
      <c r="G45" s="9" t="s">
        <v>265</v>
      </c>
      <c r="H45" s="198"/>
      <c r="I45" s="9" t="s">
        <v>234</v>
      </c>
      <c r="J45" s="120">
        <f t="shared" si="10"/>
        <v>163.24299999999999</v>
      </c>
      <c r="K45" s="121">
        <f t="shared" si="11"/>
        <v>163.24299999999999</v>
      </c>
      <c r="L45" s="121">
        <f t="shared" si="12"/>
        <v>0</v>
      </c>
      <c r="M45" s="17"/>
      <c r="N45" s="26"/>
      <c r="O45" s="26">
        <v>5</v>
      </c>
      <c r="P45" s="26"/>
      <c r="Q45" s="26"/>
      <c r="R45" s="26"/>
      <c r="S45" s="26">
        <v>56.242999999999995</v>
      </c>
      <c r="T45" s="26"/>
      <c r="U45" s="26">
        <f>107-5</f>
        <v>102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258</v>
      </c>
      <c r="F46" s="9" t="s">
        <v>40</v>
      </c>
      <c r="G46" s="9" t="s">
        <v>259</v>
      </c>
      <c r="H46" s="198"/>
      <c r="I46" s="9" t="s">
        <v>234</v>
      </c>
      <c r="J46" s="120">
        <f t="shared" si="10"/>
        <v>321.58000000000004</v>
      </c>
      <c r="K46" s="121">
        <f t="shared" si="11"/>
        <v>321.58000000000004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>
        <v>290</v>
      </c>
      <c r="T46" s="26"/>
      <c r="U46" s="26">
        <f>255.58+66-290</f>
        <v>31.580000000000041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250</v>
      </c>
      <c r="F47" s="9" t="s">
        <v>40</v>
      </c>
      <c r="G47" s="9" t="s">
        <v>251</v>
      </c>
      <c r="H47" s="198"/>
      <c r="I47" s="9" t="s">
        <v>247</v>
      </c>
      <c r="J47" s="120">
        <f t="shared" si="10"/>
        <v>1815.4779999999998</v>
      </c>
      <c r="K47" s="121">
        <f t="shared" si="11"/>
        <v>1815.4779999999998</v>
      </c>
      <c r="L47" s="121">
        <f t="shared" si="12"/>
        <v>0</v>
      </c>
      <c r="M47" s="17"/>
      <c r="N47" s="26">
        <f>721.12-4</f>
        <v>717.12</v>
      </c>
      <c r="O47" s="26">
        <f>475-19</f>
        <v>456</v>
      </c>
      <c r="P47" s="26">
        <f>138-17</f>
        <v>121</v>
      </c>
      <c r="Q47" s="26"/>
      <c r="R47" s="26">
        <v>105.358</v>
      </c>
      <c r="S47" s="26"/>
      <c r="T47" s="26"/>
      <c r="U47" s="26">
        <f>376+40</f>
        <v>416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254</v>
      </c>
      <c r="F48" s="9" t="s">
        <v>40</v>
      </c>
      <c r="G48" s="9" t="s">
        <v>255</v>
      </c>
      <c r="H48" s="195"/>
      <c r="I48" s="9" t="s">
        <v>247</v>
      </c>
      <c r="J48" s="120">
        <f t="shared" si="10"/>
        <v>505.91899999999998</v>
      </c>
      <c r="K48" s="121">
        <f t="shared" si="11"/>
        <v>505.91899999999998</v>
      </c>
      <c r="L48" s="121">
        <f t="shared" si="12"/>
        <v>0</v>
      </c>
      <c r="M48" s="17"/>
      <c r="N48" s="26">
        <v>220.91900000000001</v>
      </c>
      <c r="O48" s="26">
        <v>262</v>
      </c>
      <c r="P48" s="26">
        <v>23</v>
      </c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5"/>
      <c r="I49" s="9" t="s">
        <v>247</v>
      </c>
      <c r="J49" s="120">
        <f t="shared" si="10"/>
        <v>15.048999999999999</v>
      </c>
      <c r="K49" s="121">
        <f t="shared" si="11"/>
        <v>15.048999999999999</v>
      </c>
      <c r="L49" s="121">
        <f t="shared" si="12"/>
        <v>0</v>
      </c>
      <c r="M49" s="17"/>
      <c r="N49" s="26">
        <v>8.0489999999999995</v>
      </c>
      <c r="O49" s="26"/>
      <c r="P49" s="26">
        <v>7</v>
      </c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6"/>
      <c r="I50" s="9" t="s">
        <v>247</v>
      </c>
      <c r="J50" s="120">
        <f t="shared" si="10"/>
        <v>309.072</v>
      </c>
      <c r="K50" s="121">
        <f t="shared" si="11"/>
        <v>309.072</v>
      </c>
      <c r="L50" s="121">
        <f t="shared" si="12"/>
        <v>0</v>
      </c>
      <c r="M50" s="17"/>
      <c r="N50" s="26"/>
      <c r="O50" s="26">
        <f>307.179+1.89300000000001-10</f>
        <v>299.072</v>
      </c>
      <c r="P50" s="26"/>
      <c r="Q50" s="26"/>
      <c r="R50" s="26"/>
      <c r="S50" s="26"/>
      <c r="T50" s="26"/>
      <c r="U50" s="26">
        <v>10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9" t="s">
        <v>247</v>
      </c>
      <c r="J51" s="120">
        <f t="shared" si="10"/>
        <v>590.41300000000001</v>
      </c>
      <c r="K51" s="121">
        <f t="shared" si="11"/>
        <v>590.41300000000001</v>
      </c>
      <c r="L51" s="121">
        <f t="shared" si="12"/>
        <v>0</v>
      </c>
      <c r="M51" s="17"/>
      <c r="N51" s="26">
        <v>558.41300000000001</v>
      </c>
      <c r="O51" s="26"/>
      <c r="P51" s="26"/>
      <c r="Q51" s="26">
        <v>21</v>
      </c>
      <c r="R51" s="26"/>
      <c r="S51" s="26"/>
      <c r="T51" s="26">
        <v>11</v>
      </c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9" t="s">
        <v>247</v>
      </c>
      <c r="J52" s="120">
        <f t="shared" si="10"/>
        <v>1.0820000000000007</v>
      </c>
      <c r="K52" s="121">
        <f t="shared" si="11"/>
        <v>1.0820000000000007</v>
      </c>
      <c r="L52" s="121">
        <f t="shared" si="12"/>
        <v>0</v>
      </c>
      <c r="M52" s="17"/>
      <c r="N52" s="26">
        <v>1.0820000000000007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9" t="s">
        <v>247</v>
      </c>
      <c r="J53" s="120">
        <f t="shared" si="10"/>
        <v>163.042</v>
      </c>
      <c r="K53" s="121">
        <f t="shared" si="11"/>
        <v>163.042</v>
      </c>
      <c r="L53" s="121">
        <f t="shared" si="12"/>
        <v>0</v>
      </c>
      <c r="M53" s="17"/>
      <c r="N53" s="26">
        <f>170.888-7.846</f>
        <v>163.042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9" t="s">
        <v>247</v>
      </c>
      <c r="J54" s="120">
        <f t="shared" si="10"/>
        <v>72.174999999999997</v>
      </c>
      <c r="K54" s="121">
        <f t="shared" si="11"/>
        <v>72.174999999999997</v>
      </c>
      <c r="L54" s="121">
        <f t="shared" si="12"/>
        <v>0</v>
      </c>
      <c r="M54" s="17"/>
      <c r="N54" s="26">
        <v>27.134</v>
      </c>
      <c r="O54" s="26">
        <v>45.040999999999997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9" t="s">
        <v>247</v>
      </c>
      <c r="J55" s="120">
        <f t="shared" si="10"/>
        <v>12.688000000000001</v>
      </c>
      <c r="K55" s="121">
        <f t="shared" si="11"/>
        <v>12.688000000000001</v>
      </c>
      <c r="L55" s="121">
        <f t="shared" si="12"/>
        <v>0</v>
      </c>
      <c r="M55" s="17"/>
      <c r="N55" s="26">
        <v>12.688000000000001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9" t="s">
        <v>247</v>
      </c>
      <c r="J56" s="120">
        <f t="shared" si="10"/>
        <v>232.38800000000001</v>
      </c>
      <c r="K56" s="121">
        <f t="shared" si="11"/>
        <v>232.38800000000001</v>
      </c>
      <c r="L56" s="121">
        <f t="shared" si="12"/>
        <v>0</v>
      </c>
      <c r="M56" s="17"/>
      <c r="N56" s="26">
        <v>23</v>
      </c>
      <c r="O56" s="26">
        <f>232.388-23</f>
        <v>209.38800000000001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9" t="s">
        <v>247</v>
      </c>
      <c r="J57" s="120">
        <f t="shared" si="10"/>
        <v>171.45</v>
      </c>
      <c r="K57" s="121">
        <f t="shared" si="11"/>
        <v>171.45</v>
      </c>
      <c r="L57" s="121">
        <f t="shared" si="12"/>
        <v>0</v>
      </c>
      <c r="M57" s="17"/>
      <c r="N57" s="26"/>
      <c r="O57" s="26"/>
      <c r="P57" s="26">
        <f>8.45+163</f>
        <v>171.45</v>
      </c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9" t="s">
        <v>247</v>
      </c>
      <c r="J58" s="120">
        <f t="shared" si="10"/>
        <v>242.38800000000001</v>
      </c>
      <c r="K58" s="121">
        <f t="shared" si="11"/>
        <v>242.38800000000001</v>
      </c>
      <c r="L58" s="121">
        <f t="shared" si="12"/>
        <v>0</v>
      </c>
      <c r="M58" s="17"/>
      <c r="N58" s="26">
        <v>172.38800000000001</v>
      </c>
      <c r="O58" s="26">
        <v>70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9" t="s">
        <v>247</v>
      </c>
      <c r="J59" s="120">
        <f t="shared" si="10"/>
        <v>18.006</v>
      </c>
      <c r="K59" s="121">
        <f t="shared" si="11"/>
        <v>18.006</v>
      </c>
      <c r="L59" s="121">
        <f t="shared" si="12"/>
        <v>0</v>
      </c>
      <c r="M59" s="17"/>
      <c r="N59" s="26">
        <v>13.006</v>
      </c>
      <c r="O59" s="26">
        <v>5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7"/>
      <c r="I60" s="197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7"/>
      <c r="I61" s="197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9"/>
      <c r="F64" s="9"/>
      <c r="G64" s="9"/>
      <c r="H64" s="198"/>
      <c r="I64" s="198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9"/>
      <c r="F65" s="9"/>
      <c r="G65" s="9"/>
      <c r="H65" s="198"/>
      <c r="I65" s="198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201"/>
      <c r="F66" s="9"/>
      <c r="G66" s="9"/>
      <c r="H66" s="198"/>
      <c r="I66" s="198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9"/>
      <c r="F67" s="9"/>
      <c r="G67" s="9"/>
      <c r="H67" s="197"/>
      <c r="I67" s="197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9"/>
      <c r="F68" s="9"/>
      <c r="G68" s="9"/>
      <c r="H68" s="197"/>
      <c r="I68" s="197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9"/>
      <c r="F69" s="9"/>
      <c r="G69" s="9"/>
      <c r="H69" s="197"/>
      <c r="I69" s="197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9"/>
      <c r="F70" s="9"/>
      <c r="G70" s="9"/>
      <c r="H70" s="197"/>
      <c r="I70" s="197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9"/>
      <c r="F71" s="9"/>
      <c r="G71" s="9"/>
      <c r="H71" s="197"/>
      <c r="I71" s="197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201"/>
      <c r="F72" s="9"/>
      <c r="G72" s="9"/>
      <c r="H72" s="197"/>
      <c r="I72" s="197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9"/>
      <c r="F73" s="9"/>
      <c r="G73" s="9"/>
      <c r="H73" s="197"/>
      <c r="I73" s="197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9"/>
      <c r="F74" s="9"/>
      <c r="G74" s="9"/>
      <c r="H74" s="197"/>
      <c r="I74" s="197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9"/>
      <c r="F75" s="9"/>
      <c r="G75" s="9"/>
      <c r="H75" s="197"/>
      <c r="I75" s="197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9"/>
      <c r="F76" s="9"/>
      <c r="G76" s="9"/>
      <c r="H76" s="195"/>
      <c r="I76" s="195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9"/>
      <c r="F77" s="9"/>
      <c r="G77" s="9"/>
      <c r="H77" s="195"/>
      <c r="I77" s="195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9"/>
      <c r="F78" s="9"/>
      <c r="G78" s="9"/>
      <c r="H78" s="196"/>
      <c r="I78" s="196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9"/>
      <c r="F79" s="9"/>
      <c r="G79" s="9"/>
      <c r="H79" s="197"/>
      <c r="I79" s="197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9"/>
      <c r="F80" s="9"/>
      <c r="G80" s="9"/>
      <c r="H80" s="197"/>
      <c r="I80" s="197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9"/>
      <c r="F81" s="9"/>
      <c r="G81" s="9"/>
      <c r="H81" s="197"/>
      <c r="I81" s="197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9"/>
      <c r="F82" s="9"/>
      <c r="G82" s="9"/>
      <c r="H82" s="197"/>
      <c r="I82" s="197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9"/>
      <c r="F83" s="9"/>
      <c r="G83" s="9"/>
      <c r="H83" s="197"/>
      <c r="I83" s="197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9"/>
      <c r="F84" s="9"/>
      <c r="G84" s="9"/>
      <c r="H84" s="197"/>
      <c r="I84" s="197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9"/>
      <c r="F85" s="9"/>
      <c r="G85" s="9"/>
      <c r="H85" s="197"/>
      <c r="I85" s="197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9"/>
      <c r="F86" s="9"/>
      <c r="G86" s="9"/>
      <c r="H86" s="197"/>
      <c r="I86" s="197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9"/>
      <c r="F87" s="9"/>
      <c r="G87" s="9"/>
      <c r="H87" s="197"/>
      <c r="I87" s="197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9"/>
      <c r="F88" s="9"/>
      <c r="G88" s="9"/>
      <c r="H88" s="197"/>
      <c r="I88" s="197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9"/>
      <c r="F89" s="9"/>
      <c r="G89" s="9"/>
      <c r="H89" s="197"/>
      <c r="I89" s="197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9"/>
      <c r="F90" s="9"/>
      <c r="G90" s="9"/>
      <c r="H90" s="197"/>
      <c r="I90" s="197"/>
      <c r="J90" s="120">
        <f t="shared" si="10"/>
        <v>0</v>
      </c>
      <c r="K90" s="121">
        <f t="shared" si="11"/>
        <v>0</v>
      </c>
      <c r="L90" s="121">
        <f t="shared" si="12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9"/>
      <c r="F91" s="9"/>
      <c r="G91" s="9"/>
      <c r="H91" s="197"/>
      <c r="I91" s="197"/>
      <c r="J91" s="120">
        <f t="shared" ref="J91:J154" si="19">+K91+L91</f>
        <v>0</v>
      </c>
      <c r="K91" s="121">
        <f t="shared" ref="K91:K154" si="20">SUM(N91:Y91)</f>
        <v>0</v>
      </c>
      <c r="L91" s="121">
        <f t="shared" ref="L91:L154" si="21">SUM(AA91:AL91)</f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9"/>
      <c r="F92" s="9"/>
      <c r="G92" s="9"/>
      <c r="H92" s="198"/>
      <c r="I92" s="198"/>
      <c r="J92" s="120">
        <f t="shared" si="19"/>
        <v>0</v>
      </c>
      <c r="K92" s="121">
        <f t="shared" si="20"/>
        <v>0</v>
      </c>
      <c r="L92" s="121">
        <f t="shared" si="21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9"/>
      <c r="F93" s="9"/>
      <c r="G93" s="9"/>
      <c r="H93" s="198"/>
      <c r="I93" s="198"/>
      <c r="J93" s="120">
        <f t="shared" si="19"/>
        <v>0</v>
      </c>
      <c r="K93" s="121">
        <f t="shared" si="20"/>
        <v>0</v>
      </c>
      <c r="L93" s="121">
        <f t="shared" si="21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201"/>
      <c r="F94" s="9"/>
      <c r="G94" s="9"/>
      <c r="H94" s="198"/>
      <c r="I94" s="198"/>
      <c r="J94" s="120">
        <f t="shared" si="19"/>
        <v>0</v>
      </c>
      <c r="K94" s="121">
        <f t="shared" si="20"/>
        <v>0</v>
      </c>
      <c r="L94" s="121">
        <f t="shared" si="21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9"/>
      <c r="F95" s="9"/>
      <c r="G95" s="9"/>
      <c r="H95" s="195"/>
      <c r="I95" s="195"/>
      <c r="J95" s="120">
        <f t="shared" si="19"/>
        <v>0</v>
      </c>
      <c r="K95" s="121">
        <f t="shared" si="20"/>
        <v>0</v>
      </c>
      <c r="L95" s="121">
        <f t="shared" si="21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9"/>
      <c r="F96" s="9"/>
      <c r="G96" s="9"/>
      <c r="H96" s="195"/>
      <c r="I96" s="195"/>
      <c r="J96" s="120">
        <f t="shared" si="19"/>
        <v>0</v>
      </c>
      <c r="K96" s="121">
        <f t="shared" si="20"/>
        <v>0</v>
      </c>
      <c r="L96" s="121">
        <f t="shared" si="21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9"/>
      <c r="F97" s="9"/>
      <c r="G97" s="9"/>
      <c r="H97" s="196"/>
      <c r="I97" s="196"/>
      <c r="J97" s="120">
        <f t="shared" si="19"/>
        <v>0</v>
      </c>
      <c r="K97" s="121">
        <f t="shared" si="20"/>
        <v>0</v>
      </c>
      <c r="L97" s="121">
        <f t="shared" si="21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9"/>
      <c r="F98" s="9"/>
      <c r="G98" s="9"/>
      <c r="H98" s="197"/>
      <c r="I98" s="197"/>
      <c r="J98" s="120">
        <f t="shared" si="19"/>
        <v>0</v>
      </c>
      <c r="K98" s="121">
        <f t="shared" si="20"/>
        <v>0</v>
      </c>
      <c r="L98" s="121">
        <f t="shared" si="21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9"/>
      <c r="F99" s="9"/>
      <c r="G99" s="9"/>
      <c r="H99" s="197"/>
      <c r="I99" s="197"/>
      <c r="J99" s="120">
        <f t="shared" si="19"/>
        <v>0</v>
      </c>
      <c r="K99" s="121">
        <f t="shared" si="20"/>
        <v>0</v>
      </c>
      <c r="L99" s="121">
        <f t="shared" si="21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9"/>
      <c r="F100" s="9"/>
      <c r="G100" s="9"/>
      <c r="H100" s="197"/>
      <c r="I100" s="197"/>
      <c r="J100" s="120">
        <f t="shared" si="19"/>
        <v>0</v>
      </c>
      <c r="K100" s="121">
        <f t="shared" si="20"/>
        <v>0</v>
      </c>
      <c r="L100" s="121">
        <f t="shared" si="21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9"/>
      <c r="F101" s="9"/>
      <c r="G101" s="9"/>
      <c r="H101" s="197"/>
      <c r="I101" s="197"/>
      <c r="J101" s="120">
        <f t="shared" si="19"/>
        <v>0</v>
      </c>
      <c r="K101" s="121">
        <f t="shared" si="20"/>
        <v>0</v>
      </c>
      <c r="L101" s="121">
        <f t="shared" si="21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9"/>
      <c r="F102" s="9"/>
      <c r="G102" s="9"/>
      <c r="H102" s="197"/>
      <c r="I102" s="197"/>
      <c r="J102" s="120">
        <f t="shared" si="19"/>
        <v>0</v>
      </c>
      <c r="K102" s="121">
        <f t="shared" si="20"/>
        <v>0</v>
      </c>
      <c r="L102" s="121">
        <f t="shared" si="21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9"/>
      <c r="F103" s="9"/>
      <c r="G103" s="9"/>
      <c r="H103" s="197"/>
      <c r="I103" s="197"/>
      <c r="J103" s="120">
        <f t="shared" si="19"/>
        <v>0</v>
      </c>
      <c r="K103" s="121">
        <f t="shared" si="20"/>
        <v>0</v>
      </c>
      <c r="L103" s="121">
        <f t="shared" si="21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9"/>
      <c r="F104" s="9"/>
      <c r="G104" s="9"/>
      <c r="H104" s="197"/>
      <c r="I104" s="197"/>
      <c r="J104" s="120">
        <f t="shared" si="19"/>
        <v>0</v>
      </c>
      <c r="K104" s="121">
        <f t="shared" si="20"/>
        <v>0</v>
      </c>
      <c r="L104" s="121">
        <f t="shared" si="21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9"/>
        <v>0</v>
      </c>
      <c r="K105" s="121">
        <f t="shared" si="20"/>
        <v>0</v>
      </c>
      <c r="L105" s="121">
        <f t="shared" si="21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9"/>
        <v>0</v>
      </c>
      <c r="K106" s="121">
        <f t="shared" si="20"/>
        <v>0</v>
      </c>
      <c r="L106" s="121">
        <f t="shared" si="21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9"/>
        <v>0</v>
      </c>
      <c r="K107" s="121">
        <f t="shared" si="20"/>
        <v>0</v>
      </c>
      <c r="L107" s="121">
        <f t="shared" si="21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9"/>
        <v>0</v>
      </c>
      <c r="K108" s="121">
        <f t="shared" si="20"/>
        <v>0</v>
      </c>
      <c r="L108" s="121">
        <f t="shared" si="21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9"/>
        <v>0</v>
      </c>
      <c r="K109" s="121">
        <f t="shared" si="20"/>
        <v>0</v>
      </c>
      <c r="L109" s="121">
        <f t="shared" si="21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9"/>
        <v>0</v>
      </c>
      <c r="K110" s="121">
        <f t="shared" si="20"/>
        <v>0</v>
      </c>
      <c r="L110" s="121">
        <f t="shared" si="21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9"/>
        <v>0</v>
      </c>
      <c r="K111" s="121">
        <f t="shared" si="20"/>
        <v>0</v>
      </c>
      <c r="L111" s="121">
        <f t="shared" si="21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4"/>
      <c r="I112" s="14"/>
      <c r="J112" s="120">
        <f t="shared" si="19"/>
        <v>0</v>
      </c>
      <c r="K112" s="121">
        <f t="shared" si="20"/>
        <v>0</v>
      </c>
      <c r="L112" s="121">
        <f t="shared" si="21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15"/>
      <c r="F113" s="9"/>
      <c r="G113" s="8"/>
      <c r="H113" s="14"/>
      <c r="I113" s="14"/>
      <c r="J113" s="120">
        <f t="shared" si="19"/>
        <v>0</v>
      </c>
      <c r="K113" s="121">
        <f t="shared" si="20"/>
        <v>0</v>
      </c>
      <c r="L113" s="121">
        <f t="shared" si="21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9"/>
        <v>0</v>
      </c>
      <c r="K114" s="121">
        <f t="shared" si="20"/>
        <v>0</v>
      </c>
      <c r="L114" s="121">
        <f t="shared" si="21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9"/>
        <v>0</v>
      </c>
      <c r="K115" s="121">
        <f t="shared" si="20"/>
        <v>0</v>
      </c>
      <c r="L115" s="121">
        <f t="shared" si="21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9"/>
        <v>0</v>
      </c>
      <c r="K116" s="121">
        <f t="shared" si="20"/>
        <v>0</v>
      </c>
      <c r="L116" s="121">
        <f t="shared" si="21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9"/>
        <v>0</v>
      </c>
      <c r="K117" s="121">
        <f t="shared" si="20"/>
        <v>0</v>
      </c>
      <c r="L117" s="121">
        <f t="shared" si="21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9"/>
        <v>0</v>
      </c>
      <c r="K118" s="121">
        <f t="shared" si="20"/>
        <v>0</v>
      </c>
      <c r="L118" s="121">
        <f t="shared" si="21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15"/>
      <c r="F119" s="9"/>
      <c r="G119" s="8"/>
      <c r="H119" s="13"/>
      <c r="I119" s="13"/>
      <c r="J119" s="120">
        <f t="shared" si="19"/>
        <v>0</v>
      </c>
      <c r="K119" s="121">
        <f t="shared" si="20"/>
        <v>0</v>
      </c>
      <c r="L119" s="121">
        <f t="shared" si="21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9"/>
        <v>0</v>
      </c>
      <c r="K120" s="121">
        <f t="shared" si="20"/>
        <v>0</v>
      </c>
      <c r="L120" s="121">
        <f t="shared" si="21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9"/>
        <v>0</v>
      </c>
      <c r="K121" s="121">
        <f t="shared" si="20"/>
        <v>0</v>
      </c>
      <c r="L121" s="121">
        <f t="shared" si="21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9"/>
        <v>0</v>
      </c>
      <c r="K122" s="121">
        <f t="shared" si="20"/>
        <v>0</v>
      </c>
      <c r="L122" s="121">
        <f t="shared" si="21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9"/>
        <v>0</v>
      </c>
      <c r="K123" s="121">
        <f t="shared" si="20"/>
        <v>0</v>
      </c>
      <c r="L123" s="121">
        <f t="shared" si="21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9"/>
        <v>0</v>
      </c>
      <c r="K124" s="121">
        <f t="shared" si="20"/>
        <v>0</v>
      </c>
      <c r="L124" s="121">
        <f t="shared" si="21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1"/>
      <c r="I125" s="11"/>
      <c r="J125" s="120">
        <f t="shared" si="19"/>
        <v>0</v>
      </c>
      <c r="K125" s="121">
        <f t="shared" si="20"/>
        <v>0</v>
      </c>
      <c r="L125" s="121">
        <f t="shared" si="21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2"/>
      <c r="I126" s="12"/>
      <c r="J126" s="120">
        <f t="shared" si="19"/>
        <v>0</v>
      </c>
      <c r="K126" s="121">
        <f t="shared" si="20"/>
        <v>0</v>
      </c>
      <c r="L126" s="121">
        <f t="shared" si="21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9"/>
        <v>0</v>
      </c>
      <c r="K127" s="121">
        <f t="shared" si="20"/>
        <v>0</v>
      </c>
      <c r="L127" s="121">
        <f t="shared" si="21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9"/>
        <v>0</v>
      </c>
      <c r="K128" s="121">
        <f t="shared" si="20"/>
        <v>0</v>
      </c>
      <c r="L128" s="121">
        <f t="shared" si="21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9"/>
        <v>0</v>
      </c>
      <c r="K129" s="121">
        <f t="shared" si="20"/>
        <v>0</v>
      </c>
      <c r="L129" s="121">
        <f t="shared" si="21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9"/>
        <v>0</v>
      </c>
      <c r="K130" s="121">
        <f t="shared" si="20"/>
        <v>0</v>
      </c>
      <c r="L130" s="121">
        <f t="shared" si="21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9"/>
        <v>0</v>
      </c>
      <c r="K131" s="121">
        <f t="shared" si="20"/>
        <v>0</v>
      </c>
      <c r="L131" s="121">
        <f t="shared" si="21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9"/>
        <v>0</v>
      </c>
      <c r="K132" s="121">
        <f t="shared" si="20"/>
        <v>0</v>
      </c>
      <c r="L132" s="121">
        <f t="shared" si="21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9"/>
        <v>0</v>
      </c>
      <c r="K133" s="121">
        <f t="shared" si="20"/>
        <v>0</v>
      </c>
      <c r="L133" s="121">
        <f t="shared" si="21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9"/>
        <v>0</v>
      </c>
      <c r="K134" s="121">
        <f t="shared" si="20"/>
        <v>0</v>
      </c>
      <c r="L134" s="121">
        <f t="shared" si="21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9"/>
        <v>0</v>
      </c>
      <c r="K135" s="121">
        <f t="shared" si="20"/>
        <v>0</v>
      </c>
      <c r="L135" s="121">
        <f t="shared" si="21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9"/>
        <v>0</v>
      </c>
      <c r="K136" s="121">
        <f t="shared" si="20"/>
        <v>0</v>
      </c>
      <c r="L136" s="121">
        <f t="shared" si="21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9"/>
        <v>0</v>
      </c>
      <c r="K137" s="121">
        <f t="shared" si="20"/>
        <v>0</v>
      </c>
      <c r="L137" s="121">
        <f t="shared" si="21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9"/>
        <v>0</v>
      </c>
      <c r="K138" s="121">
        <f t="shared" si="20"/>
        <v>0</v>
      </c>
      <c r="L138" s="121">
        <f t="shared" si="21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9"/>
        <v>0</v>
      </c>
      <c r="K139" s="121">
        <f t="shared" si="20"/>
        <v>0</v>
      </c>
      <c r="L139" s="121">
        <f t="shared" si="21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9"/>
        <v>0</v>
      </c>
      <c r="K140" s="121">
        <f t="shared" si="20"/>
        <v>0</v>
      </c>
      <c r="L140" s="121">
        <f t="shared" si="21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4"/>
      <c r="I141" s="14"/>
      <c r="J141" s="120">
        <f t="shared" si="19"/>
        <v>0</v>
      </c>
      <c r="K141" s="121">
        <f t="shared" si="20"/>
        <v>0</v>
      </c>
      <c r="L141" s="121">
        <f t="shared" si="21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15"/>
      <c r="F142" s="9"/>
      <c r="G142" s="8"/>
      <c r="H142" s="14"/>
      <c r="I142" s="14"/>
      <c r="J142" s="120">
        <f t="shared" si="19"/>
        <v>0</v>
      </c>
      <c r="K142" s="121">
        <f t="shared" si="20"/>
        <v>0</v>
      </c>
      <c r="L142" s="121">
        <f t="shared" si="21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9"/>
        <v>0</v>
      </c>
      <c r="K143" s="121">
        <f t="shared" si="20"/>
        <v>0</v>
      </c>
      <c r="L143" s="121">
        <f t="shared" si="21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1"/>
      <c r="I144" s="11"/>
      <c r="J144" s="120">
        <f t="shared" si="19"/>
        <v>0</v>
      </c>
      <c r="K144" s="121">
        <f t="shared" si="20"/>
        <v>0</v>
      </c>
      <c r="L144" s="121">
        <f t="shared" si="21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2"/>
      <c r="I145" s="12"/>
      <c r="J145" s="120">
        <f t="shared" si="19"/>
        <v>0</v>
      </c>
      <c r="K145" s="121">
        <f t="shared" si="20"/>
        <v>0</v>
      </c>
      <c r="L145" s="121">
        <f t="shared" si="21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9"/>
        <v>0</v>
      </c>
      <c r="K146" s="121">
        <f t="shared" si="20"/>
        <v>0</v>
      </c>
      <c r="L146" s="121">
        <f t="shared" si="21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9"/>
        <v>0</v>
      </c>
      <c r="K147" s="121">
        <f t="shared" si="20"/>
        <v>0</v>
      </c>
      <c r="L147" s="121">
        <f t="shared" si="21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9"/>
        <v>0</v>
      </c>
      <c r="K148" s="121">
        <f t="shared" si="20"/>
        <v>0</v>
      </c>
      <c r="L148" s="121">
        <f t="shared" si="21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9"/>
        <v>0</v>
      </c>
      <c r="K149" s="121">
        <f t="shared" si="20"/>
        <v>0</v>
      </c>
      <c r="L149" s="121">
        <f t="shared" si="21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9"/>
        <v>0</v>
      </c>
      <c r="K150" s="121">
        <f t="shared" si="20"/>
        <v>0</v>
      </c>
      <c r="L150" s="121">
        <f t="shared" si="21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9"/>
        <v>0</v>
      </c>
      <c r="K151" s="121">
        <f t="shared" si="20"/>
        <v>0</v>
      </c>
      <c r="L151" s="121">
        <f t="shared" si="21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9"/>
        <v>0</v>
      </c>
      <c r="K152" s="121">
        <f t="shared" si="20"/>
        <v>0</v>
      </c>
      <c r="L152" s="121">
        <f t="shared" si="21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ref="J155:J218" si="22">+K155+L155</f>
        <v>0</v>
      </c>
      <c r="K155" s="121">
        <f t="shared" ref="K155:K218" si="23">SUM(N155:Y155)</f>
        <v>0</v>
      </c>
      <c r="L155" s="121">
        <f t="shared" ref="L155:L218" si="24">SUM(AA155:AL155)</f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22"/>
        <v>0</v>
      </c>
      <c r="K156" s="121">
        <f t="shared" si="23"/>
        <v>0</v>
      </c>
      <c r="L156" s="121">
        <f t="shared" si="24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22"/>
        <v>0</v>
      </c>
      <c r="K157" s="121">
        <f t="shared" si="23"/>
        <v>0</v>
      </c>
      <c r="L157" s="121">
        <f t="shared" si="24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22"/>
        <v>0</v>
      </c>
      <c r="K158" s="121">
        <f t="shared" si="23"/>
        <v>0</v>
      </c>
      <c r="L158" s="121">
        <f t="shared" si="24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22"/>
        <v>0</v>
      </c>
      <c r="K159" s="121">
        <f t="shared" si="23"/>
        <v>0</v>
      </c>
      <c r="L159" s="121">
        <f t="shared" si="24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4"/>
      <c r="I160" s="14"/>
      <c r="J160" s="120">
        <f t="shared" si="22"/>
        <v>0</v>
      </c>
      <c r="K160" s="121">
        <f t="shared" si="23"/>
        <v>0</v>
      </c>
      <c r="L160" s="121">
        <f t="shared" si="24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15"/>
      <c r="F161" s="9"/>
      <c r="G161" s="8"/>
      <c r="H161" s="14"/>
      <c r="I161" s="14"/>
      <c r="J161" s="120">
        <f t="shared" si="22"/>
        <v>0</v>
      </c>
      <c r="K161" s="121">
        <f t="shared" si="23"/>
        <v>0</v>
      </c>
      <c r="L161" s="121">
        <f t="shared" si="24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22"/>
        <v>0</v>
      </c>
      <c r="K162" s="121">
        <f t="shared" si="23"/>
        <v>0</v>
      </c>
      <c r="L162" s="121">
        <f t="shared" si="24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22"/>
        <v>0</v>
      </c>
      <c r="K163" s="121">
        <f t="shared" si="23"/>
        <v>0</v>
      </c>
      <c r="L163" s="121">
        <f t="shared" si="24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22"/>
        <v>0</v>
      </c>
      <c r="K164" s="121">
        <f t="shared" si="23"/>
        <v>0</v>
      </c>
      <c r="L164" s="121">
        <f t="shared" si="24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22"/>
        <v>0</v>
      </c>
      <c r="K165" s="121">
        <f t="shared" si="23"/>
        <v>0</v>
      </c>
      <c r="L165" s="121">
        <f t="shared" si="24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22"/>
        <v>0</v>
      </c>
      <c r="K166" s="121">
        <f t="shared" si="23"/>
        <v>0</v>
      </c>
      <c r="L166" s="121">
        <f t="shared" si="24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15"/>
      <c r="F167" s="9"/>
      <c r="G167" s="8"/>
      <c r="H167" s="13"/>
      <c r="I167" s="13"/>
      <c r="J167" s="120">
        <f t="shared" si="22"/>
        <v>0</v>
      </c>
      <c r="K167" s="121">
        <f t="shared" si="23"/>
        <v>0</v>
      </c>
      <c r="L167" s="121">
        <f t="shared" si="24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22"/>
        <v>0</v>
      </c>
      <c r="K168" s="121">
        <f t="shared" si="23"/>
        <v>0</v>
      </c>
      <c r="L168" s="121">
        <f t="shared" si="24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22"/>
        <v>0</v>
      </c>
      <c r="K169" s="121">
        <f t="shared" si="23"/>
        <v>0</v>
      </c>
      <c r="L169" s="121">
        <f t="shared" si="24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22"/>
        <v>0</v>
      </c>
      <c r="K170" s="121">
        <f t="shared" si="23"/>
        <v>0</v>
      </c>
      <c r="L170" s="121">
        <f t="shared" si="24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22"/>
        <v>0</v>
      </c>
      <c r="K171" s="121">
        <f t="shared" si="23"/>
        <v>0</v>
      </c>
      <c r="L171" s="121">
        <f t="shared" si="24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1"/>
      <c r="I172" s="11"/>
      <c r="J172" s="120">
        <f t="shared" si="22"/>
        <v>0</v>
      </c>
      <c r="K172" s="121">
        <f t="shared" si="23"/>
        <v>0</v>
      </c>
      <c r="L172" s="121">
        <f t="shared" si="24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2"/>
      <c r="I173" s="12"/>
      <c r="J173" s="120">
        <f t="shared" si="22"/>
        <v>0</v>
      </c>
      <c r="K173" s="121">
        <f t="shared" si="23"/>
        <v>0</v>
      </c>
      <c r="L173" s="121">
        <f t="shared" si="24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22"/>
        <v>0</v>
      </c>
      <c r="K174" s="121">
        <f t="shared" si="23"/>
        <v>0</v>
      </c>
      <c r="L174" s="121">
        <f t="shared" si="24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22"/>
        <v>0</v>
      </c>
      <c r="K175" s="121">
        <f t="shared" si="23"/>
        <v>0</v>
      </c>
      <c r="L175" s="121">
        <f t="shared" si="24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22"/>
        <v>0</v>
      </c>
      <c r="K176" s="121">
        <f t="shared" si="23"/>
        <v>0</v>
      </c>
      <c r="L176" s="121">
        <f t="shared" si="24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22"/>
        <v>0</v>
      </c>
      <c r="K177" s="121">
        <f t="shared" si="23"/>
        <v>0</v>
      </c>
      <c r="L177" s="121">
        <f t="shared" si="24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22"/>
        <v>0</v>
      </c>
      <c r="K178" s="121">
        <f t="shared" si="23"/>
        <v>0</v>
      </c>
      <c r="L178" s="121">
        <f t="shared" si="24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22"/>
        <v>0</v>
      </c>
      <c r="K179" s="121">
        <f t="shared" si="23"/>
        <v>0</v>
      </c>
      <c r="L179" s="121">
        <f t="shared" si="24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22"/>
        <v>0</v>
      </c>
      <c r="K180" s="121">
        <f t="shared" si="23"/>
        <v>0</v>
      </c>
      <c r="L180" s="121">
        <f t="shared" si="24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22"/>
        <v>0</v>
      </c>
      <c r="K181" s="121">
        <f t="shared" si="23"/>
        <v>0</v>
      </c>
      <c r="L181" s="121">
        <f t="shared" si="24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22"/>
        <v>0</v>
      </c>
      <c r="K182" s="121">
        <f t="shared" si="23"/>
        <v>0</v>
      </c>
      <c r="L182" s="121">
        <f t="shared" si="24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22"/>
        <v>0</v>
      </c>
      <c r="K183" s="121">
        <f t="shared" si="23"/>
        <v>0</v>
      </c>
      <c r="L183" s="121">
        <f t="shared" si="24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22"/>
        <v>0</v>
      </c>
      <c r="K184" s="121">
        <f t="shared" si="23"/>
        <v>0</v>
      </c>
      <c r="L184" s="121">
        <f t="shared" si="24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22"/>
        <v>0</v>
      </c>
      <c r="K185" s="121">
        <f t="shared" si="23"/>
        <v>0</v>
      </c>
      <c r="L185" s="121">
        <f t="shared" si="24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22"/>
        <v>0</v>
      </c>
      <c r="K186" s="121">
        <f t="shared" si="23"/>
        <v>0</v>
      </c>
      <c r="L186" s="121">
        <f t="shared" si="24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22"/>
        <v>0</v>
      </c>
      <c r="K187" s="121">
        <f t="shared" si="23"/>
        <v>0</v>
      </c>
      <c r="L187" s="121">
        <f t="shared" si="24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4"/>
      <c r="I188" s="14"/>
      <c r="J188" s="120">
        <f t="shared" si="22"/>
        <v>0</v>
      </c>
      <c r="K188" s="121">
        <f t="shared" si="23"/>
        <v>0</v>
      </c>
      <c r="L188" s="121">
        <f t="shared" si="24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15"/>
      <c r="F189" s="9"/>
      <c r="G189" s="8"/>
      <c r="H189" s="14"/>
      <c r="I189" s="14"/>
      <c r="J189" s="120">
        <f t="shared" si="22"/>
        <v>0</v>
      </c>
      <c r="K189" s="121">
        <f t="shared" si="23"/>
        <v>0</v>
      </c>
      <c r="L189" s="121">
        <f t="shared" si="24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22"/>
        <v>0</v>
      </c>
      <c r="K190" s="121">
        <f t="shared" si="23"/>
        <v>0</v>
      </c>
      <c r="L190" s="121">
        <f t="shared" si="24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1"/>
      <c r="I191" s="11"/>
      <c r="J191" s="120">
        <f t="shared" si="22"/>
        <v>0</v>
      </c>
      <c r="K191" s="121">
        <f t="shared" si="23"/>
        <v>0</v>
      </c>
      <c r="L191" s="121">
        <f t="shared" si="24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2"/>
      <c r="I192" s="12"/>
      <c r="J192" s="120">
        <f t="shared" si="22"/>
        <v>0</v>
      </c>
      <c r="K192" s="121">
        <f t="shared" si="23"/>
        <v>0</v>
      </c>
      <c r="L192" s="121">
        <f t="shared" si="24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22"/>
        <v>0</v>
      </c>
      <c r="K193" s="121">
        <f t="shared" si="23"/>
        <v>0</v>
      </c>
      <c r="L193" s="121">
        <f t="shared" si="24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22"/>
        <v>0</v>
      </c>
      <c r="K194" s="121">
        <f t="shared" si="23"/>
        <v>0</v>
      </c>
      <c r="L194" s="121">
        <f t="shared" si="24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22"/>
        <v>0</v>
      </c>
      <c r="K195" s="121">
        <f t="shared" si="23"/>
        <v>0</v>
      </c>
      <c r="L195" s="121">
        <f t="shared" si="24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22"/>
        <v>0</v>
      </c>
      <c r="K196" s="121">
        <f t="shared" si="23"/>
        <v>0</v>
      </c>
      <c r="L196" s="121">
        <f t="shared" si="24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22"/>
        <v>0</v>
      </c>
      <c r="K197" s="121">
        <f t="shared" si="23"/>
        <v>0</v>
      </c>
      <c r="L197" s="121">
        <f t="shared" si="24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22"/>
        <v>0</v>
      </c>
      <c r="K198" s="121">
        <f t="shared" si="23"/>
        <v>0</v>
      </c>
      <c r="L198" s="121">
        <f t="shared" si="24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22"/>
        <v>0</v>
      </c>
      <c r="K199" s="121">
        <f t="shared" si="23"/>
        <v>0</v>
      </c>
      <c r="L199" s="121">
        <f t="shared" si="24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22"/>
        <v>0</v>
      </c>
      <c r="K200" s="121">
        <f t="shared" si="23"/>
        <v>0</v>
      </c>
      <c r="L200" s="121">
        <f t="shared" si="24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22"/>
        <v>0</v>
      </c>
      <c r="K201" s="121">
        <f t="shared" si="23"/>
        <v>0</v>
      </c>
      <c r="L201" s="121">
        <f t="shared" si="24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22"/>
        <v>0</v>
      </c>
      <c r="K202" s="121">
        <f t="shared" si="23"/>
        <v>0</v>
      </c>
      <c r="L202" s="121">
        <f t="shared" si="24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22"/>
        <v>0</v>
      </c>
      <c r="K203" s="121">
        <f t="shared" si="23"/>
        <v>0</v>
      </c>
      <c r="L203" s="121">
        <f t="shared" si="24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22"/>
        <v>0</v>
      </c>
      <c r="K204" s="121">
        <f t="shared" si="23"/>
        <v>0</v>
      </c>
      <c r="L204" s="121">
        <f t="shared" si="24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22"/>
        <v>0</v>
      </c>
      <c r="K205" s="121">
        <f t="shared" si="23"/>
        <v>0</v>
      </c>
      <c r="L205" s="121">
        <f t="shared" si="24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22"/>
        <v>0</v>
      </c>
      <c r="K206" s="121">
        <f t="shared" si="23"/>
        <v>0</v>
      </c>
      <c r="L206" s="121">
        <f t="shared" si="24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4"/>
      <c r="I207" s="14"/>
      <c r="J207" s="120">
        <f t="shared" si="22"/>
        <v>0</v>
      </c>
      <c r="K207" s="121">
        <f t="shared" si="23"/>
        <v>0</v>
      </c>
      <c r="L207" s="121">
        <f t="shared" si="24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15"/>
      <c r="F208" s="9"/>
      <c r="G208" s="8"/>
      <c r="H208" s="14"/>
      <c r="I208" s="14"/>
      <c r="J208" s="120">
        <f t="shared" si="22"/>
        <v>0</v>
      </c>
      <c r="K208" s="121">
        <f t="shared" si="23"/>
        <v>0</v>
      </c>
      <c r="L208" s="121">
        <f t="shared" si="24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22"/>
        <v>0</v>
      </c>
      <c r="K209" s="121">
        <f t="shared" si="23"/>
        <v>0</v>
      </c>
      <c r="L209" s="121">
        <f t="shared" si="24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22"/>
        <v>0</v>
      </c>
      <c r="K210" s="121">
        <f t="shared" si="23"/>
        <v>0</v>
      </c>
      <c r="L210" s="121">
        <f t="shared" si="24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22"/>
        <v>0</v>
      </c>
      <c r="K211" s="121">
        <f t="shared" si="23"/>
        <v>0</v>
      </c>
      <c r="L211" s="121">
        <f t="shared" si="24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22"/>
        <v>0</v>
      </c>
      <c r="K212" s="121">
        <f t="shared" si="23"/>
        <v>0</v>
      </c>
      <c r="L212" s="121">
        <f t="shared" si="24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22"/>
        <v>0</v>
      </c>
      <c r="K213" s="121">
        <f t="shared" si="23"/>
        <v>0</v>
      </c>
      <c r="L213" s="121">
        <f t="shared" si="24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15"/>
      <c r="F214" s="9"/>
      <c r="G214" s="8"/>
      <c r="H214" s="13"/>
      <c r="I214" s="13"/>
      <c r="J214" s="120">
        <f t="shared" si="22"/>
        <v>0</v>
      </c>
      <c r="K214" s="121">
        <f t="shared" si="23"/>
        <v>0</v>
      </c>
      <c r="L214" s="121">
        <f t="shared" si="24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22"/>
        <v>0</v>
      </c>
      <c r="K215" s="121">
        <f t="shared" si="23"/>
        <v>0</v>
      </c>
      <c r="L215" s="121">
        <f t="shared" si="24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22"/>
        <v>0</v>
      </c>
      <c r="K216" s="121">
        <f t="shared" si="23"/>
        <v>0</v>
      </c>
      <c r="L216" s="121">
        <f t="shared" si="24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ref="J219:J254" si="25">+K219+L219</f>
        <v>0</v>
      </c>
      <c r="K219" s="121">
        <f t="shared" ref="K219:K254" si="26">SUM(N219:Y219)</f>
        <v>0</v>
      </c>
      <c r="L219" s="121">
        <f t="shared" ref="L219:L254" si="27">SUM(AA219:AL219)</f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1"/>
      <c r="I220" s="11"/>
      <c r="J220" s="120">
        <f t="shared" si="25"/>
        <v>0</v>
      </c>
      <c r="K220" s="121">
        <f t="shared" si="26"/>
        <v>0</v>
      </c>
      <c r="L220" s="121">
        <f t="shared" si="27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2"/>
      <c r="I221" s="12"/>
      <c r="J221" s="120">
        <f t="shared" si="25"/>
        <v>0</v>
      </c>
      <c r="K221" s="121">
        <f t="shared" si="26"/>
        <v>0</v>
      </c>
      <c r="L221" s="121">
        <f t="shared" si="27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5"/>
        <v>0</v>
      </c>
      <c r="K222" s="121">
        <f t="shared" si="26"/>
        <v>0</v>
      </c>
      <c r="L222" s="121">
        <f t="shared" si="27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5"/>
        <v>0</v>
      </c>
      <c r="K223" s="121">
        <f t="shared" si="26"/>
        <v>0</v>
      </c>
      <c r="L223" s="121">
        <f t="shared" si="27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5"/>
        <v>0</v>
      </c>
      <c r="K224" s="121">
        <f t="shared" si="26"/>
        <v>0</v>
      </c>
      <c r="L224" s="121">
        <f t="shared" si="27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5"/>
        <v>0</v>
      </c>
      <c r="K225" s="121">
        <f t="shared" si="26"/>
        <v>0</v>
      </c>
      <c r="L225" s="121">
        <f t="shared" si="27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5"/>
        <v>0</v>
      </c>
      <c r="K226" s="121">
        <f t="shared" si="26"/>
        <v>0</v>
      </c>
      <c r="L226" s="121">
        <f t="shared" si="27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5"/>
        <v>0</v>
      </c>
      <c r="K227" s="121">
        <f t="shared" si="26"/>
        <v>0</v>
      </c>
      <c r="L227" s="121">
        <f t="shared" si="27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5"/>
        <v>0</v>
      </c>
      <c r="K228" s="121">
        <f t="shared" si="26"/>
        <v>0</v>
      </c>
      <c r="L228" s="121">
        <f t="shared" si="27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5"/>
        <v>0</v>
      </c>
      <c r="K229" s="121">
        <f t="shared" si="26"/>
        <v>0</v>
      </c>
      <c r="L229" s="121">
        <f t="shared" si="27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5"/>
        <v>0</v>
      </c>
      <c r="K230" s="121">
        <f t="shared" si="26"/>
        <v>0</v>
      </c>
      <c r="L230" s="121">
        <f t="shared" si="27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5"/>
        <v>0</v>
      </c>
      <c r="K231" s="121">
        <f t="shared" si="26"/>
        <v>0</v>
      </c>
      <c r="L231" s="121">
        <f t="shared" si="27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5"/>
        <v>0</v>
      </c>
      <c r="K232" s="121">
        <f t="shared" si="26"/>
        <v>0</v>
      </c>
      <c r="L232" s="121">
        <f t="shared" si="27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5"/>
        <v>0</v>
      </c>
      <c r="K233" s="121">
        <f t="shared" si="26"/>
        <v>0</v>
      </c>
      <c r="L233" s="121">
        <f t="shared" si="27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5"/>
        <v>0</v>
      </c>
      <c r="K234" s="121">
        <f t="shared" si="26"/>
        <v>0</v>
      </c>
      <c r="L234" s="121">
        <f t="shared" si="27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25"/>
        <v>0</v>
      </c>
      <c r="K235" s="121">
        <f t="shared" si="26"/>
        <v>0</v>
      </c>
      <c r="L235" s="121">
        <f t="shared" si="27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5"/>
        <v>0</v>
      </c>
      <c r="K236" s="121">
        <f t="shared" si="26"/>
        <v>0</v>
      </c>
      <c r="L236" s="121">
        <f t="shared" si="27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4"/>
      <c r="I237" s="14"/>
      <c r="J237" s="120">
        <f t="shared" si="25"/>
        <v>0</v>
      </c>
      <c r="K237" s="121">
        <f t="shared" si="26"/>
        <v>0</v>
      </c>
      <c r="L237" s="121">
        <f t="shared" si="27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15"/>
      <c r="F238" s="9"/>
      <c r="G238" s="8"/>
      <c r="H238" s="14"/>
      <c r="I238" s="14"/>
      <c r="J238" s="120">
        <f t="shared" si="25"/>
        <v>0</v>
      </c>
      <c r="K238" s="121">
        <f t="shared" si="26"/>
        <v>0</v>
      </c>
      <c r="L238" s="121">
        <f t="shared" si="27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5"/>
        <v>0</v>
      </c>
      <c r="K239" s="121">
        <f t="shared" si="26"/>
        <v>0</v>
      </c>
      <c r="L239" s="121">
        <f t="shared" si="27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5"/>
        <v>0</v>
      </c>
      <c r="K240" s="121">
        <f t="shared" si="26"/>
        <v>0</v>
      </c>
      <c r="L240" s="121">
        <f t="shared" si="27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5"/>
        <v>0</v>
      </c>
      <c r="K241" s="121">
        <f t="shared" si="26"/>
        <v>0</v>
      </c>
      <c r="L241" s="121">
        <f t="shared" si="27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5"/>
        <v>0</v>
      </c>
      <c r="K242" s="121">
        <f t="shared" si="26"/>
        <v>0</v>
      </c>
      <c r="L242" s="121">
        <f t="shared" si="27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5"/>
        <v>0</v>
      </c>
      <c r="K243" s="121">
        <f t="shared" si="26"/>
        <v>0</v>
      </c>
      <c r="L243" s="121">
        <f t="shared" si="27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5"/>
      <c r="F244" s="9"/>
      <c r="G244" s="8"/>
      <c r="H244" s="13"/>
      <c r="I244" s="13"/>
      <c r="J244" s="120">
        <f t="shared" si="25"/>
        <v>0</v>
      </c>
      <c r="K244" s="121">
        <f t="shared" si="26"/>
        <v>0</v>
      </c>
      <c r="L244" s="121">
        <f t="shared" si="27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5"/>
        <v>0</v>
      </c>
      <c r="K245" s="121">
        <f t="shared" si="26"/>
        <v>0</v>
      </c>
      <c r="L245" s="121">
        <f t="shared" si="27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5"/>
        <v>0</v>
      </c>
      <c r="K246" s="121">
        <f t="shared" si="26"/>
        <v>0</v>
      </c>
      <c r="L246" s="121">
        <f t="shared" si="27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5"/>
        <v>0</v>
      </c>
      <c r="K247" s="121">
        <f t="shared" si="26"/>
        <v>0</v>
      </c>
      <c r="L247" s="121">
        <f t="shared" si="27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8"/>
      <c r="F248" s="9"/>
      <c r="G248" s="8"/>
      <c r="H248" s="13"/>
      <c r="I248" s="13"/>
      <c r="J248" s="120">
        <f t="shared" si="25"/>
        <v>0</v>
      </c>
      <c r="K248" s="121">
        <f t="shared" si="26"/>
        <v>0</v>
      </c>
      <c r="L248" s="121">
        <f t="shared" si="27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5"/>
        <v>0</v>
      </c>
      <c r="K249" s="121">
        <f t="shared" si="26"/>
        <v>0</v>
      </c>
      <c r="L249" s="121">
        <f t="shared" si="27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5"/>
        <v>0</v>
      </c>
      <c r="K250" s="121">
        <f t="shared" si="26"/>
        <v>0</v>
      </c>
      <c r="L250" s="121">
        <f t="shared" si="27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5"/>
        <v>0</v>
      </c>
      <c r="K251" s="121">
        <f t="shared" si="26"/>
        <v>0</v>
      </c>
      <c r="L251" s="121">
        <f t="shared" si="27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E252" s="16"/>
      <c r="F252" s="9"/>
      <c r="G252" s="8"/>
      <c r="H252" s="13"/>
      <c r="I252" s="13"/>
      <c r="J252" s="120">
        <f t="shared" si="25"/>
        <v>0</v>
      </c>
      <c r="K252" s="121">
        <f t="shared" si="26"/>
        <v>0</v>
      </c>
      <c r="L252" s="121">
        <f t="shared" si="27"/>
        <v>0</v>
      </c>
      <c r="M252" s="17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 s="24" customFormat="1">
      <c r="E253" s="16"/>
      <c r="F253" s="9"/>
      <c r="G253" s="8"/>
      <c r="H253" s="13"/>
      <c r="I253" s="13"/>
      <c r="J253" s="120">
        <f t="shared" si="25"/>
        <v>0</v>
      </c>
      <c r="K253" s="121">
        <f t="shared" si="26"/>
        <v>0</v>
      </c>
      <c r="L253" s="121">
        <f t="shared" si="27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17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spans="5:38">
      <c r="J254" s="120">
        <f t="shared" si="25"/>
        <v>0</v>
      </c>
      <c r="K254" s="121">
        <f t="shared" si="26"/>
        <v>0</v>
      </c>
      <c r="L254" s="121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D19" zoomScaleNormal="100" workbookViewId="0">
      <selection activeCell="L26" sqref="L2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1899.463</v>
      </c>
      <c r="I10" s="63"/>
      <c r="J10" s="162">
        <f>0+65.798+187.646+1646.019</f>
        <v>1899.463</v>
      </c>
      <c r="L10" s="162">
        <f>J10+N17</f>
        <v>4637.1440000000002</v>
      </c>
      <c r="N10" s="57"/>
      <c r="O10" s="173">
        <f>+H10+K17</f>
        <v>8132.3989999999994</v>
      </c>
      <c r="P10" s="174" cm="1">
        <f t="array" aca="1" ref="P10" ca="1">INDIRECT(ADDRESS(10,15,,,VLOOKUP($G$4,parameters!$G:$I,3,0)))</f>
        <v>7633.3990000000003</v>
      </c>
      <c r="Q10" s="186">
        <f ca="1">O10-P10</f>
        <v>498.99999999999909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444.46699999999998</v>
      </c>
      <c r="I11" s="63"/>
      <c r="J11" s="18">
        <f>0+68.362+73.603+302.502</f>
        <v>444.46699999999998</v>
      </c>
      <c r="L11" s="18">
        <f>J11+N18</f>
        <v>1947.652</v>
      </c>
      <c r="N11" s="57"/>
      <c r="O11" s="155">
        <f>+H11+K18</f>
        <v>4954.5859999999984</v>
      </c>
      <c r="P11" s="156" cm="1">
        <f t="array" aca="1" ref="P11" ca="1">INDIRECT(ADDRESS(11,15,,,VLOOKUP($G$4,parameters!$G:$I,3,0)))</f>
        <v>4891.1360000000004</v>
      </c>
      <c r="Q11" s="187">
        <f t="shared" ref="Q11:Q12" ca="1" si="0">O11-P11</f>
        <v>63.449999999997999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2343.9299999999998</v>
      </c>
      <c r="I12" s="63"/>
      <c r="J12" s="128">
        <f>SUM(J10:J11)</f>
        <v>2343.9299999999998</v>
      </c>
      <c r="K12" s="67"/>
      <c r="L12" s="128">
        <f>SUM(L10:L11)</f>
        <v>6584.7960000000003</v>
      </c>
      <c r="M12" s="67"/>
      <c r="N12" s="67"/>
      <c r="O12" s="157">
        <f>SUM(O10:O11)</f>
        <v>13086.984999999997</v>
      </c>
      <c r="P12" s="158">
        <f ca="1">SUM(P10:P11)</f>
        <v>12524.535</v>
      </c>
      <c r="Q12" s="159">
        <f t="shared" ca="1" si="0"/>
        <v>562.44999999999709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6232.9359999999997</v>
      </c>
      <c r="K17" s="110">
        <f>+SUMIF($F$24:$F$251,"External",$K$24:$K$251)</f>
        <v>6232.9359999999997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2737.6810000000005</v>
      </c>
      <c r="O17" s="113">
        <f t="shared" si="1"/>
        <v>1588.739</v>
      </c>
      <c r="P17" s="113">
        <f t="shared" si="1"/>
        <v>1013.578</v>
      </c>
      <c r="Q17" s="113">
        <f t="shared" si="1"/>
        <v>0</v>
      </c>
      <c r="R17" s="113">
        <f t="shared" si="1"/>
        <v>105.358</v>
      </c>
      <c r="S17" s="113">
        <f t="shared" si="1"/>
        <v>318</v>
      </c>
      <c r="T17" s="113">
        <f t="shared" si="1"/>
        <v>0</v>
      </c>
      <c r="U17" s="113">
        <f t="shared" si="1"/>
        <v>469.58000000000004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4510.1189999999988</v>
      </c>
      <c r="K18" s="115">
        <f>+SUMIF($F$24:$F$251,"Group",$K$24:$K$251)</f>
        <v>4510.1189999999988</v>
      </c>
      <c r="L18" s="116">
        <f>SUMIF($F$24:$F$251,"Group",$L$24:$L$251)</f>
        <v>0</v>
      </c>
      <c r="M18" s="112"/>
      <c r="N18" s="116">
        <f t="shared" ref="N18:Y18" si="3">+SUMIF($F$24:$F$251,"Group",N$24:N$251)</f>
        <v>1503.1849999999999</v>
      </c>
      <c r="O18" s="116">
        <f t="shared" si="3"/>
        <v>395.74299999999999</v>
      </c>
      <c r="P18" s="116">
        <f t="shared" si="3"/>
        <v>272.32900000000001</v>
      </c>
      <c r="Q18" s="116">
        <f t="shared" si="3"/>
        <v>471.86199999999997</v>
      </c>
      <c r="R18" s="116">
        <f t="shared" si="3"/>
        <v>701</v>
      </c>
      <c r="S18" s="116">
        <f t="shared" si="3"/>
        <v>124</v>
      </c>
      <c r="T18" s="116">
        <f t="shared" si="3"/>
        <v>0</v>
      </c>
      <c r="U18" s="116">
        <f t="shared" si="3"/>
        <v>1042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10743.054999999998</v>
      </c>
      <c r="K19" s="117">
        <f>SUM(K17:K18)</f>
        <v>10743.054999999998</v>
      </c>
      <c r="L19" s="118">
        <f>SUM(L17:L18)</f>
        <v>0</v>
      </c>
      <c r="M19" s="119"/>
      <c r="N19" s="118">
        <f>SUM(N17:N18)</f>
        <v>4240.866</v>
      </c>
      <c r="O19" s="118">
        <f t="shared" ref="O19:Y19" si="5">SUM(O17:O18)</f>
        <v>1984.482</v>
      </c>
      <c r="P19" s="118">
        <f t="shared" si="5"/>
        <v>1285.9069999999999</v>
      </c>
      <c r="Q19" s="118">
        <f t="shared" si="5"/>
        <v>471.86199999999997</v>
      </c>
      <c r="R19" s="118">
        <f t="shared" si="5"/>
        <v>806.35799999999995</v>
      </c>
      <c r="S19" s="118">
        <f t="shared" si="5"/>
        <v>442</v>
      </c>
      <c r="T19" s="118">
        <f t="shared" si="5"/>
        <v>0</v>
      </c>
      <c r="U19" s="118">
        <f t="shared" si="5"/>
        <v>1511.58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287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3123.66</v>
      </c>
      <c r="K24" s="121">
        <f t="shared" ref="K24" si="8">SUM(N24:Y24)</f>
        <v>3123.66</v>
      </c>
      <c r="L24" s="121">
        <f>SUM(AA24:AL24)</f>
        <v>0</v>
      </c>
      <c r="M24" s="25"/>
      <c r="N24" s="26">
        <f>1322.75-6.101+7-201.989</f>
        <v>1121.6599999999999</v>
      </c>
      <c r="O24" s="26">
        <v>106</v>
      </c>
      <c r="P24" s="26">
        <f>1+2</f>
        <v>3</v>
      </c>
      <c r="Q24" s="26">
        <v>26</v>
      </c>
      <c r="R24" s="26">
        <f>450+251</f>
        <v>701</v>
      </c>
      <c r="S24" s="26">
        <v>124</v>
      </c>
      <c r="T24" s="26"/>
      <c r="U24" s="26">
        <f>1302-7-2-251</f>
        <v>1042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9">+K25+L25</f>
        <v>7.5950000000000006</v>
      </c>
      <c r="K25" s="121">
        <f t="shared" ref="K25:K88" si="10">SUM(N25:Y25)</f>
        <v>7.5950000000000006</v>
      </c>
      <c r="L25" s="121">
        <f t="shared" ref="L25:L88" si="11">SUM(AA25:AL25)</f>
        <v>0</v>
      </c>
      <c r="M25" s="25"/>
      <c r="N25" s="26">
        <f>5-4.734+5</f>
        <v>5.266</v>
      </c>
      <c r="O25" s="26"/>
      <c r="P25" s="26">
        <f>4.781-4.295-0.157+12-5-5</f>
        <v>2.3290000000000006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9"/>
        <v>148.30099999999999</v>
      </c>
      <c r="K26" s="121">
        <f t="shared" si="10"/>
        <v>148.30099999999999</v>
      </c>
      <c r="L26" s="121">
        <f t="shared" si="11"/>
        <v>0</v>
      </c>
      <c r="M26" s="25"/>
      <c r="N26" s="26">
        <f>21.432-17.832+18</f>
        <v>21.599999999999998</v>
      </c>
      <c r="O26" s="26"/>
      <c r="P26" s="26"/>
      <c r="Q26" s="26">
        <f>144.798-0.097-18</f>
        <v>126.70099999999999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285</v>
      </c>
      <c r="F27" s="9" t="s">
        <v>10</v>
      </c>
      <c r="G27" s="9" t="s">
        <v>285</v>
      </c>
      <c r="H27" s="195"/>
      <c r="I27" s="195" t="s">
        <v>234</v>
      </c>
      <c r="J27" s="120">
        <f t="shared" si="9"/>
        <v>4</v>
      </c>
      <c r="K27" s="121">
        <f t="shared" si="10"/>
        <v>4</v>
      </c>
      <c r="L27" s="121">
        <f t="shared" si="11"/>
        <v>0</v>
      </c>
      <c r="M27" s="25"/>
      <c r="N27" s="26">
        <v>4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167</v>
      </c>
      <c r="F28" s="9" t="s">
        <v>10</v>
      </c>
      <c r="G28" s="9" t="s">
        <v>167</v>
      </c>
      <c r="H28" s="195"/>
      <c r="I28" s="9" t="s">
        <v>234</v>
      </c>
      <c r="J28" s="120">
        <f t="shared" si="9"/>
        <v>15.259</v>
      </c>
      <c r="K28" s="121">
        <f t="shared" si="10"/>
        <v>15.259</v>
      </c>
      <c r="L28" s="121">
        <f t="shared" si="11"/>
        <v>0</v>
      </c>
      <c r="M28" s="25"/>
      <c r="N28" s="26">
        <f>3.259+12</f>
        <v>15.259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106</v>
      </c>
      <c r="F29" s="9" t="s">
        <v>10</v>
      </c>
      <c r="G29" s="9" t="s">
        <v>106</v>
      </c>
      <c r="H29" s="195"/>
      <c r="I29" s="9" t="s">
        <v>234</v>
      </c>
      <c r="J29" s="120">
        <f t="shared" si="9"/>
        <v>197</v>
      </c>
      <c r="K29" s="121">
        <f t="shared" si="10"/>
        <v>197</v>
      </c>
      <c r="L29" s="121">
        <f t="shared" si="11"/>
        <v>0</v>
      </c>
      <c r="M29" s="25"/>
      <c r="N29" s="26">
        <v>3</v>
      </c>
      <c r="O29" s="26">
        <v>191</v>
      </c>
      <c r="P29" s="26">
        <v>3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236</v>
      </c>
      <c r="F30" s="9" t="s">
        <v>10</v>
      </c>
      <c r="G30" s="9" t="s">
        <v>236</v>
      </c>
      <c r="H30" s="196"/>
      <c r="I30" s="9" t="s">
        <v>234</v>
      </c>
      <c r="J30" s="120">
        <f t="shared" si="9"/>
        <v>3.5</v>
      </c>
      <c r="K30" s="121">
        <f t="shared" si="10"/>
        <v>3.5</v>
      </c>
      <c r="L30" s="121">
        <f t="shared" si="11"/>
        <v>0</v>
      </c>
      <c r="M30" s="25"/>
      <c r="N30" s="26"/>
      <c r="O30" s="26"/>
      <c r="P30" s="26"/>
      <c r="Q30" s="26">
        <v>3.5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275</v>
      </c>
      <c r="F31" s="9" t="s">
        <v>10</v>
      </c>
      <c r="G31" s="9" t="s">
        <v>275</v>
      </c>
      <c r="H31" s="197"/>
      <c r="I31" s="9" t="s">
        <v>234</v>
      </c>
      <c r="J31" s="120">
        <f t="shared" si="9"/>
        <v>109.77600000000001</v>
      </c>
      <c r="K31" s="121">
        <f t="shared" si="10"/>
        <v>109.77600000000001</v>
      </c>
      <c r="L31" s="121">
        <f t="shared" si="11"/>
        <v>0</v>
      </c>
      <c r="M31" s="25"/>
      <c r="N31" s="26"/>
      <c r="O31" s="26">
        <v>12</v>
      </c>
      <c r="P31" s="26"/>
      <c r="Q31" s="26">
        <f>153.294-43.518-12</f>
        <v>97.77600000000001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278</v>
      </c>
      <c r="F32" s="9" t="s">
        <v>10</v>
      </c>
      <c r="G32" s="9" t="s">
        <v>278</v>
      </c>
      <c r="H32" s="197"/>
      <c r="I32" s="9" t="s">
        <v>234</v>
      </c>
      <c r="J32" s="120">
        <f t="shared" si="9"/>
        <v>2.7430000000000003</v>
      </c>
      <c r="K32" s="121">
        <f t="shared" si="10"/>
        <v>2.7430000000000003</v>
      </c>
      <c r="L32" s="121">
        <f t="shared" si="11"/>
        <v>0</v>
      </c>
      <c r="M32" s="17"/>
      <c r="N32" s="26"/>
      <c r="O32" s="26">
        <f>1.443-1.7+3</f>
        <v>2.7430000000000003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237</v>
      </c>
      <c r="H33" s="197"/>
      <c r="I33" s="9" t="s">
        <v>234</v>
      </c>
      <c r="J33" s="120">
        <f t="shared" si="9"/>
        <v>328.274</v>
      </c>
      <c r="K33" s="121">
        <f t="shared" si="10"/>
        <v>328.274</v>
      </c>
      <c r="L33" s="121">
        <f t="shared" si="11"/>
        <v>0</v>
      </c>
      <c r="M33" s="17"/>
      <c r="N33" s="26">
        <f>131.895-84.621+91-91</f>
        <v>47.274000000000001</v>
      </c>
      <c r="O33" s="26">
        <f>183-91-65</f>
        <v>27</v>
      </c>
      <c r="P33" s="26">
        <f>98+65+91</f>
        <v>254</v>
      </c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284</v>
      </c>
      <c r="F34" s="9" t="s">
        <v>10</v>
      </c>
      <c r="G34" s="9" t="s">
        <v>284</v>
      </c>
      <c r="H34" s="197"/>
      <c r="I34" s="9" t="s">
        <v>234</v>
      </c>
      <c r="J34" s="120">
        <f t="shared" si="9"/>
        <v>6.3999999999999613E-2</v>
      </c>
      <c r="K34" s="121">
        <f t="shared" si="10"/>
        <v>6.3999999999999613E-2</v>
      </c>
      <c r="L34" s="121">
        <f t="shared" si="11"/>
        <v>0</v>
      </c>
      <c r="M34" s="17"/>
      <c r="N34" s="26">
        <f>2.675-2.611</f>
        <v>6.3999999999999613E-2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144</v>
      </c>
      <c r="F35" s="9" t="s">
        <v>10</v>
      </c>
      <c r="G35" s="9" t="s">
        <v>238</v>
      </c>
      <c r="H35" s="197"/>
      <c r="I35" s="9" t="s">
        <v>234</v>
      </c>
      <c r="J35" s="120">
        <f t="shared" si="9"/>
        <v>309.56600000000003</v>
      </c>
      <c r="K35" s="121">
        <f t="shared" si="10"/>
        <v>309.56600000000003</v>
      </c>
      <c r="L35" s="121">
        <f t="shared" si="11"/>
        <v>0</v>
      </c>
      <c r="M35" s="17"/>
      <c r="N35" s="26">
        <v>254.566</v>
      </c>
      <c r="O35" s="26">
        <v>55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207</v>
      </c>
      <c r="F36" s="9" t="s">
        <v>10</v>
      </c>
      <c r="G36" s="9" t="s">
        <v>239</v>
      </c>
      <c r="H36" s="197"/>
      <c r="I36" s="9" t="s">
        <v>234</v>
      </c>
      <c r="J36" s="120">
        <f t="shared" si="9"/>
        <v>10</v>
      </c>
      <c r="K36" s="121">
        <f t="shared" si="10"/>
        <v>10</v>
      </c>
      <c r="L36" s="121">
        <f t="shared" si="11"/>
        <v>0</v>
      </c>
      <c r="M36" s="17"/>
      <c r="N36" s="26"/>
      <c r="O36" s="26"/>
      <c r="P36" s="26"/>
      <c r="Q36" s="26">
        <v>10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9" t="s">
        <v>234</v>
      </c>
      <c r="J37" s="120">
        <f t="shared" si="9"/>
        <v>34.495999999999995</v>
      </c>
      <c r="K37" s="121">
        <f t="shared" si="10"/>
        <v>34.495999999999995</v>
      </c>
      <c r="L37" s="121">
        <f t="shared" si="11"/>
        <v>0</v>
      </c>
      <c r="M37" s="17"/>
      <c r="N37" s="26">
        <v>8.4959999999999987</v>
      </c>
      <c r="O37" s="26">
        <v>2</v>
      </c>
      <c r="P37" s="26">
        <v>10</v>
      </c>
      <c r="Q37" s="26">
        <v>14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103</v>
      </c>
      <c r="F38" s="9" t="s">
        <v>10</v>
      </c>
      <c r="G38" s="9" t="s">
        <v>241</v>
      </c>
      <c r="H38" s="197"/>
      <c r="I38" s="9" t="s">
        <v>234</v>
      </c>
      <c r="J38" s="120">
        <f t="shared" si="9"/>
        <v>128.23099999999999</v>
      </c>
      <c r="K38" s="121">
        <f t="shared" si="10"/>
        <v>128.23099999999999</v>
      </c>
      <c r="L38" s="121">
        <f t="shared" si="11"/>
        <v>0</v>
      </c>
      <c r="M38" s="17"/>
      <c r="N38" s="26">
        <v>22</v>
      </c>
      <c r="O38" s="26"/>
      <c r="P38" s="26"/>
      <c r="Q38" s="26">
        <f>128.231-22</f>
        <v>106.23099999999999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242</v>
      </c>
      <c r="F39" s="9" t="s">
        <v>10</v>
      </c>
      <c r="G39" s="9" t="s">
        <v>243</v>
      </c>
      <c r="H39" s="197"/>
      <c r="I39" s="9" t="s">
        <v>234</v>
      </c>
      <c r="J39" s="120">
        <f t="shared" si="9"/>
        <v>87.653999999999996</v>
      </c>
      <c r="K39" s="121">
        <f t="shared" si="10"/>
        <v>87.653999999999996</v>
      </c>
      <c r="L39" s="121">
        <f t="shared" si="11"/>
        <v>0</v>
      </c>
      <c r="M39" s="17"/>
      <c r="N39" s="26"/>
      <c r="O39" s="26"/>
      <c r="P39" s="26"/>
      <c r="Q39" s="26">
        <v>87.653999999999996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262</v>
      </c>
      <c r="F40" s="9" t="s">
        <v>40</v>
      </c>
      <c r="G40" s="9" t="s">
        <v>263</v>
      </c>
      <c r="H40" s="197"/>
      <c r="I40" s="9" t="s">
        <v>234</v>
      </c>
      <c r="J40" s="120">
        <f t="shared" si="9"/>
        <v>258.40700000000004</v>
      </c>
      <c r="K40" s="121">
        <f t="shared" si="10"/>
        <v>258.40700000000004</v>
      </c>
      <c r="L40" s="121">
        <f t="shared" si="11"/>
        <v>0</v>
      </c>
      <c r="M40" s="17"/>
      <c r="N40" s="26">
        <f>133.223-90.816</f>
        <v>42.407000000000011</v>
      </c>
      <c r="O40" s="26"/>
      <c r="P40" s="26">
        <v>216</v>
      </c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244</v>
      </c>
      <c r="F41" s="9" t="s">
        <v>40</v>
      </c>
      <c r="G41" s="9" t="s">
        <v>245</v>
      </c>
      <c r="H41" s="197"/>
      <c r="I41" s="9" t="s">
        <v>234</v>
      </c>
      <c r="J41" s="120">
        <f t="shared" si="9"/>
        <v>975.42299999999989</v>
      </c>
      <c r="K41" s="121">
        <f t="shared" si="10"/>
        <v>975.42299999999989</v>
      </c>
      <c r="L41" s="121">
        <f t="shared" si="11"/>
        <v>0</v>
      </c>
      <c r="M41" s="17"/>
      <c r="N41" s="26">
        <f>1621.796-15-9.4-669.551-20</f>
        <v>907.84499999999991</v>
      </c>
      <c r="O41" s="26">
        <f>32.578+15-38+20</f>
        <v>29.578000000000003</v>
      </c>
      <c r="P41" s="26">
        <v>38</v>
      </c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276</v>
      </c>
      <c r="F42" s="9" t="s">
        <v>40</v>
      </c>
      <c r="G42" s="9" t="s">
        <v>277</v>
      </c>
      <c r="H42" s="197"/>
      <c r="I42" s="9" t="s">
        <v>234</v>
      </c>
      <c r="J42" s="120">
        <f t="shared" si="9"/>
        <v>186.46299999999999</v>
      </c>
      <c r="K42" s="121">
        <f t="shared" si="10"/>
        <v>186.46299999999999</v>
      </c>
      <c r="L42" s="121">
        <f t="shared" si="11"/>
        <v>0</v>
      </c>
      <c r="M42" s="17"/>
      <c r="N42" s="26">
        <v>186.46299999999999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280</v>
      </c>
      <c r="F43" s="9" t="s">
        <v>40</v>
      </c>
      <c r="G43" s="9" t="s">
        <v>281</v>
      </c>
      <c r="H43" s="197"/>
      <c r="I43" s="9" t="s">
        <v>234</v>
      </c>
      <c r="J43" s="120">
        <f t="shared" si="9"/>
        <v>36.891999999999996</v>
      </c>
      <c r="K43" s="121">
        <f t="shared" si="10"/>
        <v>36.891999999999996</v>
      </c>
      <c r="L43" s="121">
        <f t="shared" si="11"/>
        <v>0</v>
      </c>
      <c r="M43" s="17"/>
      <c r="N43" s="26">
        <f>113-76.108</f>
        <v>36.891999999999996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256</v>
      </c>
      <c r="F44" s="9" t="s">
        <v>40</v>
      </c>
      <c r="G44" s="9" t="s">
        <v>257</v>
      </c>
      <c r="H44" s="197"/>
      <c r="I44" s="9" t="s">
        <v>234</v>
      </c>
      <c r="J44" s="120">
        <f t="shared" si="9"/>
        <v>528.43000000000006</v>
      </c>
      <c r="K44" s="121">
        <f t="shared" si="10"/>
        <v>528.43000000000006</v>
      </c>
      <c r="L44" s="121">
        <f t="shared" si="11"/>
        <v>0</v>
      </c>
      <c r="M44" s="17"/>
      <c r="N44" s="26">
        <f>10.201-93.771+168+89</f>
        <v>173.43</v>
      </c>
      <c r="O44" s="26">
        <f>200-5-89</f>
        <v>106</v>
      </c>
      <c r="P44" s="26">
        <f>192-168-9</f>
        <v>15</v>
      </c>
      <c r="Q44" s="26"/>
      <c r="R44" s="26"/>
      <c r="S44" s="26">
        <v>28</v>
      </c>
      <c r="T44" s="26"/>
      <c r="U44" s="26">
        <f>192+5+9</f>
        <v>206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264</v>
      </c>
      <c r="F45" s="9" t="s">
        <v>40</v>
      </c>
      <c r="G45" s="9" t="s">
        <v>265</v>
      </c>
      <c r="H45" s="198"/>
      <c r="I45" s="9" t="s">
        <v>234</v>
      </c>
      <c r="J45" s="120">
        <f t="shared" si="9"/>
        <v>197.22699999999998</v>
      </c>
      <c r="K45" s="121">
        <f t="shared" si="10"/>
        <v>197.22699999999998</v>
      </c>
      <c r="L45" s="121">
        <f t="shared" si="11"/>
        <v>0</v>
      </c>
      <c r="M45" s="17"/>
      <c r="N45" s="26"/>
      <c r="O45" s="26">
        <f>5-283.016+56.243+102+125</f>
        <v>5.2269999999999754</v>
      </c>
      <c r="P45" s="26">
        <v>192</v>
      </c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258</v>
      </c>
      <c r="F46" s="9" t="s">
        <v>40</v>
      </c>
      <c r="G46" s="9" t="s">
        <v>259</v>
      </c>
      <c r="H46" s="198"/>
      <c r="I46" s="9" t="s">
        <v>234</v>
      </c>
      <c r="J46" s="120">
        <f t="shared" si="9"/>
        <v>321.58000000000004</v>
      </c>
      <c r="K46" s="121">
        <f t="shared" si="10"/>
        <v>321.58000000000004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>
        <v>290</v>
      </c>
      <c r="T46" s="26"/>
      <c r="U46" s="26">
        <f>255.58+66-290</f>
        <v>31.580000000000041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250</v>
      </c>
      <c r="F47" s="9" t="s">
        <v>40</v>
      </c>
      <c r="G47" s="9" t="s">
        <v>251</v>
      </c>
      <c r="H47" s="198"/>
      <c r="I47" s="9" t="s">
        <v>247</v>
      </c>
      <c r="J47" s="120">
        <f t="shared" si="9"/>
        <v>1815.4779999999998</v>
      </c>
      <c r="K47" s="121">
        <f t="shared" si="10"/>
        <v>1815.4779999999998</v>
      </c>
      <c r="L47" s="121">
        <f t="shared" si="11"/>
        <v>0</v>
      </c>
      <c r="M47" s="17"/>
      <c r="N47" s="26">
        <f>721.12-4+10</f>
        <v>727.12</v>
      </c>
      <c r="O47" s="26">
        <f>475-19-10+70</f>
        <v>516</v>
      </c>
      <c r="P47" s="26">
        <f>138-17-70+194</f>
        <v>245</v>
      </c>
      <c r="Q47" s="26"/>
      <c r="R47" s="26">
        <v>105.358</v>
      </c>
      <c r="S47" s="26"/>
      <c r="T47" s="26"/>
      <c r="U47" s="26">
        <f>376+40-194</f>
        <v>222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254</v>
      </c>
      <c r="F48" s="9" t="s">
        <v>40</v>
      </c>
      <c r="G48" s="9" t="s">
        <v>255</v>
      </c>
      <c r="H48" s="195"/>
      <c r="I48" s="9" t="s">
        <v>247</v>
      </c>
      <c r="J48" s="120">
        <f t="shared" si="9"/>
        <v>427.82900000000001</v>
      </c>
      <c r="K48" s="121">
        <f t="shared" si="10"/>
        <v>427.82900000000001</v>
      </c>
      <c r="L48" s="121">
        <f t="shared" si="11"/>
        <v>0</v>
      </c>
      <c r="M48" s="17"/>
      <c r="N48" s="26">
        <f>220.919-143.09</f>
        <v>77.829000000000008</v>
      </c>
      <c r="O48" s="26">
        <v>262</v>
      </c>
      <c r="P48" s="26">
        <f>23+65</f>
        <v>88</v>
      </c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5"/>
      <c r="I49" s="9" t="s">
        <v>247</v>
      </c>
      <c r="J49" s="120">
        <f t="shared" si="9"/>
        <v>10.744</v>
      </c>
      <c r="K49" s="121">
        <f t="shared" si="10"/>
        <v>10.744</v>
      </c>
      <c r="L49" s="121">
        <f t="shared" si="11"/>
        <v>0</v>
      </c>
      <c r="M49" s="17"/>
      <c r="N49" s="26">
        <f>8.049-9.305+5</f>
        <v>3.7439999999999998</v>
      </c>
      <c r="O49" s="26"/>
      <c r="P49" s="26">
        <v>7</v>
      </c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6"/>
      <c r="I50" s="9" t="s">
        <v>247</v>
      </c>
      <c r="J50" s="120">
        <f t="shared" si="9"/>
        <v>307.58800000000002</v>
      </c>
      <c r="K50" s="121">
        <f t="shared" si="10"/>
        <v>307.58800000000002</v>
      </c>
      <c r="L50" s="121">
        <f t="shared" si="11"/>
        <v>0</v>
      </c>
      <c r="M50" s="17"/>
      <c r="N50" s="26"/>
      <c r="O50" s="26">
        <f>307.179+1.89300000000001-10-1.484</f>
        <v>297.58800000000002</v>
      </c>
      <c r="P50" s="26"/>
      <c r="Q50" s="26"/>
      <c r="R50" s="26"/>
      <c r="S50" s="26"/>
      <c r="T50" s="26"/>
      <c r="U50" s="26">
        <v>10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9" t="s">
        <v>247</v>
      </c>
      <c r="J51" s="120">
        <f t="shared" si="9"/>
        <v>327.608</v>
      </c>
      <c r="K51" s="121">
        <f t="shared" si="10"/>
        <v>327.608</v>
      </c>
      <c r="L51" s="121">
        <f t="shared" si="11"/>
        <v>0</v>
      </c>
      <c r="M51" s="17"/>
      <c r="N51" s="26">
        <f>558.413-330.805</f>
        <v>227.608</v>
      </c>
      <c r="O51" s="26">
        <f>21+11+29</f>
        <v>61</v>
      </c>
      <c r="P51" s="26">
        <v>39</v>
      </c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9" t="s">
        <v>247</v>
      </c>
      <c r="J52" s="120">
        <f t="shared" si="9"/>
        <v>1.0820000000000007</v>
      </c>
      <c r="K52" s="121">
        <f t="shared" si="10"/>
        <v>1.0820000000000007</v>
      </c>
      <c r="L52" s="121">
        <f t="shared" si="11"/>
        <v>0</v>
      </c>
      <c r="M52" s="17"/>
      <c r="N52" s="26">
        <v>1.0820000000000007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9" t="s">
        <v>247</v>
      </c>
      <c r="J53" s="120">
        <f t="shared" si="9"/>
        <v>140.733</v>
      </c>
      <c r="K53" s="121">
        <f t="shared" si="10"/>
        <v>140.733</v>
      </c>
      <c r="L53" s="121">
        <f t="shared" si="11"/>
        <v>0</v>
      </c>
      <c r="M53" s="17"/>
      <c r="N53" s="26">
        <f>170.888-7.846-22.309</f>
        <v>140.733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9" t="s">
        <v>247</v>
      </c>
      <c r="J54" s="120">
        <f t="shared" si="9"/>
        <v>116.175</v>
      </c>
      <c r="K54" s="121">
        <f t="shared" si="10"/>
        <v>116.175</v>
      </c>
      <c r="L54" s="121">
        <f t="shared" si="11"/>
        <v>0</v>
      </c>
      <c r="M54" s="17"/>
      <c r="N54" s="26">
        <v>27.134</v>
      </c>
      <c r="O54" s="26">
        <f>45.041+44</f>
        <v>89.040999999999997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9" t="s">
        <v>247</v>
      </c>
      <c r="J55" s="120">
        <f t="shared" si="9"/>
        <v>2.1280000000000001</v>
      </c>
      <c r="K55" s="121">
        <f t="shared" si="10"/>
        <v>2.1280000000000001</v>
      </c>
      <c r="L55" s="121">
        <f t="shared" si="11"/>
        <v>0</v>
      </c>
      <c r="M55" s="17"/>
      <c r="N55" s="26"/>
      <c r="O55" s="26"/>
      <c r="P55" s="26">
        <f>12.688-10.56</f>
        <v>2.1280000000000001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9" t="s">
        <v>247</v>
      </c>
      <c r="J56" s="120">
        <f t="shared" si="9"/>
        <v>147.30500000000001</v>
      </c>
      <c r="K56" s="121">
        <f t="shared" si="10"/>
        <v>147.30500000000001</v>
      </c>
      <c r="L56" s="121">
        <f t="shared" si="11"/>
        <v>0</v>
      </c>
      <c r="M56" s="17"/>
      <c r="N56" s="26"/>
      <c r="O56" s="26">
        <f>232.388-23+23-85.083</f>
        <v>147.30500000000001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9" t="s">
        <v>247</v>
      </c>
      <c r="J57" s="120">
        <f t="shared" si="9"/>
        <v>171.45</v>
      </c>
      <c r="K57" s="121">
        <f t="shared" si="10"/>
        <v>171.45</v>
      </c>
      <c r="L57" s="121">
        <f t="shared" si="11"/>
        <v>0</v>
      </c>
      <c r="M57" s="17"/>
      <c r="N57" s="26"/>
      <c r="O57" s="26"/>
      <c r="P57" s="26">
        <f>8.45+163</f>
        <v>171.45</v>
      </c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9" t="s">
        <v>247</v>
      </c>
      <c r="J58" s="120">
        <f t="shared" si="9"/>
        <v>242.38800000000001</v>
      </c>
      <c r="K58" s="121">
        <f t="shared" si="10"/>
        <v>242.38800000000001</v>
      </c>
      <c r="L58" s="121">
        <f t="shared" si="11"/>
        <v>0</v>
      </c>
      <c r="M58" s="17"/>
      <c r="N58" s="26">
        <v>172.38800000000001</v>
      </c>
      <c r="O58" s="26">
        <v>70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9" t="s">
        <v>247</v>
      </c>
      <c r="J59" s="120">
        <f t="shared" si="9"/>
        <v>18.006</v>
      </c>
      <c r="K59" s="121">
        <f t="shared" si="10"/>
        <v>18.006</v>
      </c>
      <c r="L59" s="121">
        <f t="shared" si="11"/>
        <v>0</v>
      </c>
      <c r="M59" s="17"/>
      <c r="N59" s="26">
        <v>13.006</v>
      </c>
      <c r="O59" s="26">
        <v>5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F19" zoomScaleNormal="100" workbookViewId="0">
      <selection activeCell="P46" sqref="P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4638.0439999999999</v>
      </c>
      <c r="I10" s="63"/>
      <c r="J10" s="162">
        <f>0+65.798+187.646+1646.019+2738.581</f>
        <v>4638.0439999999999</v>
      </c>
      <c r="L10" s="162">
        <f>J10+N17</f>
        <v>4638.0439999999999</v>
      </c>
      <c r="N10" s="57"/>
      <c r="O10" s="173">
        <f>+H10+K17</f>
        <v>8456.0990000000002</v>
      </c>
      <c r="P10" s="174" cm="1">
        <f t="array" aca="1" ref="P10" ca="1">INDIRECT(ADDRESS(10,15,,,VLOOKUP($G$4,parameters!$G:$I,3,0)))</f>
        <v>8132.3989999999994</v>
      </c>
      <c r="Q10" s="186">
        <f ca="1">O10-P10</f>
        <v>323.70000000000073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2258.0610000000001</v>
      </c>
      <c r="I11" s="63"/>
      <c r="J11" s="18">
        <f>0+68.362+73.603+302.502+1813.594</f>
        <v>2258.0610000000001</v>
      </c>
      <c r="L11" s="18">
        <f>J11+N18</f>
        <v>2258.0610000000001</v>
      </c>
      <c r="N11" s="57"/>
      <c r="O11" s="155">
        <f>+H11+K18</f>
        <v>5049.7960000000003</v>
      </c>
      <c r="P11" s="156" cm="1">
        <f t="array" aca="1" ref="P11" ca="1">INDIRECT(ADDRESS(11,15,,,VLOOKUP($G$4,parameters!$G:$I,3,0)))</f>
        <v>4954.5859999999984</v>
      </c>
      <c r="Q11" s="187">
        <f t="shared" ref="Q11:Q12" ca="1" si="0">O11-P11</f>
        <v>95.210000000001855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6896.1049999999996</v>
      </c>
      <c r="I12" s="63"/>
      <c r="J12" s="128">
        <f>SUM(J10:J11)</f>
        <v>6896.1049999999996</v>
      </c>
      <c r="K12" s="67"/>
      <c r="L12" s="128">
        <f>SUM(L10:L11)</f>
        <v>6896.1049999999996</v>
      </c>
      <c r="M12" s="67"/>
      <c r="N12" s="67"/>
      <c r="O12" s="157">
        <f>SUM(O10:O11)</f>
        <v>13505.895</v>
      </c>
      <c r="P12" s="158">
        <f ca="1">SUM(P10:P11)</f>
        <v>13086.984999999997</v>
      </c>
      <c r="Q12" s="159">
        <f t="shared" ca="1" si="0"/>
        <v>418.91000000000349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3818.0549999999998</v>
      </c>
      <c r="K17" s="110">
        <f>+SUMIF($F$24:$F$251,"External",$K$24:$K$251)</f>
        <v>3818.0549999999998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1980.7300000000002</v>
      </c>
      <c r="P17" s="113">
        <f t="shared" si="1"/>
        <v>1123.9670000000001</v>
      </c>
      <c r="Q17" s="113">
        <f t="shared" si="1"/>
        <v>21</v>
      </c>
      <c r="R17" s="113">
        <f t="shared" si="1"/>
        <v>118.492</v>
      </c>
      <c r="S17" s="113">
        <f t="shared" si="1"/>
        <v>88</v>
      </c>
      <c r="T17" s="113">
        <f t="shared" si="1"/>
        <v>0</v>
      </c>
      <c r="U17" s="113">
        <f t="shared" si="1"/>
        <v>485.86599999999999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2791.7350000000001</v>
      </c>
      <c r="K18" s="115">
        <f>+SUMIF($F$24:$F$251,"Group",$K$24:$K$251)</f>
        <v>2791.7350000000001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244.40699999999995</v>
      </c>
      <c r="P18" s="116">
        <f t="shared" si="3"/>
        <v>328.22500000000002</v>
      </c>
      <c r="Q18" s="116">
        <f t="shared" si="3"/>
        <v>454.565</v>
      </c>
      <c r="R18" s="116">
        <f t="shared" si="3"/>
        <v>698.53799999999978</v>
      </c>
      <c r="S18" s="116">
        <f t="shared" si="3"/>
        <v>26</v>
      </c>
      <c r="T18" s="116">
        <f t="shared" si="3"/>
        <v>0</v>
      </c>
      <c r="U18" s="116">
        <f t="shared" si="3"/>
        <v>1040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6609.79</v>
      </c>
      <c r="K19" s="117">
        <f>SUM(K17:K18)</f>
        <v>6609.79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2225.1370000000002</v>
      </c>
      <c r="P19" s="118">
        <f t="shared" si="5"/>
        <v>1452.192</v>
      </c>
      <c r="Q19" s="118">
        <f t="shared" si="5"/>
        <v>475.565</v>
      </c>
      <c r="R19" s="118">
        <f t="shared" si="5"/>
        <v>817.02999999999975</v>
      </c>
      <c r="S19" s="118">
        <f t="shared" si="5"/>
        <v>114</v>
      </c>
      <c r="T19" s="118">
        <f t="shared" si="5"/>
        <v>0</v>
      </c>
      <c r="U19" s="118">
        <f t="shared" si="5"/>
        <v>1525.866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287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1799.5379999999998</v>
      </c>
      <c r="K24" s="121">
        <f t="shared" ref="K24" si="8">SUM(N24:Y24)</f>
        <v>1799.5379999999998</v>
      </c>
      <c r="L24" s="121">
        <f t="shared" ref="L24" si="9">SUM(AA24:AL24)</f>
        <v>0</v>
      </c>
      <c r="M24" s="25"/>
      <c r="N24" s="26"/>
      <c r="O24" s="26">
        <f>106-104</f>
        <v>2</v>
      </c>
      <c r="P24" s="26">
        <f>1+2+26</f>
        <v>29</v>
      </c>
      <c r="Q24" s="26">
        <v>26</v>
      </c>
      <c r="R24" s="26">
        <f>1322.75-6.101+7-201.989-1324.122+701+124+78-2</f>
        <v>698.53799999999978</v>
      </c>
      <c r="S24" s="26">
        <f>2+2</f>
        <v>4</v>
      </c>
      <c r="T24" s="26"/>
      <c r="U24" s="26">
        <f>1302-7-2-251-2</f>
        <v>1040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7.4910000000000005</v>
      </c>
      <c r="K25" s="121">
        <f t="shared" ref="K25:K88" si="11">SUM(N25:Y25)</f>
        <v>7.4910000000000005</v>
      </c>
      <c r="L25" s="121">
        <f t="shared" ref="L25:L88" si="12">SUM(AA25:AL25)</f>
        <v>0</v>
      </c>
      <c r="M25" s="25"/>
      <c r="N25" s="26"/>
      <c r="O25" s="26">
        <f>5-4.734+5</f>
        <v>5.266</v>
      </c>
      <c r="P25" s="26">
        <f>4.781-4.295-0.157+12-5-5-0.104</f>
        <v>2.2250000000000005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138.096</v>
      </c>
      <c r="K26" s="121">
        <f t="shared" si="11"/>
        <v>138.096</v>
      </c>
      <c r="L26" s="121">
        <f t="shared" si="12"/>
        <v>0</v>
      </c>
      <c r="M26" s="25"/>
      <c r="N26" s="26"/>
      <c r="O26" s="26">
        <f>21.432-17.832+18-8.205</f>
        <v>13.394999999999998</v>
      </c>
      <c r="P26" s="26"/>
      <c r="Q26" s="26">
        <f>144.798-0.097-18-1-1</f>
        <v>124.70099999999999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285</v>
      </c>
      <c r="F27" s="9" t="s">
        <v>10</v>
      </c>
      <c r="G27" s="9" t="s">
        <v>285</v>
      </c>
      <c r="H27" s="195"/>
      <c r="I27" s="195" t="s">
        <v>234</v>
      </c>
      <c r="J27" s="120">
        <f t="shared" si="10"/>
        <v>2.0000000000000018E-2</v>
      </c>
      <c r="K27" s="121">
        <f t="shared" si="11"/>
        <v>2.0000000000000018E-2</v>
      </c>
      <c r="L27" s="121">
        <f t="shared" si="12"/>
        <v>0</v>
      </c>
      <c r="M27" s="25"/>
      <c r="N27" s="26"/>
      <c r="O27" s="26">
        <f>4-3.98</f>
        <v>2.0000000000000018E-2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167</v>
      </c>
      <c r="F28" s="9" t="s">
        <v>10</v>
      </c>
      <c r="G28" s="9" t="s">
        <v>167</v>
      </c>
      <c r="H28" s="195"/>
      <c r="I28" s="9" t="s">
        <v>234</v>
      </c>
      <c r="J28" s="120">
        <f t="shared" si="10"/>
        <v>15.259</v>
      </c>
      <c r="K28" s="121">
        <f t="shared" si="11"/>
        <v>15.259</v>
      </c>
      <c r="L28" s="121">
        <f t="shared" si="12"/>
        <v>0</v>
      </c>
      <c r="M28" s="25"/>
      <c r="N28" s="26"/>
      <c r="O28" s="26">
        <f>3.259+12</f>
        <v>15.259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106</v>
      </c>
      <c r="F29" s="9" t="s">
        <v>10</v>
      </c>
      <c r="G29" s="9" t="s">
        <v>106</v>
      </c>
      <c r="H29" s="195"/>
      <c r="I29" s="9" t="s">
        <v>234</v>
      </c>
      <c r="J29" s="120">
        <f t="shared" si="10"/>
        <v>149.75799999999998</v>
      </c>
      <c r="K29" s="121">
        <f t="shared" si="11"/>
        <v>149.75799999999998</v>
      </c>
      <c r="L29" s="121">
        <f t="shared" si="12"/>
        <v>0</v>
      </c>
      <c r="M29" s="25"/>
      <c r="N29" s="26"/>
      <c r="O29" s="26">
        <f>191-78.242+31</f>
        <v>143.75799999999998</v>
      </c>
      <c r="P29" s="26">
        <v>6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236</v>
      </c>
      <c r="F30" s="9" t="s">
        <v>10</v>
      </c>
      <c r="G30" s="9" t="s">
        <v>236</v>
      </c>
      <c r="H30" s="196"/>
      <c r="I30" s="9" t="s">
        <v>234</v>
      </c>
      <c r="J30" s="120">
        <f t="shared" si="10"/>
        <v>3.5</v>
      </c>
      <c r="K30" s="121">
        <f t="shared" si="11"/>
        <v>3.5</v>
      </c>
      <c r="L30" s="121">
        <f t="shared" si="12"/>
        <v>0</v>
      </c>
      <c r="M30" s="25"/>
      <c r="N30" s="26"/>
      <c r="O30" s="26"/>
      <c r="P30" s="26"/>
      <c r="Q30" s="26">
        <v>3.5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275</v>
      </c>
      <c r="F31" s="9" t="s">
        <v>10</v>
      </c>
      <c r="G31" s="9" t="s">
        <v>275</v>
      </c>
      <c r="H31" s="197"/>
      <c r="I31" s="9" t="s">
        <v>234</v>
      </c>
      <c r="J31" s="120">
        <f t="shared" si="10"/>
        <v>108.22200000000001</v>
      </c>
      <c r="K31" s="121">
        <f t="shared" si="11"/>
        <v>108.22200000000001</v>
      </c>
      <c r="L31" s="121">
        <f t="shared" si="12"/>
        <v>0</v>
      </c>
      <c r="M31" s="25"/>
      <c r="N31" s="26"/>
      <c r="O31" s="26">
        <f>12-1.554</f>
        <v>10.446</v>
      </c>
      <c r="P31" s="26"/>
      <c r="Q31" s="26">
        <f>153.294-43.518-12</f>
        <v>97.77600000000001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278</v>
      </c>
      <c r="F32" s="9" t="s">
        <v>10</v>
      </c>
      <c r="G32" s="9" t="s">
        <v>278</v>
      </c>
      <c r="H32" s="197"/>
      <c r="I32" s="9" t="s">
        <v>234</v>
      </c>
      <c r="J32" s="120">
        <f t="shared" si="10"/>
        <v>2.7430000000000003</v>
      </c>
      <c r="K32" s="121">
        <f t="shared" si="11"/>
        <v>2.7430000000000003</v>
      </c>
      <c r="L32" s="121">
        <f t="shared" si="12"/>
        <v>0</v>
      </c>
      <c r="M32" s="17"/>
      <c r="N32" s="26"/>
      <c r="O32" s="26">
        <f>1.443-1.7+3</f>
        <v>2.7430000000000003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237</v>
      </c>
      <c r="H33" s="197"/>
      <c r="I33" s="9" t="s">
        <v>234</v>
      </c>
      <c r="J33" s="120">
        <f t="shared" si="10"/>
        <v>276.92899999999997</v>
      </c>
      <c r="K33" s="121">
        <f t="shared" si="11"/>
        <v>276.92899999999997</v>
      </c>
      <c r="L33" s="121">
        <f t="shared" si="12"/>
        <v>0</v>
      </c>
      <c r="M33" s="17"/>
      <c r="N33" s="26"/>
      <c r="O33" s="26">
        <f>131.895-84.621+91-91-51.345+27+3</f>
        <v>25.929000000000002</v>
      </c>
      <c r="P33" s="26">
        <f>98+65+91-3</f>
        <v>251</v>
      </c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284</v>
      </c>
      <c r="F34" s="9" t="s">
        <v>10</v>
      </c>
      <c r="G34" s="9" t="s">
        <v>284</v>
      </c>
      <c r="H34" s="197"/>
      <c r="I34" s="9" t="s">
        <v>234</v>
      </c>
      <c r="J34" s="120">
        <f t="shared" si="10"/>
        <v>6.3999999999999613E-2</v>
      </c>
      <c r="K34" s="121">
        <f t="shared" si="11"/>
        <v>6.3999999999999613E-2</v>
      </c>
      <c r="L34" s="121">
        <f t="shared" si="12"/>
        <v>0</v>
      </c>
      <c r="M34" s="17"/>
      <c r="N34" s="26"/>
      <c r="O34" s="26">
        <f>2.675-2.611</f>
        <v>6.3999999999999613E-2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144</v>
      </c>
      <c r="F35" s="9" t="s">
        <v>10</v>
      </c>
      <c r="G35" s="9" t="s">
        <v>238</v>
      </c>
      <c r="H35" s="197"/>
      <c r="I35" s="9" t="s">
        <v>234</v>
      </c>
      <c r="J35" s="120">
        <f t="shared" si="10"/>
        <v>53.030999999999977</v>
      </c>
      <c r="K35" s="121">
        <f t="shared" si="11"/>
        <v>53.030999999999977</v>
      </c>
      <c r="L35" s="121">
        <f t="shared" si="12"/>
        <v>0</v>
      </c>
      <c r="M35" s="17"/>
      <c r="N35" s="26"/>
      <c r="O35" s="26">
        <f>254.566-317.535+55+31</f>
        <v>23.030999999999977</v>
      </c>
      <c r="P35" s="26">
        <v>30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207</v>
      </c>
      <c r="F36" s="9" t="s">
        <v>10</v>
      </c>
      <c r="G36" s="9" t="s">
        <v>239</v>
      </c>
      <c r="H36" s="197"/>
      <c r="I36" s="9" t="s">
        <v>234</v>
      </c>
      <c r="J36" s="120">
        <f t="shared" si="10"/>
        <v>9.1280000000000001</v>
      </c>
      <c r="K36" s="121">
        <f t="shared" si="11"/>
        <v>9.1280000000000001</v>
      </c>
      <c r="L36" s="121">
        <f t="shared" si="12"/>
        <v>0</v>
      </c>
      <c r="M36" s="17"/>
      <c r="N36" s="26"/>
      <c r="O36" s="26"/>
      <c r="P36" s="26"/>
      <c r="Q36" s="26">
        <f>10-0.872</f>
        <v>9.1280000000000001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9" t="s">
        <v>234</v>
      </c>
      <c r="J37" s="120">
        <f t="shared" si="10"/>
        <v>34.496000000000002</v>
      </c>
      <c r="K37" s="121">
        <f t="shared" si="11"/>
        <v>34.496000000000002</v>
      </c>
      <c r="L37" s="121">
        <f t="shared" si="12"/>
        <v>0</v>
      </c>
      <c r="M37" s="17"/>
      <c r="N37" s="26"/>
      <c r="O37" s="26">
        <f>8.496+2-8</f>
        <v>2.4960000000000004</v>
      </c>
      <c r="P37" s="26">
        <v>10</v>
      </c>
      <c r="Q37" s="26"/>
      <c r="R37" s="26"/>
      <c r="S37" s="26">
        <f>14+8</f>
        <v>22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103</v>
      </c>
      <c r="F38" s="9" t="s">
        <v>10</v>
      </c>
      <c r="G38" s="9" t="s">
        <v>241</v>
      </c>
      <c r="H38" s="197"/>
      <c r="I38" s="9" t="s">
        <v>234</v>
      </c>
      <c r="J38" s="120">
        <f t="shared" si="10"/>
        <v>105.806</v>
      </c>
      <c r="K38" s="121">
        <f t="shared" si="11"/>
        <v>105.806</v>
      </c>
      <c r="L38" s="121">
        <f t="shared" si="12"/>
        <v>0</v>
      </c>
      <c r="M38" s="17"/>
      <c r="N38" s="26"/>
      <c r="O38" s="26"/>
      <c r="P38" s="26"/>
      <c r="Q38" s="26">
        <f>22-22.425+128.231-22</f>
        <v>105.806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242</v>
      </c>
      <c r="F39" s="9" t="s">
        <v>10</v>
      </c>
      <c r="G39" s="9" t="s">
        <v>243</v>
      </c>
      <c r="H39" s="197"/>
      <c r="I39" s="9" t="s">
        <v>234</v>
      </c>
      <c r="J39" s="120">
        <f t="shared" si="10"/>
        <v>87.653999999999996</v>
      </c>
      <c r="K39" s="121">
        <f t="shared" si="11"/>
        <v>87.653999999999996</v>
      </c>
      <c r="L39" s="121">
        <f t="shared" si="12"/>
        <v>0</v>
      </c>
      <c r="M39" s="17"/>
      <c r="N39" s="26"/>
      <c r="O39" s="26"/>
      <c r="P39" s="26"/>
      <c r="Q39" s="26">
        <v>87.653999999999996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262</v>
      </c>
      <c r="F40" s="9" t="s">
        <v>40</v>
      </c>
      <c r="G40" s="9" t="s">
        <v>263</v>
      </c>
      <c r="H40" s="197"/>
      <c r="I40" s="9" t="s">
        <v>234</v>
      </c>
      <c r="J40" s="120">
        <f t="shared" si="10"/>
        <v>338.40700000000004</v>
      </c>
      <c r="K40" s="121">
        <f t="shared" si="11"/>
        <v>338.40700000000004</v>
      </c>
      <c r="L40" s="121">
        <f t="shared" si="12"/>
        <v>0</v>
      </c>
      <c r="M40" s="17"/>
      <c r="N40" s="26"/>
      <c r="O40" s="26">
        <f>133.223-90.816-17</f>
        <v>25.407000000000011</v>
      </c>
      <c r="P40" s="26">
        <f>216+17+80</f>
        <v>313</v>
      </c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244</v>
      </c>
      <c r="F41" s="9" t="s">
        <v>40</v>
      </c>
      <c r="G41" s="9" t="s">
        <v>245</v>
      </c>
      <c r="H41" s="197"/>
      <c r="I41" s="9" t="s">
        <v>234</v>
      </c>
      <c r="J41" s="120">
        <f t="shared" si="10"/>
        <v>122.00999999999988</v>
      </c>
      <c r="K41" s="121">
        <f t="shared" si="11"/>
        <v>122.00999999999988</v>
      </c>
      <c r="L41" s="121">
        <f t="shared" si="12"/>
        <v>0</v>
      </c>
      <c r="M41" s="17"/>
      <c r="N41" s="26"/>
      <c r="O41" s="26">
        <f>1621.796-15-9.4-669.551-20-888.835+30+35</f>
        <v>84.009999999999877</v>
      </c>
      <c r="P41" s="26">
        <v>38</v>
      </c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276</v>
      </c>
      <c r="F42" s="9" t="s">
        <v>40</v>
      </c>
      <c r="G42" s="9" t="s">
        <v>277</v>
      </c>
      <c r="H42" s="197"/>
      <c r="I42" s="9" t="s">
        <v>234</v>
      </c>
      <c r="J42" s="120">
        <f t="shared" si="10"/>
        <v>0.60399999999998499</v>
      </c>
      <c r="K42" s="121">
        <f t="shared" si="11"/>
        <v>0.60399999999998499</v>
      </c>
      <c r="L42" s="121">
        <f t="shared" si="12"/>
        <v>0</v>
      </c>
      <c r="M42" s="17"/>
      <c r="N42" s="26"/>
      <c r="O42" s="26">
        <f>186.463-185.859</f>
        <v>0.60399999999998499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280</v>
      </c>
      <c r="F43" s="9" t="s">
        <v>40</v>
      </c>
      <c r="G43" s="9" t="s">
        <v>281</v>
      </c>
      <c r="H43" s="197"/>
      <c r="I43" s="9" t="s">
        <v>234</v>
      </c>
      <c r="J43" s="120">
        <f t="shared" si="10"/>
        <v>36.891999999999996</v>
      </c>
      <c r="K43" s="121">
        <f t="shared" si="11"/>
        <v>36.891999999999996</v>
      </c>
      <c r="L43" s="121">
        <f t="shared" si="12"/>
        <v>0</v>
      </c>
      <c r="M43" s="17"/>
      <c r="N43" s="26"/>
      <c r="O43" s="26">
        <f>113-76.108</f>
        <v>36.891999999999996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256</v>
      </c>
      <c r="F44" s="9" t="s">
        <v>40</v>
      </c>
      <c r="G44" s="9" t="s">
        <v>257</v>
      </c>
      <c r="H44" s="197"/>
      <c r="I44" s="9" t="s">
        <v>234</v>
      </c>
      <c r="J44" s="120">
        <f t="shared" si="10"/>
        <v>244.34500000000003</v>
      </c>
      <c r="K44" s="121">
        <f t="shared" si="11"/>
        <v>244.34500000000003</v>
      </c>
      <c r="L44" s="121">
        <f t="shared" si="12"/>
        <v>0</v>
      </c>
      <c r="M44" s="17"/>
      <c r="N44" s="26"/>
      <c r="O44" s="26">
        <f>10.201-93.771+168+89-284.085+106+15+4</f>
        <v>14.345000000000027</v>
      </c>
      <c r="P44" s="26">
        <v>15</v>
      </c>
      <c r="Q44" s="26"/>
      <c r="R44" s="26"/>
      <c r="S44" s="26">
        <f>28+60</f>
        <v>88</v>
      </c>
      <c r="T44" s="26"/>
      <c r="U44" s="26">
        <f>192+5+9-4-15-60</f>
        <v>127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264</v>
      </c>
      <c r="F45" s="9" t="s">
        <v>40</v>
      </c>
      <c r="G45" s="9" t="s">
        <v>265</v>
      </c>
      <c r="H45" s="198"/>
      <c r="I45" s="9" t="s">
        <v>234</v>
      </c>
      <c r="J45" s="120">
        <f t="shared" si="10"/>
        <v>212.28199999999998</v>
      </c>
      <c r="K45" s="121">
        <f t="shared" si="11"/>
        <v>212.28199999999998</v>
      </c>
      <c r="L45" s="121">
        <f t="shared" si="12"/>
        <v>0</v>
      </c>
      <c r="M45" s="17"/>
      <c r="N45" s="26"/>
      <c r="O45" s="26">
        <f>5-283.016+56.243+102+125</f>
        <v>5.2269999999999754</v>
      </c>
      <c r="P45" s="26">
        <f>192-56.945+72</f>
        <v>207.05500000000001</v>
      </c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258</v>
      </c>
      <c r="F46" s="9" t="s">
        <v>40</v>
      </c>
      <c r="G46" s="9" t="s">
        <v>259</v>
      </c>
      <c r="H46" s="198"/>
      <c r="I46" s="9" t="s">
        <v>234</v>
      </c>
      <c r="J46" s="120">
        <f t="shared" si="10"/>
        <v>55.734000000000037</v>
      </c>
      <c r="K46" s="121">
        <f t="shared" si="11"/>
        <v>55.734000000000037</v>
      </c>
      <c r="L46" s="121">
        <f t="shared" si="12"/>
        <v>0</v>
      </c>
      <c r="M46" s="17"/>
      <c r="N46" s="26"/>
      <c r="O46" s="26"/>
      <c r="P46" s="26">
        <f>290-265.846+255.58+66-290</f>
        <v>55.734000000000037</v>
      </c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250</v>
      </c>
      <c r="F47" s="9" t="s">
        <v>40</v>
      </c>
      <c r="G47" s="9" t="s">
        <v>251</v>
      </c>
      <c r="H47" s="198"/>
      <c r="I47" s="9" t="s">
        <v>247</v>
      </c>
      <c r="J47" s="120">
        <f t="shared" si="10"/>
        <v>1093.2239999999999</v>
      </c>
      <c r="K47" s="121">
        <f t="shared" si="11"/>
        <v>1093.2239999999999</v>
      </c>
      <c r="L47" s="121">
        <f t="shared" si="12"/>
        <v>0</v>
      </c>
      <c r="M47" s="17"/>
      <c r="N47" s="26"/>
      <c r="O47" s="26">
        <f>475-19-10+70+130</f>
        <v>646</v>
      </c>
      <c r="P47" s="26">
        <f>138-17-70+194-169</f>
        <v>76</v>
      </c>
      <c r="Q47" s="26">
        <v>21</v>
      </c>
      <c r="R47" s="26">
        <f>105.358-14</f>
        <v>91.358000000000004</v>
      </c>
      <c r="S47" s="26"/>
      <c r="T47" s="26"/>
      <c r="U47" s="26">
        <f>721.12-4+10-722.254+169-21+14-130+222</f>
        <v>258.86599999999999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254</v>
      </c>
      <c r="F48" s="9" t="s">
        <v>40</v>
      </c>
      <c r="G48" s="9" t="s">
        <v>255</v>
      </c>
      <c r="H48" s="195"/>
      <c r="I48" s="9" t="s">
        <v>247</v>
      </c>
      <c r="J48" s="120">
        <f t="shared" si="10"/>
        <v>352</v>
      </c>
      <c r="K48" s="121">
        <f t="shared" si="11"/>
        <v>352</v>
      </c>
      <c r="L48" s="121">
        <f t="shared" si="12"/>
        <v>0</v>
      </c>
      <c r="M48" s="17"/>
      <c r="N48" s="26"/>
      <c r="O48" s="26">
        <f>126+48</f>
        <v>174</v>
      </c>
      <c r="P48" s="26">
        <f>23+65</f>
        <v>88</v>
      </c>
      <c r="Q48" s="26"/>
      <c r="R48" s="26"/>
      <c r="S48" s="26"/>
      <c r="T48" s="26"/>
      <c r="U48" s="26">
        <f>262-48-126+2</f>
        <v>90</v>
      </c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5"/>
      <c r="I49" s="9" t="s">
        <v>247</v>
      </c>
      <c r="J49" s="120">
        <f t="shared" si="10"/>
        <v>15.401999999999999</v>
      </c>
      <c r="K49" s="121">
        <f t="shared" si="11"/>
        <v>15.401999999999999</v>
      </c>
      <c r="L49" s="121">
        <f t="shared" si="12"/>
        <v>0</v>
      </c>
      <c r="M49" s="17"/>
      <c r="N49" s="26"/>
      <c r="O49" s="26">
        <f>8.049-9.305+5-8.342+7+13</f>
        <v>15.401999999999999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6"/>
      <c r="I50" s="9" t="s">
        <v>247</v>
      </c>
      <c r="J50" s="120">
        <f t="shared" si="10"/>
        <v>274.57800000000003</v>
      </c>
      <c r="K50" s="121">
        <f t="shared" si="11"/>
        <v>274.57800000000003</v>
      </c>
      <c r="L50" s="121">
        <f t="shared" si="12"/>
        <v>0</v>
      </c>
      <c r="M50" s="17"/>
      <c r="N50" s="26"/>
      <c r="O50" s="26">
        <f>307.179+1.89300000000001-10-1.484-33.01</f>
        <v>264.57800000000003</v>
      </c>
      <c r="P50" s="26"/>
      <c r="Q50" s="26"/>
      <c r="R50" s="26"/>
      <c r="S50" s="26"/>
      <c r="T50" s="26"/>
      <c r="U50" s="26">
        <v>10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9" t="s">
        <v>247</v>
      </c>
      <c r="J51" s="120">
        <f t="shared" si="10"/>
        <v>327.35199999999998</v>
      </c>
      <c r="K51" s="121">
        <f t="shared" si="11"/>
        <v>327.35199999999998</v>
      </c>
      <c r="L51" s="121">
        <f t="shared" si="12"/>
        <v>0</v>
      </c>
      <c r="M51" s="17"/>
      <c r="N51" s="26"/>
      <c r="O51" s="26">
        <f>558.413-330.805-0.256+61</f>
        <v>288.35199999999998</v>
      </c>
      <c r="P51" s="26">
        <v>39</v>
      </c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9" t="s">
        <v>247</v>
      </c>
      <c r="J52" s="120">
        <f t="shared" si="10"/>
        <v>1.0820000000000007</v>
      </c>
      <c r="K52" s="121">
        <f t="shared" si="11"/>
        <v>1.0820000000000007</v>
      </c>
      <c r="L52" s="121">
        <f t="shared" si="12"/>
        <v>0</v>
      </c>
      <c r="M52" s="17"/>
      <c r="N52" s="26"/>
      <c r="O52" s="26">
        <v>1.0820000000000007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9" t="s">
        <v>247</v>
      </c>
      <c r="J53" s="120">
        <f t="shared" si="10"/>
        <v>113.37100000000001</v>
      </c>
      <c r="K53" s="121">
        <f t="shared" si="11"/>
        <v>113.37100000000001</v>
      </c>
      <c r="L53" s="121">
        <f t="shared" si="12"/>
        <v>0</v>
      </c>
      <c r="M53" s="17"/>
      <c r="N53" s="26"/>
      <c r="O53" s="26">
        <f>170.888-7.846-22.309-14.994-12.368</f>
        <v>113.37100000000001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9" t="s">
        <v>247</v>
      </c>
      <c r="J54" s="120">
        <f t="shared" si="10"/>
        <v>116.175</v>
      </c>
      <c r="K54" s="121">
        <f t="shared" si="11"/>
        <v>116.175</v>
      </c>
      <c r="L54" s="121">
        <f t="shared" si="12"/>
        <v>0</v>
      </c>
      <c r="M54" s="17"/>
      <c r="N54" s="26"/>
      <c r="O54" s="26">
        <f>45.041+44</f>
        <v>89.040999999999997</v>
      </c>
      <c r="P54" s="26"/>
      <c r="Q54" s="26"/>
      <c r="R54" s="26">
        <v>27.134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9" t="s">
        <v>247</v>
      </c>
      <c r="J55" s="120">
        <f t="shared" si="10"/>
        <v>2.1280000000000001</v>
      </c>
      <c r="K55" s="121">
        <f t="shared" si="11"/>
        <v>2.1280000000000001</v>
      </c>
      <c r="L55" s="121">
        <f t="shared" si="12"/>
        <v>0</v>
      </c>
      <c r="M55" s="17"/>
      <c r="N55" s="26"/>
      <c r="O55" s="26"/>
      <c r="P55" s="26">
        <f>12.688-10.56</f>
        <v>2.1280000000000001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9" t="s">
        <v>247</v>
      </c>
      <c r="J56" s="120">
        <f t="shared" si="10"/>
        <v>147.30500000000001</v>
      </c>
      <c r="K56" s="121">
        <f t="shared" si="11"/>
        <v>147.30500000000001</v>
      </c>
      <c r="L56" s="121">
        <f t="shared" si="12"/>
        <v>0</v>
      </c>
      <c r="M56" s="17"/>
      <c r="N56" s="26"/>
      <c r="O56" s="26">
        <f>232.388-23+23-85.083</f>
        <v>147.30500000000001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9" t="s">
        <v>247</v>
      </c>
      <c r="J57" s="120">
        <f t="shared" si="10"/>
        <v>208.45</v>
      </c>
      <c r="K57" s="121">
        <f t="shared" si="11"/>
        <v>208.45</v>
      </c>
      <c r="L57" s="121">
        <f t="shared" si="12"/>
        <v>0</v>
      </c>
      <c r="M57" s="17"/>
      <c r="N57" s="26"/>
      <c r="O57" s="26"/>
      <c r="P57" s="26">
        <f>8.45+163+37</f>
        <v>208.45</v>
      </c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9" t="s">
        <v>247</v>
      </c>
      <c r="J58" s="120">
        <f t="shared" si="10"/>
        <v>139.60000000000002</v>
      </c>
      <c r="K58" s="121">
        <f t="shared" si="11"/>
        <v>139.60000000000002</v>
      </c>
      <c r="L58" s="121">
        <f t="shared" si="12"/>
        <v>0</v>
      </c>
      <c r="M58" s="17"/>
      <c r="N58" s="26"/>
      <c r="O58" s="26">
        <v>70</v>
      </c>
      <c r="P58" s="26">
        <f>172.388-117.788+15</f>
        <v>69.600000000000009</v>
      </c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9" t="s">
        <v>247</v>
      </c>
      <c r="J59" s="120">
        <f t="shared" si="10"/>
        <v>17.114000000000004</v>
      </c>
      <c r="K59" s="121">
        <f t="shared" si="11"/>
        <v>17.114000000000004</v>
      </c>
      <c r="L59" s="121">
        <f t="shared" si="12"/>
        <v>0</v>
      </c>
      <c r="M59" s="17"/>
      <c r="N59" s="26"/>
      <c r="O59" s="26">
        <f>13.006-71.892+5+59</f>
        <v>5.1140000000000043</v>
      </c>
      <c r="P59" s="26">
        <v>12</v>
      </c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49"/>
  <sheetViews>
    <sheetView showGridLines="0" topLeftCell="E21" zoomScale="90" zoomScaleNormal="90" workbookViewId="0">
      <selection activeCell="G47" sqref="G4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0+65.798+187.646+1646.019+2738.581+J10</f>
        <v>4835.97</v>
      </c>
      <c r="I10" s="63"/>
      <c r="J10" s="162">
        <f>197.926</f>
        <v>197.92599999999999</v>
      </c>
      <c r="L10" s="162">
        <f>J10+O17</f>
        <v>2078.7879999999996</v>
      </c>
      <c r="N10" s="57"/>
      <c r="O10" s="173">
        <f>+H10+K17</f>
        <v>9399.9330000000009</v>
      </c>
      <c r="P10" s="174" cm="1">
        <f t="array" aca="1" ref="P10" ca="1">INDIRECT(ADDRESS(10,15,,,VLOOKUP($G$4,parameters!$G:$I,3,0)))</f>
        <v>8456.0990000000002</v>
      </c>
      <c r="Q10" s="186">
        <f ca="1">O10-P10</f>
        <v>943.83400000000074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0+68.362+73.603+302.502+1813.594+J11</f>
        <v>2304.558</v>
      </c>
      <c r="I11" s="63"/>
      <c r="J11" s="18">
        <f>46.497</f>
        <v>46.497</v>
      </c>
      <c r="L11" s="18">
        <f>J11+O18</f>
        <v>130.64099999999996</v>
      </c>
      <c r="N11" s="57"/>
      <c r="O11" s="155">
        <f>+H11+K18</f>
        <v>5190.7119999999995</v>
      </c>
      <c r="P11" s="156" cm="1">
        <f t="array" aca="1" ref="P11" ca="1">INDIRECT(ADDRESS(11,15,,,VLOOKUP($G$4,parameters!$G:$I,3,0)))</f>
        <v>5049.7960000000003</v>
      </c>
      <c r="Q11" s="187">
        <f t="shared" ref="Q11:Q12" ca="1" si="0">O11-P11</f>
        <v>140.91599999999926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7140.5280000000002</v>
      </c>
      <c r="I12" s="63"/>
      <c r="J12" s="128">
        <f>SUM(J10:J11)</f>
        <v>244.423</v>
      </c>
      <c r="K12" s="67"/>
      <c r="L12" s="128">
        <f>SUM(L10:L11)</f>
        <v>2209.4289999999996</v>
      </c>
      <c r="M12" s="67"/>
      <c r="N12" s="67"/>
      <c r="O12" s="157">
        <f>SUM(O10:O11)</f>
        <v>14590.645</v>
      </c>
      <c r="P12" s="158">
        <f ca="1">SUM(P10:P11)</f>
        <v>13505.895</v>
      </c>
      <c r="Q12" s="159">
        <f t="shared" ca="1" si="0"/>
        <v>1084.75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+SUMIF($F$24:$F$248,"External",$J$24:$J$248)</f>
        <v>4563.9629999999997</v>
      </c>
      <c r="K17" s="110">
        <f>+SUMIF($F$24:$F$248,"External",$K$24:$K$248)</f>
        <v>4563.9629999999997</v>
      </c>
      <c r="L17" s="111">
        <f>+SUMIF($F$24:$F$248,"External",$L$24:$L$248)</f>
        <v>0</v>
      </c>
      <c r="M17" s="112"/>
      <c r="N17" s="113">
        <f t="shared" ref="N17:Y17" si="1">+SUMIF($F$24:$F$248,"External",N$24:N$248)</f>
        <v>0</v>
      </c>
      <c r="O17" s="113">
        <f t="shared" si="1"/>
        <v>1880.8619999999996</v>
      </c>
      <c r="P17" s="113">
        <f t="shared" si="1"/>
        <v>1174.991</v>
      </c>
      <c r="Q17" s="113">
        <f t="shared" si="1"/>
        <v>877.75200000000007</v>
      </c>
      <c r="R17" s="113">
        <f t="shared" si="1"/>
        <v>91.358000000000004</v>
      </c>
      <c r="S17" s="113">
        <f t="shared" si="1"/>
        <v>103.134</v>
      </c>
      <c r="T17" s="113">
        <f t="shared" si="1"/>
        <v>301.86599999999999</v>
      </c>
      <c r="U17" s="113">
        <f t="shared" si="1"/>
        <v>134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+SUMIF($F$24:$F$248,"External",AA$24:AA$248)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+SUMIF($F$24:$F$248,"Group",$J$24:$J$248)</f>
        <v>2886.1539999999995</v>
      </c>
      <c r="K18" s="115">
        <f>+SUMIF($F$24:$F$248,"Group",$K$24:$K$248)</f>
        <v>2886.1539999999995</v>
      </c>
      <c r="L18" s="116">
        <f>SUMIF($F$24:$F$248,"Group",$L$24:$L$248)</f>
        <v>0</v>
      </c>
      <c r="M18" s="112"/>
      <c r="N18" s="116">
        <f t="shared" ref="N18:Y18" si="3">+SUMIF($F$24:$F$248,"Group",N$24:N$248)</f>
        <v>0</v>
      </c>
      <c r="O18" s="116">
        <f t="shared" si="3"/>
        <v>84.143999999999977</v>
      </c>
      <c r="P18" s="116">
        <f t="shared" si="3"/>
        <v>619.47</v>
      </c>
      <c r="Q18" s="116">
        <f t="shared" si="3"/>
        <v>222.95999999999998</v>
      </c>
      <c r="R18" s="116">
        <f t="shared" si="3"/>
        <v>695.53800000000001</v>
      </c>
      <c r="S18" s="116">
        <f t="shared" si="3"/>
        <v>239.04199999999997</v>
      </c>
      <c r="T18" s="116">
        <f t="shared" si="3"/>
        <v>0</v>
      </c>
      <c r="U18" s="116">
        <f t="shared" si="3"/>
        <v>1025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+SUMIF($F$24:$F$248,"Group",AA$24:AA$248)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7450.1169999999993</v>
      </c>
      <c r="K19" s="117">
        <f>SUM(K17:K18)</f>
        <v>7450.1169999999993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1965.0059999999996</v>
      </c>
      <c r="P19" s="118">
        <f t="shared" si="5"/>
        <v>1794.461</v>
      </c>
      <c r="Q19" s="118">
        <f t="shared" si="5"/>
        <v>1100.712</v>
      </c>
      <c r="R19" s="118">
        <f t="shared" si="5"/>
        <v>786.89599999999996</v>
      </c>
      <c r="S19" s="118">
        <f t="shared" si="5"/>
        <v>342.17599999999999</v>
      </c>
      <c r="T19" s="118">
        <f t="shared" si="5"/>
        <v>301.86599999999999</v>
      </c>
      <c r="U19" s="118">
        <f t="shared" si="5"/>
        <v>1159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IF(SUM(J24:J248)=J19,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1794.2049999999999</v>
      </c>
      <c r="K24" s="121">
        <f t="shared" ref="K24" si="8">SUM(N24:Y24)</f>
        <v>1794.2049999999999</v>
      </c>
      <c r="L24" s="121">
        <f t="shared" ref="L24" si="9">SUM(AA24:AL24)</f>
        <v>0</v>
      </c>
      <c r="M24" s="25"/>
      <c r="N24" s="26"/>
      <c r="O24" s="26">
        <f>2-5.333+4+7</f>
        <v>7.6669999999999998</v>
      </c>
      <c r="P24" s="26">
        <f>29+3+8</f>
        <v>40</v>
      </c>
      <c r="Q24" s="26">
        <v>26</v>
      </c>
      <c r="R24" s="26">
        <f>698.538-3</f>
        <v>695.53800000000001</v>
      </c>
      <c r="S24" s="26"/>
      <c r="T24" s="26"/>
      <c r="U24" s="26">
        <f>1040-15</f>
        <v>1025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5" si="10">+K25+L25</f>
        <v>7.4910000000000005</v>
      </c>
      <c r="K25" s="121">
        <f t="shared" ref="K25:K85" si="11">SUM(N25:Y25)</f>
        <v>7.4910000000000005</v>
      </c>
      <c r="L25" s="121">
        <f t="shared" ref="L25:L85" si="12">SUM(AA25:AL25)</f>
        <v>0</v>
      </c>
      <c r="M25" s="25"/>
      <c r="N25" s="26"/>
      <c r="O25" s="26">
        <v>2.2250000000000005</v>
      </c>
      <c r="P25" s="26">
        <v>5.266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124.16099999999999</v>
      </c>
      <c r="K26" s="121">
        <f t="shared" si="11"/>
        <v>124.16099999999999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13.395-13.935+124.701</f>
        <v>124.16099999999999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9.31</v>
      </c>
      <c r="K27" s="121">
        <f t="shared" si="11"/>
        <v>9.31</v>
      </c>
      <c r="L27" s="121">
        <f t="shared" si="12"/>
        <v>0</v>
      </c>
      <c r="M27" s="25"/>
      <c r="N27" s="26"/>
      <c r="O27" s="26">
        <f>15.259-5.949</f>
        <v>9.31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6"/>
      <c r="I28" s="195" t="s">
        <v>234</v>
      </c>
      <c r="J28" s="120">
        <f t="shared" si="10"/>
        <v>222.75800000000001</v>
      </c>
      <c r="K28" s="121">
        <f t="shared" si="11"/>
        <v>222.75800000000001</v>
      </c>
      <c r="L28" s="121">
        <f t="shared" si="12"/>
        <v>0</v>
      </c>
      <c r="M28" s="25"/>
      <c r="N28" s="26"/>
      <c r="O28" s="26">
        <v>10</v>
      </c>
      <c r="P28" s="26">
        <f>143.758+6-10+73</f>
        <v>212.75800000000001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7"/>
      <c r="I29" s="195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/>
      <c r="P29" s="26"/>
      <c r="Q29" s="26">
        <v>3.5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103.327</v>
      </c>
      <c r="K30" s="121">
        <f t="shared" si="11"/>
        <v>103.327</v>
      </c>
      <c r="L30" s="121">
        <f t="shared" si="12"/>
        <v>0</v>
      </c>
      <c r="M30" s="25"/>
      <c r="N30" s="26"/>
      <c r="O30" s="26"/>
      <c r="P30" s="26">
        <v>10.446</v>
      </c>
      <c r="Q30" s="26"/>
      <c r="R30" s="26"/>
      <c r="S30" s="26">
        <f>97.776-1.654-3.241</f>
        <v>92.881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1.4409999999999998</v>
      </c>
      <c r="K31" s="121">
        <f t="shared" si="11"/>
        <v>1.4409999999999998</v>
      </c>
      <c r="L31" s="121">
        <f t="shared" si="12"/>
        <v>0</v>
      </c>
      <c r="M31" s="17"/>
      <c r="N31" s="26"/>
      <c r="O31" s="26">
        <f>2.743-1.302</f>
        <v>1.4409999999999998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237</v>
      </c>
      <c r="H32" s="197"/>
      <c r="I32" s="195" t="s">
        <v>234</v>
      </c>
      <c r="J32" s="120">
        <f t="shared" si="10"/>
        <v>261.846</v>
      </c>
      <c r="K32" s="121">
        <f t="shared" si="11"/>
        <v>261.846</v>
      </c>
      <c r="L32" s="121">
        <f t="shared" si="12"/>
        <v>0</v>
      </c>
      <c r="M32" s="17"/>
      <c r="N32" s="26"/>
      <c r="O32" s="26">
        <f>25.929-15.083</f>
        <v>10.845999999999998</v>
      </c>
      <c r="P32" s="26">
        <v>251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53.030999999999977</v>
      </c>
      <c r="K33" s="121">
        <f t="shared" si="11"/>
        <v>53.030999999999977</v>
      </c>
      <c r="L33" s="121">
        <f t="shared" si="12"/>
        <v>0</v>
      </c>
      <c r="M33" s="17"/>
      <c r="N33" s="26"/>
      <c r="O33" s="26">
        <v>23.030999999999977</v>
      </c>
      <c r="P33" s="26">
        <v>30</v>
      </c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64.128</v>
      </c>
      <c r="K34" s="121">
        <f t="shared" si="11"/>
        <v>64.128</v>
      </c>
      <c r="L34" s="121">
        <f t="shared" si="12"/>
        <v>0</v>
      </c>
      <c r="M34" s="17"/>
      <c r="N34" s="26"/>
      <c r="O34" s="26">
        <v>9.1280000000000001</v>
      </c>
      <c r="P34" s="26">
        <v>55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47.496000000000002</v>
      </c>
      <c r="K35" s="121">
        <f t="shared" si="11"/>
        <v>47.496000000000002</v>
      </c>
      <c r="L35" s="121">
        <f t="shared" si="12"/>
        <v>0</v>
      </c>
      <c r="M35" s="17"/>
      <c r="N35" s="26"/>
      <c r="O35" s="26">
        <f>2.496+8</f>
        <v>10.496</v>
      </c>
      <c r="P35" s="26">
        <f>10-8+13</f>
        <v>15</v>
      </c>
      <c r="Q35" s="26"/>
      <c r="R35" s="26"/>
      <c r="S35" s="26">
        <v>22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103</v>
      </c>
      <c r="F36" s="9" t="s">
        <v>10</v>
      </c>
      <c r="G36" s="9" t="s">
        <v>241</v>
      </c>
      <c r="H36" s="197"/>
      <c r="I36" s="195" t="s">
        <v>234</v>
      </c>
      <c r="J36" s="120">
        <f t="shared" si="10"/>
        <v>105.806</v>
      </c>
      <c r="K36" s="121">
        <f t="shared" si="11"/>
        <v>105.806</v>
      </c>
      <c r="L36" s="121">
        <f t="shared" si="12"/>
        <v>0</v>
      </c>
      <c r="M36" s="17"/>
      <c r="N36" s="26"/>
      <c r="O36" s="26"/>
      <c r="P36" s="26"/>
      <c r="Q36" s="26">
        <v>105.806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242</v>
      </c>
      <c r="F37" s="9" t="s">
        <v>10</v>
      </c>
      <c r="G37" s="9" t="s">
        <v>243</v>
      </c>
      <c r="H37" s="197"/>
      <c r="I37" s="195" t="s">
        <v>234</v>
      </c>
      <c r="J37" s="120">
        <f t="shared" si="10"/>
        <v>87.653999999999996</v>
      </c>
      <c r="K37" s="121">
        <f t="shared" si="11"/>
        <v>87.653999999999996</v>
      </c>
      <c r="L37" s="121">
        <f t="shared" si="12"/>
        <v>0</v>
      </c>
      <c r="M37" s="17"/>
      <c r="N37" s="26"/>
      <c r="O37" s="26"/>
      <c r="P37" s="26"/>
      <c r="Q37" s="26">
        <v>87.653999999999996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338.40700000000004</v>
      </c>
      <c r="K38" s="121">
        <f t="shared" si="11"/>
        <v>338.40700000000004</v>
      </c>
      <c r="L38" s="121">
        <f t="shared" si="12"/>
        <v>0</v>
      </c>
      <c r="M38" s="17"/>
      <c r="N38" s="26"/>
      <c r="O38" s="26">
        <v>25.407000000000011</v>
      </c>
      <c r="P38" s="26">
        <v>313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229.34999999999991</v>
      </c>
      <c r="K39" s="121">
        <f t="shared" si="11"/>
        <v>229.34999999999991</v>
      </c>
      <c r="L39" s="121">
        <f t="shared" si="12"/>
        <v>0</v>
      </c>
      <c r="M39" s="17"/>
      <c r="N39" s="26"/>
      <c r="O39" s="26">
        <f>84.0099999999999-11+106.34</f>
        <v>179.34999999999991</v>
      </c>
      <c r="P39" s="26">
        <f>38+11+1</f>
        <v>50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281</v>
      </c>
      <c r="H40" s="198"/>
      <c r="I40" s="195" t="s">
        <v>234</v>
      </c>
      <c r="J40" s="120">
        <f t="shared" si="10"/>
        <v>36.892000000000003</v>
      </c>
      <c r="K40" s="121">
        <f t="shared" si="11"/>
        <v>36.892000000000003</v>
      </c>
      <c r="L40" s="121">
        <f t="shared" si="12"/>
        <v>0</v>
      </c>
      <c r="M40" s="17"/>
      <c r="N40" s="26"/>
      <c r="O40" s="26">
        <f>36.892</f>
        <v>36.892000000000003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256</v>
      </c>
      <c r="F41" s="9" t="s">
        <v>40</v>
      </c>
      <c r="G41" s="9" t="s">
        <v>257</v>
      </c>
      <c r="H41" s="198"/>
      <c r="I41" s="195" t="s">
        <v>234</v>
      </c>
      <c r="J41" s="120">
        <f t="shared" si="10"/>
        <v>244.345</v>
      </c>
      <c r="K41" s="121">
        <f t="shared" si="11"/>
        <v>244.345</v>
      </c>
      <c r="L41" s="121">
        <f t="shared" si="12"/>
        <v>0</v>
      </c>
      <c r="M41" s="17"/>
      <c r="N41" s="26"/>
      <c r="O41" s="26">
        <f>14.345-7</f>
        <v>7.3450000000000006</v>
      </c>
      <c r="P41" s="26">
        <v>15</v>
      </c>
      <c r="Q41" s="26"/>
      <c r="R41" s="26"/>
      <c r="S41" s="26">
        <v>88</v>
      </c>
      <c r="T41" s="26"/>
      <c r="U41" s="26">
        <f>127+7</f>
        <v>134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264</v>
      </c>
      <c r="F42" s="9" t="s">
        <v>40</v>
      </c>
      <c r="G42" s="9" t="s">
        <v>265</v>
      </c>
      <c r="H42" s="198"/>
      <c r="I42" s="195" t="s">
        <v>234</v>
      </c>
      <c r="J42" s="120">
        <f t="shared" si="10"/>
        <v>120.41499999999998</v>
      </c>
      <c r="K42" s="121">
        <f t="shared" si="11"/>
        <v>120.41499999999998</v>
      </c>
      <c r="L42" s="121">
        <f t="shared" si="12"/>
        <v>0</v>
      </c>
      <c r="M42" s="17"/>
      <c r="N42" s="26"/>
      <c r="O42" s="26"/>
      <c r="P42" s="26">
        <f>5.22699999999998-91.867+207.055</f>
        <v>120.41499999999998</v>
      </c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258</v>
      </c>
      <c r="F43" s="9" t="s">
        <v>40</v>
      </c>
      <c r="G43" s="9" t="s">
        <v>298</v>
      </c>
      <c r="H43" s="195"/>
      <c r="I43" s="195" t="s">
        <v>234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5"/>
      <c r="I44" s="195" t="s">
        <v>247</v>
      </c>
      <c r="J44" s="120">
        <f t="shared" si="10"/>
        <v>1093.2239999999999</v>
      </c>
      <c r="K44" s="121">
        <f t="shared" si="11"/>
        <v>1093.2239999999999</v>
      </c>
      <c r="L44" s="121">
        <f t="shared" si="12"/>
        <v>0</v>
      </c>
      <c r="M44" s="17"/>
      <c r="N44" s="26"/>
      <c r="O44" s="26">
        <f>646-120</f>
        <v>526</v>
      </c>
      <c r="P44" s="26">
        <v>76</v>
      </c>
      <c r="Q44" s="26">
        <f>21+77</f>
        <v>98</v>
      </c>
      <c r="R44" s="26">
        <v>91.358000000000004</v>
      </c>
      <c r="S44" s="26"/>
      <c r="T44" s="26">
        <f>258.866+43</f>
        <v>301.86599999999999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6"/>
      <c r="I45" s="195" t="s">
        <v>247</v>
      </c>
      <c r="J45" s="120">
        <f t="shared" si="10"/>
        <v>429.59699999999998</v>
      </c>
      <c r="K45" s="121">
        <f t="shared" si="11"/>
        <v>429.59699999999998</v>
      </c>
      <c r="L45" s="121">
        <f t="shared" si="12"/>
        <v>0</v>
      </c>
      <c r="M45" s="17"/>
      <c r="N45" s="26"/>
      <c r="O45" s="26">
        <f>174-10.403+82</f>
        <v>245.59700000000001</v>
      </c>
      <c r="P45" s="26">
        <f>88-82+84</f>
        <v>90</v>
      </c>
      <c r="Q45" s="26">
        <f>90-84+88</f>
        <v>94</v>
      </c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267</v>
      </c>
      <c r="F46" s="9" t="s">
        <v>40</v>
      </c>
      <c r="G46" s="9" t="s">
        <v>268</v>
      </c>
      <c r="H46" s="197"/>
      <c r="I46" s="195" t="s">
        <v>247</v>
      </c>
      <c r="J46" s="120">
        <f t="shared" si="10"/>
        <v>15.401999999999999</v>
      </c>
      <c r="K46" s="121">
        <f t="shared" si="11"/>
        <v>15.401999999999999</v>
      </c>
      <c r="L46" s="121">
        <f t="shared" si="12"/>
        <v>0</v>
      </c>
      <c r="M46" s="17"/>
      <c r="N46" s="26"/>
      <c r="O46" s="26">
        <v>15.401999999999999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7"/>
      <c r="I47" s="195" t="s">
        <v>247</v>
      </c>
      <c r="J47" s="120">
        <f t="shared" si="10"/>
        <v>293.57799999999997</v>
      </c>
      <c r="K47" s="121">
        <f t="shared" si="11"/>
        <v>293.57799999999997</v>
      </c>
      <c r="L47" s="121">
        <f t="shared" si="12"/>
        <v>0</v>
      </c>
      <c r="M47" s="17"/>
      <c r="N47" s="26"/>
      <c r="O47" s="26">
        <f>264.578+17+10</f>
        <v>291.57799999999997</v>
      </c>
      <c r="P47" s="26">
        <v>2</v>
      </c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7"/>
      <c r="I48" s="195" t="s">
        <v>247</v>
      </c>
      <c r="J48" s="120">
        <f t="shared" si="10"/>
        <v>1007.99</v>
      </c>
      <c r="K48" s="121">
        <f t="shared" si="11"/>
        <v>1007.99</v>
      </c>
      <c r="L48" s="121">
        <f t="shared" si="12"/>
        <v>0</v>
      </c>
      <c r="M48" s="17"/>
      <c r="N48" s="26"/>
      <c r="O48" s="26">
        <f>288.352-100</f>
        <v>188.35199999999998</v>
      </c>
      <c r="P48" s="26">
        <f>39+100</f>
        <v>139</v>
      </c>
      <c r="Q48" s="26">
        <v>680.63800000000003</v>
      </c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195" t="s">
        <v>247</v>
      </c>
      <c r="J49" s="120">
        <f t="shared" si="10"/>
        <v>1.0820000000000007</v>
      </c>
      <c r="K49" s="121">
        <f t="shared" si="11"/>
        <v>1.0820000000000007</v>
      </c>
      <c r="L49" s="121">
        <f t="shared" si="12"/>
        <v>0</v>
      </c>
      <c r="M49" s="17"/>
      <c r="N49" s="26"/>
      <c r="O49" s="26">
        <v>1.0820000000000007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195" t="s">
        <v>247</v>
      </c>
      <c r="J50" s="120">
        <f t="shared" si="10"/>
        <v>112.99799999999999</v>
      </c>
      <c r="K50" s="121">
        <f t="shared" si="11"/>
        <v>112.99799999999999</v>
      </c>
      <c r="L50" s="121">
        <f t="shared" si="12"/>
        <v>0</v>
      </c>
      <c r="M50" s="17"/>
      <c r="N50" s="26"/>
      <c r="O50" s="26">
        <v>31</v>
      </c>
      <c r="P50" s="26">
        <f>113.371-0.373-31</f>
        <v>81.99799999999999</v>
      </c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195" t="s">
        <v>247</v>
      </c>
      <c r="J51" s="120">
        <f t="shared" si="10"/>
        <v>116.175</v>
      </c>
      <c r="K51" s="121">
        <f t="shared" si="11"/>
        <v>116.175</v>
      </c>
      <c r="L51" s="121">
        <f t="shared" si="12"/>
        <v>0</v>
      </c>
      <c r="M51" s="17"/>
      <c r="N51" s="26"/>
      <c r="O51" s="26">
        <f>89.041-3</f>
        <v>86.040999999999997</v>
      </c>
      <c r="P51" s="26">
        <f>3+12</f>
        <v>15</v>
      </c>
      <c r="Q51" s="26"/>
      <c r="R51" s="26"/>
      <c r="S51" s="26">
        <f>27.134-12</f>
        <v>15.134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279</v>
      </c>
      <c r="F52" s="9" t="s">
        <v>40</v>
      </c>
      <c r="G52" s="9" t="s">
        <v>283</v>
      </c>
      <c r="H52" s="197"/>
      <c r="I52" s="195" t="s">
        <v>247</v>
      </c>
      <c r="J52" s="120">
        <f t="shared" si="10"/>
        <v>2.1280000000000001</v>
      </c>
      <c r="K52" s="121">
        <f t="shared" si="11"/>
        <v>2.1280000000000001</v>
      </c>
      <c r="L52" s="121">
        <f t="shared" si="12"/>
        <v>0</v>
      </c>
      <c r="M52" s="17"/>
      <c r="N52" s="26"/>
      <c r="O52" s="26"/>
      <c r="P52" s="26">
        <v>2.1280000000000001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5" t="s">
        <v>247</v>
      </c>
      <c r="J53" s="120">
        <f t="shared" si="10"/>
        <v>107.21600000000001</v>
      </c>
      <c r="K53" s="121">
        <f t="shared" si="11"/>
        <v>107.21600000000001</v>
      </c>
      <c r="L53" s="121">
        <f t="shared" si="12"/>
        <v>0</v>
      </c>
      <c r="M53" s="17"/>
      <c r="N53" s="26"/>
      <c r="O53" s="26">
        <f>147.305-39.089-1</f>
        <v>107.21600000000001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270</v>
      </c>
      <c r="F54" s="9" t="s">
        <v>40</v>
      </c>
      <c r="G54" s="9" t="s">
        <v>270</v>
      </c>
      <c r="H54" s="197"/>
      <c r="I54" s="195" t="s">
        <v>247</v>
      </c>
      <c r="J54" s="120">
        <f t="shared" si="10"/>
        <v>208.45</v>
      </c>
      <c r="K54" s="121">
        <f t="shared" si="11"/>
        <v>208.45</v>
      </c>
      <c r="L54" s="121">
        <f t="shared" si="12"/>
        <v>0</v>
      </c>
      <c r="M54" s="17"/>
      <c r="N54" s="26"/>
      <c r="O54" s="26"/>
      <c r="P54" s="26">
        <v>208.45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195" t="s">
        <v>247</v>
      </c>
      <c r="J55" s="120">
        <f t="shared" si="10"/>
        <v>189.6</v>
      </c>
      <c r="K55" s="121">
        <f t="shared" si="11"/>
        <v>189.6</v>
      </c>
      <c r="L55" s="121">
        <f t="shared" si="12"/>
        <v>0</v>
      </c>
      <c r="M55" s="17"/>
      <c r="N55" s="26"/>
      <c r="O55" s="26">
        <f>70+69.6</f>
        <v>139.6</v>
      </c>
      <c r="P55" s="26">
        <v>50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195" t="s">
        <v>247</v>
      </c>
      <c r="J56" s="120">
        <f t="shared" si="10"/>
        <v>17.114000000000004</v>
      </c>
      <c r="K56" s="121">
        <f t="shared" si="11"/>
        <v>17.114000000000004</v>
      </c>
      <c r="L56" s="121">
        <f t="shared" si="12"/>
        <v>0</v>
      </c>
      <c r="M56" s="17"/>
      <c r="N56" s="26"/>
      <c r="O56" s="26"/>
      <c r="P56" s="26">
        <v>12</v>
      </c>
      <c r="Q56" s="26">
        <v>5.1140000000000043</v>
      </c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95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4"/>
      <c r="I59" s="14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15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15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1"/>
      <c r="I71" s="11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2"/>
      <c r="I73" s="12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ref="J86:J149" si="13">+K86+L86</f>
        <v>0</v>
      </c>
      <c r="K86" s="121">
        <f t="shared" ref="K86:K149" si="14">SUM(N86:Y86)</f>
        <v>0</v>
      </c>
      <c r="L86" s="121">
        <f t="shared" ref="L86:L149" si="15">SUM(AA86:AL86)</f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4"/>
      <c r="I87" s="14"/>
      <c r="J87" s="120">
        <f t="shared" si="13"/>
        <v>0</v>
      </c>
      <c r="K87" s="121">
        <f t="shared" si="14"/>
        <v>0</v>
      </c>
      <c r="L87" s="121">
        <f t="shared" si="15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15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1"/>
      <c r="I90" s="11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2"/>
      <c r="I92" s="12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4"/>
      <c r="I106" s="14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15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15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1"/>
      <c r="I119" s="11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2"/>
      <c r="I121" s="12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4"/>
      <c r="I135" s="14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15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1"/>
      <c r="I138" s="11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2"/>
      <c r="I140" s="12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ref="J150:J213" si="16">+K150+L150</f>
        <v>0</v>
      </c>
      <c r="K150" s="121">
        <f t="shared" ref="K150:K213" si="17">SUM(N150:Y150)</f>
        <v>0</v>
      </c>
      <c r="L150" s="121">
        <f t="shared" ref="L150:L213" si="18">SUM(AA150:AL150)</f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4"/>
      <c r="I154" s="14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15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15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1"/>
      <c r="I166" s="11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2"/>
      <c r="I168" s="12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4"/>
      <c r="I182" s="14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15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1"/>
      <c r="I185" s="11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2"/>
      <c r="I187" s="12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4"/>
      <c r="I201" s="14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15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15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1"/>
      <c r="I214" s="11"/>
      <c r="J214" s="120">
        <f t="shared" ref="J214:J249" si="19">+K214+L214</f>
        <v>0</v>
      </c>
      <c r="K214" s="121">
        <f t="shared" ref="K214:K249" si="20">SUM(N214:Y214)</f>
        <v>0</v>
      </c>
      <c r="L214" s="121">
        <f t="shared" ref="L214:L249" si="21">SUM(AA214:AL214)</f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2"/>
      <c r="I216" s="12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4"/>
      <c r="I231" s="14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15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5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6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 s="24" customFormat="1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17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J249" s="120">
        <f t="shared" si="19"/>
        <v>0</v>
      </c>
      <c r="K249" s="121">
        <f t="shared" si="20"/>
        <v>0</v>
      </c>
      <c r="L249" s="12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topLeftCell="D3" zoomScale="90" zoomScaleNormal="90" workbookViewId="0">
      <selection activeCell="I45" sqref="I4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0+65.798+187.646+1646.019+2738.581+J10</f>
        <v>4835.97</v>
      </c>
      <c r="I10" s="63"/>
      <c r="J10" s="162">
        <f>197.926</f>
        <v>197.92599999999999</v>
      </c>
      <c r="L10" s="162">
        <f>J10+O17</f>
        <v>2078.7879999999996</v>
      </c>
      <c r="N10" s="57"/>
      <c r="O10" s="173">
        <f>+H10+K17</f>
        <v>9399.9330000000009</v>
      </c>
      <c r="P10" s="174" cm="1">
        <f t="array" aca="1" ref="P10" ca="1">INDIRECT(ADDRESS(10,15,,,VLOOKUP($G$4,parameters!$G:$I,3,0)))</f>
        <v>9399.9330000000009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0+68.362+73.603+302.502+1813.594+J11</f>
        <v>2304.558</v>
      </c>
      <c r="I11" s="63"/>
      <c r="J11" s="18">
        <f>46.497</f>
        <v>46.497</v>
      </c>
      <c r="L11" s="18">
        <f>J11+O18</f>
        <v>169.64099999999999</v>
      </c>
      <c r="N11" s="57"/>
      <c r="O11" s="155">
        <f>+H11+K18</f>
        <v>5219.7119999999995</v>
      </c>
      <c r="P11" s="156" cm="1">
        <f t="array" aca="1" ref="P11" ca="1">INDIRECT(ADDRESS(11,15,,,VLOOKUP($G$4,parameters!$G:$I,3,0)))</f>
        <v>5190.7119999999995</v>
      </c>
      <c r="Q11" s="187">
        <f t="shared" ref="Q11:Q12" ca="1" si="0">O11-P11</f>
        <v>29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7140.5280000000002</v>
      </c>
      <c r="I12" s="63"/>
      <c r="J12" s="128">
        <f>SUM(J10:J11)</f>
        <v>244.423</v>
      </c>
      <c r="K12" s="67"/>
      <c r="L12" s="128">
        <f>SUM(L10:L11)</f>
        <v>2248.4289999999996</v>
      </c>
      <c r="M12" s="67"/>
      <c r="N12" s="67"/>
      <c r="O12" s="157">
        <f>SUM(O10:O11)</f>
        <v>14619.645</v>
      </c>
      <c r="P12" s="158">
        <f ca="1">SUM(P10:P11)</f>
        <v>14590.645</v>
      </c>
      <c r="Q12" s="159">
        <f t="shared" ca="1" si="0"/>
        <v>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4563.9629999999997</v>
      </c>
      <c r="K17" s="110">
        <f>+SUMIF($F$24:$F$251,"External",$K$24:$K$251)</f>
        <v>4563.9629999999997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1880.8619999999996</v>
      </c>
      <c r="P17" s="113">
        <f t="shared" si="1"/>
        <v>1172.991</v>
      </c>
      <c r="Q17" s="113">
        <f t="shared" si="1"/>
        <v>877.75200000000007</v>
      </c>
      <c r="R17" s="113">
        <f t="shared" si="1"/>
        <v>91.358000000000004</v>
      </c>
      <c r="S17" s="113">
        <f t="shared" si="1"/>
        <v>115.134</v>
      </c>
      <c r="T17" s="113">
        <f t="shared" si="1"/>
        <v>291.86599999999999</v>
      </c>
      <c r="U17" s="113">
        <f t="shared" si="1"/>
        <v>134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2915.1539999999995</v>
      </c>
      <c r="K18" s="115">
        <f>+SUMIF($F$24:$F$251,"Group",$K$24:$K$251)</f>
        <v>2915.1539999999995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123.14399999999999</v>
      </c>
      <c r="P18" s="116">
        <f t="shared" si="3"/>
        <v>599.47</v>
      </c>
      <c r="Q18" s="116">
        <f t="shared" si="3"/>
        <v>222.95999999999998</v>
      </c>
      <c r="R18" s="116">
        <f t="shared" si="3"/>
        <v>695.53800000000001</v>
      </c>
      <c r="S18" s="116">
        <f t="shared" si="3"/>
        <v>239.04199999999997</v>
      </c>
      <c r="T18" s="116">
        <f t="shared" si="3"/>
        <v>0</v>
      </c>
      <c r="U18" s="116">
        <f t="shared" si="3"/>
        <v>1035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7479.1169999999993</v>
      </c>
      <c r="K19" s="117">
        <f>SUM(K17:K18)</f>
        <v>7479.1169999999993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2004.0059999999996</v>
      </c>
      <c r="P19" s="118">
        <f t="shared" si="5"/>
        <v>1772.461</v>
      </c>
      <c r="Q19" s="118">
        <f t="shared" si="5"/>
        <v>1100.712</v>
      </c>
      <c r="R19" s="118">
        <f t="shared" si="5"/>
        <v>786.89599999999996</v>
      </c>
      <c r="S19" s="118">
        <f t="shared" si="5"/>
        <v>354.17599999999999</v>
      </c>
      <c r="T19" s="118">
        <f t="shared" si="5"/>
        <v>291.86599999999999</v>
      </c>
      <c r="U19" s="118">
        <f t="shared" si="5"/>
        <v>1169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288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1794.2049999999999</v>
      </c>
      <c r="K24" s="121">
        <f t="shared" ref="K24" si="8">SUM(N24:Y24)</f>
        <v>1794.2049999999999</v>
      </c>
      <c r="L24" s="121">
        <f t="shared" ref="L24" si="9">SUM(AA24:AL24)</f>
        <v>0</v>
      </c>
      <c r="M24" s="25"/>
      <c r="N24" s="26"/>
      <c r="O24" s="26">
        <v>7.6669999999999998</v>
      </c>
      <c r="P24" s="26">
        <f>40-10</f>
        <v>30</v>
      </c>
      <c r="Q24" s="26">
        <v>26</v>
      </c>
      <c r="R24" s="26">
        <v>695.53800000000001</v>
      </c>
      <c r="S24" s="26"/>
      <c r="T24" s="26"/>
      <c r="U24" s="26">
        <f>1025+10</f>
        <v>1035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7.4910000000000005</v>
      </c>
      <c r="K25" s="121">
        <f t="shared" ref="K25:K88" si="11">SUM(N25:Y25)</f>
        <v>7.4910000000000005</v>
      </c>
      <c r="L25" s="121">
        <f t="shared" ref="L25:L88" si="12">SUM(AA25:AL25)</f>
        <v>0</v>
      </c>
      <c r="M25" s="25"/>
      <c r="N25" s="26"/>
      <c r="O25" s="26">
        <v>2.2250000000000005</v>
      </c>
      <c r="P25" s="26">
        <v>5.266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124.16099999999999</v>
      </c>
      <c r="K26" s="121">
        <f t="shared" si="11"/>
        <v>124.16099999999999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124.16099999999999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9.31</v>
      </c>
      <c r="K27" s="121">
        <f t="shared" si="11"/>
        <v>9.31</v>
      </c>
      <c r="L27" s="121">
        <f t="shared" si="12"/>
        <v>0</v>
      </c>
      <c r="M27" s="25"/>
      <c r="N27" s="26"/>
      <c r="O27" s="26">
        <v>9.31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222.75800000000001</v>
      </c>
      <c r="K28" s="121">
        <f t="shared" si="11"/>
        <v>222.75800000000001</v>
      </c>
      <c r="L28" s="121">
        <f t="shared" si="12"/>
        <v>0</v>
      </c>
      <c r="M28" s="25"/>
      <c r="N28" s="26"/>
      <c r="O28" s="26">
        <v>10</v>
      </c>
      <c r="P28" s="26">
        <v>212.75800000000001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5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/>
      <c r="P29" s="26"/>
      <c r="Q29" s="26">
        <v>3.5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103.327</v>
      </c>
      <c r="K30" s="121">
        <f t="shared" si="11"/>
        <v>103.327</v>
      </c>
      <c r="L30" s="121">
        <f t="shared" si="12"/>
        <v>0</v>
      </c>
      <c r="M30" s="25"/>
      <c r="N30" s="26"/>
      <c r="O30" s="26"/>
      <c r="P30" s="26">
        <v>10.446</v>
      </c>
      <c r="Q30" s="26"/>
      <c r="R30" s="26"/>
      <c r="S30" s="26">
        <v>92.881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1.4409999999999998</v>
      </c>
      <c r="K31" s="121">
        <f t="shared" si="11"/>
        <v>1.4409999999999998</v>
      </c>
      <c r="L31" s="121">
        <f t="shared" si="12"/>
        <v>0</v>
      </c>
      <c r="M31" s="25"/>
      <c r="N31" s="26"/>
      <c r="O31" s="26">
        <v>1.4409999999999998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291</v>
      </c>
      <c r="H32" s="197"/>
      <c r="I32" s="195" t="s">
        <v>234</v>
      </c>
      <c r="J32" s="120">
        <f t="shared" si="10"/>
        <v>290.846</v>
      </c>
      <c r="K32" s="121">
        <f t="shared" si="11"/>
        <v>290.846</v>
      </c>
      <c r="L32" s="121">
        <f t="shared" si="12"/>
        <v>0</v>
      </c>
      <c r="M32" s="17"/>
      <c r="N32" s="26"/>
      <c r="O32" s="26">
        <f>10.846+9</f>
        <v>19.846</v>
      </c>
      <c r="P32" s="26">
        <f>251-9+29</f>
        <v>271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53.030999999999999</v>
      </c>
      <c r="K33" s="121">
        <f t="shared" si="11"/>
        <v>53.030999999999999</v>
      </c>
      <c r="L33" s="121">
        <f t="shared" si="12"/>
        <v>0</v>
      </c>
      <c r="M33" s="17"/>
      <c r="N33" s="26"/>
      <c r="O33" s="26">
        <f>23.031+30</f>
        <v>53.030999999999999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64.128</v>
      </c>
      <c r="K34" s="121">
        <f t="shared" si="11"/>
        <v>64.128</v>
      </c>
      <c r="L34" s="121">
        <f t="shared" si="12"/>
        <v>0</v>
      </c>
      <c r="M34" s="17"/>
      <c r="N34" s="26"/>
      <c r="O34" s="26">
        <v>9.1280000000000001</v>
      </c>
      <c r="P34" s="26">
        <v>55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47.496000000000002</v>
      </c>
      <c r="K35" s="121">
        <f t="shared" si="11"/>
        <v>47.496000000000002</v>
      </c>
      <c r="L35" s="121">
        <f t="shared" si="12"/>
        <v>0</v>
      </c>
      <c r="M35" s="17"/>
      <c r="N35" s="26"/>
      <c r="O35" s="26">
        <v>10.496</v>
      </c>
      <c r="P35" s="26">
        <v>15</v>
      </c>
      <c r="Q35" s="26"/>
      <c r="R35" s="26"/>
      <c r="S35" s="26">
        <v>22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103</v>
      </c>
      <c r="F36" s="9" t="s">
        <v>10</v>
      </c>
      <c r="G36" s="9" t="s">
        <v>241</v>
      </c>
      <c r="H36" s="197"/>
      <c r="I36" s="195" t="s">
        <v>234</v>
      </c>
      <c r="J36" s="120">
        <f t="shared" si="10"/>
        <v>105.806</v>
      </c>
      <c r="K36" s="121">
        <f t="shared" si="11"/>
        <v>105.806</v>
      </c>
      <c r="L36" s="121">
        <f t="shared" si="12"/>
        <v>0</v>
      </c>
      <c r="M36" s="17"/>
      <c r="N36" s="26"/>
      <c r="O36" s="26"/>
      <c r="P36" s="26"/>
      <c r="Q36" s="26">
        <v>105.806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242</v>
      </c>
      <c r="F37" s="9" t="s">
        <v>10</v>
      </c>
      <c r="G37" s="9" t="s">
        <v>243</v>
      </c>
      <c r="H37" s="197"/>
      <c r="I37" s="195" t="s">
        <v>234</v>
      </c>
      <c r="J37" s="120">
        <f t="shared" si="10"/>
        <v>87.653999999999996</v>
      </c>
      <c r="K37" s="121">
        <f t="shared" si="11"/>
        <v>87.653999999999996</v>
      </c>
      <c r="L37" s="121">
        <f t="shared" si="12"/>
        <v>0</v>
      </c>
      <c r="M37" s="17"/>
      <c r="N37" s="26"/>
      <c r="O37" s="26"/>
      <c r="P37" s="26"/>
      <c r="Q37" s="26">
        <v>87.653999999999996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338.40700000000004</v>
      </c>
      <c r="K38" s="121">
        <f t="shared" si="11"/>
        <v>338.40700000000004</v>
      </c>
      <c r="L38" s="121">
        <f t="shared" si="12"/>
        <v>0</v>
      </c>
      <c r="M38" s="17"/>
      <c r="N38" s="26"/>
      <c r="O38" s="26">
        <v>25.407000000000011</v>
      </c>
      <c r="P38" s="26">
        <v>313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229.34999999999991</v>
      </c>
      <c r="K39" s="121">
        <f t="shared" si="11"/>
        <v>229.34999999999991</v>
      </c>
      <c r="L39" s="121">
        <f t="shared" si="12"/>
        <v>0</v>
      </c>
      <c r="M39" s="17"/>
      <c r="N39" s="26"/>
      <c r="O39" s="26">
        <v>179.34999999999991</v>
      </c>
      <c r="P39" s="26">
        <v>50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281</v>
      </c>
      <c r="H40" s="197"/>
      <c r="I40" s="195" t="s">
        <v>234</v>
      </c>
      <c r="J40" s="120">
        <f t="shared" si="10"/>
        <v>36.892000000000003</v>
      </c>
      <c r="K40" s="121">
        <f t="shared" si="11"/>
        <v>36.892000000000003</v>
      </c>
      <c r="L40" s="121">
        <f t="shared" si="12"/>
        <v>0</v>
      </c>
      <c r="M40" s="17"/>
      <c r="N40" s="26"/>
      <c r="O40" s="26">
        <v>36.892000000000003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256</v>
      </c>
      <c r="F41" s="9" t="s">
        <v>40</v>
      </c>
      <c r="G41" s="9" t="s">
        <v>257</v>
      </c>
      <c r="H41" s="197"/>
      <c r="I41" s="195" t="s">
        <v>234</v>
      </c>
      <c r="J41" s="120">
        <f t="shared" si="10"/>
        <v>244.345</v>
      </c>
      <c r="K41" s="121">
        <f t="shared" si="11"/>
        <v>244.345</v>
      </c>
      <c r="L41" s="121">
        <f t="shared" si="12"/>
        <v>0</v>
      </c>
      <c r="M41" s="17"/>
      <c r="N41" s="26"/>
      <c r="O41" s="26">
        <v>7.3450000000000006</v>
      </c>
      <c r="P41" s="26">
        <v>15</v>
      </c>
      <c r="Q41" s="26"/>
      <c r="R41" s="26"/>
      <c r="S41" s="26">
        <v>88</v>
      </c>
      <c r="T41" s="26"/>
      <c r="U41" s="26">
        <v>134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264</v>
      </c>
      <c r="F42" s="9" t="s">
        <v>40</v>
      </c>
      <c r="G42" s="9" t="s">
        <v>265</v>
      </c>
      <c r="H42" s="197"/>
      <c r="I42" s="195" t="s">
        <v>234</v>
      </c>
      <c r="J42" s="120">
        <f t="shared" si="10"/>
        <v>120.41500000000001</v>
      </c>
      <c r="K42" s="121">
        <f t="shared" si="11"/>
        <v>120.41500000000001</v>
      </c>
      <c r="L42" s="121">
        <f t="shared" si="12"/>
        <v>0</v>
      </c>
      <c r="M42" s="17"/>
      <c r="N42" s="26"/>
      <c r="O42" s="26"/>
      <c r="P42" s="26">
        <f>120.415-12</f>
        <v>108.41500000000001</v>
      </c>
      <c r="Q42" s="26"/>
      <c r="R42" s="26"/>
      <c r="S42" s="26">
        <v>12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258</v>
      </c>
      <c r="F43" s="9" t="s">
        <v>40</v>
      </c>
      <c r="G43" s="9" t="s">
        <v>259</v>
      </c>
      <c r="H43" s="198"/>
      <c r="I43" s="195" t="s">
        <v>234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8"/>
      <c r="I44" s="195" t="s">
        <v>247</v>
      </c>
      <c r="J44" s="120">
        <f t="shared" si="10"/>
        <v>1093.2239999999999</v>
      </c>
      <c r="K44" s="121">
        <f t="shared" si="11"/>
        <v>1093.2239999999999</v>
      </c>
      <c r="L44" s="121">
        <f t="shared" si="12"/>
        <v>0</v>
      </c>
      <c r="M44" s="17"/>
      <c r="N44" s="26"/>
      <c r="O44" s="26">
        <v>526</v>
      </c>
      <c r="P44" s="26">
        <f>76+10</f>
        <v>86</v>
      </c>
      <c r="Q44" s="26">
        <v>98</v>
      </c>
      <c r="R44" s="26">
        <v>91.358000000000004</v>
      </c>
      <c r="S44" s="26"/>
      <c r="T44" s="26">
        <f>301.866-10</f>
        <v>291.86599999999999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8"/>
      <c r="I45" s="195" t="s">
        <v>247</v>
      </c>
      <c r="J45" s="120">
        <f t="shared" si="10"/>
        <v>429.59699999999998</v>
      </c>
      <c r="K45" s="121">
        <f t="shared" si="11"/>
        <v>429.59699999999998</v>
      </c>
      <c r="L45" s="121">
        <f t="shared" si="12"/>
        <v>0</v>
      </c>
      <c r="M45" s="17"/>
      <c r="N45" s="26"/>
      <c r="O45" s="26">
        <v>245.59700000000001</v>
      </c>
      <c r="P45" s="26">
        <v>90</v>
      </c>
      <c r="Q45" s="26">
        <v>94</v>
      </c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267</v>
      </c>
      <c r="F46" s="9" t="s">
        <v>40</v>
      </c>
      <c r="G46" s="9" t="s">
        <v>268</v>
      </c>
      <c r="H46" s="195"/>
      <c r="I46" s="195" t="s">
        <v>247</v>
      </c>
      <c r="J46" s="120">
        <f t="shared" si="10"/>
        <v>15.401999999999999</v>
      </c>
      <c r="K46" s="121">
        <f t="shared" si="11"/>
        <v>15.401999999999999</v>
      </c>
      <c r="L46" s="121">
        <f t="shared" si="12"/>
        <v>0</v>
      </c>
      <c r="M46" s="17"/>
      <c r="N46" s="26"/>
      <c r="O46" s="26">
        <v>15.401999999999999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5"/>
      <c r="I47" s="195" t="s">
        <v>247</v>
      </c>
      <c r="J47" s="120">
        <f t="shared" si="10"/>
        <v>293.57799999999997</v>
      </c>
      <c r="K47" s="121">
        <f t="shared" si="11"/>
        <v>293.57799999999997</v>
      </c>
      <c r="L47" s="121">
        <f t="shared" si="12"/>
        <v>0</v>
      </c>
      <c r="M47" s="17"/>
      <c r="N47" s="26"/>
      <c r="O47" s="26">
        <v>291.57799999999997</v>
      </c>
      <c r="P47" s="26">
        <v>2</v>
      </c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6"/>
      <c r="I48" s="195" t="s">
        <v>247</v>
      </c>
      <c r="J48" s="120">
        <f t="shared" si="10"/>
        <v>1007.99</v>
      </c>
      <c r="K48" s="121">
        <f t="shared" si="11"/>
        <v>1007.99</v>
      </c>
      <c r="L48" s="121">
        <f t="shared" si="12"/>
        <v>0</v>
      </c>
      <c r="M48" s="17"/>
      <c r="N48" s="26"/>
      <c r="O48" s="26">
        <v>188.35199999999998</v>
      </c>
      <c r="P48" s="26">
        <v>139</v>
      </c>
      <c r="Q48" s="26">
        <v>680.63800000000003</v>
      </c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195" t="s">
        <v>247</v>
      </c>
      <c r="J49" s="120">
        <f t="shared" si="10"/>
        <v>1.0820000000000007</v>
      </c>
      <c r="K49" s="121">
        <f t="shared" si="11"/>
        <v>1.0820000000000007</v>
      </c>
      <c r="L49" s="121">
        <f t="shared" si="12"/>
        <v>0</v>
      </c>
      <c r="M49" s="17"/>
      <c r="N49" s="26"/>
      <c r="O49" s="26">
        <v>1.0820000000000007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195" t="s">
        <v>247</v>
      </c>
      <c r="J50" s="120">
        <f t="shared" si="10"/>
        <v>112.99799999999999</v>
      </c>
      <c r="K50" s="121">
        <f t="shared" si="11"/>
        <v>112.99799999999999</v>
      </c>
      <c r="L50" s="121">
        <f t="shared" si="12"/>
        <v>0</v>
      </c>
      <c r="M50" s="17"/>
      <c r="N50" s="26"/>
      <c r="O50" s="26">
        <v>31</v>
      </c>
      <c r="P50" s="26">
        <v>81.99799999999999</v>
      </c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195" t="s">
        <v>247</v>
      </c>
      <c r="J51" s="120">
        <f t="shared" si="10"/>
        <v>116.175</v>
      </c>
      <c r="K51" s="121">
        <f t="shared" si="11"/>
        <v>116.175</v>
      </c>
      <c r="L51" s="121">
        <f t="shared" si="12"/>
        <v>0</v>
      </c>
      <c r="M51" s="17"/>
      <c r="N51" s="26"/>
      <c r="O51" s="26">
        <v>86.040999999999997</v>
      </c>
      <c r="P51" s="26">
        <v>15</v>
      </c>
      <c r="Q51" s="26"/>
      <c r="R51" s="26"/>
      <c r="S51" s="26">
        <v>15.134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279</v>
      </c>
      <c r="F52" s="9" t="s">
        <v>40</v>
      </c>
      <c r="G52" s="9" t="s">
        <v>283</v>
      </c>
      <c r="H52" s="197"/>
      <c r="I52" s="195" t="s">
        <v>247</v>
      </c>
      <c r="J52" s="120">
        <f t="shared" si="10"/>
        <v>2.1280000000000001</v>
      </c>
      <c r="K52" s="121">
        <f t="shared" si="11"/>
        <v>2.1280000000000001</v>
      </c>
      <c r="L52" s="121">
        <f t="shared" si="12"/>
        <v>0</v>
      </c>
      <c r="M52" s="17"/>
      <c r="N52" s="26"/>
      <c r="O52" s="26"/>
      <c r="P52" s="26">
        <v>2.1280000000000001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5" t="s">
        <v>247</v>
      </c>
      <c r="J53" s="120">
        <f t="shared" si="10"/>
        <v>107.21600000000001</v>
      </c>
      <c r="K53" s="121">
        <f t="shared" si="11"/>
        <v>107.21600000000001</v>
      </c>
      <c r="L53" s="121">
        <f t="shared" si="12"/>
        <v>0</v>
      </c>
      <c r="M53" s="17"/>
      <c r="N53" s="26"/>
      <c r="O53" s="26">
        <v>107.21600000000001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270</v>
      </c>
      <c r="F54" s="9" t="s">
        <v>40</v>
      </c>
      <c r="G54" s="9" t="s">
        <v>270</v>
      </c>
      <c r="H54" s="197"/>
      <c r="I54" s="195" t="s">
        <v>247</v>
      </c>
      <c r="J54" s="120">
        <f t="shared" si="10"/>
        <v>208.45</v>
      </c>
      <c r="K54" s="121">
        <f t="shared" si="11"/>
        <v>208.45</v>
      </c>
      <c r="L54" s="121">
        <f t="shared" si="12"/>
        <v>0</v>
      </c>
      <c r="M54" s="17"/>
      <c r="N54" s="26"/>
      <c r="O54" s="26"/>
      <c r="P54" s="26">
        <v>208.45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195" t="s">
        <v>247</v>
      </c>
      <c r="J55" s="120">
        <f t="shared" si="10"/>
        <v>189.6</v>
      </c>
      <c r="K55" s="121">
        <f t="shared" si="11"/>
        <v>189.6</v>
      </c>
      <c r="L55" s="121">
        <f t="shared" si="12"/>
        <v>0</v>
      </c>
      <c r="M55" s="17"/>
      <c r="N55" s="26"/>
      <c r="O55" s="26">
        <v>139.6</v>
      </c>
      <c r="P55" s="26">
        <v>50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195" t="s">
        <v>247</v>
      </c>
      <c r="J56" s="120">
        <f t="shared" si="10"/>
        <v>17.114000000000004</v>
      </c>
      <c r="K56" s="121">
        <f t="shared" si="11"/>
        <v>17.114000000000004</v>
      </c>
      <c r="L56" s="121">
        <f t="shared" si="12"/>
        <v>0</v>
      </c>
      <c r="M56" s="17"/>
      <c r="N56" s="26"/>
      <c r="O56" s="26"/>
      <c r="P56" s="26">
        <v>12</v>
      </c>
      <c r="Q56" s="26">
        <v>5.1140000000000043</v>
      </c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B1" zoomScale="90" zoomScaleNormal="90" workbookViewId="0">
      <selection activeCell="O24" sqref="O24:U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0+65.798+187.646+1646.019+2738.581+J10</f>
        <v>4835.97</v>
      </c>
      <c r="I10" s="63"/>
      <c r="J10" s="162">
        <f>197.926</f>
        <v>197.92599999999999</v>
      </c>
      <c r="L10" s="162">
        <f>J10+O17</f>
        <v>2078.7879999999996</v>
      </c>
      <c r="N10" s="57"/>
      <c r="O10" s="173">
        <f>+H10+K17</f>
        <v>9399.9330000000009</v>
      </c>
      <c r="P10" s="174" cm="1">
        <f t="array" aca="1" ref="P10" ca="1">INDIRECT(ADDRESS(10,15,,,VLOOKUP($G$4,parameters!$G:$I,3,0)))</f>
        <v>9399.9330000000009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0+68.362+73.603+302.502+1813.594+J11</f>
        <v>2304.558</v>
      </c>
      <c r="I11" s="63"/>
      <c r="J11" s="18">
        <f>46.497</f>
        <v>46.497</v>
      </c>
      <c r="L11" s="18">
        <f>J11+O18</f>
        <v>169.64099999999999</v>
      </c>
      <c r="N11" s="57"/>
      <c r="O11" s="155">
        <f>+H11+K18</f>
        <v>5219.7119999999995</v>
      </c>
      <c r="P11" s="156" cm="1">
        <f t="array" aca="1" ref="P11" ca="1">INDIRECT(ADDRESS(11,15,,,VLOOKUP($G$4,parameters!$G:$I,3,0)))</f>
        <v>5219.7119999999995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7140.5280000000002</v>
      </c>
      <c r="I12" s="63"/>
      <c r="J12" s="128">
        <f>SUM(J10:J11)</f>
        <v>244.423</v>
      </c>
      <c r="K12" s="67"/>
      <c r="L12" s="128">
        <f>SUM(L10:L11)</f>
        <v>2248.4289999999996</v>
      </c>
      <c r="M12" s="67"/>
      <c r="N12" s="67"/>
      <c r="O12" s="157">
        <f>SUM(O10:O11)</f>
        <v>14619.645</v>
      </c>
      <c r="P12" s="158">
        <f ca="1">SUM(P10:P11)</f>
        <v>14619.645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4563.9629999999997</v>
      </c>
      <c r="K17" s="110">
        <f>+SUMIF($F$24:$F$251,"External",$K$24:$K$251)</f>
        <v>4563.9629999999997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1880.8619999999996</v>
      </c>
      <c r="P17" s="113">
        <f t="shared" si="1"/>
        <v>1172.991</v>
      </c>
      <c r="Q17" s="113">
        <f t="shared" si="1"/>
        <v>877.75200000000007</v>
      </c>
      <c r="R17" s="113">
        <f t="shared" si="1"/>
        <v>91.358000000000004</v>
      </c>
      <c r="S17" s="113">
        <f t="shared" si="1"/>
        <v>115.134</v>
      </c>
      <c r="T17" s="113">
        <f t="shared" si="1"/>
        <v>291.86599999999999</v>
      </c>
      <c r="U17" s="113">
        <f t="shared" si="1"/>
        <v>134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2915.1539999999995</v>
      </c>
      <c r="K18" s="115">
        <f>+SUMIF($F$24:$F$251,"Group",$K$24:$K$251)</f>
        <v>2915.1539999999995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123.14399999999999</v>
      </c>
      <c r="P18" s="116">
        <f t="shared" si="3"/>
        <v>599.47</v>
      </c>
      <c r="Q18" s="116">
        <f t="shared" si="3"/>
        <v>222.95999999999998</v>
      </c>
      <c r="R18" s="116">
        <f t="shared" si="3"/>
        <v>695.53800000000001</v>
      </c>
      <c r="S18" s="116">
        <f t="shared" si="3"/>
        <v>239.04199999999997</v>
      </c>
      <c r="T18" s="116">
        <f t="shared" si="3"/>
        <v>0</v>
      </c>
      <c r="U18" s="116">
        <f t="shared" si="3"/>
        <v>1035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7479.1169999999993</v>
      </c>
      <c r="K19" s="117">
        <f>SUM(K17:K18)</f>
        <v>7479.1169999999993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2004.0059999999996</v>
      </c>
      <c r="P19" s="118">
        <f t="shared" si="5"/>
        <v>1772.461</v>
      </c>
      <c r="Q19" s="118">
        <f t="shared" si="5"/>
        <v>1100.712</v>
      </c>
      <c r="R19" s="118">
        <f t="shared" si="5"/>
        <v>786.89599999999996</v>
      </c>
      <c r="S19" s="118">
        <f t="shared" si="5"/>
        <v>354.17599999999999</v>
      </c>
      <c r="T19" s="118">
        <f t="shared" si="5"/>
        <v>291.86599999999999</v>
      </c>
      <c r="U19" s="118">
        <f t="shared" si="5"/>
        <v>1169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1794.2049999999999</v>
      </c>
      <c r="K24" s="121">
        <f t="shared" ref="K24" si="8">SUM(N24:Y24)</f>
        <v>1794.2049999999999</v>
      </c>
      <c r="L24" s="121">
        <f t="shared" ref="L24" si="9">SUM(AA24:AL24)</f>
        <v>0</v>
      </c>
      <c r="M24" s="25"/>
      <c r="N24" s="26"/>
      <c r="O24" s="26">
        <v>7.6669999999999998</v>
      </c>
      <c r="P24" s="26">
        <v>30</v>
      </c>
      <c r="Q24" s="26">
        <v>26</v>
      </c>
      <c r="R24" s="26">
        <v>695.53800000000001</v>
      </c>
      <c r="S24" s="26"/>
      <c r="T24" s="26"/>
      <c r="U24" s="26">
        <v>1035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7.4910000000000005</v>
      </c>
      <c r="K25" s="121">
        <f t="shared" ref="K25:K88" si="11">SUM(N25:Y25)</f>
        <v>7.4910000000000005</v>
      </c>
      <c r="L25" s="121">
        <f t="shared" ref="L25:L88" si="12">SUM(AA25:AL25)</f>
        <v>0</v>
      </c>
      <c r="M25" s="25"/>
      <c r="N25" s="26"/>
      <c r="O25" s="26">
        <v>2.2250000000000005</v>
      </c>
      <c r="P25" s="26">
        <v>5.266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124.16099999999999</v>
      </c>
      <c r="K26" s="121">
        <f t="shared" si="11"/>
        <v>124.16099999999999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124.16099999999999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9.31</v>
      </c>
      <c r="K27" s="121">
        <f t="shared" si="11"/>
        <v>9.31</v>
      </c>
      <c r="L27" s="121">
        <f t="shared" si="12"/>
        <v>0</v>
      </c>
      <c r="M27" s="25"/>
      <c r="N27" s="26"/>
      <c r="O27" s="26">
        <v>9.31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222.75800000000001</v>
      </c>
      <c r="K28" s="121">
        <f t="shared" si="11"/>
        <v>222.75800000000001</v>
      </c>
      <c r="L28" s="121">
        <f t="shared" si="12"/>
        <v>0</v>
      </c>
      <c r="M28" s="25"/>
      <c r="N28" s="26"/>
      <c r="O28" s="26">
        <v>10</v>
      </c>
      <c r="P28" s="26">
        <v>212.75800000000001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5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/>
      <c r="P29" s="26"/>
      <c r="Q29" s="26">
        <v>3.5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103.327</v>
      </c>
      <c r="K30" s="121">
        <f t="shared" si="11"/>
        <v>103.327</v>
      </c>
      <c r="L30" s="121">
        <f t="shared" si="12"/>
        <v>0</v>
      </c>
      <c r="M30" s="25"/>
      <c r="N30" s="26"/>
      <c r="O30" s="26"/>
      <c r="P30" s="26">
        <v>10.446</v>
      </c>
      <c r="Q30" s="26"/>
      <c r="R30" s="26"/>
      <c r="S30" s="26">
        <v>92.881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1.4409999999999998</v>
      </c>
      <c r="K31" s="121">
        <f t="shared" si="11"/>
        <v>1.4409999999999998</v>
      </c>
      <c r="L31" s="121">
        <f t="shared" si="12"/>
        <v>0</v>
      </c>
      <c r="M31" s="25"/>
      <c r="N31" s="26"/>
      <c r="O31" s="26">
        <v>1.4409999999999998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292</v>
      </c>
      <c r="H32" s="197"/>
      <c r="I32" s="195" t="s">
        <v>234</v>
      </c>
      <c r="J32" s="120">
        <f t="shared" si="10"/>
        <v>290.846</v>
      </c>
      <c r="K32" s="121">
        <f t="shared" si="11"/>
        <v>290.846</v>
      </c>
      <c r="L32" s="121">
        <f t="shared" si="12"/>
        <v>0</v>
      </c>
      <c r="M32" s="17"/>
      <c r="N32" s="26"/>
      <c r="O32" s="26">
        <v>19.846</v>
      </c>
      <c r="P32" s="26">
        <v>271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53.030999999999999</v>
      </c>
      <c r="K33" s="121">
        <f t="shared" si="11"/>
        <v>53.030999999999999</v>
      </c>
      <c r="L33" s="121">
        <f t="shared" si="12"/>
        <v>0</v>
      </c>
      <c r="M33" s="17"/>
      <c r="N33" s="26"/>
      <c r="O33" s="26">
        <v>53.030999999999999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64.128</v>
      </c>
      <c r="K34" s="121">
        <f t="shared" si="11"/>
        <v>64.128</v>
      </c>
      <c r="L34" s="121">
        <f t="shared" si="12"/>
        <v>0</v>
      </c>
      <c r="M34" s="17"/>
      <c r="N34" s="26"/>
      <c r="O34" s="26">
        <v>9.1280000000000001</v>
      </c>
      <c r="P34" s="26">
        <v>55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47.496000000000002</v>
      </c>
      <c r="K35" s="121">
        <f t="shared" si="11"/>
        <v>47.496000000000002</v>
      </c>
      <c r="L35" s="121">
        <f t="shared" si="12"/>
        <v>0</v>
      </c>
      <c r="M35" s="17"/>
      <c r="N35" s="26"/>
      <c r="O35" s="26">
        <v>10.496</v>
      </c>
      <c r="P35" s="26">
        <v>15</v>
      </c>
      <c r="Q35" s="26"/>
      <c r="R35" s="26"/>
      <c r="S35" s="26">
        <v>22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103</v>
      </c>
      <c r="F36" s="9" t="s">
        <v>10</v>
      </c>
      <c r="G36" s="9" t="s">
        <v>241</v>
      </c>
      <c r="H36" s="197"/>
      <c r="I36" s="195" t="s">
        <v>234</v>
      </c>
      <c r="J36" s="120">
        <f t="shared" si="10"/>
        <v>105.806</v>
      </c>
      <c r="K36" s="121">
        <f t="shared" si="11"/>
        <v>105.806</v>
      </c>
      <c r="L36" s="121">
        <f t="shared" si="12"/>
        <v>0</v>
      </c>
      <c r="M36" s="17"/>
      <c r="N36" s="26"/>
      <c r="O36" s="26"/>
      <c r="P36" s="26"/>
      <c r="Q36" s="26">
        <v>105.806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242</v>
      </c>
      <c r="F37" s="9" t="s">
        <v>10</v>
      </c>
      <c r="G37" s="9" t="s">
        <v>243</v>
      </c>
      <c r="H37" s="197"/>
      <c r="I37" s="195" t="s">
        <v>234</v>
      </c>
      <c r="J37" s="120">
        <f t="shared" si="10"/>
        <v>87.653999999999996</v>
      </c>
      <c r="K37" s="121">
        <f t="shared" si="11"/>
        <v>87.653999999999996</v>
      </c>
      <c r="L37" s="121">
        <f t="shared" si="12"/>
        <v>0</v>
      </c>
      <c r="M37" s="17"/>
      <c r="N37" s="26"/>
      <c r="O37" s="26"/>
      <c r="P37" s="26"/>
      <c r="Q37" s="26">
        <v>87.653999999999996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338.40700000000004</v>
      </c>
      <c r="K38" s="121">
        <f t="shared" si="11"/>
        <v>338.40700000000004</v>
      </c>
      <c r="L38" s="121">
        <f t="shared" si="12"/>
        <v>0</v>
      </c>
      <c r="M38" s="17"/>
      <c r="N38" s="26"/>
      <c r="O38" s="26">
        <v>25.407000000000011</v>
      </c>
      <c r="P38" s="26">
        <v>313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229.34999999999991</v>
      </c>
      <c r="K39" s="121">
        <f t="shared" si="11"/>
        <v>229.34999999999991</v>
      </c>
      <c r="L39" s="121">
        <f t="shared" si="12"/>
        <v>0</v>
      </c>
      <c r="M39" s="17"/>
      <c r="N39" s="26"/>
      <c r="O39" s="26">
        <v>179.34999999999991</v>
      </c>
      <c r="P39" s="26">
        <v>50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281</v>
      </c>
      <c r="H40" s="197"/>
      <c r="I40" s="195" t="s">
        <v>234</v>
      </c>
      <c r="J40" s="120">
        <f t="shared" si="10"/>
        <v>36.892000000000003</v>
      </c>
      <c r="K40" s="121">
        <f t="shared" si="11"/>
        <v>36.892000000000003</v>
      </c>
      <c r="L40" s="121">
        <f t="shared" si="12"/>
        <v>0</v>
      </c>
      <c r="M40" s="17"/>
      <c r="N40" s="26"/>
      <c r="O40" s="26">
        <v>36.892000000000003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256</v>
      </c>
      <c r="F41" s="9" t="s">
        <v>40</v>
      </c>
      <c r="G41" s="9" t="s">
        <v>257</v>
      </c>
      <c r="H41" s="197"/>
      <c r="I41" s="195" t="s">
        <v>234</v>
      </c>
      <c r="J41" s="120">
        <f t="shared" si="10"/>
        <v>244.345</v>
      </c>
      <c r="K41" s="121">
        <f t="shared" si="11"/>
        <v>244.345</v>
      </c>
      <c r="L41" s="121">
        <f t="shared" si="12"/>
        <v>0</v>
      </c>
      <c r="M41" s="17"/>
      <c r="N41" s="26"/>
      <c r="O41" s="26">
        <v>7.3450000000000006</v>
      </c>
      <c r="P41" s="26">
        <v>15</v>
      </c>
      <c r="Q41" s="26"/>
      <c r="R41" s="26"/>
      <c r="S41" s="26">
        <v>88</v>
      </c>
      <c r="T41" s="26"/>
      <c r="U41" s="26">
        <v>134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264</v>
      </c>
      <c r="F42" s="9" t="s">
        <v>40</v>
      </c>
      <c r="G42" s="9" t="s">
        <v>265</v>
      </c>
      <c r="H42" s="197"/>
      <c r="I42" s="195" t="s">
        <v>234</v>
      </c>
      <c r="J42" s="120">
        <f t="shared" si="10"/>
        <v>120.41500000000001</v>
      </c>
      <c r="K42" s="121">
        <f t="shared" si="11"/>
        <v>120.41500000000001</v>
      </c>
      <c r="L42" s="121">
        <f t="shared" si="12"/>
        <v>0</v>
      </c>
      <c r="M42" s="17"/>
      <c r="N42" s="26"/>
      <c r="O42" s="26"/>
      <c r="P42" s="26">
        <v>108.41500000000001</v>
      </c>
      <c r="Q42" s="26"/>
      <c r="R42" s="26"/>
      <c r="S42" s="26">
        <v>12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258</v>
      </c>
      <c r="F43" s="9" t="s">
        <v>40</v>
      </c>
      <c r="G43" s="9" t="s">
        <v>259</v>
      </c>
      <c r="H43" s="198"/>
      <c r="I43" s="195" t="s">
        <v>234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8"/>
      <c r="I44" s="195" t="s">
        <v>247</v>
      </c>
      <c r="J44" s="120">
        <f t="shared" si="10"/>
        <v>1093.2239999999999</v>
      </c>
      <c r="K44" s="121">
        <f t="shared" si="11"/>
        <v>1093.2239999999999</v>
      </c>
      <c r="L44" s="121">
        <f t="shared" si="12"/>
        <v>0</v>
      </c>
      <c r="M44" s="17"/>
      <c r="N44" s="26"/>
      <c r="O44" s="26">
        <v>526</v>
      </c>
      <c r="P44" s="26">
        <v>86</v>
      </c>
      <c r="Q44" s="26">
        <v>98</v>
      </c>
      <c r="R44" s="26">
        <v>91.358000000000004</v>
      </c>
      <c r="S44" s="26"/>
      <c r="T44" s="26">
        <v>291.86599999999999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8"/>
      <c r="I45" s="195" t="s">
        <v>247</v>
      </c>
      <c r="J45" s="120">
        <f t="shared" si="10"/>
        <v>429.59699999999998</v>
      </c>
      <c r="K45" s="121">
        <f t="shared" si="11"/>
        <v>429.59699999999998</v>
      </c>
      <c r="L45" s="121">
        <f t="shared" si="12"/>
        <v>0</v>
      </c>
      <c r="M45" s="17"/>
      <c r="N45" s="26"/>
      <c r="O45" s="26">
        <v>245.59700000000001</v>
      </c>
      <c r="P45" s="26">
        <v>90</v>
      </c>
      <c r="Q45" s="26">
        <v>94</v>
      </c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267</v>
      </c>
      <c r="F46" s="9" t="s">
        <v>40</v>
      </c>
      <c r="G46" s="9" t="s">
        <v>268</v>
      </c>
      <c r="H46" s="195"/>
      <c r="I46" s="195" t="s">
        <v>247</v>
      </c>
      <c r="J46" s="120">
        <f t="shared" si="10"/>
        <v>15.401999999999999</v>
      </c>
      <c r="K46" s="121">
        <f t="shared" si="11"/>
        <v>15.401999999999999</v>
      </c>
      <c r="L46" s="121">
        <f t="shared" si="12"/>
        <v>0</v>
      </c>
      <c r="M46" s="17"/>
      <c r="N46" s="26"/>
      <c r="O46" s="26">
        <v>15.401999999999999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5"/>
      <c r="I47" s="195" t="s">
        <v>247</v>
      </c>
      <c r="J47" s="120">
        <f t="shared" si="10"/>
        <v>293.57799999999997</v>
      </c>
      <c r="K47" s="121">
        <f t="shared" si="11"/>
        <v>293.57799999999997</v>
      </c>
      <c r="L47" s="121">
        <f t="shared" si="12"/>
        <v>0</v>
      </c>
      <c r="M47" s="17"/>
      <c r="N47" s="26"/>
      <c r="O47" s="26">
        <v>291.57799999999997</v>
      </c>
      <c r="P47" s="26">
        <v>2</v>
      </c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6"/>
      <c r="I48" s="195" t="s">
        <v>247</v>
      </c>
      <c r="J48" s="120">
        <f t="shared" si="10"/>
        <v>1007.99</v>
      </c>
      <c r="K48" s="121">
        <f t="shared" si="11"/>
        <v>1007.99</v>
      </c>
      <c r="L48" s="121">
        <f t="shared" si="12"/>
        <v>0</v>
      </c>
      <c r="M48" s="17"/>
      <c r="N48" s="26"/>
      <c r="O48" s="26">
        <v>188.35199999999998</v>
      </c>
      <c r="P48" s="26">
        <v>139</v>
      </c>
      <c r="Q48" s="26">
        <v>680.63800000000003</v>
      </c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195" t="s">
        <v>247</v>
      </c>
      <c r="J49" s="120">
        <f t="shared" si="10"/>
        <v>1.0820000000000007</v>
      </c>
      <c r="K49" s="121">
        <f t="shared" si="11"/>
        <v>1.0820000000000007</v>
      </c>
      <c r="L49" s="121">
        <f t="shared" si="12"/>
        <v>0</v>
      </c>
      <c r="M49" s="17"/>
      <c r="N49" s="26"/>
      <c r="O49" s="26">
        <v>1.0820000000000007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195" t="s">
        <v>247</v>
      </c>
      <c r="J50" s="120">
        <f t="shared" si="10"/>
        <v>112.99799999999999</v>
      </c>
      <c r="K50" s="121">
        <f t="shared" si="11"/>
        <v>112.99799999999999</v>
      </c>
      <c r="L50" s="121">
        <f t="shared" si="12"/>
        <v>0</v>
      </c>
      <c r="M50" s="17"/>
      <c r="N50" s="26"/>
      <c r="O50" s="26">
        <v>31</v>
      </c>
      <c r="P50" s="26">
        <v>81.99799999999999</v>
      </c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195" t="s">
        <v>247</v>
      </c>
      <c r="J51" s="120">
        <f t="shared" si="10"/>
        <v>116.175</v>
      </c>
      <c r="K51" s="121">
        <f t="shared" si="11"/>
        <v>116.175</v>
      </c>
      <c r="L51" s="121">
        <f t="shared" si="12"/>
        <v>0</v>
      </c>
      <c r="M51" s="17"/>
      <c r="N51" s="26"/>
      <c r="O51" s="26">
        <v>86.040999999999997</v>
      </c>
      <c r="P51" s="26">
        <v>15</v>
      </c>
      <c r="Q51" s="26"/>
      <c r="R51" s="26"/>
      <c r="S51" s="26">
        <v>15.134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279</v>
      </c>
      <c r="F52" s="9" t="s">
        <v>40</v>
      </c>
      <c r="G52" s="9" t="s">
        <v>283</v>
      </c>
      <c r="H52" s="197"/>
      <c r="I52" s="195" t="s">
        <v>247</v>
      </c>
      <c r="J52" s="120">
        <f t="shared" si="10"/>
        <v>2.1280000000000001</v>
      </c>
      <c r="K52" s="121">
        <f t="shared" si="11"/>
        <v>2.1280000000000001</v>
      </c>
      <c r="L52" s="121">
        <f t="shared" si="12"/>
        <v>0</v>
      </c>
      <c r="M52" s="17"/>
      <c r="N52" s="26"/>
      <c r="O52" s="26"/>
      <c r="P52" s="26">
        <v>2.1280000000000001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5" t="s">
        <v>247</v>
      </c>
      <c r="J53" s="120">
        <f t="shared" si="10"/>
        <v>107.21600000000001</v>
      </c>
      <c r="K53" s="121">
        <f t="shared" si="11"/>
        <v>107.21600000000001</v>
      </c>
      <c r="L53" s="121">
        <f t="shared" si="12"/>
        <v>0</v>
      </c>
      <c r="M53" s="17"/>
      <c r="N53" s="26"/>
      <c r="O53" s="26">
        <v>107.21600000000001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270</v>
      </c>
      <c r="F54" s="9" t="s">
        <v>40</v>
      </c>
      <c r="G54" s="9" t="s">
        <v>270</v>
      </c>
      <c r="H54" s="197"/>
      <c r="I54" s="195" t="s">
        <v>247</v>
      </c>
      <c r="J54" s="120">
        <f t="shared" si="10"/>
        <v>208.45</v>
      </c>
      <c r="K54" s="121">
        <f t="shared" si="11"/>
        <v>208.45</v>
      </c>
      <c r="L54" s="121">
        <f t="shared" si="12"/>
        <v>0</v>
      </c>
      <c r="M54" s="17"/>
      <c r="N54" s="26"/>
      <c r="O54" s="26"/>
      <c r="P54" s="26">
        <v>208.45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195" t="s">
        <v>247</v>
      </c>
      <c r="J55" s="120">
        <f t="shared" si="10"/>
        <v>189.6</v>
      </c>
      <c r="K55" s="121">
        <f t="shared" si="11"/>
        <v>189.6</v>
      </c>
      <c r="L55" s="121">
        <f t="shared" si="12"/>
        <v>0</v>
      </c>
      <c r="M55" s="17"/>
      <c r="N55" s="26"/>
      <c r="O55" s="26">
        <v>139.6</v>
      </c>
      <c r="P55" s="26">
        <v>50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195" t="s">
        <v>247</v>
      </c>
      <c r="J56" s="120">
        <f t="shared" si="10"/>
        <v>17.114000000000004</v>
      </c>
      <c r="K56" s="121">
        <f t="shared" si="11"/>
        <v>17.114000000000004</v>
      </c>
      <c r="L56" s="121">
        <f t="shared" si="12"/>
        <v>0</v>
      </c>
      <c r="M56" s="17"/>
      <c r="N56" s="26"/>
      <c r="O56" s="26"/>
      <c r="P56" s="26">
        <v>12</v>
      </c>
      <c r="Q56" s="26">
        <v>5.1140000000000043</v>
      </c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7"/>
      <c r="I57" s="195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7"/>
      <c r="I58" s="197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7"/>
      <c r="I59" s="197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7"/>
      <c r="I60" s="197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7"/>
      <c r="I61" s="197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8"/>
      <c r="I62" s="198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8"/>
      <c r="I63" s="198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201"/>
      <c r="F64" s="9"/>
      <c r="G64" s="9"/>
      <c r="H64" s="198"/>
      <c r="I64" s="198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9"/>
      <c r="F65" s="9"/>
      <c r="G65" s="9"/>
      <c r="H65" s="197"/>
      <c r="I65" s="197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9"/>
      <c r="F66" s="9"/>
      <c r="G66" s="9"/>
      <c r="H66" s="197"/>
      <c r="I66" s="197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9"/>
      <c r="F67" s="9"/>
      <c r="G67" s="9"/>
      <c r="H67" s="197"/>
      <c r="I67" s="197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9"/>
      <c r="F68" s="9"/>
      <c r="G68" s="9"/>
      <c r="H68" s="197"/>
      <c r="I68" s="197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9"/>
      <c r="F69" s="9"/>
      <c r="G69" s="9"/>
      <c r="H69" s="197"/>
      <c r="I69" s="197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201"/>
      <c r="F70" s="9"/>
      <c r="G70" s="9"/>
      <c r="H70" s="197"/>
      <c r="I70" s="197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9"/>
      <c r="F71" s="9"/>
      <c r="G71" s="9"/>
      <c r="H71" s="197"/>
      <c r="I71" s="197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9"/>
      <c r="F72" s="9"/>
      <c r="G72" s="9"/>
      <c r="H72" s="197"/>
      <c r="I72" s="197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9"/>
      <c r="F73" s="9"/>
      <c r="G73" s="9"/>
      <c r="H73" s="197"/>
      <c r="I73" s="197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9"/>
      <c r="F74" s="9"/>
      <c r="G74" s="9"/>
      <c r="H74" s="195"/>
      <c r="I74" s="195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9"/>
      <c r="F75" s="9"/>
      <c r="G75" s="9"/>
      <c r="H75" s="195"/>
      <c r="I75" s="195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9"/>
      <c r="F76" s="9"/>
      <c r="G76" s="9"/>
      <c r="H76" s="196"/>
      <c r="I76" s="196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9"/>
      <c r="F77" s="9"/>
      <c r="G77" s="9"/>
      <c r="H77" s="197"/>
      <c r="I77" s="197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9"/>
      <c r="F78" s="9"/>
      <c r="G78" s="9"/>
      <c r="H78" s="197"/>
      <c r="I78" s="197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9"/>
      <c r="F79" s="9"/>
      <c r="G79" s="9"/>
      <c r="H79" s="197"/>
      <c r="I79" s="197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9"/>
      <c r="F80" s="9"/>
      <c r="G80" s="9"/>
      <c r="H80" s="197"/>
      <c r="I80" s="197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9"/>
      <c r="F81" s="9"/>
      <c r="G81" s="9"/>
      <c r="H81" s="197"/>
      <c r="I81" s="197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9"/>
      <c r="F82" s="9"/>
      <c r="G82" s="9"/>
      <c r="H82" s="197"/>
      <c r="I82" s="197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9"/>
      <c r="F83" s="9"/>
      <c r="G83" s="9"/>
      <c r="H83" s="197"/>
      <c r="I83" s="197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9"/>
      <c r="F84" s="9"/>
      <c r="G84" s="9"/>
      <c r="H84" s="197"/>
      <c r="I84" s="197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9"/>
      <c r="F85" s="9"/>
      <c r="G85" s="9"/>
      <c r="H85" s="197"/>
      <c r="I85" s="197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9"/>
      <c r="F86" s="9"/>
      <c r="G86" s="9"/>
      <c r="H86" s="197"/>
      <c r="I86" s="197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9"/>
      <c r="F87" s="9"/>
      <c r="G87" s="9"/>
      <c r="H87" s="197"/>
      <c r="I87" s="197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9"/>
      <c r="F88" s="9"/>
      <c r="G88" s="9"/>
      <c r="H88" s="197"/>
      <c r="I88" s="197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9"/>
      <c r="F89" s="9"/>
      <c r="G89" s="9"/>
      <c r="H89" s="197"/>
      <c r="I89" s="197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9"/>
      <c r="F90" s="9"/>
      <c r="G90" s="9"/>
      <c r="H90" s="198"/>
      <c r="I90" s="198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9"/>
      <c r="F91" s="9"/>
      <c r="G91" s="9"/>
      <c r="H91" s="198"/>
      <c r="I91" s="198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201"/>
      <c r="F92" s="9"/>
      <c r="G92" s="9"/>
      <c r="H92" s="198"/>
      <c r="I92" s="198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9"/>
      <c r="F93" s="9"/>
      <c r="G93" s="9"/>
      <c r="H93" s="195"/>
      <c r="I93" s="195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9"/>
      <c r="F94" s="9"/>
      <c r="G94" s="9"/>
      <c r="H94" s="195"/>
      <c r="I94" s="195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9"/>
      <c r="F95" s="9"/>
      <c r="G95" s="9"/>
      <c r="H95" s="196"/>
      <c r="I95" s="196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9"/>
      <c r="F96" s="9"/>
      <c r="G96" s="9"/>
      <c r="H96" s="197"/>
      <c r="I96" s="197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9"/>
      <c r="F97" s="9"/>
      <c r="G97" s="9"/>
      <c r="H97" s="197"/>
      <c r="I97" s="197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9"/>
      <c r="F98" s="9"/>
      <c r="G98" s="9"/>
      <c r="H98" s="197"/>
      <c r="I98" s="197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9"/>
      <c r="F99" s="9"/>
      <c r="G99" s="9"/>
      <c r="H99" s="197"/>
      <c r="I99" s="197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9"/>
      <c r="F100" s="9"/>
      <c r="G100" s="9"/>
      <c r="H100" s="197"/>
      <c r="I100" s="197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9"/>
      <c r="F101" s="9"/>
      <c r="G101" s="9"/>
      <c r="H101" s="197"/>
      <c r="I101" s="197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9"/>
      <c r="F102" s="9"/>
      <c r="G102" s="9"/>
      <c r="H102" s="197"/>
      <c r="I102" s="197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9"/>
      <c r="F103" s="9"/>
      <c r="G103" s="9"/>
      <c r="H103" s="197"/>
      <c r="I103" s="197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9"/>
      <c r="F104" s="9"/>
      <c r="G104" s="9"/>
      <c r="H104" s="197"/>
      <c r="I104" s="197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9"/>
      <c r="F105" s="9"/>
      <c r="G105" s="9"/>
      <c r="H105" s="197"/>
      <c r="I105" s="197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9"/>
      <c r="F106" s="9"/>
      <c r="G106" s="9"/>
      <c r="H106" s="197"/>
      <c r="I106" s="197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9"/>
      <c r="F107" s="9"/>
      <c r="G107" s="9"/>
      <c r="H107" s="197"/>
      <c r="I107" s="197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9"/>
      <c r="F108" s="9"/>
      <c r="G108" s="9"/>
      <c r="H108" s="197"/>
      <c r="I108" s="197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9"/>
      <c r="F109" s="9"/>
      <c r="G109" s="9"/>
      <c r="H109" s="198"/>
      <c r="I109" s="198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9"/>
      <c r="F110" s="9"/>
      <c r="G110" s="9"/>
      <c r="H110" s="198"/>
      <c r="I110" s="198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201"/>
      <c r="F111" s="9"/>
      <c r="G111" s="9"/>
      <c r="H111" s="198"/>
      <c r="I111" s="198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9"/>
      <c r="F112" s="9"/>
      <c r="G112" s="9"/>
      <c r="H112" s="197"/>
      <c r="I112" s="197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9"/>
      <c r="F113" s="9"/>
      <c r="G113" s="9"/>
      <c r="H113" s="197"/>
      <c r="I113" s="197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topLeftCell="A17" zoomScale="90" zoomScaleNormal="90" workbookViewId="0">
      <selection activeCell="I63" sqref="I6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0+65.798+187.646+1646.019+2738.581+J10</f>
        <v>5844.1909999999998</v>
      </c>
      <c r="I10" s="63"/>
      <c r="J10" s="162">
        <f>197.926+1008.221</f>
        <v>1206.1469999999999</v>
      </c>
      <c r="L10" s="162">
        <f>J10+O17</f>
        <v>1206.1469999999999</v>
      </c>
      <c r="N10" s="57"/>
      <c r="O10" s="173">
        <f>+H10+K17</f>
        <v>9579.4529999999995</v>
      </c>
      <c r="P10" s="174" cm="1">
        <f t="array" aca="1" ref="P10" ca="1">INDIRECT(ADDRESS(10,15,,,VLOOKUP($G$4,parameters!$G:$I,3,0)))</f>
        <v>9399.9330000000009</v>
      </c>
      <c r="Q10" s="186">
        <f ca="1">O10-P10</f>
        <v>179.51999999999862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0+68.362+73.603+302.502+1813.594+J11</f>
        <v>2529.4660000000003</v>
      </c>
      <c r="I11" s="63"/>
      <c r="J11" s="18">
        <f>46.497+224.908</f>
        <v>271.40499999999997</v>
      </c>
      <c r="L11" s="18">
        <f>J11+O18</f>
        <v>271.40499999999997</v>
      </c>
      <c r="N11" s="57"/>
      <c r="O11" s="155">
        <f>+H11+K18</f>
        <v>5231.8780000000006</v>
      </c>
      <c r="P11" s="156" cm="1">
        <f t="array" aca="1" ref="P11" ca="1">INDIRECT(ADDRESS(11,15,,,VLOOKUP($G$4,parameters!$G:$I,3,0)))</f>
        <v>5219.7119999999995</v>
      </c>
      <c r="Q11" s="187">
        <f t="shared" ref="Q11:Q12" ca="1" si="0">O11-P11</f>
        <v>12.166000000001077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8373.6569999999992</v>
      </c>
      <c r="I12" s="63"/>
      <c r="J12" s="128">
        <f>SUM(J10:J11)</f>
        <v>1477.5519999999999</v>
      </c>
      <c r="K12" s="67"/>
      <c r="L12" s="128">
        <f>SUM(L10:L11)</f>
        <v>1477.5519999999999</v>
      </c>
      <c r="M12" s="67"/>
      <c r="N12" s="67"/>
      <c r="O12" s="157">
        <f>SUM(O10:O11)</f>
        <v>14811.331</v>
      </c>
      <c r="P12" s="158">
        <f ca="1">SUM(P10:P11)</f>
        <v>14619.645</v>
      </c>
      <c r="Q12" s="159">
        <f t="shared" ca="1" si="0"/>
        <v>191.68599999999969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3735.2619999999997</v>
      </c>
      <c r="K17" s="110">
        <f>+SUMIF($F$24:$F$251,"External",$K$24:$K$251)</f>
        <v>3735.2619999999997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1868.633</v>
      </c>
      <c r="Q17" s="113">
        <f t="shared" si="1"/>
        <v>1243.271</v>
      </c>
      <c r="R17" s="113">
        <f t="shared" si="1"/>
        <v>226.358</v>
      </c>
      <c r="S17" s="113">
        <f t="shared" si="1"/>
        <v>162.13400000000001</v>
      </c>
      <c r="T17" s="113">
        <f t="shared" si="1"/>
        <v>42</v>
      </c>
      <c r="U17" s="113">
        <f t="shared" si="1"/>
        <v>192.86599999999999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2702.4120000000003</v>
      </c>
      <c r="K18" s="115">
        <f>+SUMIF($F$24:$F$251,"Group",$K$24:$K$251)</f>
        <v>2702.4120000000003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559.053</v>
      </c>
      <c r="Q18" s="116">
        <f t="shared" si="3"/>
        <v>116.5</v>
      </c>
      <c r="R18" s="116">
        <f t="shared" si="3"/>
        <v>730.53800000000001</v>
      </c>
      <c r="S18" s="116">
        <f t="shared" si="3"/>
        <v>173.881</v>
      </c>
      <c r="T18" s="116">
        <f t="shared" si="3"/>
        <v>90.44</v>
      </c>
      <c r="U18" s="116">
        <f t="shared" si="3"/>
        <v>1032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6437.674</v>
      </c>
      <c r="K19" s="117">
        <f>SUM(K17:K18)</f>
        <v>6437.674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2427.6860000000001</v>
      </c>
      <c r="Q19" s="118">
        <f t="shared" si="5"/>
        <v>1359.771</v>
      </c>
      <c r="R19" s="118">
        <f t="shared" si="5"/>
        <v>956.89599999999996</v>
      </c>
      <c r="S19" s="118">
        <f t="shared" si="5"/>
        <v>336.01499999999999</v>
      </c>
      <c r="T19" s="118">
        <f t="shared" si="5"/>
        <v>132.44</v>
      </c>
      <c r="U19" s="118">
        <f t="shared" si="5"/>
        <v>1224.866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286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1785.5520000000001</v>
      </c>
      <c r="K24" s="121">
        <f t="shared" ref="K24" si="8">SUM(N24:Y24)</f>
        <v>1785.5520000000001</v>
      </c>
      <c r="L24" s="121">
        <f t="shared" ref="L24" si="9">SUM(AA24:AL24)</f>
        <v>0</v>
      </c>
      <c r="M24" s="25"/>
      <c r="N24" s="26"/>
      <c r="O24" s="26"/>
      <c r="P24" s="26">
        <f>7.667-8.653+30+3</f>
        <v>32.013999999999996</v>
      </c>
      <c r="Q24" s="26">
        <v>26</v>
      </c>
      <c r="R24" s="26">
        <v>695.53800000000001</v>
      </c>
      <c r="S24" s="26"/>
      <c r="T24" s="26"/>
      <c r="U24" s="26">
        <f>1035-3</f>
        <v>1032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38.200000000000003</v>
      </c>
      <c r="K25" s="121">
        <f t="shared" ref="K25:K88" si="11">SUM(N25:Y25)</f>
        <v>38.200000000000003</v>
      </c>
      <c r="L25" s="121">
        <f t="shared" ref="L25:L88" si="12">SUM(AA25:AL25)</f>
        <v>0</v>
      </c>
      <c r="M25" s="25"/>
      <c r="N25" s="26"/>
      <c r="O25" s="26"/>
      <c r="P25" s="26">
        <f>2.225-2.291+5.266+33</f>
        <v>38.200000000000003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115.44</v>
      </c>
      <c r="K26" s="121">
        <f t="shared" si="11"/>
        <v>115.44</v>
      </c>
      <c r="L26" s="121">
        <f t="shared" si="12"/>
        <v>0</v>
      </c>
      <c r="M26" s="25"/>
      <c r="N26" s="26"/>
      <c r="O26" s="26"/>
      <c r="P26" s="26">
        <v>25</v>
      </c>
      <c r="Q26" s="26"/>
      <c r="R26" s="26"/>
      <c r="S26" s="26"/>
      <c r="T26" s="26">
        <f>124.161-25-2.339-3.256-3.126</f>
        <v>90.44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9.31</v>
      </c>
      <c r="K27" s="121">
        <f t="shared" si="11"/>
        <v>9.31</v>
      </c>
      <c r="L27" s="121">
        <f t="shared" si="12"/>
        <v>0</v>
      </c>
      <c r="M27" s="25"/>
      <c r="N27" s="26"/>
      <c r="O27" s="26"/>
      <c r="P27" s="26">
        <v>9.31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189.75800000000001</v>
      </c>
      <c r="K28" s="121">
        <f t="shared" si="11"/>
        <v>189.75800000000001</v>
      </c>
      <c r="L28" s="121">
        <f t="shared" si="12"/>
        <v>0</v>
      </c>
      <c r="M28" s="25"/>
      <c r="N28" s="26"/>
      <c r="O28" s="26"/>
      <c r="P28" s="26">
        <f>212.758+10-127</f>
        <v>95.75800000000001</v>
      </c>
      <c r="Q28" s="26"/>
      <c r="R28" s="26"/>
      <c r="S28" s="26">
        <f>127-33</f>
        <v>94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6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/>
      <c r="P29" s="26"/>
      <c r="Q29" s="26">
        <v>3.5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6" t="s">
        <v>234</v>
      </c>
      <c r="J30" s="120">
        <f t="shared" si="10"/>
        <v>99.41</v>
      </c>
      <c r="K30" s="121">
        <f t="shared" si="11"/>
        <v>99.41</v>
      </c>
      <c r="L30" s="121">
        <f t="shared" si="12"/>
        <v>0</v>
      </c>
      <c r="M30" s="25"/>
      <c r="N30" s="26"/>
      <c r="O30" s="26"/>
      <c r="P30" s="26">
        <f>10.446-3.917</f>
        <v>6.5289999999999999</v>
      </c>
      <c r="Q30" s="26"/>
      <c r="R30" s="26">
        <v>35</v>
      </c>
      <c r="S30" s="26">
        <f>92.881-35</f>
        <v>57.881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6" t="s">
        <v>234</v>
      </c>
      <c r="J31" s="120">
        <f t="shared" si="10"/>
        <v>1.1340000000000001</v>
      </c>
      <c r="K31" s="121">
        <f t="shared" si="11"/>
        <v>1.1340000000000001</v>
      </c>
      <c r="L31" s="121">
        <f t="shared" si="12"/>
        <v>0</v>
      </c>
      <c r="M31" s="25"/>
      <c r="N31" s="26"/>
      <c r="O31" s="26"/>
      <c r="P31" s="26">
        <f>1.441-0.307</f>
        <v>1.1340000000000001</v>
      </c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292</v>
      </c>
      <c r="H32" s="197"/>
      <c r="I32" s="196" t="s">
        <v>234</v>
      </c>
      <c r="J32" s="120">
        <f t="shared" si="10"/>
        <v>302.846</v>
      </c>
      <c r="K32" s="121">
        <f t="shared" si="11"/>
        <v>302.846</v>
      </c>
      <c r="L32" s="121">
        <f t="shared" si="12"/>
        <v>0</v>
      </c>
      <c r="M32" s="17"/>
      <c r="N32" s="26"/>
      <c r="O32" s="26"/>
      <c r="P32" s="26">
        <f>271+19.846-20</f>
        <v>270.846</v>
      </c>
      <c r="Q32" s="26">
        <f>20+12</f>
        <v>32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6" t="s">
        <v>234</v>
      </c>
      <c r="J33" s="120">
        <f t="shared" si="10"/>
        <v>106.80199999999999</v>
      </c>
      <c r="K33" s="121">
        <f t="shared" si="11"/>
        <v>106.80199999999999</v>
      </c>
      <c r="L33" s="121">
        <f t="shared" si="12"/>
        <v>0</v>
      </c>
      <c r="M33" s="17"/>
      <c r="N33" s="26"/>
      <c r="O33" s="26"/>
      <c r="P33" s="26">
        <f>53.031-163.229+50+79+88-50</f>
        <v>56.801999999999992</v>
      </c>
      <c r="Q33" s="26">
        <v>50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6" t="s">
        <v>234</v>
      </c>
      <c r="J34" s="120">
        <f t="shared" si="10"/>
        <v>7.9740000000000038</v>
      </c>
      <c r="K34" s="121">
        <f t="shared" si="11"/>
        <v>7.9740000000000038</v>
      </c>
      <c r="L34" s="121">
        <f t="shared" si="12"/>
        <v>0</v>
      </c>
      <c r="M34" s="17"/>
      <c r="N34" s="26"/>
      <c r="O34" s="26"/>
      <c r="P34" s="26">
        <f>9.128-6.154+55-50</f>
        <v>7.9740000000000038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6" t="s">
        <v>234</v>
      </c>
      <c r="J35" s="120">
        <f t="shared" si="10"/>
        <v>42.486000000000004</v>
      </c>
      <c r="K35" s="121">
        <f t="shared" si="11"/>
        <v>42.486000000000004</v>
      </c>
      <c r="L35" s="121">
        <f t="shared" si="12"/>
        <v>0</v>
      </c>
      <c r="M35" s="17"/>
      <c r="N35" s="26"/>
      <c r="O35" s="26"/>
      <c r="P35" s="26">
        <f>10.496-5.01+15-5</f>
        <v>15.486000000000001</v>
      </c>
      <c r="Q35" s="26">
        <v>5</v>
      </c>
      <c r="R35" s="26"/>
      <c r="S35" s="26">
        <v>22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263</v>
      </c>
      <c r="H36" s="197"/>
      <c r="I36" s="196" t="s">
        <v>234</v>
      </c>
      <c r="J36" s="120">
        <f t="shared" si="10"/>
        <v>324.95999999999998</v>
      </c>
      <c r="K36" s="121">
        <f t="shared" si="11"/>
        <v>324.95999999999998</v>
      </c>
      <c r="L36" s="121">
        <f t="shared" si="12"/>
        <v>0</v>
      </c>
      <c r="M36" s="17"/>
      <c r="N36" s="26"/>
      <c r="O36" s="26"/>
      <c r="P36" s="26">
        <f>25.407-13.447+313</f>
        <v>324.95999999999998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290</v>
      </c>
      <c r="F37" s="9" t="s">
        <v>40</v>
      </c>
      <c r="G37" s="9" t="s">
        <v>245</v>
      </c>
      <c r="H37" s="197"/>
      <c r="I37" s="196" t="s">
        <v>234</v>
      </c>
      <c r="J37" s="120">
        <f t="shared" si="10"/>
        <v>167.04599999999999</v>
      </c>
      <c r="K37" s="121">
        <f t="shared" si="11"/>
        <v>167.04599999999999</v>
      </c>
      <c r="L37" s="121">
        <f t="shared" si="12"/>
        <v>0</v>
      </c>
      <c r="M37" s="17"/>
      <c r="N37" s="26"/>
      <c r="O37" s="26"/>
      <c r="P37" s="26">
        <f>179.35-62.508-9.796+50+10</f>
        <v>167.04599999999999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280</v>
      </c>
      <c r="F38" s="9" t="s">
        <v>40</v>
      </c>
      <c r="G38" s="9" t="s">
        <v>281</v>
      </c>
      <c r="H38" s="197"/>
      <c r="I38" s="196" t="s">
        <v>234</v>
      </c>
      <c r="J38" s="120">
        <f t="shared" si="10"/>
        <v>36.892000000000003</v>
      </c>
      <c r="K38" s="121">
        <f t="shared" si="11"/>
        <v>36.892000000000003</v>
      </c>
      <c r="L38" s="121">
        <f t="shared" si="12"/>
        <v>0</v>
      </c>
      <c r="M38" s="17"/>
      <c r="N38" s="26"/>
      <c r="O38" s="26"/>
      <c r="P38" s="26">
        <v>36.892000000000003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256</v>
      </c>
      <c r="F39" s="9" t="s">
        <v>40</v>
      </c>
      <c r="G39" s="9" t="s">
        <v>257</v>
      </c>
      <c r="H39" s="197"/>
      <c r="I39" s="196" t="s">
        <v>234</v>
      </c>
      <c r="J39" s="120">
        <f t="shared" si="10"/>
        <v>244.345</v>
      </c>
      <c r="K39" s="121">
        <f t="shared" si="11"/>
        <v>244.345</v>
      </c>
      <c r="L39" s="121">
        <f t="shared" si="12"/>
        <v>0</v>
      </c>
      <c r="M39" s="17"/>
      <c r="N39" s="26"/>
      <c r="O39" s="26"/>
      <c r="P39" s="26">
        <f>7.345+15+27</f>
        <v>49.344999999999999</v>
      </c>
      <c r="Q39" s="26">
        <v>8</v>
      </c>
      <c r="R39" s="26"/>
      <c r="S39" s="26">
        <f>88-27-8+95</f>
        <v>148</v>
      </c>
      <c r="T39" s="26"/>
      <c r="U39" s="26">
        <f>134-95</f>
        <v>39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264</v>
      </c>
      <c r="F40" s="9" t="s">
        <v>40</v>
      </c>
      <c r="G40" s="9" t="s">
        <v>265</v>
      </c>
      <c r="H40" s="197"/>
      <c r="I40" s="196" t="s">
        <v>234</v>
      </c>
      <c r="J40" s="120">
        <f t="shared" si="10"/>
        <v>120.41500000000001</v>
      </c>
      <c r="K40" s="121">
        <f t="shared" si="11"/>
        <v>120.41500000000001</v>
      </c>
      <c r="L40" s="121">
        <f t="shared" si="12"/>
        <v>0</v>
      </c>
      <c r="M40" s="17"/>
      <c r="N40" s="26"/>
      <c r="O40" s="26"/>
      <c r="P40" s="26">
        <f>108.415+11</f>
        <v>119.41500000000001</v>
      </c>
      <c r="Q40" s="26"/>
      <c r="R40" s="26"/>
      <c r="S40" s="26">
        <f>12-11</f>
        <v>1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258</v>
      </c>
      <c r="F41" s="9" t="s">
        <v>40</v>
      </c>
      <c r="G41" s="9" t="s">
        <v>259</v>
      </c>
      <c r="H41" s="198"/>
      <c r="I41" s="196" t="s">
        <v>234</v>
      </c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250</v>
      </c>
      <c r="F42" s="9" t="s">
        <v>40</v>
      </c>
      <c r="G42" s="9" t="s">
        <v>251</v>
      </c>
      <c r="H42" s="198"/>
      <c r="I42" s="196" t="s">
        <v>247</v>
      </c>
      <c r="J42" s="120">
        <f t="shared" si="10"/>
        <v>766.30600000000004</v>
      </c>
      <c r="K42" s="121">
        <f t="shared" si="11"/>
        <v>766.30600000000004</v>
      </c>
      <c r="L42" s="121">
        <f t="shared" si="12"/>
        <v>0</v>
      </c>
      <c r="M42" s="17"/>
      <c r="N42" s="26"/>
      <c r="O42" s="26"/>
      <c r="P42" s="26">
        <f>526-326.918+86-20</f>
        <v>265.08199999999999</v>
      </c>
      <c r="Q42" s="26">
        <f>98+20+57</f>
        <v>175</v>
      </c>
      <c r="R42" s="26">
        <f>91.358+68</f>
        <v>159.358</v>
      </c>
      <c r="S42" s="26"/>
      <c r="T42" s="26">
        <v>13</v>
      </c>
      <c r="U42" s="26">
        <f>291.866-57-68-13</f>
        <v>153.86599999999999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8"/>
      <c r="I43" s="196" t="s">
        <v>247</v>
      </c>
      <c r="J43" s="120">
        <f t="shared" si="10"/>
        <v>251.85400000000004</v>
      </c>
      <c r="K43" s="121">
        <f t="shared" si="11"/>
        <v>251.85400000000004</v>
      </c>
      <c r="L43" s="121">
        <f t="shared" si="12"/>
        <v>0</v>
      </c>
      <c r="M43" s="17"/>
      <c r="N43" s="26"/>
      <c r="O43" s="26"/>
      <c r="P43" s="26">
        <f>245.597-54.743+90-240</f>
        <v>40.854000000000042</v>
      </c>
      <c r="Q43" s="26">
        <f>94-109-14+240-67</f>
        <v>144</v>
      </c>
      <c r="R43" s="26">
        <v>67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296</v>
      </c>
      <c r="F44" s="9" t="s">
        <v>40</v>
      </c>
      <c r="G44" s="9" t="s">
        <v>296</v>
      </c>
      <c r="H44" s="198"/>
      <c r="I44" s="196" t="s">
        <v>247</v>
      </c>
      <c r="J44" s="120">
        <f t="shared" si="10"/>
        <v>109</v>
      </c>
      <c r="K44" s="121">
        <f t="shared" ref="K44:K45" si="13">SUM(N44:Y44)</f>
        <v>109</v>
      </c>
      <c r="L44" s="121">
        <f t="shared" ref="L44:L45" si="14">SUM(AA44:AL44)</f>
        <v>0</v>
      </c>
      <c r="M44" s="17"/>
      <c r="N44" s="26"/>
      <c r="O44" s="26"/>
      <c r="P44" s="26"/>
      <c r="Q44" s="26">
        <v>109</v>
      </c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297</v>
      </c>
      <c r="F45" s="9" t="s">
        <v>40</v>
      </c>
      <c r="G45" s="9" t="s">
        <v>297</v>
      </c>
      <c r="H45" s="198"/>
      <c r="I45" s="196" t="s">
        <v>247</v>
      </c>
      <c r="J45" s="120">
        <f t="shared" si="10"/>
        <v>14</v>
      </c>
      <c r="K45" s="121">
        <f t="shared" si="13"/>
        <v>14</v>
      </c>
      <c r="L45" s="121">
        <f t="shared" si="14"/>
        <v>0</v>
      </c>
      <c r="M45" s="17"/>
      <c r="N45" s="26"/>
      <c r="O45" s="26"/>
      <c r="P45" s="26"/>
      <c r="Q45" s="26">
        <v>14</v>
      </c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267</v>
      </c>
      <c r="F46" s="9" t="s">
        <v>40</v>
      </c>
      <c r="G46" s="9" t="s">
        <v>268</v>
      </c>
      <c r="H46" s="195"/>
      <c r="I46" s="196" t="s">
        <v>247</v>
      </c>
      <c r="J46" s="120">
        <f t="shared" si="10"/>
        <v>15.401999999999999</v>
      </c>
      <c r="K46" s="121">
        <f t="shared" si="11"/>
        <v>15.401999999999999</v>
      </c>
      <c r="L46" s="121">
        <f t="shared" si="12"/>
        <v>0</v>
      </c>
      <c r="M46" s="17"/>
      <c r="N46" s="26"/>
      <c r="O46" s="26"/>
      <c r="P46" s="26">
        <v>15.401999999999999</v>
      </c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5"/>
      <c r="I47" s="196" t="s">
        <v>247</v>
      </c>
      <c r="J47" s="120">
        <f t="shared" si="10"/>
        <v>293.57799999999997</v>
      </c>
      <c r="K47" s="121">
        <f t="shared" si="11"/>
        <v>293.57799999999997</v>
      </c>
      <c r="L47" s="121">
        <f t="shared" si="12"/>
        <v>0</v>
      </c>
      <c r="M47" s="17"/>
      <c r="N47" s="26"/>
      <c r="O47" s="26"/>
      <c r="P47" s="26">
        <f>291.578+2-29</f>
        <v>264.57799999999997</v>
      </c>
      <c r="Q47" s="26"/>
      <c r="R47" s="26"/>
      <c r="S47" s="26"/>
      <c r="T47" s="26">
        <v>29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6"/>
      <c r="I48" s="196" t="s">
        <v>247</v>
      </c>
      <c r="J48" s="120">
        <f t="shared" si="10"/>
        <v>774.67700000000002</v>
      </c>
      <c r="K48" s="121">
        <f t="shared" si="11"/>
        <v>774.67700000000002</v>
      </c>
      <c r="L48" s="121">
        <f t="shared" si="12"/>
        <v>0</v>
      </c>
      <c r="M48" s="17"/>
      <c r="N48" s="26"/>
      <c r="O48" s="26"/>
      <c r="P48" s="26">
        <f>188.352-233.313+139-32</f>
        <v>62.039000000000016</v>
      </c>
      <c r="Q48" s="26">
        <f>680.638+32</f>
        <v>712.63800000000003</v>
      </c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196" t="s">
        <v>247</v>
      </c>
      <c r="J49" s="120">
        <f t="shared" si="10"/>
        <v>1.0820000000000007</v>
      </c>
      <c r="K49" s="121">
        <f t="shared" si="11"/>
        <v>1.0820000000000007</v>
      </c>
      <c r="L49" s="121">
        <f t="shared" si="12"/>
        <v>0</v>
      </c>
      <c r="M49" s="17"/>
      <c r="N49" s="26"/>
      <c r="O49" s="26"/>
      <c r="P49" s="26">
        <v>1.0820000000000007</v>
      </c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196" t="s">
        <v>247</v>
      </c>
      <c r="J50" s="120">
        <f t="shared" si="10"/>
        <v>124.998</v>
      </c>
      <c r="K50" s="121">
        <f t="shared" si="11"/>
        <v>124.998</v>
      </c>
      <c r="L50" s="121">
        <f t="shared" si="12"/>
        <v>0</v>
      </c>
      <c r="M50" s="17"/>
      <c r="N50" s="26"/>
      <c r="O50" s="26"/>
      <c r="P50" s="26">
        <f>81.998+31+12</f>
        <v>124.998</v>
      </c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196" t="s">
        <v>247</v>
      </c>
      <c r="J51" s="120">
        <f t="shared" si="10"/>
        <v>116.175</v>
      </c>
      <c r="K51" s="121">
        <f t="shared" si="11"/>
        <v>116.175</v>
      </c>
      <c r="L51" s="121">
        <f t="shared" si="12"/>
        <v>0</v>
      </c>
      <c r="M51" s="17"/>
      <c r="N51" s="26"/>
      <c r="O51" s="26"/>
      <c r="P51" s="26">
        <f>86.041-41</f>
        <v>45.040999999999997</v>
      </c>
      <c r="Q51" s="26">
        <f>15+41+2</f>
        <v>58</v>
      </c>
      <c r="R51" s="26"/>
      <c r="S51" s="26">
        <f>15.134-2</f>
        <v>13.134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279</v>
      </c>
      <c r="F52" s="9" t="s">
        <v>40</v>
      </c>
      <c r="G52" s="9" t="s">
        <v>283</v>
      </c>
      <c r="H52" s="197"/>
      <c r="I52" s="196" t="s">
        <v>247</v>
      </c>
      <c r="J52" s="120">
        <f t="shared" si="10"/>
        <v>2.1280000000000001</v>
      </c>
      <c r="K52" s="121">
        <f t="shared" si="11"/>
        <v>2.1280000000000001</v>
      </c>
      <c r="L52" s="121">
        <f t="shared" si="12"/>
        <v>0</v>
      </c>
      <c r="M52" s="17"/>
      <c r="N52" s="26"/>
      <c r="O52" s="26"/>
      <c r="P52" s="26">
        <v>2.1280000000000001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6" t="s">
        <v>247</v>
      </c>
      <c r="J53" s="120">
        <f t="shared" si="10"/>
        <v>62.327999999999996</v>
      </c>
      <c r="K53" s="121">
        <f t="shared" si="11"/>
        <v>62.327999999999996</v>
      </c>
      <c r="L53" s="121">
        <f t="shared" si="12"/>
        <v>0</v>
      </c>
      <c r="M53" s="17"/>
      <c r="N53" s="26"/>
      <c r="O53" s="26"/>
      <c r="P53" s="26">
        <f>107.216-44.888</f>
        <v>62.327999999999996</v>
      </c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270</v>
      </c>
      <c r="F54" s="9" t="s">
        <v>40</v>
      </c>
      <c r="G54" s="9" t="s">
        <v>270</v>
      </c>
      <c r="H54" s="197"/>
      <c r="I54" s="196" t="s">
        <v>247</v>
      </c>
      <c r="J54" s="120">
        <f t="shared" si="10"/>
        <v>208.45</v>
      </c>
      <c r="K54" s="121">
        <f t="shared" si="11"/>
        <v>208.45</v>
      </c>
      <c r="L54" s="121">
        <f t="shared" si="12"/>
        <v>0</v>
      </c>
      <c r="M54" s="17"/>
      <c r="N54" s="26"/>
      <c r="O54" s="26"/>
      <c r="P54" s="26">
        <v>208.45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196" t="s">
        <v>247</v>
      </c>
      <c r="J55" s="120">
        <f t="shared" si="10"/>
        <v>49.941000000000003</v>
      </c>
      <c r="K55" s="121">
        <f t="shared" si="11"/>
        <v>49.941000000000003</v>
      </c>
      <c r="L55" s="121">
        <f t="shared" si="12"/>
        <v>0</v>
      </c>
      <c r="M55" s="17"/>
      <c r="N55" s="26"/>
      <c r="O55" s="26"/>
      <c r="P55" s="26">
        <f>139.6-251.659+50+112</f>
        <v>49.941000000000003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196" t="s">
        <v>247</v>
      </c>
      <c r="J56" s="120">
        <f t="shared" si="10"/>
        <v>12.052</v>
      </c>
      <c r="K56" s="121">
        <f t="shared" si="11"/>
        <v>12.052</v>
      </c>
      <c r="L56" s="121">
        <f t="shared" si="12"/>
        <v>0</v>
      </c>
      <c r="M56" s="17"/>
      <c r="N56" s="26"/>
      <c r="O56" s="26"/>
      <c r="P56" s="26">
        <f>12-10.948+5+6</f>
        <v>12.052</v>
      </c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276</v>
      </c>
      <c r="F57" s="9" t="s">
        <v>40</v>
      </c>
      <c r="G57" s="9" t="s">
        <v>276</v>
      </c>
      <c r="H57" s="13"/>
      <c r="I57" s="196" t="s">
        <v>293</v>
      </c>
      <c r="J57" s="120">
        <f t="shared" si="10"/>
        <v>17</v>
      </c>
      <c r="K57" s="121">
        <f t="shared" si="11"/>
        <v>17</v>
      </c>
      <c r="L57" s="121">
        <f t="shared" si="12"/>
        <v>0</v>
      </c>
      <c r="M57" s="17"/>
      <c r="N57" s="26"/>
      <c r="O57" s="26"/>
      <c r="P57" s="26">
        <v>17</v>
      </c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294</v>
      </c>
      <c r="F58" s="9" t="s">
        <v>40</v>
      </c>
      <c r="G58" s="9" t="s">
        <v>294</v>
      </c>
      <c r="H58" s="13"/>
      <c r="I58" s="202" t="s">
        <v>295</v>
      </c>
      <c r="J58" s="120">
        <f t="shared" si="10"/>
        <v>22.632999999999999</v>
      </c>
      <c r="K58" s="121">
        <f t="shared" si="11"/>
        <v>22.632999999999999</v>
      </c>
      <c r="L58" s="121">
        <f t="shared" si="12"/>
        <v>0</v>
      </c>
      <c r="M58" s="17"/>
      <c r="N58" s="26"/>
      <c r="O58" s="26"/>
      <c r="P58" s="26"/>
      <c r="Q58" s="26">
        <v>22.632999999999999</v>
      </c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5">+K89+L89</f>
        <v>0</v>
      </c>
      <c r="K89" s="121">
        <f t="shared" ref="K89:K152" si="16">SUM(N89:Y89)</f>
        <v>0</v>
      </c>
      <c r="L89" s="121">
        <f t="shared" ref="L89:L152" si="17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5"/>
        <v>0</v>
      </c>
      <c r="K90" s="121">
        <f t="shared" si="16"/>
        <v>0</v>
      </c>
      <c r="L90" s="121">
        <f t="shared" si="17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8">+K153+L153</f>
        <v>0</v>
      </c>
      <c r="K153" s="121">
        <f t="shared" ref="K153:K216" si="19">SUM(N153:Y153)</f>
        <v>0</v>
      </c>
      <c r="L153" s="121">
        <f t="shared" ref="L153:L216" si="20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8"/>
        <v>0</v>
      </c>
      <c r="K154" s="121">
        <f t="shared" si="19"/>
        <v>0</v>
      </c>
      <c r="L154" s="121">
        <f t="shared" si="20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1">+K217+L217</f>
        <v>0</v>
      </c>
      <c r="K217" s="121">
        <f t="shared" ref="K217:K252" si="22">SUM(N217:Y217)</f>
        <v>0</v>
      </c>
      <c r="L217" s="121">
        <f t="shared" ref="L217:L252" si="23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1"/>
        <v>0</v>
      </c>
      <c r="K218" s="121">
        <f t="shared" si="22"/>
        <v>0</v>
      </c>
      <c r="L218" s="121">
        <f t="shared" si="23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1"/>
        <v>0</v>
      </c>
      <c r="K252" s="121">
        <f t="shared" si="22"/>
        <v>0</v>
      </c>
      <c r="L252" s="121">
        <f t="shared" si="23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1"/>
  <sheetViews>
    <sheetView showGridLines="0" zoomScale="80" zoomScaleNormal="80" workbookViewId="0">
      <selection activeCell="O56" sqref="O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0+65.798+187.646+1646.019+2738.581+197.926+1008.221+J10</f>
        <v>5973.9340000000011</v>
      </c>
      <c r="I10" s="63"/>
      <c r="J10" s="162">
        <f>129.743</f>
        <v>129.74299999999999</v>
      </c>
      <c r="L10" s="162">
        <f>J10+P17</f>
        <v>1901.7839999999999</v>
      </c>
      <c r="N10" s="57"/>
      <c r="O10" s="173">
        <f>+H10+K17</f>
        <v>9769.1720000000023</v>
      </c>
      <c r="P10" s="174" cm="1">
        <f t="array" aca="1" ref="P10" ca="1">INDIRECT(ADDRESS(10,15,,,VLOOKUP($G$4,parameters!$G:$I,3,0)))</f>
        <v>9579.4529999999995</v>
      </c>
      <c r="Q10" s="186">
        <f ca="1">O10-P10</f>
        <v>189.71900000000278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0+68.362+73.603+302.502+1813.594+46.497+224.908+J11</f>
        <v>2529.6509999999998</v>
      </c>
      <c r="I11" s="63"/>
      <c r="J11" s="18">
        <f>0.185</f>
        <v>0.185</v>
      </c>
      <c r="L11" s="18">
        <f>J11+P18</f>
        <v>475.43599999999998</v>
      </c>
      <c r="N11" s="57"/>
      <c r="O11" s="155">
        <f>+H11+K18</f>
        <v>5465.8130000000001</v>
      </c>
      <c r="P11" s="156" cm="1">
        <f t="array" aca="1" ref="P11" ca="1">INDIRECT(ADDRESS(11,15,,,VLOOKUP($G$4,parameters!$G:$I,3,0)))</f>
        <v>5231.8780000000006</v>
      </c>
      <c r="Q11" s="187">
        <f t="shared" ref="Q11:Q12" ca="1" si="0">O11-P11</f>
        <v>233.93499999999949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8503.5850000000009</v>
      </c>
      <c r="I12" s="63"/>
      <c r="J12" s="128">
        <f>SUM(J10:J11)</f>
        <v>129.928</v>
      </c>
      <c r="K12" s="67"/>
      <c r="L12" s="128">
        <f>SUM(L10:L11)</f>
        <v>2377.2199999999998</v>
      </c>
      <c r="M12" s="67"/>
      <c r="N12" s="67"/>
      <c r="O12" s="157">
        <f>SUM(O10:O11)</f>
        <v>15234.985000000002</v>
      </c>
      <c r="P12" s="158">
        <f ca="1">SUM(P10:P11)</f>
        <v>14811.331</v>
      </c>
      <c r="Q12" s="159">
        <f t="shared" ca="1" si="0"/>
        <v>423.65400000000227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3795.2380000000003</v>
      </c>
      <c r="K17" s="110">
        <f>+SUMIF($F$24:$F$250,"External",$K$24:$K$250)</f>
        <v>3795.2380000000003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1772.0409999999999</v>
      </c>
      <c r="Q17" s="113">
        <f t="shared" si="1"/>
        <v>1279.2329999999999</v>
      </c>
      <c r="R17" s="113">
        <f t="shared" si="1"/>
        <v>399.07600000000002</v>
      </c>
      <c r="S17" s="113">
        <f t="shared" si="1"/>
        <v>154</v>
      </c>
      <c r="T17" s="113">
        <f t="shared" si="1"/>
        <v>65.759999999999991</v>
      </c>
      <c r="U17" s="113">
        <f t="shared" si="1"/>
        <v>125.12800000000001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2936.1620000000003</v>
      </c>
      <c r="K18" s="115">
        <f>+SUMIF($F$24:$F$250,"Group",$K$24:$K$250)</f>
        <v>2936.1620000000003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475.25099999999998</v>
      </c>
      <c r="Q18" s="116">
        <f t="shared" si="3"/>
        <v>361.23700000000002</v>
      </c>
      <c r="R18" s="116">
        <f t="shared" si="3"/>
        <v>774.53800000000001</v>
      </c>
      <c r="S18" s="116">
        <f t="shared" si="3"/>
        <v>151.881</v>
      </c>
      <c r="T18" s="116">
        <f t="shared" si="3"/>
        <v>956.255</v>
      </c>
      <c r="U18" s="116">
        <f t="shared" si="3"/>
        <v>217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6731.4000000000005</v>
      </c>
      <c r="K19" s="117">
        <f>SUM(K17:K18)</f>
        <v>6731.4000000000005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2247.2919999999999</v>
      </c>
      <c r="Q19" s="118">
        <f t="shared" si="5"/>
        <v>1640.47</v>
      </c>
      <c r="R19" s="118">
        <f t="shared" si="5"/>
        <v>1173.614</v>
      </c>
      <c r="S19" s="118">
        <f t="shared" si="5"/>
        <v>305.88099999999997</v>
      </c>
      <c r="T19" s="118">
        <f t="shared" si="5"/>
        <v>1022.015</v>
      </c>
      <c r="U19" s="118">
        <f t="shared" si="5"/>
        <v>342.12800000000004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1785.5520000000001</v>
      </c>
      <c r="K24" s="121">
        <f t="shared" ref="K24" si="8">SUM(N24:Y24)</f>
        <v>1785.5520000000001</v>
      </c>
      <c r="L24" s="121">
        <f t="shared" ref="L24" si="9">SUM(AA24:AL24)</f>
        <v>0</v>
      </c>
      <c r="M24" s="25"/>
      <c r="N24" s="26"/>
      <c r="O24" s="26"/>
      <c r="P24" s="26">
        <v>32.013999999999996</v>
      </c>
      <c r="Q24" s="26">
        <v>26</v>
      </c>
      <c r="R24" s="26">
        <f>695.538+4</f>
        <v>699.53800000000001</v>
      </c>
      <c r="S24" s="26"/>
      <c r="T24" s="26">
        <v>868</v>
      </c>
      <c r="U24" s="26">
        <f>1032-4-868</f>
        <v>160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38.200000000000003</v>
      </c>
      <c r="K25" s="121">
        <f t="shared" ref="K25:K87" si="11">SUM(N25:Y25)</f>
        <v>38.200000000000003</v>
      </c>
      <c r="L25" s="121">
        <f t="shared" ref="L25:L87" si="12">SUM(AA25:AL25)</f>
        <v>0</v>
      </c>
      <c r="M25" s="25"/>
      <c r="N25" s="26"/>
      <c r="O25" s="26"/>
      <c r="P25" s="26">
        <v>38.200000000000003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113.255</v>
      </c>
      <c r="K26" s="121">
        <f t="shared" si="11"/>
        <v>113.255</v>
      </c>
      <c r="L26" s="121">
        <f t="shared" si="12"/>
        <v>0</v>
      </c>
      <c r="M26" s="25"/>
      <c r="N26" s="26"/>
      <c r="O26" s="26"/>
      <c r="P26" s="26">
        <v>4</v>
      </c>
      <c r="Q26" s="26">
        <f>25-4</f>
        <v>21</v>
      </c>
      <c r="R26" s="26"/>
      <c r="S26" s="26"/>
      <c r="T26" s="26">
        <f>90.44-0.185-2</f>
        <v>88.254999999999995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167</v>
      </c>
      <c r="F27" s="9" t="s">
        <v>10</v>
      </c>
      <c r="G27" s="9" t="s">
        <v>167</v>
      </c>
      <c r="H27" s="195"/>
      <c r="I27" s="195" t="s">
        <v>234</v>
      </c>
      <c r="J27" s="120">
        <f t="shared" si="10"/>
        <v>9.31</v>
      </c>
      <c r="K27" s="121">
        <f t="shared" si="11"/>
        <v>9.31</v>
      </c>
      <c r="L27" s="121">
        <f t="shared" si="12"/>
        <v>0</v>
      </c>
      <c r="M27" s="25"/>
      <c r="N27" s="26"/>
      <c r="O27" s="26"/>
      <c r="P27" s="26">
        <v>9.31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189.75800000000001</v>
      </c>
      <c r="K28" s="121">
        <f t="shared" si="11"/>
        <v>189.75800000000001</v>
      </c>
      <c r="L28" s="121">
        <f t="shared" si="12"/>
        <v>0</v>
      </c>
      <c r="M28" s="25"/>
      <c r="N28" s="26"/>
      <c r="O28" s="26"/>
      <c r="P28" s="26">
        <v>95.75800000000001</v>
      </c>
      <c r="Q28" s="26"/>
      <c r="R28" s="26"/>
      <c r="S28" s="26">
        <v>94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236</v>
      </c>
      <c r="F29" s="9" t="s">
        <v>10</v>
      </c>
      <c r="G29" s="9" t="s">
        <v>236</v>
      </c>
      <c r="H29" s="196"/>
      <c r="I29" s="196" t="s">
        <v>234</v>
      </c>
      <c r="J29" s="120">
        <f t="shared" si="10"/>
        <v>3.5</v>
      </c>
      <c r="K29" s="121">
        <f t="shared" si="11"/>
        <v>3.5</v>
      </c>
      <c r="L29" s="121">
        <f t="shared" si="12"/>
        <v>0</v>
      </c>
      <c r="M29" s="25"/>
      <c r="N29" s="26"/>
      <c r="O29" s="26"/>
      <c r="P29" s="26"/>
      <c r="Q29" s="26">
        <v>3.5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333.34500000000003</v>
      </c>
      <c r="K30" s="121">
        <f t="shared" si="11"/>
        <v>333.34500000000003</v>
      </c>
      <c r="L30" s="121">
        <f t="shared" si="12"/>
        <v>0</v>
      </c>
      <c r="M30" s="25"/>
      <c r="N30" s="26"/>
      <c r="O30" s="26"/>
      <c r="P30" s="26">
        <v>6.5289999999999999</v>
      </c>
      <c r="Q30" s="26">
        <v>233.935</v>
      </c>
      <c r="R30" s="26">
        <v>35</v>
      </c>
      <c r="S30" s="26">
        <v>57.881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3.1339999999999999</v>
      </c>
      <c r="K31" s="121">
        <f t="shared" si="11"/>
        <v>3.1339999999999999</v>
      </c>
      <c r="L31" s="121">
        <f t="shared" si="12"/>
        <v>0</v>
      </c>
      <c r="M31" s="25"/>
      <c r="N31" s="26"/>
      <c r="O31" s="26"/>
      <c r="P31" s="26">
        <f>1.134+2</f>
        <v>3.1339999999999999</v>
      </c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292</v>
      </c>
      <c r="H32" s="197"/>
      <c r="I32" s="195" t="s">
        <v>234</v>
      </c>
      <c r="J32" s="120">
        <f t="shared" si="10"/>
        <v>302.846</v>
      </c>
      <c r="K32" s="121">
        <f t="shared" si="11"/>
        <v>302.846</v>
      </c>
      <c r="L32" s="121">
        <f t="shared" si="12"/>
        <v>0</v>
      </c>
      <c r="M32" s="17"/>
      <c r="N32" s="26"/>
      <c r="O32" s="26"/>
      <c r="P32" s="26">
        <f>270.846-10</f>
        <v>260.846</v>
      </c>
      <c r="Q32" s="26">
        <f>32+10</f>
        <v>42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106.80199999999999</v>
      </c>
      <c r="K33" s="121">
        <f t="shared" si="11"/>
        <v>106.80199999999999</v>
      </c>
      <c r="L33" s="121">
        <f t="shared" si="12"/>
        <v>0</v>
      </c>
      <c r="M33" s="17"/>
      <c r="N33" s="26"/>
      <c r="O33" s="26"/>
      <c r="P33" s="26">
        <v>2</v>
      </c>
      <c r="Q33" s="26">
        <f>56.802-2-25</f>
        <v>29.802</v>
      </c>
      <c r="R33" s="26">
        <f>50-20</f>
        <v>30</v>
      </c>
      <c r="S33" s="26"/>
      <c r="T33" s="26"/>
      <c r="U33" s="26">
        <f>25+20</f>
        <v>45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7.9740000000000038</v>
      </c>
      <c r="K34" s="121">
        <f t="shared" si="11"/>
        <v>7.9740000000000038</v>
      </c>
      <c r="L34" s="121">
        <f t="shared" si="12"/>
        <v>0</v>
      </c>
      <c r="M34" s="17"/>
      <c r="N34" s="26"/>
      <c r="O34" s="26"/>
      <c r="P34" s="26">
        <v>7.9740000000000038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42.486000000000004</v>
      </c>
      <c r="K35" s="121">
        <f t="shared" si="11"/>
        <v>42.486000000000004</v>
      </c>
      <c r="L35" s="121">
        <f t="shared" si="12"/>
        <v>0</v>
      </c>
      <c r="M35" s="17"/>
      <c r="N35" s="26"/>
      <c r="O35" s="26"/>
      <c r="P35" s="26">
        <v>15.486000000000001</v>
      </c>
      <c r="Q35" s="26">
        <v>5</v>
      </c>
      <c r="R35" s="26">
        <v>10</v>
      </c>
      <c r="S35" s="26"/>
      <c r="T35" s="26"/>
      <c r="U35" s="26">
        <f>22-10</f>
        <v>12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263</v>
      </c>
      <c r="H36" s="197"/>
      <c r="I36" s="195" t="s">
        <v>234</v>
      </c>
      <c r="J36" s="120">
        <f t="shared" si="10"/>
        <v>324.95999999999998</v>
      </c>
      <c r="K36" s="121">
        <f t="shared" si="11"/>
        <v>324.95999999999998</v>
      </c>
      <c r="L36" s="121">
        <f t="shared" si="12"/>
        <v>0</v>
      </c>
      <c r="M36" s="17"/>
      <c r="N36" s="26"/>
      <c r="O36" s="26"/>
      <c r="P36" s="26">
        <v>324.95999999999998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290</v>
      </c>
      <c r="F37" s="9" t="s">
        <v>40</v>
      </c>
      <c r="G37" s="9" t="s">
        <v>245</v>
      </c>
      <c r="H37" s="197"/>
      <c r="I37" s="195" t="s">
        <v>234</v>
      </c>
      <c r="J37" s="120">
        <f t="shared" si="10"/>
        <v>171.04599999999999</v>
      </c>
      <c r="K37" s="121">
        <f t="shared" si="11"/>
        <v>171.04599999999999</v>
      </c>
      <c r="L37" s="121">
        <f t="shared" si="12"/>
        <v>0</v>
      </c>
      <c r="M37" s="17"/>
      <c r="N37" s="26"/>
      <c r="O37" s="26"/>
      <c r="P37" s="26">
        <f>167.046+4</f>
        <v>171.04599999999999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280</v>
      </c>
      <c r="F38" s="9" t="s">
        <v>40</v>
      </c>
      <c r="G38" s="9" t="s">
        <v>281</v>
      </c>
      <c r="H38" s="197"/>
      <c r="I38" s="195" t="s">
        <v>234</v>
      </c>
      <c r="J38" s="120">
        <f t="shared" si="10"/>
        <v>36.892000000000003</v>
      </c>
      <c r="K38" s="121">
        <f t="shared" si="11"/>
        <v>36.892000000000003</v>
      </c>
      <c r="L38" s="121">
        <f t="shared" si="12"/>
        <v>0</v>
      </c>
      <c r="M38" s="17"/>
      <c r="N38" s="26"/>
      <c r="O38" s="26"/>
      <c r="P38" s="26">
        <v>36.892000000000003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256</v>
      </c>
      <c r="F39" s="9" t="s">
        <v>40</v>
      </c>
      <c r="G39" s="9" t="s">
        <v>257</v>
      </c>
      <c r="H39" s="197"/>
      <c r="I39" s="195" t="s">
        <v>234</v>
      </c>
      <c r="J39" s="120">
        <f t="shared" si="10"/>
        <v>244.345</v>
      </c>
      <c r="K39" s="121">
        <f t="shared" si="11"/>
        <v>244.345</v>
      </c>
      <c r="L39" s="121">
        <f t="shared" si="12"/>
        <v>0</v>
      </c>
      <c r="M39" s="17"/>
      <c r="N39" s="26"/>
      <c r="O39" s="26"/>
      <c r="P39" s="26">
        <v>49.344999999999999</v>
      </c>
      <c r="Q39" s="26">
        <v>8</v>
      </c>
      <c r="R39" s="26"/>
      <c r="S39" s="26">
        <f>148+2</f>
        <v>150</v>
      </c>
      <c r="T39" s="26"/>
      <c r="U39" s="26">
        <f>39-2</f>
        <v>37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264</v>
      </c>
      <c r="F40" s="9" t="s">
        <v>40</v>
      </c>
      <c r="G40" s="9" t="s">
        <v>265</v>
      </c>
      <c r="H40" s="197"/>
      <c r="I40" s="195" t="s">
        <v>234</v>
      </c>
      <c r="J40" s="120">
        <f t="shared" si="10"/>
        <v>130.41500000000002</v>
      </c>
      <c r="K40" s="121">
        <f t="shared" si="11"/>
        <v>130.41500000000002</v>
      </c>
      <c r="L40" s="121">
        <f t="shared" si="12"/>
        <v>0</v>
      </c>
      <c r="M40" s="17"/>
      <c r="N40" s="26"/>
      <c r="O40" s="26"/>
      <c r="P40" s="26">
        <f>119.415+8</f>
        <v>127.41500000000001</v>
      </c>
      <c r="Q40" s="26">
        <v>2</v>
      </c>
      <c r="R40" s="26"/>
      <c r="S40" s="26">
        <v>1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258</v>
      </c>
      <c r="F41" s="9" t="s">
        <v>40</v>
      </c>
      <c r="G41" s="9" t="s">
        <v>259</v>
      </c>
      <c r="H41" s="197"/>
      <c r="I41" s="195" t="s">
        <v>234</v>
      </c>
      <c r="J41" s="120">
        <f t="shared" si="10"/>
        <v>119.718</v>
      </c>
      <c r="K41" s="121">
        <f t="shared" si="11"/>
        <v>119.718</v>
      </c>
      <c r="L41" s="121">
        <f t="shared" si="12"/>
        <v>0</v>
      </c>
      <c r="M41" s="17"/>
      <c r="N41" s="26"/>
      <c r="O41" s="26"/>
      <c r="P41" s="26"/>
      <c r="Q41" s="26"/>
      <c r="R41" s="26">
        <v>119.718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250</v>
      </c>
      <c r="F42" s="9" t="s">
        <v>40</v>
      </c>
      <c r="G42" s="9" t="s">
        <v>251</v>
      </c>
      <c r="H42" s="197"/>
      <c r="I42" s="195" t="s">
        <v>247</v>
      </c>
      <c r="J42" s="120">
        <f t="shared" si="10"/>
        <v>747.17399999999998</v>
      </c>
      <c r="K42" s="121">
        <f t="shared" si="11"/>
        <v>747.17399999999998</v>
      </c>
      <c r="L42" s="121">
        <f t="shared" si="12"/>
        <v>0</v>
      </c>
      <c r="M42" s="17"/>
      <c r="N42" s="26"/>
      <c r="O42" s="26"/>
      <c r="P42" s="26">
        <f>265.082-12.046-7.086+66-23</f>
        <v>288.95</v>
      </c>
      <c r="Q42" s="26">
        <f>175+4</f>
        <v>179</v>
      </c>
      <c r="R42" s="26">
        <f>159.358+31-3</f>
        <v>187.358</v>
      </c>
      <c r="S42" s="26"/>
      <c r="T42" s="26">
        <v>13</v>
      </c>
      <c r="U42" s="26">
        <f>153.866-66-4-31+3+23</f>
        <v>78.866000000000014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8"/>
      <c r="I43" s="195" t="s">
        <v>247</v>
      </c>
      <c r="J43" s="120">
        <f t="shared" si="10"/>
        <v>270.65999999999997</v>
      </c>
      <c r="K43" s="121">
        <f t="shared" si="11"/>
        <v>270.65999999999997</v>
      </c>
      <c r="L43" s="121">
        <f t="shared" si="12"/>
        <v>0</v>
      </c>
      <c r="M43" s="17"/>
      <c r="N43" s="26"/>
      <c r="O43" s="26"/>
      <c r="P43" s="26">
        <f>40.854-1.194+2</f>
        <v>41.66</v>
      </c>
      <c r="Q43" s="26">
        <v>144</v>
      </c>
      <c r="R43" s="26">
        <f>67-2+20</f>
        <v>85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296</v>
      </c>
      <c r="F44" s="9" t="s">
        <v>40</v>
      </c>
      <c r="G44" s="9" t="s">
        <v>296</v>
      </c>
      <c r="H44" s="198"/>
      <c r="I44" s="195" t="s">
        <v>247</v>
      </c>
      <c r="J44" s="120">
        <f t="shared" si="10"/>
        <v>104.962</v>
      </c>
      <c r="K44" s="121">
        <f t="shared" si="11"/>
        <v>104.962</v>
      </c>
      <c r="L44" s="121">
        <f t="shared" si="12"/>
        <v>0</v>
      </c>
      <c r="M44" s="17"/>
      <c r="N44" s="26"/>
      <c r="O44" s="26"/>
      <c r="P44" s="26"/>
      <c r="Q44" s="26">
        <f>109-4.038</f>
        <v>104.962</v>
      </c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267</v>
      </c>
      <c r="F45" s="9" t="s">
        <v>40</v>
      </c>
      <c r="G45" s="9" t="s">
        <v>268</v>
      </c>
      <c r="H45" s="195"/>
      <c r="I45" s="195" t="s">
        <v>247</v>
      </c>
      <c r="J45" s="120">
        <f t="shared" si="10"/>
        <v>38.402000000000001</v>
      </c>
      <c r="K45" s="121">
        <f t="shared" si="11"/>
        <v>38.402000000000001</v>
      </c>
      <c r="L45" s="121">
        <f t="shared" si="12"/>
        <v>0</v>
      </c>
      <c r="M45" s="17"/>
      <c r="N45" s="26"/>
      <c r="O45" s="26"/>
      <c r="P45" s="26">
        <f>15.402-3</f>
        <v>12.401999999999999</v>
      </c>
      <c r="Q45" s="26">
        <f>3+20</f>
        <v>23</v>
      </c>
      <c r="R45" s="26"/>
      <c r="S45" s="26">
        <v>3</v>
      </c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246</v>
      </c>
      <c r="F46" s="9" t="s">
        <v>40</v>
      </c>
      <c r="G46" s="9" t="s">
        <v>246</v>
      </c>
      <c r="H46" s="195"/>
      <c r="I46" s="195" t="s">
        <v>247</v>
      </c>
      <c r="J46" s="120">
        <f t="shared" si="10"/>
        <v>293.33799999999997</v>
      </c>
      <c r="K46" s="121">
        <f t="shared" si="11"/>
        <v>293.33799999999997</v>
      </c>
      <c r="L46" s="121">
        <f t="shared" si="12"/>
        <v>0</v>
      </c>
      <c r="M46" s="17"/>
      <c r="N46" s="26"/>
      <c r="O46" s="26"/>
      <c r="P46" s="26">
        <f>264.578-31</f>
        <v>233.57799999999997</v>
      </c>
      <c r="Q46" s="26"/>
      <c r="R46" s="26">
        <v>7</v>
      </c>
      <c r="S46" s="26"/>
      <c r="T46" s="26">
        <f>31+29-7-0.24</f>
        <v>52.76</v>
      </c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248</v>
      </c>
      <c r="F47" s="9" t="s">
        <v>40</v>
      </c>
      <c r="G47" s="9" t="s">
        <v>249</v>
      </c>
      <c r="H47" s="196"/>
      <c r="I47" s="195" t="s">
        <v>247</v>
      </c>
      <c r="J47" s="120">
        <f t="shared" si="10"/>
        <v>787.67700000000002</v>
      </c>
      <c r="K47" s="121">
        <f t="shared" si="11"/>
        <v>787.67700000000002</v>
      </c>
      <c r="L47" s="121">
        <f t="shared" si="12"/>
        <v>0</v>
      </c>
      <c r="M47" s="17"/>
      <c r="N47" s="26"/>
      <c r="O47" s="26"/>
      <c r="P47" s="26">
        <v>62.039000000000016</v>
      </c>
      <c r="Q47" s="26">
        <f>712.638+13</f>
        <v>725.63800000000003</v>
      </c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269</v>
      </c>
      <c r="F48" s="9" t="s">
        <v>40</v>
      </c>
      <c r="G48" s="9" t="s">
        <v>269</v>
      </c>
      <c r="H48" s="197"/>
      <c r="I48" s="195" t="s">
        <v>247</v>
      </c>
      <c r="J48" s="120">
        <f t="shared" si="10"/>
        <v>1.0820000000000007</v>
      </c>
      <c r="K48" s="121">
        <f t="shared" si="11"/>
        <v>1.0820000000000007</v>
      </c>
      <c r="L48" s="121">
        <f t="shared" si="12"/>
        <v>0</v>
      </c>
      <c r="M48" s="17"/>
      <c r="N48" s="26"/>
      <c r="O48" s="26"/>
      <c r="P48" s="26">
        <v>1.0820000000000007</v>
      </c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252</v>
      </c>
      <c r="F49" s="9" t="s">
        <v>40</v>
      </c>
      <c r="G49" s="9" t="s">
        <v>253</v>
      </c>
      <c r="H49" s="197"/>
      <c r="I49" s="195" t="s">
        <v>247</v>
      </c>
      <c r="J49" s="120">
        <f t="shared" si="10"/>
        <v>34.071999999999996</v>
      </c>
      <c r="K49" s="121">
        <f t="shared" si="11"/>
        <v>34.071999999999996</v>
      </c>
      <c r="L49" s="121">
        <f t="shared" si="12"/>
        <v>0</v>
      </c>
      <c r="M49" s="17"/>
      <c r="N49" s="26"/>
      <c r="O49" s="26"/>
      <c r="P49" s="26">
        <f>124.998-86.412-4.514-6</f>
        <v>28.071999999999996</v>
      </c>
      <c r="Q49" s="26">
        <v>6</v>
      </c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260</v>
      </c>
      <c r="F50" s="9" t="s">
        <v>40</v>
      </c>
      <c r="G50" s="9" t="s">
        <v>261</v>
      </c>
      <c r="H50" s="197"/>
      <c r="I50" s="195" t="s">
        <v>247</v>
      </c>
      <c r="J50" s="120">
        <f t="shared" si="10"/>
        <v>116.175</v>
      </c>
      <c r="K50" s="121">
        <f t="shared" si="11"/>
        <v>116.175</v>
      </c>
      <c r="L50" s="121">
        <f t="shared" si="12"/>
        <v>0</v>
      </c>
      <c r="M50" s="17"/>
      <c r="N50" s="26"/>
      <c r="O50" s="26"/>
      <c r="P50" s="26">
        <v>45.040999999999997</v>
      </c>
      <c r="Q50" s="26">
        <f>58+6</f>
        <v>64</v>
      </c>
      <c r="R50" s="26"/>
      <c r="S50" s="26"/>
      <c r="T50" s="26"/>
      <c r="U50" s="26">
        <f>13.134-6</f>
        <v>7.1340000000000003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279</v>
      </c>
      <c r="F51" s="9" t="s">
        <v>40</v>
      </c>
      <c r="G51" s="9" t="s">
        <v>283</v>
      </c>
      <c r="H51" s="197"/>
      <c r="I51" s="195" t="s">
        <v>247</v>
      </c>
      <c r="J51" s="120">
        <f t="shared" si="10"/>
        <v>2.1280000000000001</v>
      </c>
      <c r="K51" s="121">
        <f t="shared" si="11"/>
        <v>2.1280000000000001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>
        <v>2.1280000000000001</v>
      </c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266</v>
      </c>
      <c r="F52" s="9" t="s">
        <v>40</v>
      </c>
      <c r="G52" s="9" t="s">
        <v>266</v>
      </c>
      <c r="H52" s="197"/>
      <c r="I52" s="195" t="s">
        <v>247</v>
      </c>
      <c r="J52" s="120">
        <f t="shared" si="10"/>
        <v>62.327999999999996</v>
      </c>
      <c r="K52" s="121">
        <f t="shared" si="11"/>
        <v>62.327999999999996</v>
      </c>
      <c r="L52" s="121">
        <f t="shared" si="12"/>
        <v>0</v>
      </c>
      <c r="M52" s="17"/>
      <c r="N52" s="26"/>
      <c r="O52" s="26"/>
      <c r="P52" s="26">
        <v>62.327999999999996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270</v>
      </c>
      <c r="F53" s="9" t="s">
        <v>40</v>
      </c>
      <c r="G53" s="9" t="s">
        <v>270</v>
      </c>
      <c r="H53" s="197"/>
      <c r="I53" s="195" t="s">
        <v>247</v>
      </c>
      <c r="J53" s="120">
        <f t="shared" si="10"/>
        <v>208.238</v>
      </c>
      <c r="K53" s="121">
        <f t="shared" si="11"/>
        <v>208.238</v>
      </c>
      <c r="L53" s="121">
        <f t="shared" si="12"/>
        <v>0</v>
      </c>
      <c r="M53" s="17"/>
      <c r="N53" s="26"/>
      <c r="O53" s="26"/>
      <c r="P53" s="26">
        <f>208.45-0.212</f>
        <v>208.238</v>
      </c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271</v>
      </c>
      <c r="F54" s="9" t="s">
        <v>40</v>
      </c>
      <c r="G54" s="9" t="s">
        <v>272</v>
      </c>
      <c r="H54" s="197"/>
      <c r="I54" s="195" t="s">
        <v>247</v>
      </c>
      <c r="J54" s="120">
        <f t="shared" si="10"/>
        <v>49.941000000000003</v>
      </c>
      <c r="K54" s="121">
        <f t="shared" si="11"/>
        <v>49.941000000000003</v>
      </c>
      <c r="L54" s="121">
        <f t="shared" si="12"/>
        <v>0</v>
      </c>
      <c r="M54" s="17"/>
      <c r="N54" s="26"/>
      <c r="O54" s="26"/>
      <c r="P54" s="26">
        <v>49.941000000000003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273</v>
      </c>
      <c r="F55" s="9" t="s">
        <v>40</v>
      </c>
      <c r="G55" s="9" t="s">
        <v>274</v>
      </c>
      <c r="H55" s="197"/>
      <c r="I55" s="195" t="s">
        <v>247</v>
      </c>
      <c r="J55" s="120">
        <f t="shared" si="10"/>
        <v>12.052</v>
      </c>
      <c r="K55" s="121">
        <f t="shared" si="11"/>
        <v>12.052</v>
      </c>
      <c r="L55" s="121">
        <f t="shared" si="12"/>
        <v>0</v>
      </c>
      <c r="M55" s="17"/>
      <c r="N55" s="26"/>
      <c r="O55" s="26"/>
      <c r="P55" s="26">
        <v>12.052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276</v>
      </c>
      <c r="F56" s="9" t="s">
        <v>40</v>
      </c>
      <c r="G56" s="9" t="s">
        <v>276</v>
      </c>
      <c r="H56" s="197"/>
      <c r="I56" s="195" t="s">
        <v>234</v>
      </c>
      <c r="J56" s="120">
        <f t="shared" si="10"/>
        <v>17</v>
      </c>
      <c r="K56" s="121">
        <f t="shared" si="11"/>
        <v>17</v>
      </c>
      <c r="L56" s="121">
        <f t="shared" si="12"/>
        <v>0</v>
      </c>
      <c r="M56" s="17"/>
      <c r="N56" s="26"/>
      <c r="O56" s="26"/>
      <c r="P56" s="26">
        <v>17</v>
      </c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22.632999999999999</v>
      </c>
      <c r="K57" s="121">
        <f t="shared" si="11"/>
        <v>22.632999999999999</v>
      </c>
      <c r="L57" s="121">
        <f t="shared" si="12"/>
        <v>0</v>
      </c>
      <c r="M57" s="17"/>
      <c r="N57" s="26"/>
      <c r="O57" s="26"/>
      <c r="P57" s="26"/>
      <c r="Q57" s="26">
        <v>22.632999999999999</v>
      </c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95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95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95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95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4"/>
  <sheetViews>
    <sheetView showGridLines="0" topLeftCell="B1" zoomScale="80" zoomScaleNormal="8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0+65.798+187.646+1646.019+2738.581+197.926+1008.221+J10</f>
        <v>6210.7740000000003</v>
      </c>
      <c r="I10" s="63"/>
      <c r="J10" s="162">
        <f>129.743+236.84</f>
        <v>366.58299999999997</v>
      </c>
      <c r="L10" s="162">
        <f>J10+P17</f>
        <v>2011.7839999999997</v>
      </c>
      <c r="N10" s="57"/>
      <c r="O10" s="173">
        <f>+H10+K17</f>
        <v>10058.845000000001</v>
      </c>
      <c r="P10" s="174" cm="1">
        <f t="array" aca="1" ref="P10" ca="1">INDIRECT(ADDRESS(10,15,,,VLOOKUP($G$4,parameters!$G:$I,3,0)))</f>
        <v>9769.1720000000023</v>
      </c>
      <c r="Q10" s="186">
        <f ca="1">O10-P10</f>
        <v>289.67299999999886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0+68.362+73.603+302.502+1813.594+46.497+224.908+J11</f>
        <v>2722.587</v>
      </c>
      <c r="I11" s="63"/>
      <c r="J11" s="18">
        <f>0.185+192.936</f>
        <v>193.12100000000001</v>
      </c>
      <c r="L11" s="18">
        <f>J11+P18</f>
        <v>625.90800000000002</v>
      </c>
      <c r="N11" s="57"/>
      <c r="O11" s="155">
        <f>+H11+K18</f>
        <v>5621.6550000000007</v>
      </c>
      <c r="P11" s="156" cm="1">
        <f t="array" aca="1" ref="P11" ca="1">INDIRECT(ADDRESS(11,15,,,VLOOKUP($G$4,parameters!$G:$I,3,0)))</f>
        <v>5465.8130000000001</v>
      </c>
      <c r="Q11" s="187">
        <f t="shared" ref="Q11:Q12" ca="1" si="0">O11-P11</f>
        <v>155.84200000000055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8933.3610000000008</v>
      </c>
      <c r="I12" s="63"/>
      <c r="J12" s="128">
        <f>SUM(J10:J11)</f>
        <v>559.70399999999995</v>
      </c>
      <c r="K12" s="67"/>
      <c r="L12" s="128">
        <f>SUM(L10:L11)</f>
        <v>2637.6919999999996</v>
      </c>
      <c r="M12" s="67"/>
      <c r="N12" s="67"/>
      <c r="O12" s="157">
        <f>SUM(O10:O11)</f>
        <v>15680.500000000002</v>
      </c>
      <c r="P12" s="158">
        <f ca="1">SUM(P10:P11)</f>
        <v>15234.985000000002</v>
      </c>
      <c r="Q12" s="159">
        <f t="shared" ca="1" si="0"/>
        <v>445.51499999999942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+SUMIF($F$24:$F$253,"External",$J$24:$J$253)</f>
        <v>3848.0710000000004</v>
      </c>
      <c r="K17" s="110">
        <f>+SUMIF($F$24:$F$253,"External",$K$24:$K$253)</f>
        <v>3848.0710000000004</v>
      </c>
      <c r="L17" s="111">
        <f>+SUMIF($F$24:$F$253,"External",$L$24:$L$253)</f>
        <v>0</v>
      </c>
      <c r="M17" s="112"/>
      <c r="N17" s="113">
        <f t="shared" ref="N17:Y17" si="1">+SUMIF($F$24:$F$253,"External",N$24:N$253)</f>
        <v>0</v>
      </c>
      <c r="O17" s="113">
        <f t="shared" si="1"/>
        <v>0</v>
      </c>
      <c r="P17" s="113">
        <f t="shared" si="1"/>
        <v>1645.2009999999998</v>
      </c>
      <c r="Q17" s="113">
        <f t="shared" si="1"/>
        <v>1393.2329999999999</v>
      </c>
      <c r="R17" s="113">
        <f t="shared" si="1"/>
        <v>462.81</v>
      </c>
      <c r="S17" s="113">
        <f t="shared" si="1"/>
        <v>233.93899999999999</v>
      </c>
      <c r="T17" s="113">
        <f t="shared" si="1"/>
        <v>35.76</v>
      </c>
      <c r="U17" s="113">
        <f t="shared" si="1"/>
        <v>77.128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+SUMIF($F$24:$F$253,"External",AA$24:AA$253)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+SUMIF($F$24:$F$253,"Group",$J$24:$J$253)</f>
        <v>2899.0680000000002</v>
      </c>
      <c r="K18" s="115">
        <f>+SUMIF($F$24:$F$253,"Group",$K$24:$K$253)</f>
        <v>2899.0680000000002</v>
      </c>
      <c r="L18" s="116">
        <f>SUMIF($F$24:$F$253,"Group",$L$24:$L$253)</f>
        <v>0</v>
      </c>
      <c r="M18" s="112"/>
      <c r="N18" s="116">
        <f t="shared" ref="N18:Y18" si="3">+SUMIF($F$24:$F$253,"Group",N$24:N$253)</f>
        <v>0</v>
      </c>
      <c r="O18" s="116">
        <f t="shared" si="3"/>
        <v>0</v>
      </c>
      <c r="P18" s="116">
        <f t="shared" si="3"/>
        <v>432.78699999999998</v>
      </c>
      <c r="Q18" s="116">
        <f t="shared" si="3"/>
        <v>373.73700000000002</v>
      </c>
      <c r="R18" s="116">
        <f t="shared" si="3"/>
        <v>782.03800000000001</v>
      </c>
      <c r="S18" s="116">
        <f t="shared" si="3"/>
        <v>96.881</v>
      </c>
      <c r="T18" s="116">
        <f t="shared" si="3"/>
        <v>868</v>
      </c>
      <c r="U18" s="116">
        <f t="shared" si="3"/>
        <v>345.625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+SUMIF($F$24:$F$253,"Group",AA$24:AA$253)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6747.139000000001</v>
      </c>
      <c r="K19" s="117">
        <f>SUM(K17:K18)</f>
        <v>6747.139000000001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2077.9879999999998</v>
      </c>
      <c r="Q19" s="118">
        <f t="shared" si="5"/>
        <v>1766.97</v>
      </c>
      <c r="R19" s="118">
        <f t="shared" si="5"/>
        <v>1244.848</v>
      </c>
      <c r="S19" s="118">
        <f t="shared" si="5"/>
        <v>330.82</v>
      </c>
      <c r="T19" s="118">
        <f t="shared" si="5"/>
        <v>903.76</v>
      </c>
      <c r="U19" s="118">
        <f t="shared" si="5"/>
        <v>422.75299999999999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1759.5520000000001</v>
      </c>
      <c r="K24" s="121">
        <f t="shared" ref="K24" si="8">SUM(N24:Y24)</f>
        <v>1759.5520000000001</v>
      </c>
      <c r="L24" s="121">
        <f t="shared" ref="L24" si="9">SUM(AA24:AL24)</f>
        <v>0</v>
      </c>
      <c r="M24" s="25"/>
      <c r="N24" s="26"/>
      <c r="O24" s="26"/>
      <c r="P24" s="26">
        <f>32.014-26+39</f>
        <v>45.014000000000003</v>
      </c>
      <c r="Q24" s="26">
        <f>26-24</f>
        <v>2</v>
      </c>
      <c r="R24" s="26">
        <v>699.53800000000001</v>
      </c>
      <c r="S24" s="26">
        <v>14</v>
      </c>
      <c r="T24" s="26">
        <v>868</v>
      </c>
      <c r="U24" s="26">
        <f>160-39+24-14</f>
        <v>131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90" si="10">+K25+L25</f>
        <v>41.2</v>
      </c>
      <c r="K25" s="121">
        <f t="shared" ref="K25:K90" si="11">SUM(N25:Y25)</f>
        <v>41.2</v>
      </c>
      <c r="L25" s="121">
        <f t="shared" ref="L25:L90" si="12">SUM(AA25:AL25)</f>
        <v>0</v>
      </c>
      <c r="M25" s="25"/>
      <c r="N25" s="26"/>
      <c r="O25" s="26"/>
      <c r="P25" s="26">
        <f>38.2-29</f>
        <v>9.2000000000000028</v>
      </c>
      <c r="Q25" s="26">
        <f>29+3</f>
        <v>32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91.254999999999995</v>
      </c>
      <c r="K26" s="121">
        <f t="shared" si="11"/>
        <v>91.254999999999995</v>
      </c>
      <c r="L26" s="121">
        <f t="shared" si="12"/>
        <v>0</v>
      </c>
      <c r="M26" s="25"/>
      <c r="N26" s="26"/>
      <c r="O26" s="26"/>
      <c r="P26" s="26">
        <f>4+14</f>
        <v>18</v>
      </c>
      <c r="Q26" s="26">
        <f>21-14-2</f>
        <v>5</v>
      </c>
      <c r="R26" s="26"/>
      <c r="S26" s="26"/>
      <c r="T26" s="26"/>
      <c r="U26" s="26">
        <v>68.254999999999995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299</v>
      </c>
      <c r="F27" s="9" t="s">
        <v>10</v>
      </c>
      <c r="G27" s="9" t="s">
        <v>300</v>
      </c>
      <c r="H27" s="195"/>
      <c r="I27" s="195" t="s">
        <v>234</v>
      </c>
      <c r="J27" s="120">
        <f t="shared" si="10"/>
        <v>87.507999999999996</v>
      </c>
      <c r="K27" s="121">
        <f t="shared" si="11"/>
        <v>87.507999999999996</v>
      </c>
      <c r="L27" s="121">
        <f t="shared" si="12"/>
        <v>0</v>
      </c>
      <c r="M27" s="25"/>
      <c r="N27" s="26"/>
      <c r="O27" s="26"/>
      <c r="P27" s="26">
        <v>87.507999999999996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130.989</v>
      </c>
      <c r="K28" s="121">
        <f t="shared" si="11"/>
        <v>130.989</v>
      </c>
      <c r="L28" s="121">
        <f t="shared" si="12"/>
        <v>0</v>
      </c>
      <c r="M28" s="25"/>
      <c r="N28" s="26"/>
      <c r="O28" s="26"/>
      <c r="P28" s="26">
        <f>95.758-54.139</f>
        <v>41.618999999999993</v>
      </c>
      <c r="Q28" s="26"/>
      <c r="R28" s="26"/>
      <c r="S28" s="26"/>
      <c r="T28" s="26"/>
      <c r="U28" s="26">
        <v>89.37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>+K29+L29</f>
        <v>7.5</v>
      </c>
      <c r="K29" s="121">
        <f t="shared" si="11"/>
        <v>7.5</v>
      </c>
      <c r="L29" s="121">
        <f t="shared" si="12"/>
        <v>0</v>
      </c>
      <c r="M29" s="25"/>
      <c r="N29" s="26"/>
      <c r="O29" s="26"/>
      <c r="P29" s="26"/>
      <c r="Q29" s="26"/>
      <c r="R29" s="26">
        <f>3.5+4</f>
        <v>7.5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357.10900000000004</v>
      </c>
      <c r="K30" s="121">
        <f t="shared" si="11"/>
        <v>357.10900000000004</v>
      </c>
      <c r="L30" s="121">
        <f t="shared" si="12"/>
        <v>0</v>
      </c>
      <c r="M30" s="25"/>
      <c r="N30" s="26"/>
      <c r="O30" s="26"/>
      <c r="P30" s="26">
        <f>6.529-1.236</f>
        <v>5.2930000000000001</v>
      </c>
      <c r="Q30" s="26">
        <v>233.935</v>
      </c>
      <c r="R30" s="26">
        <v>35</v>
      </c>
      <c r="S30" s="26">
        <f>57.881+25</f>
        <v>82.881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22.134</v>
      </c>
      <c r="K31" s="121">
        <f t="shared" si="11"/>
        <v>22.134</v>
      </c>
      <c r="L31" s="121">
        <f t="shared" si="12"/>
        <v>0</v>
      </c>
      <c r="M31" s="25"/>
      <c r="N31" s="26"/>
      <c r="O31" s="26"/>
      <c r="P31" s="26">
        <f>3.134+19</f>
        <v>22.134</v>
      </c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292</v>
      </c>
      <c r="H32" s="197"/>
      <c r="I32" s="195" t="s">
        <v>234</v>
      </c>
      <c r="J32" s="120">
        <f t="shared" si="10"/>
        <v>225.25900000000001</v>
      </c>
      <c r="K32" s="121">
        <f t="shared" si="11"/>
        <v>225.25900000000001</v>
      </c>
      <c r="L32" s="121">
        <f t="shared" si="12"/>
        <v>0</v>
      </c>
      <c r="M32" s="17"/>
      <c r="N32" s="26"/>
      <c r="O32" s="26"/>
      <c r="P32" s="26">
        <f>260.846-95.909-5.678</f>
        <v>159.25900000000001</v>
      </c>
      <c r="Q32" s="26">
        <f>42+24</f>
        <v>66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106.80199999999999</v>
      </c>
      <c r="K33" s="121">
        <f t="shared" si="11"/>
        <v>106.80199999999999</v>
      </c>
      <c r="L33" s="121">
        <f t="shared" si="12"/>
        <v>0</v>
      </c>
      <c r="M33" s="17"/>
      <c r="N33" s="26"/>
      <c r="O33" s="26"/>
      <c r="P33" s="26">
        <v>2</v>
      </c>
      <c r="Q33" s="26">
        <v>29.802</v>
      </c>
      <c r="R33" s="26">
        <v>30</v>
      </c>
      <c r="S33" s="26"/>
      <c r="T33" s="26"/>
      <c r="U33" s="26">
        <v>45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7.9740000000000038</v>
      </c>
      <c r="K34" s="121">
        <f t="shared" si="11"/>
        <v>7.9740000000000038</v>
      </c>
      <c r="L34" s="121">
        <f t="shared" si="12"/>
        <v>0</v>
      </c>
      <c r="M34" s="17"/>
      <c r="N34" s="26"/>
      <c r="O34" s="26"/>
      <c r="P34" s="26">
        <v>7.9740000000000038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78</v>
      </c>
      <c r="F35" s="9" t="s">
        <v>10</v>
      </c>
      <c r="G35" s="9" t="s">
        <v>240</v>
      </c>
      <c r="H35" s="197"/>
      <c r="I35" s="195" t="s">
        <v>234</v>
      </c>
      <c r="J35" s="120">
        <f t="shared" si="10"/>
        <v>42.486000000000004</v>
      </c>
      <c r="K35" s="121">
        <f t="shared" si="11"/>
        <v>42.486000000000004</v>
      </c>
      <c r="L35" s="121">
        <f t="shared" si="12"/>
        <v>0</v>
      </c>
      <c r="M35" s="17"/>
      <c r="N35" s="26"/>
      <c r="O35" s="26"/>
      <c r="P35" s="26">
        <v>15.486000000000001</v>
      </c>
      <c r="Q35" s="26">
        <v>5</v>
      </c>
      <c r="R35" s="26">
        <v>10</v>
      </c>
      <c r="S35" s="26"/>
      <c r="T35" s="26"/>
      <c r="U35" s="26">
        <v>12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136</v>
      </c>
      <c r="F36" s="9" t="s">
        <v>10</v>
      </c>
      <c r="G36" s="9" t="s">
        <v>306</v>
      </c>
      <c r="H36" s="197"/>
      <c r="I36" s="195" t="s">
        <v>234</v>
      </c>
      <c r="J36" s="120">
        <f t="shared" ref="J36" si="13">+K36+L36</f>
        <v>19.3</v>
      </c>
      <c r="K36" s="121">
        <f t="shared" ref="K36" si="14">SUM(N36:Y36)</f>
        <v>19.3</v>
      </c>
      <c r="L36" s="121">
        <f t="shared" ref="L36" si="15">SUM(AA36:AL36)</f>
        <v>0</v>
      </c>
      <c r="M36" s="17"/>
      <c r="N36" s="26"/>
      <c r="O36" s="26"/>
      <c r="P36" s="26">
        <v>19.3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262</v>
      </c>
      <c r="F37" s="9" t="s">
        <v>40</v>
      </c>
      <c r="G37" s="9" t="s">
        <v>263</v>
      </c>
      <c r="H37" s="197"/>
      <c r="I37" s="195" t="s">
        <v>234</v>
      </c>
      <c r="J37" s="120">
        <f t="shared" si="10"/>
        <v>182.51599999999999</v>
      </c>
      <c r="K37" s="121">
        <f t="shared" si="11"/>
        <v>182.51599999999999</v>
      </c>
      <c r="L37" s="121">
        <f t="shared" si="12"/>
        <v>0</v>
      </c>
      <c r="M37" s="17"/>
      <c r="N37" s="26"/>
      <c r="O37" s="26"/>
      <c r="P37" s="26">
        <f>324.96-216.07</f>
        <v>108.88999999999999</v>
      </c>
      <c r="Q37" s="26"/>
      <c r="R37" s="26"/>
      <c r="S37" s="26">
        <v>73.626000000000005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290</v>
      </c>
      <c r="F38" s="9" t="s">
        <v>40</v>
      </c>
      <c r="G38" s="9" t="s">
        <v>245</v>
      </c>
      <c r="H38" s="197"/>
      <c r="I38" s="195" t="s">
        <v>234</v>
      </c>
      <c r="J38" s="120">
        <f t="shared" si="10"/>
        <v>225.66399999999999</v>
      </c>
      <c r="K38" s="121">
        <f t="shared" si="11"/>
        <v>225.66399999999999</v>
      </c>
      <c r="L38" s="121">
        <f t="shared" si="12"/>
        <v>0</v>
      </c>
      <c r="M38" s="17"/>
      <c r="N38" s="26"/>
      <c r="O38" s="26"/>
      <c r="P38" s="26">
        <f>171.046-10.382+65</f>
        <v>225.66399999999999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281</v>
      </c>
      <c r="H39" s="197"/>
      <c r="I39" s="195" t="s">
        <v>234</v>
      </c>
      <c r="J39" s="120">
        <f t="shared" si="10"/>
        <v>36.892000000000003</v>
      </c>
      <c r="K39" s="121">
        <f t="shared" si="11"/>
        <v>36.892000000000003</v>
      </c>
      <c r="L39" s="121">
        <f t="shared" si="12"/>
        <v>0</v>
      </c>
      <c r="M39" s="17"/>
      <c r="N39" s="26"/>
      <c r="O39" s="26"/>
      <c r="P39" s="26">
        <v>36.892000000000003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256</v>
      </c>
      <c r="F40" s="9" t="s">
        <v>40</v>
      </c>
      <c r="G40" s="9" t="s">
        <v>257</v>
      </c>
      <c r="H40" s="197"/>
      <c r="I40" s="195" t="s">
        <v>234</v>
      </c>
      <c r="J40" s="120">
        <f t="shared" si="10"/>
        <v>241.12700000000001</v>
      </c>
      <c r="K40" s="121">
        <f t="shared" si="11"/>
        <v>241.12700000000001</v>
      </c>
      <c r="L40" s="121">
        <f t="shared" si="12"/>
        <v>0</v>
      </c>
      <c r="M40" s="17"/>
      <c r="N40" s="26"/>
      <c r="O40" s="26"/>
      <c r="P40" s="26">
        <f>49.345-3.218</f>
        <v>46.126999999999995</v>
      </c>
      <c r="Q40" s="26">
        <f>8+2</f>
        <v>10</v>
      </c>
      <c r="R40" s="26"/>
      <c r="S40" s="26">
        <v>150</v>
      </c>
      <c r="T40" s="26"/>
      <c r="U40" s="26">
        <f>37-2</f>
        <v>35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264</v>
      </c>
      <c r="F41" s="9" t="s">
        <v>40</v>
      </c>
      <c r="G41" s="9" t="s">
        <v>265</v>
      </c>
      <c r="H41" s="197"/>
      <c r="I41" s="195" t="s">
        <v>234</v>
      </c>
      <c r="J41" s="120">
        <f t="shared" si="10"/>
        <v>129.74799999999999</v>
      </c>
      <c r="K41" s="121">
        <f t="shared" si="11"/>
        <v>129.74799999999999</v>
      </c>
      <c r="L41" s="121">
        <f t="shared" si="12"/>
        <v>0</v>
      </c>
      <c r="M41" s="17"/>
      <c r="N41" s="26"/>
      <c r="O41" s="26"/>
      <c r="P41" s="26">
        <f>127.415-0.667</f>
        <v>126.748</v>
      </c>
      <c r="Q41" s="26">
        <v>2</v>
      </c>
      <c r="R41" s="26"/>
      <c r="S41" s="26"/>
      <c r="T41" s="26">
        <v>1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258</v>
      </c>
      <c r="F42" s="9" t="s">
        <v>40</v>
      </c>
      <c r="G42" s="9" t="s">
        <v>259</v>
      </c>
      <c r="H42" s="197"/>
      <c r="I42" s="195" t="s">
        <v>234</v>
      </c>
      <c r="J42" s="120">
        <f t="shared" si="10"/>
        <v>119.718</v>
      </c>
      <c r="K42" s="121">
        <f t="shared" si="11"/>
        <v>119.718</v>
      </c>
      <c r="L42" s="121">
        <f t="shared" si="12"/>
        <v>0</v>
      </c>
      <c r="M42" s="17"/>
      <c r="N42" s="26"/>
      <c r="O42" s="26"/>
      <c r="P42" s="26"/>
      <c r="Q42" s="26"/>
      <c r="R42" s="26">
        <v>119.718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307</v>
      </c>
      <c r="F43" s="9" t="s">
        <v>40</v>
      </c>
      <c r="G43" s="9" t="s">
        <v>308</v>
      </c>
      <c r="H43" s="197"/>
      <c r="I43" s="195" t="s">
        <v>293</v>
      </c>
      <c r="J43" s="120">
        <f>+K43+L43</f>
        <v>7.734</v>
      </c>
      <c r="K43" s="121">
        <f t="shared" ref="K43" si="16">SUM(N43:Y43)</f>
        <v>7.734</v>
      </c>
      <c r="L43" s="121">
        <f t="shared" ref="L43" si="17">SUM(AA43:AL43)</f>
        <v>0</v>
      </c>
      <c r="M43" s="17"/>
      <c r="N43" s="26"/>
      <c r="O43" s="26"/>
      <c r="P43" s="26"/>
      <c r="Q43" s="26"/>
      <c r="R43" s="26">
        <v>7.734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7"/>
      <c r="I44" s="195" t="s">
        <v>247</v>
      </c>
      <c r="J44" s="120">
        <f t="shared" si="10"/>
        <v>746.65499999999997</v>
      </c>
      <c r="K44" s="121">
        <f t="shared" si="11"/>
        <v>746.65499999999997</v>
      </c>
      <c r="L44" s="121">
        <f t="shared" si="12"/>
        <v>0</v>
      </c>
      <c r="M44" s="17"/>
      <c r="N44" s="26"/>
      <c r="O44" s="26"/>
      <c r="P44" s="26">
        <f>288.95-0.519-20-5</f>
        <v>263.43099999999998</v>
      </c>
      <c r="Q44" s="26">
        <f>179+20-5</f>
        <v>194</v>
      </c>
      <c r="R44" s="26">
        <f>187.358+5+51</f>
        <v>243.358</v>
      </c>
      <c r="S44" s="26"/>
      <c r="T44" s="26">
        <v>13</v>
      </c>
      <c r="U44" s="26">
        <f>78.866-51+5</f>
        <v>32.866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8"/>
      <c r="I45" s="195" t="s">
        <v>247</v>
      </c>
      <c r="J45" s="120">
        <f t="shared" si="10"/>
        <v>379.65999999999997</v>
      </c>
      <c r="K45" s="121">
        <f t="shared" si="11"/>
        <v>379.65999999999997</v>
      </c>
      <c r="L45" s="121">
        <f t="shared" si="12"/>
        <v>0</v>
      </c>
      <c r="M45" s="17"/>
      <c r="N45" s="26"/>
      <c r="O45" s="26"/>
      <c r="P45" s="26">
        <v>41.66</v>
      </c>
      <c r="Q45" s="26">
        <f>144+109</f>
        <v>253</v>
      </c>
      <c r="R45" s="26">
        <v>85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296</v>
      </c>
      <c r="F46" s="9" t="s">
        <v>40</v>
      </c>
      <c r="G46" s="9" t="s">
        <v>296</v>
      </c>
      <c r="H46" s="198"/>
      <c r="I46" s="195" t="s">
        <v>247</v>
      </c>
      <c r="J46" s="120">
        <f t="shared" si="10"/>
        <v>104.962</v>
      </c>
      <c r="K46" s="121">
        <f t="shared" si="11"/>
        <v>104.962</v>
      </c>
      <c r="L46" s="121">
        <f t="shared" si="12"/>
        <v>0</v>
      </c>
      <c r="M46" s="17"/>
      <c r="N46" s="26"/>
      <c r="O46" s="26"/>
      <c r="P46" s="26"/>
      <c r="Q46" s="26">
        <v>104.962</v>
      </c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267</v>
      </c>
      <c r="F47" s="9" t="s">
        <v>40</v>
      </c>
      <c r="G47" s="9" t="s">
        <v>268</v>
      </c>
      <c r="H47" s="198"/>
      <c r="I47" s="195" t="s">
        <v>247</v>
      </c>
      <c r="J47" s="120">
        <f t="shared" si="10"/>
        <v>48.715000000000003</v>
      </c>
      <c r="K47" s="121">
        <f t="shared" si="11"/>
        <v>48.715000000000003</v>
      </c>
      <c r="L47" s="121">
        <f t="shared" si="12"/>
        <v>0</v>
      </c>
      <c r="M47" s="17"/>
      <c r="N47" s="26"/>
      <c r="O47" s="26"/>
      <c r="P47" s="26">
        <f>12.402+19</f>
        <v>31.402000000000001</v>
      </c>
      <c r="Q47" s="26">
        <f>23-19+3</f>
        <v>7</v>
      </c>
      <c r="R47" s="26"/>
      <c r="S47" s="26">
        <v>10.313000000000001</v>
      </c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246</v>
      </c>
      <c r="F48" s="9" t="s">
        <v>40</v>
      </c>
      <c r="G48" s="9" t="s">
        <v>246</v>
      </c>
      <c r="H48" s="195"/>
      <c r="I48" s="195" t="s">
        <v>247</v>
      </c>
      <c r="J48" s="120">
        <f t="shared" si="10"/>
        <v>293.33799999999997</v>
      </c>
      <c r="K48" s="121">
        <f t="shared" si="11"/>
        <v>293.33799999999997</v>
      </c>
      <c r="L48" s="121">
        <f t="shared" si="12"/>
        <v>0</v>
      </c>
      <c r="M48" s="17"/>
      <c r="N48" s="26"/>
      <c r="O48" s="26"/>
      <c r="P48" s="26">
        <f>233.578+31</f>
        <v>264.57799999999997</v>
      </c>
      <c r="Q48" s="26"/>
      <c r="R48" s="26">
        <v>7</v>
      </c>
      <c r="S48" s="26"/>
      <c r="T48" s="26">
        <f>52.76-31</f>
        <v>21.759999999999998</v>
      </c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248</v>
      </c>
      <c r="F49" s="9" t="s">
        <v>40</v>
      </c>
      <c r="G49" s="9" t="s">
        <v>249</v>
      </c>
      <c r="H49" s="195"/>
      <c r="I49" s="195" t="s">
        <v>247</v>
      </c>
      <c r="J49" s="120">
        <f t="shared" si="10"/>
        <v>787.67700000000002</v>
      </c>
      <c r="K49" s="121">
        <f t="shared" si="11"/>
        <v>787.67700000000002</v>
      </c>
      <c r="L49" s="121">
        <f t="shared" si="12"/>
        <v>0</v>
      </c>
      <c r="M49" s="17"/>
      <c r="N49" s="26"/>
      <c r="O49" s="26"/>
      <c r="P49" s="26">
        <v>62.039000000000016</v>
      </c>
      <c r="Q49" s="26">
        <v>725.63800000000003</v>
      </c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6"/>
      <c r="I50" s="195" t="s">
        <v>247</v>
      </c>
      <c r="J50" s="120">
        <f t="shared" si="10"/>
        <v>1.0820000000000007</v>
      </c>
      <c r="K50" s="121">
        <f t="shared" si="11"/>
        <v>1.0820000000000007</v>
      </c>
      <c r="L50" s="121">
        <f t="shared" si="12"/>
        <v>0</v>
      </c>
      <c r="M50" s="17"/>
      <c r="N50" s="26"/>
      <c r="O50" s="26"/>
      <c r="P50" s="26">
        <v>1.0820000000000007</v>
      </c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252</v>
      </c>
      <c r="F51" s="9" t="s">
        <v>40</v>
      </c>
      <c r="G51" s="9" t="s">
        <v>253</v>
      </c>
      <c r="H51" s="197"/>
      <c r="I51" s="195" t="s">
        <v>247</v>
      </c>
      <c r="J51" s="120">
        <f t="shared" si="10"/>
        <v>42.088000000000001</v>
      </c>
      <c r="K51" s="121">
        <f t="shared" si="11"/>
        <v>42.088000000000001</v>
      </c>
      <c r="L51" s="121">
        <f t="shared" si="12"/>
        <v>0</v>
      </c>
      <c r="M51" s="17"/>
      <c r="N51" s="26"/>
      <c r="O51" s="26"/>
      <c r="P51" s="26">
        <f>28.072-5.984+6+4</f>
        <v>32.088000000000001</v>
      </c>
      <c r="Q51" s="26">
        <v>10</v>
      </c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260</v>
      </c>
      <c r="F52" s="9" t="s">
        <v>40</v>
      </c>
      <c r="G52" s="9" t="s">
        <v>261</v>
      </c>
      <c r="H52" s="197"/>
      <c r="I52" s="195" t="s">
        <v>247</v>
      </c>
      <c r="J52" s="120">
        <f t="shared" si="10"/>
        <v>116.175</v>
      </c>
      <c r="K52" s="121">
        <f t="shared" si="11"/>
        <v>116.175</v>
      </c>
      <c r="L52" s="121">
        <f t="shared" si="12"/>
        <v>0</v>
      </c>
      <c r="M52" s="17"/>
      <c r="N52" s="26"/>
      <c r="O52" s="26"/>
      <c r="P52" s="26">
        <v>45.040999999999997</v>
      </c>
      <c r="Q52" s="26">
        <v>64</v>
      </c>
      <c r="R52" s="26"/>
      <c r="S52" s="26"/>
      <c r="T52" s="26"/>
      <c r="U52" s="26">
        <v>7.1340000000000003</v>
      </c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279</v>
      </c>
      <c r="F53" s="9" t="s">
        <v>40</v>
      </c>
      <c r="G53" s="9" t="s">
        <v>283</v>
      </c>
      <c r="H53" s="197"/>
      <c r="I53" s="195" t="s">
        <v>247</v>
      </c>
      <c r="J53" s="120">
        <f t="shared" si="10"/>
        <v>2.1280000000000001</v>
      </c>
      <c r="K53" s="121">
        <f t="shared" si="11"/>
        <v>2.1280000000000001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v>2.1280000000000001</v>
      </c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7"/>
      <c r="I54" s="195" t="s">
        <v>247</v>
      </c>
      <c r="J54" s="120">
        <f t="shared" si="10"/>
        <v>62.327999999999996</v>
      </c>
      <c r="K54" s="121">
        <f t="shared" si="11"/>
        <v>62.327999999999996</v>
      </c>
      <c r="L54" s="121">
        <f t="shared" si="12"/>
        <v>0</v>
      </c>
      <c r="M54" s="17"/>
      <c r="N54" s="26"/>
      <c r="O54" s="26"/>
      <c r="P54" s="26">
        <v>62.327999999999996</v>
      </c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270</v>
      </c>
      <c r="F55" s="9" t="s">
        <v>40</v>
      </c>
      <c r="G55" s="9" t="s">
        <v>270</v>
      </c>
      <c r="H55" s="197"/>
      <c r="I55" s="195" t="s">
        <v>247</v>
      </c>
      <c r="J55" s="120">
        <f t="shared" si="10"/>
        <v>208.238</v>
      </c>
      <c r="K55" s="121">
        <f t="shared" si="11"/>
        <v>208.238</v>
      </c>
      <c r="L55" s="121">
        <f t="shared" si="12"/>
        <v>0</v>
      </c>
      <c r="M55" s="17"/>
      <c r="N55" s="26"/>
      <c r="O55" s="26"/>
      <c r="P55" s="26">
        <v>208.238</v>
      </c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276</v>
      </c>
      <c r="F56" s="9" t="s">
        <v>40</v>
      </c>
      <c r="G56" s="9" t="s">
        <v>276</v>
      </c>
      <c r="H56" s="197"/>
      <c r="I56" s="195" t="s">
        <v>234</v>
      </c>
      <c r="J56" s="120">
        <f>+K56+L56</f>
        <v>17</v>
      </c>
      <c r="K56" s="121">
        <f>SUM(N56:Y56)</f>
        <v>17</v>
      </c>
      <c r="L56" s="121">
        <f>SUM(AA56:AL56)</f>
        <v>0</v>
      </c>
      <c r="M56" s="17"/>
      <c r="N56" s="26"/>
      <c r="O56" s="26"/>
      <c r="P56" s="26">
        <v>17</v>
      </c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>+K57+L57</f>
        <v>22.632999999999999</v>
      </c>
      <c r="K57" s="121">
        <f>SUM(N57:Y57)</f>
        <v>22.632999999999999</v>
      </c>
      <c r="L57" s="121">
        <f>SUM(AA57:AL57)</f>
        <v>0</v>
      </c>
      <c r="M57" s="17"/>
      <c r="N57" s="26"/>
      <c r="O57" s="26"/>
      <c r="P57" s="26"/>
      <c r="Q57" s="26">
        <v>22.632999999999999</v>
      </c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195" t="s">
        <v>247</v>
      </c>
      <c r="J58" s="120">
        <f t="shared" si="10"/>
        <v>49.941000000000003</v>
      </c>
      <c r="K58" s="121">
        <f t="shared" si="11"/>
        <v>49.941000000000003</v>
      </c>
      <c r="L58" s="121">
        <f t="shared" si="12"/>
        <v>0</v>
      </c>
      <c r="M58" s="17"/>
      <c r="N58" s="26"/>
      <c r="O58" s="26"/>
      <c r="P58" s="26">
        <v>49.941000000000003</v>
      </c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195" t="s">
        <v>247</v>
      </c>
      <c r="J59" s="120">
        <f t="shared" si="10"/>
        <v>12.052</v>
      </c>
      <c r="K59" s="121">
        <f t="shared" si="11"/>
        <v>12.052</v>
      </c>
      <c r="L59" s="121">
        <f t="shared" si="12"/>
        <v>0</v>
      </c>
      <c r="M59" s="17"/>
      <c r="N59" s="26"/>
      <c r="O59" s="26"/>
      <c r="P59" s="26">
        <v>12.052</v>
      </c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302</v>
      </c>
      <c r="F60" s="9" t="s">
        <v>40</v>
      </c>
      <c r="G60" s="9" t="s">
        <v>303</v>
      </c>
      <c r="H60" s="13"/>
      <c r="I60" s="195" t="s">
        <v>247</v>
      </c>
      <c r="J60" s="120">
        <f t="shared" si="10"/>
        <v>3</v>
      </c>
      <c r="K60" s="121">
        <f t="shared" si="11"/>
        <v>3</v>
      </c>
      <c r="L60" s="121">
        <f t="shared" si="12"/>
        <v>0</v>
      </c>
      <c r="M60" s="17"/>
      <c r="N60" s="26"/>
      <c r="O60" s="26"/>
      <c r="P60" s="26">
        <v>3</v>
      </c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304</v>
      </c>
      <c r="F61" s="9" t="s">
        <v>40</v>
      </c>
      <c r="G61" s="9" t="s">
        <v>305</v>
      </c>
      <c r="H61" s="13"/>
      <c r="I61" s="195" t="s">
        <v>247</v>
      </c>
      <c r="J61" s="120">
        <f t="shared" si="10"/>
        <v>7</v>
      </c>
      <c r="K61" s="121">
        <f t="shared" si="11"/>
        <v>7</v>
      </c>
      <c r="L61" s="121">
        <f t="shared" si="12"/>
        <v>0</v>
      </c>
      <c r="M61" s="17"/>
      <c r="N61" s="26"/>
      <c r="O61" s="26"/>
      <c r="P61" s="26">
        <v>7</v>
      </c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15"/>
      <c r="F66" s="9"/>
      <c r="G66" s="8"/>
      <c r="H66" s="14"/>
      <c r="I66" s="14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15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1"/>
      <c r="I77" s="11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2"/>
      <c r="I78" s="12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0"/>
        <v>0</v>
      </c>
      <c r="K90" s="121">
        <f t="shared" si="11"/>
        <v>0</v>
      </c>
      <c r="L90" s="121">
        <f t="shared" si="12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ref="J91:J154" si="18">+K91+L91</f>
        <v>0</v>
      </c>
      <c r="K91" s="121">
        <f t="shared" ref="K91:K154" si="19">SUM(N91:Y91)</f>
        <v>0</v>
      </c>
      <c r="L91" s="121">
        <f t="shared" ref="L91:L154" si="20">SUM(AA91:AL91)</f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8"/>
        <v>0</v>
      </c>
      <c r="K92" s="121">
        <f t="shared" si="19"/>
        <v>0</v>
      </c>
      <c r="L92" s="121">
        <f t="shared" si="20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4"/>
      <c r="I93" s="14"/>
      <c r="J93" s="120">
        <f t="shared" si="18"/>
        <v>0</v>
      </c>
      <c r="K93" s="121">
        <f t="shared" si="19"/>
        <v>0</v>
      </c>
      <c r="L93" s="121">
        <f t="shared" si="20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15"/>
      <c r="F94" s="9"/>
      <c r="G94" s="8"/>
      <c r="H94" s="14"/>
      <c r="I94" s="14"/>
      <c r="J94" s="120">
        <f t="shared" si="18"/>
        <v>0</v>
      </c>
      <c r="K94" s="121">
        <f t="shared" si="19"/>
        <v>0</v>
      </c>
      <c r="L94" s="121">
        <f t="shared" si="20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8"/>
        <v>0</v>
      </c>
      <c r="K95" s="121">
        <f t="shared" si="19"/>
        <v>0</v>
      </c>
      <c r="L95" s="121">
        <f t="shared" si="20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1"/>
      <c r="I96" s="11"/>
      <c r="J96" s="120">
        <f t="shared" si="18"/>
        <v>0</v>
      </c>
      <c r="K96" s="121">
        <f t="shared" si="19"/>
        <v>0</v>
      </c>
      <c r="L96" s="121">
        <f t="shared" si="20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2"/>
      <c r="I97" s="12"/>
      <c r="J97" s="120">
        <f t="shared" si="18"/>
        <v>0</v>
      </c>
      <c r="K97" s="121">
        <f t="shared" si="19"/>
        <v>0</v>
      </c>
      <c r="L97" s="121">
        <f t="shared" si="20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8"/>
        <v>0</v>
      </c>
      <c r="K98" s="121">
        <f t="shared" si="19"/>
        <v>0</v>
      </c>
      <c r="L98" s="121">
        <f t="shared" si="20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8"/>
        <v>0</v>
      </c>
      <c r="K99" s="121">
        <f t="shared" si="19"/>
        <v>0</v>
      </c>
      <c r="L99" s="121">
        <f t="shared" si="20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8"/>
        <v>0</v>
      </c>
      <c r="K100" s="121">
        <f t="shared" si="19"/>
        <v>0</v>
      </c>
      <c r="L100" s="121">
        <f t="shared" si="20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8"/>
        <v>0</v>
      </c>
      <c r="K101" s="121">
        <f t="shared" si="19"/>
        <v>0</v>
      </c>
      <c r="L101" s="121">
        <f t="shared" si="20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8"/>
        <v>0</v>
      </c>
      <c r="K102" s="121">
        <f t="shared" si="19"/>
        <v>0</v>
      </c>
      <c r="L102" s="121">
        <f t="shared" si="20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8"/>
        <v>0</v>
      </c>
      <c r="K103" s="121">
        <f t="shared" si="19"/>
        <v>0</v>
      </c>
      <c r="L103" s="121">
        <f t="shared" si="20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8"/>
        <v>0</v>
      </c>
      <c r="K104" s="121">
        <f t="shared" si="19"/>
        <v>0</v>
      </c>
      <c r="L104" s="121">
        <f t="shared" si="20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8"/>
        <v>0</v>
      </c>
      <c r="K105" s="121">
        <f t="shared" si="19"/>
        <v>0</v>
      </c>
      <c r="L105" s="121">
        <f t="shared" si="20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8"/>
        <v>0</v>
      </c>
      <c r="K106" s="121">
        <f t="shared" si="19"/>
        <v>0</v>
      </c>
      <c r="L106" s="121">
        <f t="shared" si="20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8"/>
        <v>0</v>
      </c>
      <c r="K107" s="121">
        <f t="shared" si="19"/>
        <v>0</v>
      </c>
      <c r="L107" s="121">
        <f t="shared" si="20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8"/>
        <v>0</v>
      </c>
      <c r="K108" s="121">
        <f t="shared" si="19"/>
        <v>0</v>
      </c>
      <c r="L108" s="121">
        <f t="shared" si="20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8"/>
        <v>0</v>
      </c>
      <c r="K109" s="121">
        <f t="shared" si="19"/>
        <v>0</v>
      </c>
      <c r="L109" s="121">
        <f t="shared" si="20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8"/>
        <v>0</v>
      </c>
      <c r="K110" s="121">
        <f t="shared" si="19"/>
        <v>0</v>
      </c>
      <c r="L110" s="121">
        <f t="shared" si="20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8"/>
        <v>0</v>
      </c>
      <c r="K111" s="121">
        <f t="shared" si="19"/>
        <v>0</v>
      </c>
      <c r="L111" s="121">
        <f t="shared" si="20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4"/>
      <c r="I112" s="14"/>
      <c r="J112" s="120">
        <f t="shared" si="18"/>
        <v>0</v>
      </c>
      <c r="K112" s="121">
        <f t="shared" si="19"/>
        <v>0</v>
      </c>
      <c r="L112" s="121">
        <f t="shared" si="20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15"/>
      <c r="F113" s="9"/>
      <c r="G113" s="8"/>
      <c r="H113" s="14"/>
      <c r="I113" s="14"/>
      <c r="J113" s="120">
        <f t="shared" si="18"/>
        <v>0</v>
      </c>
      <c r="K113" s="121">
        <f t="shared" si="19"/>
        <v>0</v>
      </c>
      <c r="L113" s="121">
        <f t="shared" si="20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8"/>
        <v>0</v>
      </c>
      <c r="K114" s="121">
        <f t="shared" si="19"/>
        <v>0</v>
      </c>
      <c r="L114" s="121">
        <f t="shared" si="20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8"/>
        <v>0</v>
      </c>
      <c r="K115" s="121">
        <f t="shared" si="19"/>
        <v>0</v>
      </c>
      <c r="L115" s="121">
        <f t="shared" si="20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8"/>
        <v>0</v>
      </c>
      <c r="K116" s="121">
        <f t="shared" si="19"/>
        <v>0</v>
      </c>
      <c r="L116" s="121">
        <f t="shared" si="20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8"/>
        <v>0</v>
      </c>
      <c r="K117" s="121">
        <f t="shared" si="19"/>
        <v>0</v>
      </c>
      <c r="L117" s="121">
        <f t="shared" si="20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8"/>
        <v>0</v>
      </c>
      <c r="K118" s="121">
        <f t="shared" si="19"/>
        <v>0</v>
      </c>
      <c r="L118" s="121">
        <f t="shared" si="20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15"/>
      <c r="F119" s="9"/>
      <c r="G119" s="8"/>
      <c r="H119" s="13"/>
      <c r="I119" s="13"/>
      <c r="J119" s="120">
        <f t="shared" si="18"/>
        <v>0</v>
      </c>
      <c r="K119" s="121">
        <f t="shared" si="19"/>
        <v>0</v>
      </c>
      <c r="L119" s="121">
        <f t="shared" si="20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8"/>
        <v>0</v>
      </c>
      <c r="K120" s="121">
        <f t="shared" si="19"/>
        <v>0</v>
      </c>
      <c r="L120" s="121">
        <f t="shared" si="20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8"/>
        <v>0</v>
      </c>
      <c r="K121" s="121">
        <f t="shared" si="19"/>
        <v>0</v>
      </c>
      <c r="L121" s="121">
        <f t="shared" si="20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8"/>
        <v>0</v>
      </c>
      <c r="K122" s="121">
        <f t="shared" si="19"/>
        <v>0</v>
      </c>
      <c r="L122" s="121">
        <f t="shared" si="20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8"/>
        <v>0</v>
      </c>
      <c r="K123" s="121">
        <f t="shared" si="19"/>
        <v>0</v>
      </c>
      <c r="L123" s="121">
        <f t="shared" si="20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8"/>
        <v>0</v>
      </c>
      <c r="K124" s="121">
        <f t="shared" si="19"/>
        <v>0</v>
      </c>
      <c r="L124" s="121">
        <f t="shared" si="20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1"/>
      <c r="I125" s="11"/>
      <c r="J125" s="120">
        <f t="shared" si="18"/>
        <v>0</v>
      </c>
      <c r="K125" s="121">
        <f t="shared" si="19"/>
        <v>0</v>
      </c>
      <c r="L125" s="121">
        <f t="shared" si="20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2"/>
      <c r="I126" s="12"/>
      <c r="J126" s="120">
        <f t="shared" si="18"/>
        <v>0</v>
      </c>
      <c r="K126" s="121">
        <f t="shared" si="19"/>
        <v>0</v>
      </c>
      <c r="L126" s="121">
        <f t="shared" si="20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8"/>
        <v>0</v>
      </c>
      <c r="K127" s="121">
        <f t="shared" si="19"/>
        <v>0</v>
      </c>
      <c r="L127" s="121">
        <f t="shared" si="20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8"/>
        <v>0</v>
      </c>
      <c r="K128" s="121">
        <f t="shared" si="19"/>
        <v>0</v>
      </c>
      <c r="L128" s="121">
        <f t="shared" si="20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8"/>
        <v>0</v>
      </c>
      <c r="K129" s="121">
        <f t="shared" si="19"/>
        <v>0</v>
      </c>
      <c r="L129" s="121">
        <f t="shared" si="20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8"/>
        <v>0</v>
      </c>
      <c r="K130" s="121">
        <f t="shared" si="19"/>
        <v>0</v>
      </c>
      <c r="L130" s="121">
        <f t="shared" si="20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8"/>
        <v>0</v>
      </c>
      <c r="K131" s="121">
        <f t="shared" si="19"/>
        <v>0</v>
      </c>
      <c r="L131" s="121">
        <f t="shared" si="20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8"/>
        <v>0</v>
      </c>
      <c r="K132" s="121">
        <f t="shared" si="19"/>
        <v>0</v>
      </c>
      <c r="L132" s="121">
        <f t="shared" si="20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8"/>
        <v>0</v>
      </c>
      <c r="K133" s="121">
        <f t="shared" si="19"/>
        <v>0</v>
      </c>
      <c r="L133" s="121">
        <f t="shared" si="20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8"/>
        <v>0</v>
      </c>
      <c r="K134" s="121">
        <f t="shared" si="19"/>
        <v>0</v>
      </c>
      <c r="L134" s="121">
        <f t="shared" si="20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8"/>
        <v>0</v>
      </c>
      <c r="K135" s="121">
        <f t="shared" si="19"/>
        <v>0</v>
      </c>
      <c r="L135" s="121">
        <f t="shared" si="20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8"/>
        <v>0</v>
      </c>
      <c r="K136" s="121">
        <f t="shared" si="19"/>
        <v>0</v>
      </c>
      <c r="L136" s="121">
        <f t="shared" si="20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8"/>
        <v>0</v>
      </c>
      <c r="K137" s="121">
        <f t="shared" si="19"/>
        <v>0</v>
      </c>
      <c r="L137" s="121">
        <f t="shared" si="20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8"/>
        <v>0</v>
      </c>
      <c r="K138" s="121">
        <f t="shared" si="19"/>
        <v>0</v>
      </c>
      <c r="L138" s="121">
        <f t="shared" si="20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8"/>
        <v>0</v>
      </c>
      <c r="K139" s="121">
        <f t="shared" si="19"/>
        <v>0</v>
      </c>
      <c r="L139" s="121">
        <f t="shared" si="20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8"/>
        <v>0</v>
      </c>
      <c r="K140" s="121">
        <f t="shared" si="19"/>
        <v>0</v>
      </c>
      <c r="L140" s="121">
        <f t="shared" si="20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4"/>
      <c r="I141" s="14"/>
      <c r="J141" s="120">
        <f t="shared" si="18"/>
        <v>0</v>
      </c>
      <c r="K141" s="121">
        <f t="shared" si="19"/>
        <v>0</v>
      </c>
      <c r="L141" s="121">
        <f t="shared" si="20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15"/>
      <c r="F142" s="9"/>
      <c r="G142" s="8"/>
      <c r="H142" s="14"/>
      <c r="I142" s="14"/>
      <c r="J142" s="120">
        <f t="shared" si="18"/>
        <v>0</v>
      </c>
      <c r="K142" s="121">
        <f t="shared" si="19"/>
        <v>0</v>
      </c>
      <c r="L142" s="121">
        <f t="shared" si="20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8"/>
        <v>0</v>
      </c>
      <c r="K143" s="121">
        <f t="shared" si="19"/>
        <v>0</v>
      </c>
      <c r="L143" s="121">
        <f t="shared" si="20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1"/>
      <c r="I144" s="11"/>
      <c r="J144" s="120">
        <f t="shared" si="18"/>
        <v>0</v>
      </c>
      <c r="K144" s="121">
        <f t="shared" si="19"/>
        <v>0</v>
      </c>
      <c r="L144" s="121">
        <f t="shared" si="20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2"/>
      <c r="I145" s="12"/>
      <c r="J145" s="120">
        <f t="shared" si="18"/>
        <v>0</v>
      </c>
      <c r="K145" s="121">
        <f t="shared" si="19"/>
        <v>0</v>
      </c>
      <c r="L145" s="121">
        <f t="shared" si="20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8"/>
        <v>0</v>
      </c>
      <c r="K146" s="121">
        <f t="shared" si="19"/>
        <v>0</v>
      </c>
      <c r="L146" s="121">
        <f t="shared" si="20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8"/>
        <v>0</v>
      </c>
      <c r="K147" s="121">
        <f t="shared" si="19"/>
        <v>0</v>
      </c>
      <c r="L147" s="121">
        <f t="shared" si="20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8"/>
        <v>0</v>
      </c>
      <c r="K148" s="121">
        <f t="shared" si="19"/>
        <v>0</v>
      </c>
      <c r="L148" s="121">
        <f t="shared" si="20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8"/>
        <v>0</v>
      </c>
      <c r="K149" s="121">
        <f t="shared" si="19"/>
        <v>0</v>
      </c>
      <c r="L149" s="121">
        <f t="shared" si="20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8"/>
        <v>0</v>
      </c>
      <c r="K150" s="121">
        <f t="shared" si="19"/>
        <v>0</v>
      </c>
      <c r="L150" s="121">
        <f t="shared" si="20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8"/>
        <v>0</v>
      </c>
      <c r="K151" s="121">
        <f t="shared" si="19"/>
        <v>0</v>
      </c>
      <c r="L151" s="121">
        <f t="shared" si="20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8"/>
        <v>0</v>
      </c>
      <c r="K152" s="121">
        <f t="shared" si="19"/>
        <v>0</v>
      </c>
      <c r="L152" s="121">
        <f t="shared" si="20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8"/>
        <v>0</v>
      </c>
      <c r="K153" s="121">
        <f t="shared" si="19"/>
        <v>0</v>
      </c>
      <c r="L153" s="121">
        <f t="shared" si="20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8"/>
        <v>0</v>
      </c>
      <c r="K154" s="121">
        <f t="shared" si="19"/>
        <v>0</v>
      </c>
      <c r="L154" s="121">
        <f t="shared" si="20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ref="J155:J218" si="21">+K155+L155</f>
        <v>0</v>
      </c>
      <c r="K155" s="121">
        <f t="shared" ref="K155:K218" si="22">SUM(N155:Y155)</f>
        <v>0</v>
      </c>
      <c r="L155" s="121">
        <f t="shared" ref="L155:L218" si="23">SUM(AA155:AL155)</f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21"/>
        <v>0</v>
      </c>
      <c r="K156" s="121">
        <f t="shared" si="22"/>
        <v>0</v>
      </c>
      <c r="L156" s="121">
        <f t="shared" si="23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21"/>
        <v>0</v>
      </c>
      <c r="K157" s="121">
        <f t="shared" si="22"/>
        <v>0</v>
      </c>
      <c r="L157" s="121">
        <f t="shared" si="23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21"/>
        <v>0</v>
      </c>
      <c r="K158" s="121">
        <f t="shared" si="22"/>
        <v>0</v>
      </c>
      <c r="L158" s="121">
        <f t="shared" si="23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21"/>
        <v>0</v>
      </c>
      <c r="K159" s="121">
        <f t="shared" si="22"/>
        <v>0</v>
      </c>
      <c r="L159" s="121">
        <f t="shared" si="23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4"/>
      <c r="I160" s="14"/>
      <c r="J160" s="120">
        <f t="shared" si="21"/>
        <v>0</v>
      </c>
      <c r="K160" s="121">
        <f t="shared" si="22"/>
        <v>0</v>
      </c>
      <c r="L160" s="121">
        <f t="shared" si="23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15"/>
      <c r="F161" s="9"/>
      <c r="G161" s="8"/>
      <c r="H161" s="14"/>
      <c r="I161" s="14"/>
      <c r="J161" s="120">
        <f t="shared" si="21"/>
        <v>0</v>
      </c>
      <c r="K161" s="121">
        <f t="shared" si="22"/>
        <v>0</v>
      </c>
      <c r="L161" s="121">
        <f t="shared" si="23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21"/>
        <v>0</v>
      </c>
      <c r="K162" s="121">
        <f t="shared" si="22"/>
        <v>0</v>
      </c>
      <c r="L162" s="121">
        <f t="shared" si="23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21"/>
        <v>0</v>
      </c>
      <c r="K163" s="121">
        <f t="shared" si="22"/>
        <v>0</v>
      </c>
      <c r="L163" s="121">
        <f t="shared" si="23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21"/>
        <v>0</v>
      </c>
      <c r="K164" s="121">
        <f t="shared" si="22"/>
        <v>0</v>
      </c>
      <c r="L164" s="121">
        <f t="shared" si="23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21"/>
        <v>0</v>
      </c>
      <c r="K165" s="121">
        <f t="shared" si="22"/>
        <v>0</v>
      </c>
      <c r="L165" s="121">
        <f t="shared" si="23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21"/>
        <v>0</v>
      </c>
      <c r="K166" s="121">
        <f t="shared" si="22"/>
        <v>0</v>
      </c>
      <c r="L166" s="121">
        <f t="shared" si="23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15"/>
      <c r="F167" s="9"/>
      <c r="G167" s="8"/>
      <c r="H167" s="13"/>
      <c r="I167" s="13"/>
      <c r="J167" s="120">
        <f t="shared" si="21"/>
        <v>0</v>
      </c>
      <c r="K167" s="121">
        <f t="shared" si="22"/>
        <v>0</v>
      </c>
      <c r="L167" s="121">
        <f t="shared" si="23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21"/>
        <v>0</v>
      </c>
      <c r="K168" s="121">
        <f t="shared" si="22"/>
        <v>0</v>
      </c>
      <c r="L168" s="121">
        <f t="shared" si="23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21"/>
        <v>0</v>
      </c>
      <c r="K169" s="121">
        <f t="shared" si="22"/>
        <v>0</v>
      </c>
      <c r="L169" s="121">
        <f t="shared" si="23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21"/>
        <v>0</v>
      </c>
      <c r="K170" s="121">
        <f t="shared" si="22"/>
        <v>0</v>
      </c>
      <c r="L170" s="121">
        <f t="shared" si="23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21"/>
        <v>0</v>
      </c>
      <c r="K171" s="121">
        <f t="shared" si="22"/>
        <v>0</v>
      </c>
      <c r="L171" s="121">
        <f t="shared" si="23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1"/>
      <c r="I172" s="11"/>
      <c r="J172" s="120">
        <f t="shared" si="21"/>
        <v>0</v>
      </c>
      <c r="K172" s="121">
        <f t="shared" si="22"/>
        <v>0</v>
      </c>
      <c r="L172" s="121">
        <f t="shared" si="23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2"/>
      <c r="I173" s="12"/>
      <c r="J173" s="120">
        <f t="shared" si="21"/>
        <v>0</v>
      </c>
      <c r="K173" s="121">
        <f t="shared" si="22"/>
        <v>0</v>
      </c>
      <c r="L173" s="121">
        <f t="shared" si="23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21"/>
        <v>0</v>
      </c>
      <c r="K174" s="121">
        <f t="shared" si="22"/>
        <v>0</v>
      </c>
      <c r="L174" s="121">
        <f t="shared" si="23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21"/>
        <v>0</v>
      </c>
      <c r="K175" s="121">
        <f t="shared" si="22"/>
        <v>0</v>
      </c>
      <c r="L175" s="121">
        <f t="shared" si="23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21"/>
        <v>0</v>
      </c>
      <c r="K176" s="121">
        <f t="shared" si="22"/>
        <v>0</v>
      </c>
      <c r="L176" s="121">
        <f t="shared" si="23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21"/>
        <v>0</v>
      </c>
      <c r="K177" s="121">
        <f t="shared" si="22"/>
        <v>0</v>
      </c>
      <c r="L177" s="121">
        <f t="shared" si="23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21"/>
        <v>0</v>
      </c>
      <c r="K178" s="121">
        <f t="shared" si="22"/>
        <v>0</v>
      </c>
      <c r="L178" s="121">
        <f t="shared" si="23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21"/>
        <v>0</v>
      </c>
      <c r="K179" s="121">
        <f t="shared" si="22"/>
        <v>0</v>
      </c>
      <c r="L179" s="121">
        <f t="shared" si="23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21"/>
        <v>0</v>
      </c>
      <c r="K180" s="121">
        <f t="shared" si="22"/>
        <v>0</v>
      </c>
      <c r="L180" s="121">
        <f t="shared" si="23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21"/>
        <v>0</v>
      </c>
      <c r="K181" s="121">
        <f t="shared" si="22"/>
        <v>0</v>
      </c>
      <c r="L181" s="121">
        <f t="shared" si="23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21"/>
        <v>0</v>
      </c>
      <c r="K182" s="121">
        <f t="shared" si="22"/>
        <v>0</v>
      </c>
      <c r="L182" s="121">
        <f t="shared" si="23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21"/>
        <v>0</v>
      </c>
      <c r="K183" s="121">
        <f t="shared" si="22"/>
        <v>0</v>
      </c>
      <c r="L183" s="121">
        <f t="shared" si="23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21"/>
        <v>0</v>
      </c>
      <c r="K184" s="121">
        <f t="shared" si="22"/>
        <v>0</v>
      </c>
      <c r="L184" s="121">
        <f t="shared" si="23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21"/>
        <v>0</v>
      </c>
      <c r="K185" s="121">
        <f t="shared" si="22"/>
        <v>0</v>
      </c>
      <c r="L185" s="121">
        <f t="shared" si="23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21"/>
        <v>0</v>
      </c>
      <c r="K186" s="121">
        <f t="shared" si="22"/>
        <v>0</v>
      </c>
      <c r="L186" s="121">
        <f t="shared" si="23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21"/>
        <v>0</v>
      </c>
      <c r="K187" s="121">
        <f t="shared" si="22"/>
        <v>0</v>
      </c>
      <c r="L187" s="121">
        <f t="shared" si="23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4"/>
      <c r="I188" s="14"/>
      <c r="J188" s="120">
        <f t="shared" si="21"/>
        <v>0</v>
      </c>
      <c r="K188" s="121">
        <f t="shared" si="22"/>
        <v>0</v>
      </c>
      <c r="L188" s="121">
        <f t="shared" si="23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15"/>
      <c r="F189" s="9"/>
      <c r="G189" s="8"/>
      <c r="H189" s="14"/>
      <c r="I189" s="14"/>
      <c r="J189" s="120">
        <f t="shared" si="21"/>
        <v>0</v>
      </c>
      <c r="K189" s="121">
        <f t="shared" si="22"/>
        <v>0</v>
      </c>
      <c r="L189" s="121">
        <f t="shared" si="23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21"/>
        <v>0</v>
      </c>
      <c r="K190" s="121">
        <f t="shared" si="22"/>
        <v>0</v>
      </c>
      <c r="L190" s="121">
        <f t="shared" si="23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1"/>
      <c r="I191" s="11"/>
      <c r="J191" s="120">
        <f t="shared" si="21"/>
        <v>0</v>
      </c>
      <c r="K191" s="121">
        <f t="shared" si="22"/>
        <v>0</v>
      </c>
      <c r="L191" s="121">
        <f t="shared" si="23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2"/>
      <c r="I192" s="12"/>
      <c r="J192" s="120">
        <f t="shared" si="21"/>
        <v>0</v>
      </c>
      <c r="K192" s="121">
        <f t="shared" si="22"/>
        <v>0</v>
      </c>
      <c r="L192" s="121">
        <f t="shared" si="23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21"/>
        <v>0</v>
      </c>
      <c r="K193" s="121">
        <f t="shared" si="22"/>
        <v>0</v>
      </c>
      <c r="L193" s="121">
        <f t="shared" si="23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21"/>
        <v>0</v>
      </c>
      <c r="K194" s="121">
        <f t="shared" si="22"/>
        <v>0</v>
      </c>
      <c r="L194" s="121">
        <f t="shared" si="23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21"/>
        <v>0</v>
      </c>
      <c r="K195" s="121">
        <f t="shared" si="22"/>
        <v>0</v>
      </c>
      <c r="L195" s="121">
        <f t="shared" si="23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21"/>
        <v>0</v>
      </c>
      <c r="K196" s="121">
        <f t="shared" si="22"/>
        <v>0</v>
      </c>
      <c r="L196" s="121">
        <f t="shared" si="23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21"/>
        <v>0</v>
      </c>
      <c r="K197" s="121">
        <f t="shared" si="22"/>
        <v>0</v>
      </c>
      <c r="L197" s="121">
        <f t="shared" si="23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21"/>
        <v>0</v>
      </c>
      <c r="K198" s="121">
        <f t="shared" si="22"/>
        <v>0</v>
      </c>
      <c r="L198" s="121">
        <f t="shared" si="23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21"/>
        <v>0</v>
      </c>
      <c r="K199" s="121">
        <f t="shared" si="22"/>
        <v>0</v>
      </c>
      <c r="L199" s="121">
        <f t="shared" si="23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21"/>
        <v>0</v>
      </c>
      <c r="K200" s="121">
        <f t="shared" si="22"/>
        <v>0</v>
      </c>
      <c r="L200" s="121">
        <f t="shared" si="23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21"/>
        <v>0</v>
      </c>
      <c r="K201" s="121">
        <f t="shared" si="22"/>
        <v>0</v>
      </c>
      <c r="L201" s="121">
        <f t="shared" si="23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21"/>
        <v>0</v>
      </c>
      <c r="K202" s="121">
        <f t="shared" si="22"/>
        <v>0</v>
      </c>
      <c r="L202" s="121">
        <f t="shared" si="23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21"/>
        <v>0</v>
      </c>
      <c r="K203" s="121">
        <f t="shared" si="22"/>
        <v>0</v>
      </c>
      <c r="L203" s="121">
        <f t="shared" si="23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21"/>
        <v>0</v>
      </c>
      <c r="K204" s="121">
        <f t="shared" si="22"/>
        <v>0</v>
      </c>
      <c r="L204" s="121">
        <f t="shared" si="23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21"/>
        <v>0</v>
      </c>
      <c r="K205" s="121">
        <f t="shared" si="22"/>
        <v>0</v>
      </c>
      <c r="L205" s="121">
        <f t="shared" si="23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21"/>
        <v>0</v>
      </c>
      <c r="K206" s="121">
        <f t="shared" si="22"/>
        <v>0</v>
      </c>
      <c r="L206" s="121">
        <f t="shared" si="23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4"/>
      <c r="I207" s="14"/>
      <c r="J207" s="120">
        <f t="shared" si="21"/>
        <v>0</v>
      </c>
      <c r="K207" s="121">
        <f t="shared" si="22"/>
        <v>0</v>
      </c>
      <c r="L207" s="121">
        <f t="shared" si="23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15"/>
      <c r="F208" s="9"/>
      <c r="G208" s="8"/>
      <c r="H208" s="14"/>
      <c r="I208" s="14"/>
      <c r="J208" s="120">
        <f t="shared" si="21"/>
        <v>0</v>
      </c>
      <c r="K208" s="121">
        <f t="shared" si="22"/>
        <v>0</v>
      </c>
      <c r="L208" s="121">
        <f t="shared" si="23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21"/>
        <v>0</v>
      </c>
      <c r="K209" s="121">
        <f t="shared" si="22"/>
        <v>0</v>
      </c>
      <c r="L209" s="121">
        <f t="shared" si="23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21"/>
        <v>0</v>
      </c>
      <c r="K210" s="121">
        <f t="shared" si="22"/>
        <v>0</v>
      </c>
      <c r="L210" s="121">
        <f t="shared" si="23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21"/>
        <v>0</v>
      </c>
      <c r="K211" s="121">
        <f t="shared" si="22"/>
        <v>0</v>
      </c>
      <c r="L211" s="121">
        <f t="shared" si="23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21"/>
        <v>0</v>
      </c>
      <c r="K212" s="121">
        <f t="shared" si="22"/>
        <v>0</v>
      </c>
      <c r="L212" s="121">
        <f t="shared" si="23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21"/>
        <v>0</v>
      </c>
      <c r="K213" s="121">
        <f t="shared" si="22"/>
        <v>0</v>
      </c>
      <c r="L213" s="121">
        <f t="shared" si="23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15"/>
      <c r="F214" s="9"/>
      <c r="G214" s="8"/>
      <c r="H214" s="13"/>
      <c r="I214" s="13"/>
      <c r="J214" s="120">
        <f t="shared" si="21"/>
        <v>0</v>
      </c>
      <c r="K214" s="121">
        <f t="shared" si="22"/>
        <v>0</v>
      </c>
      <c r="L214" s="121">
        <f t="shared" si="23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21"/>
        <v>0</v>
      </c>
      <c r="K215" s="121">
        <f t="shared" si="22"/>
        <v>0</v>
      </c>
      <c r="L215" s="121">
        <f t="shared" si="23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21"/>
        <v>0</v>
      </c>
      <c r="K216" s="121">
        <f t="shared" si="22"/>
        <v>0</v>
      </c>
      <c r="L216" s="121">
        <f t="shared" si="23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21"/>
        <v>0</v>
      </c>
      <c r="K217" s="121">
        <f t="shared" si="22"/>
        <v>0</v>
      </c>
      <c r="L217" s="121">
        <f t="shared" si="23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21"/>
        <v>0</v>
      </c>
      <c r="K218" s="121">
        <f t="shared" si="22"/>
        <v>0</v>
      </c>
      <c r="L218" s="121">
        <f t="shared" si="23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ref="J219:J254" si="24">+K219+L219</f>
        <v>0</v>
      </c>
      <c r="K219" s="121">
        <f t="shared" ref="K219:K254" si="25">SUM(N219:Y219)</f>
        <v>0</v>
      </c>
      <c r="L219" s="121">
        <f t="shared" ref="L219:L254" si="26">SUM(AA219:AL219)</f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1"/>
      <c r="I220" s="11"/>
      <c r="J220" s="120">
        <f t="shared" si="24"/>
        <v>0</v>
      </c>
      <c r="K220" s="121">
        <f t="shared" si="25"/>
        <v>0</v>
      </c>
      <c r="L220" s="121">
        <f t="shared" si="26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2"/>
      <c r="I221" s="12"/>
      <c r="J221" s="120">
        <f t="shared" si="24"/>
        <v>0</v>
      </c>
      <c r="K221" s="121">
        <f t="shared" si="25"/>
        <v>0</v>
      </c>
      <c r="L221" s="121">
        <f t="shared" si="26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4"/>
        <v>0</v>
      </c>
      <c r="K222" s="121">
        <f t="shared" si="25"/>
        <v>0</v>
      </c>
      <c r="L222" s="121">
        <f t="shared" si="26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4"/>
        <v>0</v>
      </c>
      <c r="K223" s="121">
        <f t="shared" si="25"/>
        <v>0</v>
      </c>
      <c r="L223" s="121">
        <f t="shared" si="26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4"/>
        <v>0</v>
      </c>
      <c r="K224" s="121">
        <f t="shared" si="25"/>
        <v>0</v>
      </c>
      <c r="L224" s="121">
        <f t="shared" si="26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4"/>
        <v>0</v>
      </c>
      <c r="K225" s="121">
        <f t="shared" si="25"/>
        <v>0</v>
      </c>
      <c r="L225" s="121">
        <f t="shared" si="26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4"/>
        <v>0</v>
      </c>
      <c r="K226" s="121">
        <f t="shared" si="25"/>
        <v>0</v>
      </c>
      <c r="L226" s="121">
        <f t="shared" si="26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4"/>
        <v>0</v>
      </c>
      <c r="K227" s="121">
        <f t="shared" si="25"/>
        <v>0</v>
      </c>
      <c r="L227" s="121">
        <f t="shared" si="26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4"/>
        <v>0</v>
      </c>
      <c r="K228" s="121">
        <f t="shared" si="25"/>
        <v>0</v>
      </c>
      <c r="L228" s="121">
        <f t="shared" si="26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4"/>
        <v>0</v>
      </c>
      <c r="K229" s="121">
        <f t="shared" si="25"/>
        <v>0</v>
      </c>
      <c r="L229" s="121">
        <f t="shared" si="26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4"/>
        <v>0</v>
      </c>
      <c r="K230" s="121">
        <f t="shared" si="25"/>
        <v>0</v>
      </c>
      <c r="L230" s="121">
        <f t="shared" si="26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4"/>
        <v>0</v>
      </c>
      <c r="K231" s="121">
        <f t="shared" si="25"/>
        <v>0</v>
      </c>
      <c r="L231" s="121">
        <f t="shared" si="26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4"/>
        <v>0</v>
      </c>
      <c r="K232" s="121">
        <f t="shared" si="25"/>
        <v>0</v>
      </c>
      <c r="L232" s="121">
        <f t="shared" si="26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4"/>
        <v>0</v>
      </c>
      <c r="K233" s="121">
        <f t="shared" si="25"/>
        <v>0</v>
      </c>
      <c r="L233" s="121">
        <f t="shared" si="26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4"/>
        <v>0</v>
      </c>
      <c r="K234" s="121">
        <f t="shared" si="25"/>
        <v>0</v>
      </c>
      <c r="L234" s="121">
        <f t="shared" si="26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24"/>
        <v>0</v>
      </c>
      <c r="K235" s="121">
        <f t="shared" si="25"/>
        <v>0</v>
      </c>
      <c r="L235" s="121">
        <f t="shared" si="26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4"/>
        <v>0</v>
      </c>
      <c r="K236" s="121">
        <f t="shared" si="25"/>
        <v>0</v>
      </c>
      <c r="L236" s="121">
        <f t="shared" si="26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4"/>
      <c r="I237" s="14"/>
      <c r="J237" s="120">
        <f t="shared" si="24"/>
        <v>0</v>
      </c>
      <c r="K237" s="121">
        <f t="shared" si="25"/>
        <v>0</v>
      </c>
      <c r="L237" s="121">
        <f t="shared" si="26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15"/>
      <c r="F238" s="9"/>
      <c r="G238" s="8"/>
      <c r="H238" s="14"/>
      <c r="I238" s="14"/>
      <c r="J238" s="120">
        <f t="shared" si="24"/>
        <v>0</v>
      </c>
      <c r="K238" s="121">
        <f t="shared" si="25"/>
        <v>0</v>
      </c>
      <c r="L238" s="121">
        <f t="shared" si="26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4"/>
        <v>0</v>
      </c>
      <c r="K239" s="121">
        <f t="shared" si="25"/>
        <v>0</v>
      </c>
      <c r="L239" s="121">
        <f t="shared" si="26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4"/>
        <v>0</v>
      </c>
      <c r="K240" s="121">
        <f t="shared" si="25"/>
        <v>0</v>
      </c>
      <c r="L240" s="121">
        <f t="shared" si="26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4"/>
        <v>0</v>
      </c>
      <c r="K241" s="121">
        <f t="shared" si="25"/>
        <v>0</v>
      </c>
      <c r="L241" s="121">
        <f t="shared" si="26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4"/>
        <v>0</v>
      </c>
      <c r="K242" s="121">
        <f t="shared" si="25"/>
        <v>0</v>
      </c>
      <c r="L242" s="121">
        <f t="shared" si="26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4"/>
        <v>0</v>
      </c>
      <c r="K243" s="121">
        <f t="shared" si="25"/>
        <v>0</v>
      </c>
      <c r="L243" s="121">
        <f t="shared" si="26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5"/>
      <c r="F244" s="9"/>
      <c r="G244" s="8"/>
      <c r="H244" s="13"/>
      <c r="I244" s="13"/>
      <c r="J244" s="120">
        <f t="shared" si="24"/>
        <v>0</v>
      </c>
      <c r="K244" s="121">
        <f t="shared" si="25"/>
        <v>0</v>
      </c>
      <c r="L244" s="121">
        <f t="shared" si="26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4"/>
        <v>0</v>
      </c>
      <c r="K245" s="121">
        <f t="shared" si="25"/>
        <v>0</v>
      </c>
      <c r="L245" s="121">
        <f t="shared" si="26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4"/>
        <v>0</v>
      </c>
      <c r="K246" s="121">
        <f t="shared" si="25"/>
        <v>0</v>
      </c>
      <c r="L246" s="121">
        <f t="shared" si="26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4"/>
        <v>0</v>
      </c>
      <c r="K247" s="121">
        <f t="shared" si="25"/>
        <v>0</v>
      </c>
      <c r="L247" s="121">
        <f t="shared" si="26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8"/>
      <c r="F248" s="9"/>
      <c r="G248" s="8"/>
      <c r="H248" s="13"/>
      <c r="I248" s="13"/>
      <c r="J248" s="120">
        <f t="shared" si="24"/>
        <v>0</v>
      </c>
      <c r="K248" s="121">
        <f t="shared" si="25"/>
        <v>0</v>
      </c>
      <c r="L248" s="121">
        <f t="shared" si="26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4"/>
        <v>0</v>
      </c>
      <c r="K249" s="121">
        <f t="shared" si="25"/>
        <v>0</v>
      </c>
      <c r="L249" s="121">
        <f t="shared" si="26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4"/>
        <v>0</v>
      </c>
      <c r="K250" s="121">
        <f t="shared" si="25"/>
        <v>0</v>
      </c>
      <c r="L250" s="121">
        <f t="shared" si="26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4"/>
        <v>0</v>
      </c>
      <c r="K251" s="121">
        <f t="shared" si="25"/>
        <v>0</v>
      </c>
      <c r="L251" s="121">
        <f t="shared" si="26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E252" s="16"/>
      <c r="F252" s="9"/>
      <c r="G252" s="8"/>
      <c r="H252" s="13"/>
      <c r="I252" s="13"/>
      <c r="J252" s="120">
        <f t="shared" si="24"/>
        <v>0</v>
      </c>
      <c r="K252" s="121">
        <f t="shared" si="25"/>
        <v>0</v>
      </c>
      <c r="L252" s="121">
        <f t="shared" si="26"/>
        <v>0</v>
      </c>
      <c r="M252" s="17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 s="24" customFormat="1">
      <c r="E253" s="16"/>
      <c r="F253" s="9"/>
      <c r="G253" s="8"/>
      <c r="H253" s="13"/>
      <c r="I253" s="13"/>
      <c r="J253" s="120">
        <f t="shared" si="24"/>
        <v>0</v>
      </c>
      <c r="K253" s="121">
        <f t="shared" si="25"/>
        <v>0</v>
      </c>
      <c r="L253" s="121">
        <f t="shared" si="26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17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spans="5:38">
      <c r="J254" s="120">
        <f t="shared" si="24"/>
        <v>0</v>
      </c>
      <c r="K254" s="121">
        <f t="shared" si="25"/>
        <v>0</v>
      </c>
      <c r="L254" s="121">
        <f t="shared" si="26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3"/>
  <sheetViews>
    <sheetView showGridLines="0" topLeftCell="B1" zoomScale="90" zoomScaleNormal="90" workbookViewId="0">
      <selection activeCell="I35" sqref="I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0+65.798+187.646+1646.019+2738.581+197.926+1008.221+J10</f>
        <v>6421.2960000000003</v>
      </c>
      <c r="I10" s="63"/>
      <c r="J10" s="162">
        <f>129.743+236.84+210.522</f>
        <v>577.10500000000002</v>
      </c>
      <c r="L10" s="162">
        <f>J10+P17</f>
        <v>1967.143</v>
      </c>
      <c r="N10" s="57"/>
      <c r="O10" s="173">
        <f>+H10+K17</f>
        <v>10080.245000000001</v>
      </c>
      <c r="P10" s="174" cm="1">
        <f t="array" aca="1" ref="P10" ca="1">INDIRECT(ADDRESS(10,15,,,VLOOKUP($G$4,parameters!$G:$I,3,0)))</f>
        <v>10058.845000000001</v>
      </c>
      <c r="Q10" s="186">
        <f ca="1">O10-P10</f>
        <v>21.399999999999636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0+68.362+73.603+302.502+1813.594+46.497+224.908+J11</f>
        <v>2729.0119999999997</v>
      </c>
      <c r="I11" s="63"/>
      <c r="J11" s="18">
        <f>0.185+192.936+6.425</f>
        <v>199.54600000000002</v>
      </c>
      <c r="L11" s="18">
        <f>J11+P18</f>
        <v>603.774</v>
      </c>
      <c r="N11" s="57"/>
      <c r="O11" s="155">
        <f>+H11+K18</f>
        <v>5636.7129999999997</v>
      </c>
      <c r="P11" s="156" cm="1">
        <f t="array" aca="1" ref="P11" ca="1">INDIRECT(ADDRESS(11,15,,,VLOOKUP($G$4,parameters!$G:$I,3,0)))</f>
        <v>5621.6550000000007</v>
      </c>
      <c r="Q11" s="187">
        <f t="shared" ref="Q11:Q12" ca="1" si="0">O11-P11</f>
        <v>15.057999999999083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9150.3080000000009</v>
      </c>
      <c r="I12" s="63"/>
      <c r="J12" s="128">
        <f>SUM(J10:J11)</f>
        <v>776.65100000000007</v>
      </c>
      <c r="K12" s="67"/>
      <c r="L12" s="128">
        <f>SUM(L10:L11)</f>
        <v>2570.9169999999999</v>
      </c>
      <c r="M12" s="67"/>
      <c r="N12" s="67"/>
      <c r="O12" s="157">
        <f>SUM(O10:O11)</f>
        <v>15716.958000000001</v>
      </c>
      <c r="P12" s="158">
        <f ca="1">SUM(P10:P11)</f>
        <v>15680.500000000002</v>
      </c>
      <c r="Q12" s="159">
        <f t="shared" ca="1" si="0"/>
        <v>36.457999999998719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3658.9490000000001</v>
      </c>
      <c r="K17" s="110">
        <f>+SUMIF($F$24:$F$252,"External",$K$24:$K$252)</f>
        <v>3658.9490000000001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1390.038</v>
      </c>
      <c r="Q17" s="113">
        <f t="shared" si="1"/>
        <v>1489.2739999999999</v>
      </c>
      <c r="R17" s="113">
        <f t="shared" si="1"/>
        <v>411.81</v>
      </c>
      <c r="S17" s="113">
        <f t="shared" si="1"/>
        <v>275.80500000000001</v>
      </c>
      <c r="T17" s="113">
        <f t="shared" si="1"/>
        <v>47.76</v>
      </c>
      <c r="U17" s="113">
        <f t="shared" si="1"/>
        <v>44.262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2907.701</v>
      </c>
      <c r="K18" s="115">
        <f>+SUMIF($F$24:$F$252,"Group",$K$24:$K$252)</f>
        <v>2907.701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404.22800000000001</v>
      </c>
      <c r="Q18" s="116">
        <f t="shared" si="3"/>
        <v>247.65299999999999</v>
      </c>
      <c r="R18" s="116">
        <f t="shared" si="3"/>
        <v>472.37900000000002</v>
      </c>
      <c r="S18" s="116">
        <f t="shared" si="3"/>
        <v>14</v>
      </c>
      <c r="T18" s="116">
        <f t="shared" si="3"/>
        <v>1186</v>
      </c>
      <c r="U18" s="116">
        <f t="shared" si="3"/>
        <v>583.44100000000003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6566.65</v>
      </c>
      <c r="K19" s="117">
        <f>SUM(K17:K18)</f>
        <v>6566.65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1794.2660000000001</v>
      </c>
      <c r="Q19" s="118">
        <f t="shared" si="5"/>
        <v>1736.9269999999999</v>
      </c>
      <c r="R19" s="118">
        <f t="shared" si="5"/>
        <v>884.18900000000008</v>
      </c>
      <c r="S19" s="118">
        <f t="shared" si="5"/>
        <v>289.80500000000001</v>
      </c>
      <c r="T19" s="118">
        <f t="shared" si="5"/>
        <v>1233.76</v>
      </c>
      <c r="U19" s="118">
        <f t="shared" si="5"/>
        <v>627.70299999999997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1753.127</v>
      </c>
      <c r="K24" s="121">
        <f t="shared" ref="K24" si="8">SUM(N24:Y24)</f>
        <v>1753.127</v>
      </c>
      <c r="L24" s="121">
        <f t="shared" ref="L24" si="9">SUM(AA24:AL24)</f>
        <v>0</v>
      </c>
      <c r="M24" s="25"/>
      <c r="N24" s="26"/>
      <c r="O24" s="26"/>
      <c r="P24" s="26">
        <f>45.014-6.425-7</f>
        <v>31.589000000000006</v>
      </c>
      <c r="Q24" s="26">
        <f>2+7+23</f>
        <v>32</v>
      </c>
      <c r="R24" s="26">
        <f>699.538-318</f>
        <v>381.53800000000001</v>
      </c>
      <c r="S24" s="26">
        <f>14+318-318</f>
        <v>14</v>
      </c>
      <c r="T24" s="26">
        <f>868+318</f>
        <v>1186</v>
      </c>
      <c r="U24" s="26">
        <f>131-23</f>
        <v>108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9" si="10">+K25+L25</f>
        <v>41.400000000000006</v>
      </c>
      <c r="K25" s="121">
        <f t="shared" ref="K25:K89" si="11">SUM(N25:Y25)</f>
        <v>41.400000000000006</v>
      </c>
      <c r="L25" s="121">
        <f t="shared" ref="L25:L89" si="12">SUM(AA25:AL25)</f>
        <v>0</v>
      </c>
      <c r="M25" s="25"/>
      <c r="N25" s="26"/>
      <c r="O25" s="26"/>
      <c r="P25" s="26">
        <v>9.2000000000000028</v>
      </c>
      <c r="Q25" s="26">
        <f>32+0.2</f>
        <v>32.200000000000003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91.254999999999995</v>
      </c>
      <c r="K26" s="121">
        <f t="shared" si="11"/>
        <v>91.254999999999995</v>
      </c>
      <c r="L26" s="121">
        <f t="shared" si="12"/>
        <v>0</v>
      </c>
      <c r="M26" s="25"/>
      <c r="N26" s="26"/>
      <c r="O26" s="26"/>
      <c r="P26" s="26">
        <f>18+2</f>
        <v>20</v>
      </c>
      <c r="Q26" s="26">
        <f>5-2+41</f>
        <v>44</v>
      </c>
      <c r="R26" s="26"/>
      <c r="S26" s="26"/>
      <c r="T26" s="26"/>
      <c r="U26" s="26">
        <f>68.255-41</f>
        <v>27.254999999999995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87.507999999999996</v>
      </c>
      <c r="K27" s="121">
        <f t="shared" si="11"/>
        <v>87.507999999999996</v>
      </c>
      <c r="L27" s="121">
        <f t="shared" si="12"/>
        <v>0</v>
      </c>
      <c r="M27" s="25"/>
      <c r="N27" s="26"/>
      <c r="O27" s="26"/>
      <c r="P27" s="26">
        <v>87.507999999999996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130.989</v>
      </c>
      <c r="K28" s="121">
        <f t="shared" si="11"/>
        <v>130.989</v>
      </c>
      <c r="L28" s="121">
        <f t="shared" si="12"/>
        <v>0</v>
      </c>
      <c r="M28" s="25"/>
      <c r="N28" s="26"/>
      <c r="O28" s="26"/>
      <c r="P28" s="26">
        <v>41.618999999999993</v>
      </c>
      <c r="Q28" s="26"/>
      <c r="R28" s="26"/>
      <c r="S28" s="26"/>
      <c r="T28" s="26"/>
      <c r="U28" s="26">
        <v>89.37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7.5</v>
      </c>
      <c r="K29" s="121">
        <f t="shared" si="11"/>
        <v>7.5</v>
      </c>
      <c r="L29" s="121">
        <f t="shared" si="12"/>
        <v>0</v>
      </c>
      <c r="M29" s="25"/>
      <c r="N29" s="26"/>
      <c r="O29" s="26"/>
      <c r="P29" s="26"/>
      <c r="Q29" s="26"/>
      <c r="R29" s="26">
        <v>7.5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204" t="s">
        <v>275</v>
      </c>
      <c r="H30" s="197"/>
      <c r="I30" s="195" t="s">
        <v>234</v>
      </c>
      <c r="J30" s="120">
        <f t="shared" si="10"/>
        <v>357.10900000000004</v>
      </c>
      <c r="K30" s="121">
        <f t="shared" si="11"/>
        <v>357.10900000000004</v>
      </c>
      <c r="L30" s="121">
        <f t="shared" si="12"/>
        <v>0</v>
      </c>
      <c r="M30" s="25"/>
      <c r="N30" s="26"/>
      <c r="O30" s="26"/>
      <c r="P30" s="26">
        <f>5.293+2</f>
        <v>7.2930000000000001</v>
      </c>
      <c r="Q30" s="26">
        <f>1+12</f>
        <v>13</v>
      </c>
      <c r="R30" s="26">
        <v>35</v>
      </c>
      <c r="S30" s="26"/>
      <c r="T30" s="26"/>
      <c r="U30" s="26">
        <f>233.935+82.881-2-1-12</f>
        <v>301.81600000000003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22.134</v>
      </c>
      <c r="K31" s="121">
        <f t="shared" si="11"/>
        <v>22.134</v>
      </c>
      <c r="L31" s="121">
        <f t="shared" si="12"/>
        <v>0</v>
      </c>
      <c r="M31" s="25"/>
      <c r="N31" s="26"/>
      <c r="O31" s="26"/>
      <c r="P31" s="26">
        <v>3</v>
      </c>
      <c r="Q31" s="26">
        <f>22.134-3</f>
        <v>19.134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312</v>
      </c>
      <c r="F32" s="9" t="s">
        <v>10</v>
      </c>
      <c r="G32" s="9" t="s">
        <v>312</v>
      </c>
      <c r="H32" s="197"/>
      <c r="I32" s="195" t="s">
        <v>313</v>
      </c>
      <c r="J32" s="120">
        <f t="shared" ref="J32" si="13">+K32+L32</f>
        <v>6.5170000000000003</v>
      </c>
      <c r="K32" s="121">
        <f t="shared" ref="K32" si="14">SUM(N32:Y32)</f>
        <v>6.5170000000000003</v>
      </c>
      <c r="L32" s="121">
        <f t="shared" ref="L32" si="15">SUM(AA32:AL32)</f>
        <v>0</v>
      </c>
      <c r="M32" s="203"/>
      <c r="N32" s="26"/>
      <c r="O32" s="26"/>
      <c r="P32" s="26"/>
      <c r="Q32" s="26">
        <v>6.5170000000000003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233.60000000000002</v>
      </c>
      <c r="K33" s="121">
        <f t="shared" si="11"/>
        <v>233.60000000000002</v>
      </c>
      <c r="L33" s="121">
        <f t="shared" si="12"/>
        <v>0</v>
      </c>
      <c r="M33" s="17"/>
      <c r="N33" s="26"/>
      <c r="O33" s="26"/>
      <c r="P33" s="26">
        <v>159.25900000000001</v>
      </c>
      <c r="Q33" s="26">
        <v>66</v>
      </c>
      <c r="R33" s="26">
        <v>8.3409999999999993</v>
      </c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106.80199999999999</v>
      </c>
      <c r="K34" s="121">
        <f t="shared" si="11"/>
        <v>106.80199999999999</v>
      </c>
      <c r="L34" s="121">
        <f t="shared" si="12"/>
        <v>0</v>
      </c>
      <c r="M34" s="17"/>
      <c r="N34" s="26"/>
      <c r="O34" s="26"/>
      <c r="P34" s="26">
        <v>2</v>
      </c>
      <c r="Q34" s="26">
        <v>29.802</v>
      </c>
      <c r="R34" s="26">
        <v>30</v>
      </c>
      <c r="S34" s="26"/>
      <c r="T34" s="26"/>
      <c r="U34" s="26">
        <v>45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>
        <v>7.9740000000000038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78</v>
      </c>
      <c r="F36" s="9" t="s">
        <v>10</v>
      </c>
      <c r="G36" s="9" t="s">
        <v>240</v>
      </c>
      <c r="H36" s="197"/>
      <c r="I36" s="195" t="s">
        <v>234</v>
      </c>
      <c r="J36" s="120">
        <f t="shared" si="10"/>
        <v>42.486000000000004</v>
      </c>
      <c r="K36" s="121">
        <f t="shared" si="11"/>
        <v>42.486000000000004</v>
      </c>
      <c r="L36" s="121">
        <f t="shared" si="12"/>
        <v>0</v>
      </c>
      <c r="M36" s="17"/>
      <c r="N36" s="26"/>
      <c r="O36" s="26"/>
      <c r="P36" s="26">
        <v>15.486000000000001</v>
      </c>
      <c r="Q36" s="26">
        <v>5</v>
      </c>
      <c r="R36" s="26">
        <v>10</v>
      </c>
      <c r="S36" s="26"/>
      <c r="T36" s="26"/>
      <c r="U36" s="26">
        <v>12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136</v>
      </c>
      <c r="F37" s="9" t="s">
        <v>10</v>
      </c>
      <c r="G37" s="9" t="s">
        <v>314</v>
      </c>
      <c r="H37" s="197"/>
      <c r="I37" s="195" t="s">
        <v>234</v>
      </c>
      <c r="J37" s="120">
        <f t="shared" si="10"/>
        <v>19.3</v>
      </c>
      <c r="K37" s="121">
        <f t="shared" si="11"/>
        <v>19.3</v>
      </c>
      <c r="L37" s="121">
        <f t="shared" si="12"/>
        <v>0</v>
      </c>
      <c r="M37" s="17"/>
      <c r="N37" s="26"/>
      <c r="O37" s="26"/>
      <c r="P37" s="26">
        <v>19.3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85.313000000000002</v>
      </c>
      <c r="K38" s="121">
        <f t="shared" si="11"/>
        <v>85.313000000000002</v>
      </c>
      <c r="L38" s="121">
        <f t="shared" si="12"/>
        <v>0</v>
      </c>
      <c r="M38" s="17"/>
      <c r="N38" s="26"/>
      <c r="O38" s="26"/>
      <c r="P38" s="26">
        <f>108.89-97.203</f>
        <v>11.686999999999998</v>
      </c>
      <c r="Q38" s="26"/>
      <c r="R38" s="26"/>
      <c r="S38" s="26">
        <v>73.626000000000005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199.47899999999998</v>
      </c>
      <c r="K39" s="121">
        <f t="shared" si="11"/>
        <v>199.47899999999998</v>
      </c>
      <c r="L39" s="121">
        <f t="shared" si="12"/>
        <v>0</v>
      </c>
      <c r="M39" s="17"/>
      <c r="N39" s="26"/>
      <c r="O39" s="26"/>
      <c r="P39" s="26">
        <f>225.664-26.585+0.4</f>
        <v>199.47899999999998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281</v>
      </c>
      <c r="H40" s="197"/>
      <c r="I40" s="195" t="s">
        <v>234</v>
      </c>
      <c r="J40" s="120">
        <f t="shared" si="10"/>
        <v>36.892000000000003</v>
      </c>
      <c r="K40" s="121">
        <f t="shared" si="11"/>
        <v>36.892000000000003</v>
      </c>
      <c r="L40" s="121">
        <f t="shared" si="12"/>
        <v>0</v>
      </c>
      <c r="M40" s="17"/>
      <c r="N40" s="26"/>
      <c r="O40" s="26"/>
      <c r="P40" s="26">
        <v>36.892000000000003</v>
      </c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276</v>
      </c>
      <c r="F41" s="9" t="s">
        <v>40</v>
      </c>
      <c r="G41" s="9" t="s">
        <v>276</v>
      </c>
      <c r="H41" s="197"/>
      <c r="I41" s="195" t="s">
        <v>234</v>
      </c>
      <c r="J41" s="120">
        <f>+K41+L41</f>
        <v>17</v>
      </c>
      <c r="K41" s="121">
        <f>SUM(N41:Y41)</f>
        <v>17</v>
      </c>
      <c r="L41" s="121">
        <f>SUM(AA41:AL41)</f>
        <v>0</v>
      </c>
      <c r="M41" s="17"/>
      <c r="N41" s="26"/>
      <c r="O41" s="26"/>
      <c r="P41" s="26">
        <v>17</v>
      </c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256</v>
      </c>
      <c r="F42" s="9" t="s">
        <v>40</v>
      </c>
      <c r="G42" s="9" t="s">
        <v>257</v>
      </c>
      <c r="H42" s="197"/>
      <c r="I42" s="195" t="s">
        <v>234</v>
      </c>
      <c r="J42" s="120">
        <f t="shared" si="10"/>
        <v>224.577</v>
      </c>
      <c r="K42" s="121">
        <f t="shared" si="11"/>
        <v>224.577</v>
      </c>
      <c r="L42" s="121">
        <f t="shared" si="12"/>
        <v>0</v>
      </c>
      <c r="M42" s="17"/>
      <c r="N42" s="26"/>
      <c r="O42" s="26"/>
      <c r="P42" s="26">
        <f>46.127-16.55</f>
        <v>29.577000000000002</v>
      </c>
      <c r="Q42" s="26">
        <v>10</v>
      </c>
      <c r="R42" s="26"/>
      <c r="S42" s="26">
        <v>150</v>
      </c>
      <c r="T42" s="26"/>
      <c r="U42" s="26">
        <v>35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264</v>
      </c>
      <c r="F43" s="9" t="s">
        <v>40</v>
      </c>
      <c r="G43" s="9" t="s">
        <v>265</v>
      </c>
      <c r="H43" s="197"/>
      <c r="I43" s="195" t="s">
        <v>234</v>
      </c>
      <c r="J43" s="120">
        <f t="shared" si="10"/>
        <v>144.05700000000002</v>
      </c>
      <c r="K43" s="121">
        <f t="shared" si="11"/>
        <v>144.05700000000002</v>
      </c>
      <c r="L43" s="121">
        <f t="shared" si="12"/>
        <v>0</v>
      </c>
      <c r="M43" s="17"/>
      <c r="N43" s="26"/>
      <c r="O43" s="26"/>
      <c r="P43" s="26">
        <f>126.748-1.691</f>
        <v>125.057</v>
      </c>
      <c r="Q43" s="26">
        <f>2+4</f>
        <v>6</v>
      </c>
      <c r="R43" s="26"/>
      <c r="S43" s="26"/>
      <c r="T43" s="26">
        <v>13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258</v>
      </c>
      <c r="F44" s="9" t="s">
        <v>40</v>
      </c>
      <c r="G44" s="9" t="s">
        <v>259</v>
      </c>
      <c r="H44" s="197"/>
      <c r="I44" s="195" t="s">
        <v>234</v>
      </c>
      <c r="J44" s="120">
        <f t="shared" si="10"/>
        <v>119.718</v>
      </c>
      <c r="K44" s="121">
        <f t="shared" si="11"/>
        <v>119.718</v>
      </c>
      <c r="L44" s="121">
        <f t="shared" si="12"/>
        <v>0</v>
      </c>
      <c r="M44" s="17"/>
      <c r="N44" s="26"/>
      <c r="O44" s="26"/>
      <c r="P44" s="26"/>
      <c r="Q44" s="26"/>
      <c r="R44" s="26">
        <v>119.718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310</v>
      </c>
      <c r="F45" s="9" t="s">
        <v>40</v>
      </c>
      <c r="G45" s="9" t="s">
        <v>311</v>
      </c>
      <c r="H45" s="198"/>
      <c r="I45" s="195" t="s">
        <v>234</v>
      </c>
      <c r="J45" s="120">
        <f t="shared" si="10"/>
        <v>7.734</v>
      </c>
      <c r="K45" s="121">
        <f t="shared" si="11"/>
        <v>7.734</v>
      </c>
      <c r="L45" s="121">
        <f t="shared" si="12"/>
        <v>0</v>
      </c>
      <c r="M45" s="17"/>
      <c r="N45" s="26"/>
      <c r="O45" s="26"/>
      <c r="P45" s="26"/>
      <c r="Q45" s="26"/>
      <c r="R45" s="26">
        <v>7.734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250</v>
      </c>
      <c r="F46" s="9" t="s">
        <v>40</v>
      </c>
      <c r="G46" s="9" t="s">
        <v>251</v>
      </c>
      <c r="H46" s="198"/>
      <c r="I46" s="195" t="s">
        <v>247</v>
      </c>
      <c r="J46" s="120">
        <f t="shared" si="10"/>
        <v>751.65499999999997</v>
      </c>
      <c r="K46" s="121">
        <f t="shared" si="11"/>
        <v>751.65499999999997</v>
      </c>
      <c r="L46" s="121">
        <f t="shared" si="12"/>
        <v>0</v>
      </c>
      <c r="M46" s="17"/>
      <c r="N46" s="26"/>
      <c r="O46" s="26"/>
      <c r="P46" s="26">
        <f>288.95-0.519-20-5</f>
        <v>263.43099999999998</v>
      </c>
      <c r="Q46" s="26">
        <f>179+20-5+51-4</f>
        <v>241</v>
      </c>
      <c r="R46" s="26">
        <f>187.358+5+51-51</f>
        <v>192.358</v>
      </c>
      <c r="S46" s="26">
        <f>78.866-51+5+4+5</f>
        <v>41.866</v>
      </c>
      <c r="T46" s="26">
        <v>13</v>
      </c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254</v>
      </c>
      <c r="F47" s="9" t="s">
        <v>40</v>
      </c>
      <c r="G47" s="9" t="s">
        <v>255</v>
      </c>
      <c r="H47" s="198"/>
      <c r="I47" s="195" t="s">
        <v>247</v>
      </c>
      <c r="J47" s="120">
        <f t="shared" si="10"/>
        <v>379.65999999999997</v>
      </c>
      <c r="K47" s="121">
        <f t="shared" si="11"/>
        <v>379.65999999999997</v>
      </c>
      <c r="L47" s="121">
        <f t="shared" si="12"/>
        <v>0</v>
      </c>
      <c r="M47" s="17"/>
      <c r="N47" s="26"/>
      <c r="O47" s="26"/>
      <c r="P47" s="26">
        <v>41.66</v>
      </c>
      <c r="Q47" s="26">
        <v>253</v>
      </c>
      <c r="R47" s="26">
        <v>85</v>
      </c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296</v>
      </c>
      <c r="F48" s="9" t="s">
        <v>40</v>
      </c>
      <c r="G48" s="9" t="s">
        <v>296</v>
      </c>
      <c r="H48" s="195"/>
      <c r="I48" s="195" t="s">
        <v>247</v>
      </c>
      <c r="J48" s="120">
        <f t="shared" si="10"/>
        <v>104.962</v>
      </c>
      <c r="K48" s="121">
        <f t="shared" si="11"/>
        <v>104.962</v>
      </c>
      <c r="L48" s="121">
        <f t="shared" si="12"/>
        <v>0</v>
      </c>
      <c r="M48" s="17"/>
      <c r="N48" s="26"/>
      <c r="O48" s="26"/>
      <c r="P48" s="26"/>
      <c r="Q48" s="26">
        <v>104.962</v>
      </c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5"/>
      <c r="I49" s="195" t="s">
        <v>247</v>
      </c>
      <c r="J49" s="120">
        <f t="shared" si="10"/>
        <v>26.012</v>
      </c>
      <c r="K49" s="121">
        <f t="shared" si="11"/>
        <v>26.012</v>
      </c>
      <c r="L49" s="121">
        <f t="shared" si="12"/>
        <v>0</v>
      </c>
      <c r="M49" s="17"/>
      <c r="N49" s="26"/>
      <c r="O49" s="26"/>
      <c r="P49" s="26">
        <f>31.402-22.703</f>
        <v>8.6990000000000016</v>
      </c>
      <c r="Q49" s="26">
        <v>7</v>
      </c>
      <c r="R49" s="26"/>
      <c r="S49" s="26">
        <v>10.313000000000001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6"/>
      <c r="I50" s="195" t="s">
        <v>247</v>
      </c>
      <c r="J50" s="120">
        <f t="shared" si="10"/>
        <v>293.33799999999997</v>
      </c>
      <c r="K50" s="121">
        <f t="shared" si="11"/>
        <v>293.33799999999997</v>
      </c>
      <c r="L50" s="121">
        <f t="shared" si="12"/>
        <v>0</v>
      </c>
      <c r="M50" s="17"/>
      <c r="N50" s="26"/>
      <c r="O50" s="26"/>
      <c r="P50" s="26">
        <v>264.57799999999997</v>
      </c>
      <c r="Q50" s="26"/>
      <c r="R50" s="26">
        <v>7</v>
      </c>
      <c r="S50" s="26"/>
      <c r="T50" s="26">
        <v>21.759999999999998</v>
      </c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195" t="s">
        <v>247</v>
      </c>
      <c r="J51" s="120">
        <f t="shared" si="10"/>
        <v>741.88700000000006</v>
      </c>
      <c r="K51" s="121">
        <f t="shared" si="11"/>
        <v>741.88700000000006</v>
      </c>
      <c r="L51" s="121">
        <f t="shared" si="12"/>
        <v>0</v>
      </c>
      <c r="M51" s="17"/>
      <c r="N51" s="26"/>
      <c r="O51" s="26"/>
      <c r="P51" s="26">
        <f>62.039-45.79</f>
        <v>16.249000000000002</v>
      </c>
      <c r="Q51" s="26">
        <v>725.63800000000003</v>
      </c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195" t="s">
        <v>247</v>
      </c>
      <c r="J52" s="120">
        <f t="shared" si="10"/>
        <v>1.0820000000000007</v>
      </c>
      <c r="K52" s="121">
        <f t="shared" si="11"/>
        <v>1.0820000000000007</v>
      </c>
      <c r="L52" s="121">
        <f t="shared" si="12"/>
        <v>0</v>
      </c>
      <c r="M52" s="17"/>
      <c r="N52" s="26"/>
      <c r="O52" s="26"/>
      <c r="P52" s="26">
        <v>1.0820000000000007</v>
      </c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195" t="s">
        <v>247</v>
      </c>
      <c r="J53" s="120">
        <f t="shared" si="10"/>
        <v>42.088000000000001</v>
      </c>
      <c r="K53" s="121">
        <f t="shared" si="11"/>
        <v>42.088000000000001</v>
      </c>
      <c r="L53" s="121">
        <f t="shared" si="12"/>
        <v>0</v>
      </c>
      <c r="M53" s="17"/>
      <c r="N53" s="26"/>
      <c r="O53" s="26"/>
      <c r="P53" s="26">
        <v>32.088000000000001</v>
      </c>
      <c r="Q53" s="26">
        <v>10</v>
      </c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195" t="s">
        <v>247</v>
      </c>
      <c r="J54" s="120">
        <f t="shared" si="10"/>
        <v>116.175</v>
      </c>
      <c r="K54" s="121">
        <f t="shared" si="11"/>
        <v>116.175</v>
      </c>
      <c r="L54" s="121">
        <f t="shared" si="12"/>
        <v>0</v>
      </c>
      <c r="M54" s="17"/>
      <c r="N54" s="26"/>
      <c r="O54" s="26"/>
      <c r="P54" s="26"/>
      <c r="Q54" s="26">
        <f>45.041+64</f>
        <v>109.041</v>
      </c>
      <c r="R54" s="26"/>
      <c r="S54" s="26"/>
      <c r="T54" s="26"/>
      <c r="U54" s="26">
        <v>7.1340000000000003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195" t="s">
        <v>247</v>
      </c>
      <c r="J55" s="120">
        <f t="shared" si="10"/>
        <v>2.1280000000000001</v>
      </c>
      <c r="K55" s="121">
        <f t="shared" si="11"/>
        <v>2.1280000000000001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>
        <v>2.1280000000000001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195" t="s">
        <v>247</v>
      </c>
      <c r="J56" s="120">
        <f t="shared" si="10"/>
        <v>62.327999999999996</v>
      </c>
      <c r="K56" s="121">
        <f t="shared" si="11"/>
        <v>62.327999999999996</v>
      </c>
      <c r="L56" s="121">
        <f t="shared" si="12"/>
        <v>0</v>
      </c>
      <c r="M56" s="17"/>
      <c r="N56" s="26"/>
      <c r="O56" s="26"/>
      <c r="P56" s="26">
        <v>62.327999999999996</v>
      </c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195" t="s">
        <v>247</v>
      </c>
      <c r="J57" s="120">
        <f t="shared" si="10"/>
        <v>208.238</v>
      </c>
      <c r="K57" s="121">
        <f t="shared" si="11"/>
        <v>208.238</v>
      </c>
      <c r="L57" s="121">
        <f t="shared" si="12"/>
        <v>0</v>
      </c>
      <c r="M57" s="17"/>
      <c r="N57" s="26"/>
      <c r="O57" s="26"/>
      <c r="P57" s="26">
        <v>208.238</v>
      </c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294</v>
      </c>
      <c r="F58" s="9" t="s">
        <v>40</v>
      </c>
      <c r="G58" s="9" t="s">
        <v>294</v>
      </c>
      <c r="H58" s="197"/>
      <c r="I58" s="195" t="s">
        <v>247</v>
      </c>
      <c r="J58" s="120">
        <f t="shared" si="10"/>
        <v>22.632999999999999</v>
      </c>
      <c r="K58" s="121">
        <f t="shared" si="11"/>
        <v>22.632999999999999</v>
      </c>
      <c r="L58" s="121">
        <f t="shared" si="12"/>
        <v>0</v>
      </c>
      <c r="M58" s="17"/>
      <c r="N58" s="26"/>
      <c r="O58" s="26"/>
      <c r="P58" s="26"/>
      <c r="Q58" s="26">
        <v>22.632999999999999</v>
      </c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271</v>
      </c>
      <c r="F59" s="9" t="s">
        <v>40</v>
      </c>
      <c r="G59" s="9" t="s">
        <v>272</v>
      </c>
      <c r="H59" s="197"/>
      <c r="I59" s="195" t="s">
        <v>247</v>
      </c>
      <c r="J59" s="120">
        <f t="shared" si="10"/>
        <v>49.941000000000003</v>
      </c>
      <c r="K59" s="121">
        <f t="shared" si="11"/>
        <v>49.941000000000003</v>
      </c>
      <c r="L59" s="121">
        <f t="shared" si="12"/>
        <v>0</v>
      </c>
      <c r="M59" s="17"/>
      <c r="N59" s="26"/>
      <c r="O59" s="26"/>
      <c r="P59" s="26">
        <v>49.941000000000003</v>
      </c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273</v>
      </c>
      <c r="F60" s="9" t="s">
        <v>40</v>
      </c>
      <c r="G60" s="9" t="s">
        <v>274</v>
      </c>
      <c r="H60" s="197"/>
      <c r="I60" s="195" t="s">
        <v>247</v>
      </c>
      <c r="J60" s="120">
        <f t="shared" si="10"/>
        <v>12.052</v>
      </c>
      <c r="K60" s="121">
        <f t="shared" si="11"/>
        <v>12.052</v>
      </c>
      <c r="L60" s="121">
        <f t="shared" si="12"/>
        <v>0</v>
      </c>
      <c r="M60" s="17"/>
      <c r="N60" s="26"/>
      <c r="O60" s="26"/>
      <c r="P60" s="26">
        <v>12.052</v>
      </c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302</v>
      </c>
      <c r="F61" s="9" t="s">
        <v>40</v>
      </c>
      <c r="G61" s="9" t="s">
        <v>302</v>
      </c>
      <c r="H61" s="197"/>
      <c r="I61" s="195" t="s">
        <v>247</v>
      </c>
      <c r="J61" s="120">
        <f t="shared" si="10"/>
        <v>3</v>
      </c>
      <c r="K61" s="121">
        <f t="shared" si="11"/>
        <v>3</v>
      </c>
      <c r="L61" s="121">
        <f t="shared" si="12"/>
        <v>0</v>
      </c>
      <c r="M61" s="17"/>
      <c r="N61" s="26"/>
      <c r="O61" s="26"/>
      <c r="P61" s="26">
        <v>3</v>
      </c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 t="s">
        <v>304</v>
      </c>
      <c r="F62" s="9" t="s">
        <v>40</v>
      </c>
      <c r="G62" s="9" t="s">
        <v>304</v>
      </c>
      <c r="H62" s="197"/>
      <c r="I62" s="195" t="s">
        <v>247</v>
      </c>
      <c r="J62" s="120">
        <f t="shared" si="10"/>
        <v>7</v>
      </c>
      <c r="K62" s="121">
        <f t="shared" si="11"/>
        <v>7</v>
      </c>
      <c r="L62" s="121">
        <f t="shared" si="12"/>
        <v>0</v>
      </c>
      <c r="M62" s="17"/>
      <c r="N62" s="26"/>
      <c r="O62" s="26"/>
      <c r="P62" s="26">
        <v>7</v>
      </c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8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95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95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zoomScale="90" zoomScaleNormal="90" workbookViewId="0">
      <selection activeCell="K12" sqref="K1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0+65.798+187.646+1646.019+2738.581+197.926+1008.221+J10</f>
        <v>6840.5090000000009</v>
      </c>
      <c r="I10" s="63"/>
      <c r="J10" s="162">
        <f>129.743+236.84+210.522+419.213</f>
        <v>996.31799999999998</v>
      </c>
      <c r="L10" s="162">
        <f>J10+P17</f>
        <v>1766.6120000000001</v>
      </c>
      <c r="N10" s="57"/>
      <c r="O10" s="173">
        <f>+H10+K17</f>
        <v>11412.145</v>
      </c>
      <c r="P10" s="174" cm="1">
        <f t="array" aca="1" ref="P10" ca="1">INDIRECT(ADDRESS(10,15,,,VLOOKUP($G$4,parameters!$G:$I,3,0)))</f>
        <v>10080.245000000001</v>
      </c>
      <c r="Q10" s="186">
        <f ca="1">O10-P10</f>
        <v>1331.8999999999996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0+68.362+73.603+302.502+1813.594+46.497+224.908+J11</f>
        <v>2835.7139999999999</v>
      </c>
      <c r="I11" s="63"/>
      <c r="J11" s="18">
        <f>0.185+192.936+6.425+106.702</f>
        <v>306.24800000000005</v>
      </c>
      <c r="L11" s="18">
        <f>J11+P18</f>
        <v>541.85599999999999</v>
      </c>
      <c r="N11" s="57"/>
      <c r="O11" s="155">
        <f>+H11+K18</f>
        <v>5766.7130000000006</v>
      </c>
      <c r="P11" s="156" cm="1">
        <f t="array" aca="1" ref="P11" ca="1">INDIRECT(ADDRESS(11,15,,,VLOOKUP($G$4,parameters!$G:$I,3,0)))</f>
        <v>5636.7129999999997</v>
      </c>
      <c r="Q11" s="187">
        <f t="shared" ref="Q11:Q12" ca="1" si="0">O11-P11</f>
        <v>130.00000000000091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9676.2230000000018</v>
      </c>
      <c r="I12" s="63"/>
      <c r="J12" s="128">
        <f>SUM(J10:J11)</f>
        <v>1302.566</v>
      </c>
      <c r="K12" s="67"/>
      <c r="L12" s="128">
        <f>SUM(L10:L11)</f>
        <v>2308.4679999999998</v>
      </c>
      <c r="M12" s="67"/>
      <c r="N12" s="67"/>
      <c r="O12" s="157">
        <f>SUM(O10:O11)</f>
        <v>17178.858</v>
      </c>
      <c r="P12" s="158">
        <f ca="1">SUM(P10:P11)</f>
        <v>15716.958000000001</v>
      </c>
      <c r="Q12" s="159">
        <f t="shared" ca="1" si="0"/>
        <v>1461.8999999999996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4571.6359999999995</v>
      </c>
      <c r="K17" s="110">
        <f>+SUMIF($F$24:$F$250,"External",$K$24:$K$250)</f>
        <v>4571.6359999999995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770.29399999999998</v>
      </c>
      <c r="Q17" s="113">
        <f t="shared" si="1"/>
        <v>1647.6120000000001</v>
      </c>
      <c r="R17" s="113">
        <f t="shared" si="1"/>
        <v>677.13099999999986</v>
      </c>
      <c r="S17" s="113">
        <f t="shared" si="1"/>
        <v>1125.3710000000001</v>
      </c>
      <c r="T17" s="113">
        <f t="shared" si="1"/>
        <v>317.108</v>
      </c>
      <c r="U17" s="113">
        <f t="shared" si="1"/>
        <v>34.119999999999997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2930.9990000000007</v>
      </c>
      <c r="K18" s="115">
        <f>+SUMIF($F$24:$F$250,"Group",$K$24:$K$250)</f>
        <v>2930.9990000000007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235.608</v>
      </c>
      <c r="Q18" s="116">
        <f t="shared" si="3"/>
        <v>423.04700000000003</v>
      </c>
      <c r="R18" s="116">
        <f t="shared" si="3"/>
        <v>548.87200000000007</v>
      </c>
      <c r="S18" s="116">
        <f t="shared" si="3"/>
        <v>14</v>
      </c>
      <c r="T18" s="116">
        <f t="shared" si="3"/>
        <v>1186</v>
      </c>
      <c r="U18" s="116">
        <f t="shared" si="3"/>
        <v>523.47199999999998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7502.6350000000002</v>
      </c>
      <c r="K19" s="117">
        <f>SUM(K17:K18)</f>
        <v>7502.6350000000002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1005.902</v>
      </c>
      <c r="Q19" s="118">
        <f t="shared" si="5"/>
        <v>2070.6590000000001</v>
      </c>
      <c r="R19" s="118">
        <f t="shared" si="5"/>
        <v>1226.0029999999999</v>
      </c>
      <c r="S19" s="118">
        <f t="shared" si="5"/>
        <v>1139.3710000000001</v>
      </c>
      <c r="T19" s="118">
        <f t="shared" si="5"/>
        <v>1503.1079999999999</v>
      </c>
      <c r="U19" s="118">
        <f t="shared" si="5"/>
        <v>557.59199999999998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1753.127</v>
      </c>
      <c r="K24" s="121">
        <f t="shared" ref="K24" si="8">SUM(N24:Y24)</f>
        <v>1753.127</v>
      </c>
      <c r="L24" s="121">
        <f t="shared" ref="L24" si="9">SUM(AA24:AL24)</f>
        <v>0</v>
      </c>
      <c r="M24" s="25"/>
      <c r="N24" s="26"/>
      <c r="O24" s="26"/>
      <c r="P24" s="26">
        <v>31.589000000000006</v>
      </c>
      <c r="Q24" s="26">
        <v>32</v>
      </c>
      <c r="R24" s="26">
        <v>381.53800000000001</v>
      </c>
      <c r="S24" s="26">
        <v>14</v>
      </c>
      <c r="T24" s="26">
        <v>1186</v>
      </c>
      <c r="U24" s="26">
        <v>108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41.400000000000006</v>
      </c>
      <c r="K25" s="121">
        <f t="shared" ref="K25:K87" si="11">SUM(N25:Y25)</f>
        <v>41.400000000000006</v>
      </c>
      <c r="L25" s="121">
        <f t="shared" ref="L25:L87" si="12">SUM(AA25:AL25)</f>
        <v>0</v>
      </c>
      <c r="M25" s="25"/>
      <c r="N25" s="26"/>
      <c r="O25" s="26"/>
      <c r="P25" s="26"/>
      <c r="Q25" s="26">
        <f>9.2+32.2</f>
        <v>41.400000000000006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88.207999999999998</v>
      </c>
      <c r="K26" s="121">
        <f t="shared" si="11"/>
        <v>88.207999999999998</v>
      </c>
      <c r="L26" s="121">
        <f t="shared" si="12"/>
        <v>0</v>
      </c>
      <c r="M26" s="25"/>
      <c r="N26" s="26"/>
      <c r="O26" s="26"/>
      <c r="P26" s="26"/>
      <c r="Q26" s="26">
        <f>20-3.047+44+3</f>
        <v>63.953000000000003</v>
      </c>
      <c r="R26" s="26"/>
      <c r="S26" s="26"/>
      <c r="T26" s="26"/>
      <c r="U26" s="26">
        <f>27.255-3</f>
        <v>24.254999999999999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87.507999999999996</v>
      </c>
      <c r="K27" s="121">
        <f t="shared" si="11"/>
        <v>87.507999999999996</v>
      </c>
      <c r="L27" s="121">
        <f t="shared" si="12"/>
        <v>0</v>
      </c>
      <c r="M27" s="25"/>
      <c r="N27" s="26"/>
      <c r="O27" s="26"/>
      <c r="P27" s="26"/>
      <c r="Q27" s="26"/>
      <c r="R27" s="26">
        <v>87.507999999999996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32.401000000000003</v>
      </c>
      <c r="K28" s="121">
        <f t="shared" si="11"/>
        <v>32.401000000000003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41.619-97.774+89.37-0.654-0.16</f>
        <v>32.401000000000003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4.8260000000000005</v>
      </c>
      <c r="K29" s="121">
        <f t="shared" si="11"/>
        <v>4.8260000000000005</v>
      </c>
      <c r="L29" s="121">
        <f t="shared" si="12"/>
        <v>0</v>
      </c>
      <c r="M29" s="25"/>
      <c r="N29" s="26"/>
      <c r="O29" s="26"/>
      <c r="P29" s="26"/>
      <c r="Q29" s="26"/>
      <c r="R29" s="26">
        <f>7.5-2.674</f>
        <v>4.8260000000000005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357.10900000000004</v>
      </c>
      <c r="K30" s="121">
        <f t="shared" si="11"/>
        <v>357.10900000000004</v>
      </c>
      <c r="L30" s="121">
        <f t="shared" si="12"/>
        <v>0</v>
      </c>
      <c r="M30" s="25"/>
      <c r="N30" s="26"/>
      <c r="O30" s="26"/>
      <c r="P30" s="26"/>
      <c r="Q30" s="26">
        <f>13+7.293</f>
        <v>20.292999999999999</v>
      </c>
      <c r="R30" s="26">
        <v>35</v>
      </c>
      <c r="S30" s="26"/>
      <c r="T30" s="26"/>
      <c r="U30" s="26">
        <v>301.81600000000003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21.254999999999999</v>
      </c>
      <c r="K31" s="121">
        <f t="shared" si="11"/>
        <v>21.254999999999999</v>
      </c>
      <c r="L31" s="121">
        <f t="shared" si="12"/>
        <v>0</v>
      </c>
      <c r="M31" s="25"/>
      <c r="N31" s="26"/>
      <c r="O31" s="26"/>
      <c r="P31" s="26"/>
      <c r="Q31" s="26">
        <f>3-0.879+19.134</f>
        <v>21.254999999999999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5.0030000000000001</v>
      </c>
      <c r="K32" s="121">
        <f t="shared" si="11"/>
        <v>5.0030000000000001</v>
      </c>
      <c r="L32" s="121">
        <f t="shared" si="12"/>
        <v>0</v>
      </c>
      <c r="M32" s="17"/>
      <c r="N32" s="26"/>
      <c r="O32" s="26"/>
      <c r="P32" s="26"/>
      <c r="Q32" s="26">
        <f>6.517-1.514</f>
        <v>5.0030000000000001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363.6</v>
      </c>
      <c r="K33" s="121">
        <f t="shared" si="11"/>
        <v>363.6</v>
      </c>
      <c r="L33" s="121">
        <f t="shared" si="12"/>
        <v>0</v>
      </c>
      <c r="M33" s="17"/>
      <c r="N33" s="26"/>
      <c r="O33" s="26"/>
      <c r="P33" s="26">
        <v>159.25900000000001</v>
      </c>
      <c r="Q33" s="26">
        <f>66+8.341+130</f>
        <v>204.34100000000001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106.80199999999999</v>
      </c>
      <c r="K34" s="121">
        <f t="shared" si="11"/>
        <v>106.80199999999999</v>
      </c>
      <c r="L34" s="121">
        <f t="shared" si="12"/>
        <v>0</v>
      </c>
      <c r="M34" s="17"/>
      <c r="N34" s="26"/>
      <c r="O34" s="26"/>
      <c r="P34" s="26">
        <v>2</v>
      </c>
      <c r="Q34" s="26">
        <v>29.802</v>
      </c>
      <c r="R34" s="26">
        <v>30</v>
      </c>
      <c r="S34" s="26"/>
      <c r="T34" s="26"/>
      <c r="U34" s="26">
        <v>45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>
        <v>7.9740000000000038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78</v>
      </c>
      <c r="F36" s="9" t="s">
        <v>10</v>
      </c>
      <c r="G36" s="9" t="s">
        <v>240</v>
      </c>
      <c r="H36" s="197"/>
      <c r="I36" s="195" t="s">
        <v>234</v>
      </c>
      <c r="J36" s="120">
        <f t="shared" si="10"/>
        <v>42.486000000000004</v>
      </c>
      <c r="K36" s="121">
        <f t="shared" si="11"/>
        <v>42.486000000000004</v>
      </c>
      <c r="L36" s="121">
        <f t="shared" si="12"/>
        <v>0</v>
      </c>
      <c r="M36" s="17"/>
      <c r="N36" s="26"/>
      <c r="O36" s="26"/>
      <c r="P36" s="26">
        <v>15.486000000000001</v>
      </c>
      <c r="Q36" s="26">
        <v>5</v>
      </c>
      <c r="R36" s="26">
        <v>10</v>
      </c>
      <c r="S36" s="26"/>
      <c r="T36" s="26"/>
      <c r="U36" s="26">
        <v>12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136</v>
      </c>
      <c r="F37" s="9" t="s">
        <v>10</v>
      </c>
      <c r="G37" s="9" t="s">
        <v>136</v>
      </c>
      <c r="H37" s="197"/>
      <c r="I37" s="195" t="s">
        <v>234</v>
      </c>
      <c r="J37" s="120">
        <f t="shared" si="10"/>
        <v>19.3</v>
      </c>
      <c r="K37" s="121">
        <f t="shared" si="11"/>
        <v>19.3</v>
      </c>
      <c r="L37" s="121">
        <f t="shared" si="12"/>
        <v>0</v>
      </c>
      <c r="M37" s="17"/>
      <c r="N37" s="26"/>
      <c r="O37" s="26"/>
      <c r="P37" s="26">
        <v>19.3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73.163000000000011</v>
      </c>
      <c r="K38" s="121">
        <f t="shared" si="11"/>
        <v>73.163000000000011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f>11.687-12.15+73.626</f>
        <v>73.163000000000011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1150.902</v>
      </c>
      <c r="K39" s="121">
        <f t="shared" si="11"/>
        <v>1150.902</v>
      </c>
      <c r="L39" s="121">
        <f t="shared" si="12"/>
        <v>0</v>
      </c>
      <c r="M39" s="17"/>
      <c r="N39" s="26"/>
      <c r="O39" s="26"/>
      <c r="P39" s="26">
        <f>199.479-24.316-123</f>
        <v>52.163000000000011</v>
      </c>
      <c r="Q39" s="26">
        <v>123</v>
      </c>
      <c r="R39" s="26"/>
      <c r="S39" s="26">
        <v>745.76499999999999</v>
      </c>
      <c r="T39" s="26">
        <v>229.97399999999999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281</v>
      </c>
      <c r="H40" s="197"/>
      <c r="I40" s="195" t="s">
        <v>234</v>
      </c>
      <c r="J40" s="120">
        <f t="shared" si="10"/>
        <v>36.892000000000003</v>
      </c>
      <c r="K40" s="121">
        <f t="shared" si="11"/>
        <v>36.892000000000003</v>
      </c>
      <c r="L40" s="121">
        <f t="shared" si="12"/>
        <v>0</v>
      </c>
      <c r="M40" s="17"/>
      <c r="N40" s="26"/>
      <c r="O40" s="26"/>
      <c r="P40" s="26">
        <v>36.892000000000003</v>
      </c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276</v>
      </c>
      <c r="F41" s="9" t="s">
        <v>40</v>
      </c>
      <c r="G41" s="9" t="s">
        <v>276</v>
      </c>
      <c r="H41" s="197"/>
      <c r="I41" s="195" t="s">
        <v>234</v>
      </c>
      <c r="J41" s="120">
        <f t="shared" si="10"/>
        <v>17</v>
      </c>
      <c r="K41" s="121">
        <f t="shared" si="11"/>
        <v>17</v>
      </c>
      <c r="L41" s="121">
        <f t="shared" si="12"/>
        <v>0</v>
      </c>
      <c r="M41" s="17"/>
      <c r="N41" s="26"/>
      <c r="O41" s="26"/>
      <c r="P41" s="26"/>
      <c r="Q41" s="26">
        <v>17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256</v>
      </c>
      <c r="F42" s="9" t="s">
        <v>40</v>
      </c>
      <c r="G42" s="9" t="s">
        <v>257</v>
      </c>
      <c r="H42" s="197"/>
      <c r="I42" s="195" t="s">
        <v>234</v>
      </c>
      <c r="J42" s="120">
        <f t="shared" si="10"/>
        <v>215.58600000000001</v>
      </c>
      <c r="K42" s="121">
        <f t="shared" si="11"/>
        <v>215.58600000000001</v>
      </c>
      <c r="L42" s="121">
        <f t="shared" si="12"/>
        <v>0</v>
      </c>
      <c r="M42" s="17"/>
      <c r="N42" s="26"/>
      <c r="O42" s="26"/>
      <c r="P42" s="26">
        <f>29.577-8.111</f>
        <v>21.466000000000001</v>
      </c>
      <c r="Q42" s="26">
        <v>10</v>
      </c>
      <c r="R42" s="26"/>
      <c r="S42" s="26">
        <v>150</v>
      </c>
      <c r="T42" s="26"/>
      <c r="U42" s="26">
        <f>35-0.88</f>
        <v>34.119999999999997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264</v>
      </c>
      <c r="F43" s="9" t="s">
        <v>40</v>
      </c>
      <c r="G43" s="9" t="s">
        <v>265</v>
      </c>
      <c r="H43" s="198"/>
      <c r="I43" s="195" t="s">
        <v>234</v>
      </c>
      <c r="J43" s="120">
        <f t="shared" si="10"/>
        <v>218.05700000000002</v>
      </c>
      <c r="K43" s="121">
        <f t="shared" si="11"/>
        <v>218.05700000000002</v>
      </c>
      <c r="L43" s="121">
        <f t="shared" si="12"/>
        <v>0</v>
      </c>
      <c r="M43" s="17"/>
      <c r="N43" s="26"/>
      <c r="O43" s="26"/>
      <c r="P43" s="26">
        <v>125.057</v>
      </c>
      <c r="Q43" s="26">
        <f>6+74</f>
        <v>80</v>
      </c>
      <c r="R43" s="26"/>
      <c r="S43" s="26"/>
      <c r="T43" s="26">
        <v>13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258</v>
      </c>
      <c r="F44" s="9" t="s">
        <v>40</v>
      </c>
      <c r="G44" s="9" t="s">
        <v>259</v>
      </c>
      <c r="H44" s="198"/>
      <c r="I44" s="195" t="s">
        <v>234</v>
      </c>
      <c r="J44" s="120">
        <f t="shared" si="10"/>
        <v>119.718</v>
      </c>
      <c r="K44" s="121">
        <f t="shared" si="11"/>
        <v>119.718</v>
      </c>
      <c r="L44" s="121">
        <f t="shared" si="12"/>
        <v>0</v>
      </c>
      <c r="M44" s="17"/>
      <c r="N44" s="26"/>
      <c r="O44" s="26"/>
      <c r="P44" s="26"/>
      <c r="Q44" s="26"/>
      <c r="R44" s="26">
        <v>119.718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310</v>
      </c>
      <c r="F45" s="9" t="s">
        <v>40</v>
      </c>
      <c r="G45" s="9" t="s">
        <v>311</v>
      </c>
      <c r="H45" s="198"/>
      <c r="I45" s="195" t="s">
        <v>234</v>
      </c>
      <c r="J45" s="120">
        <f t="shared" si="10"/>
        <v>7.734</v>
      </c>
      <c r="K45" s="121">
        <f t="shared" si="11"/>
        <v>7.734</v>
      </c>
      <c r="L45" s="121">
        <f t="shared" si="12"/>
        <v>0</v>
      </c>
      <c r="M45" s="17"/>
      <c r="N45" s="26"/>
      <c r="O45" s="26"/>
      <c r="P45" s="26"/>
      <c r="Q45" s="26"/>
      <c r="R45" s="26">
        <v>7.734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250</v>
      </c>
      <c r="F46" s="9" t="s">
        <v>40</v>
      </c>
      <c r="G46" s="9" t="s">
        <v>251</v>
      </c>
      <c r="H46" s="195"/>
      <c r="I46" s="195" t="s">
        <v>247</v>
      </c>
      <c r="J46" s="120">
        <f t="shared" si="10"/>
        <v>705.70499999999993</v>
      </c>
      <c r="K46" s="121">
        <f t="shared" si="11"/>
        <v>705.70499999999993</v>
      </c>
      <c r="L46" s="121">
        <f t="shared" si="12"/>
        <v>0</v>
      </c>
      <c r="M46" s="17"/>
      <c r="N46" s="26"/>
      <c r="O46" s="26"/>
      <c r="P46" s="26">
        <f>263.431-38.905-2.991-3.133-0.504-0.417</f>
        <v>217.48099999999997</v>
      </c>
      <c r="Q46" s="26">
        <v>241</v>
      </c>
      <c r="R46" s="26">
        <v>192.358</v>
      </c>
      <c r="S46" s="26">
        <v>41.866</v>
      </c>
      <c r="T46" s="26">
        <v>13</v>
      </c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254</v>
      </c>
      <c r="F47" s="9" t="s">
        <v>40</v>
      </c>
      <c r="G47" s="9" t="s">
        <v>255</v>
      </c>
      <c r="H47" s="195"/>
      <c r="I47" s="195" t="s">
        <v>247</v>
      </c>
      <c r="J47" s="120">
        <f t="shared" si="10"/>
        <v>327.3</v>
      </c>
      <c r="K47" s="121">
        <f t="shared" si="11"/>
        <v>327.3</v>
      </c>
      <c r="L47" s="121">
        <f t="shared" si="12"/>
        <v>0</v>
      </c>
      <c r="M47" s="17"/>
      <c r="N47" s="26"/>
      <c r="O47" s="26"/>
      <c r="P47" s="26"/>
      <c r="Q47" s="26">
        <f>41.66-69.36+253+17</f>
        <v>242.3</v>
      </c>
      <c r="R47" s="26">
        <v>85</v>
      </c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267</v>
      </c>
      <c r="F48" s="9" t="s">
        <v>40</v>
      </c>
      <c r="G48" s="9" t="s">
        <v>268</v>
      </c>
      <c r="H48" s="197"/>
      <c r="I48" s="195" t="s">
        <v>247</v>
      </c>
      <c r="J48" s="120">
        <f t="shared" si="10"/>
        <v>14.577</v>
      </c>
      <c r="K48" s="121">
        <f t="shared" si="11"/>
        <v>14.577</v>
      </c>
      <c r="L48" s="121">
        <f t="shared" si="12"/>
        <v>0</v>
      </c>
      <c r="M48" s="17"/>
      <c r="N48" s="26"/>
      <c r="O48" s="26"/>
      <c r="P48" s="26">
        <v>2</v>
      </c>
      <c r="Q48" s="26">
        <v>3</v>
      </c>
      <c r="R48" s="26"/>
      <c r="S48" s="26">
        <f>8.699-12.581-5.863-0.991+7+10.313-5+8</f>
        <v>9.577</v>
      </c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246</v>
      </c>
      <c r="F49" s="9" t="s">
        <v>40</v>
      </c>
      <c r="G49" s="9" t="s">
        <v>246</v>
      </c>
      <c r="H49" s="197"/>
      <c r="I49" s="195" t="s">
        <v>247</v>
      </c>
      <c r="J49" s="120">
        <f t="shared" si="10"/>
        <v>230.54999999999995</v>
      </c>
      <c r="K49" s="121">
        <f t="shared" si="11"/>
        <v>230.54999999999995</v>
      </c>
      <c r="L49" s="121">
        <f t="shared" si="12"/>
        <v>0</v>
      </c>
      <c r="M49" s="17"/>
      <c r="N49" s="26"/>
      <c r="O49" s="26"/>
      <c r="P49" s="26"/>
      <c r="Q49" s="26">
        <v>7</v>
      </c>
      <c r="R49" s="26">
        <f>264.578-62.788+21.76</f>
        <v>223.54999999999995</v>
      </c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248</v>
      </c>
      <c r="F50" s="9" t="s">
        <v>40</v>
      </c>
      <c r="G50" s="9" t="s">
        <v>249</v>
      </c>
      <c r="H50" s="197"/>
      <c r="I50" s="195" t="s">
        <v>247</v>
      </c>
      <c r="J50" s="120">
        <f t="shared" si="10"/>
        <v>800.88700000000006</v>
      </c>
      <c r="K50" s="121">
        <f t="shared" si="11"/>
        <v>800.88700000000006</v>
      </c>
      <c r="L50" s="121">
        <f t="shared" si="12"/>
        <v>0</v>
      </c>
      <c r="M50" s="17"/>
      <c r="N50" s="26"/>
      <c r="O50" s="26"/>
      <c r="P50" s="26">
        <v>16.249000000000002</v>
      </c>
      <c r="Q50" s="26">
        <f>725.638+17</f>
        <v>742.63800000000003</v>
      </c>
      <c r="R50" s="26">
        <v>9</v>
      </c>
      <c r="S50" s="26"/>
      <c r="T50" s="26">
        <v>33</v>
      </c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195" t="s">
        <v>247</v>
      </c>
      <c r="J51" s="120">
        <f t="shared" si="10"/>
        <v>7.3750000000000009</v>
      </c>
      <c r="K51" s="121">
        <f t="shared" si="11"/>
        <v>7.3750000000000009</v>
      </c>
      <c r="L51" s="121">
        <f t="shared" si="12"/>
        <v>0</v>
      </c>
      <c r="M51" s="17"/>
      <c r="N51" s="26"/>
      <c r="O51" s="26"/>
      <c r="P51" s="26">
        <v>1.0820000000000007</v>
      </c>
      <c r="Q51" s="26"/>
      <c r="R51" s="26">
        <v>6.2930000000000001</v>
      </c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252</v>
      </c>
      <c r="F52" s="9" t="s">
        <v>40</v>
      </c>
      <c r="G52" s="9" t="s">
        <v>253</v>
      </c>
      <c r="H52" s="197"/>
      <c r="I52" s="195" t="s">
        <v>247</v>
      </c>
      <c r="J52" s="120">
        <f t="shared" si="10"/>
        <v>39.122</v>
      </c>
      <c r="K52" s="121">
        <f t="shared" si="11"/>
        <v>39.122</v>
      </c>
      <c r="L52" s="121">
        <f t="shared" si="12"/>
        <v>0</v>
      </c>
      <c r="M52" s="17"/>
      <c r="N52" s="26"/>
      <c r="O52" s="26"/>
      <c r="P52" s="26">
        <f>32.088-1.764-1.202-4</f>
        <v>25.122</v>
      </c>
      <c r="Q52" s="26">
        <f>10+4</f>
        <v>14</v>
      </c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260</v>
      </c>
      <c r="F53" s="9" t="s">
        <v>40</v>
      </c>
      <c r="G53" s="9" t="s">
        <v>261</v>
      </c>
      <c r="H53" s="197"/>
      <c r="I53" s="195" t="s">
        <v>247</v>
      </c>
      <c r="J53" s="120">
        <f t="shared" si="10"/>
        <v>242.17500000000001</v>
      </c>
      <c r="K53" s="121">
        <f t="shared" si="11"/>
        <v>242.17500000000001</v>
      </c>
      <c r="L53" s="121">
        <f t="shared" si="12"/>
        <v>0</v>
      </c>
      <c r="M53" s="17"/>
      <c r="N53" s="26"/>
      <c r="O53" s="26"/>
      <c r="P53" s="26"/>
      <c r="Q53" s="26">
        <v>109.041</v>
      </c>
      <c r="R53" s="26"/>
      <c r="S53" s="26">
        <v>105</v>
      </c>
      <c r="T53" s="26">
        <f>7.134+10+11</f>
        <v>28.134</v>
      </c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279</v>
      </c>
      <c r="F54" s="9" t="s">
        <v>40</v>
      </c>
      <c r="G54" s="9" t="s">
        <v>283</v>
      </c>
      <c r="H54" s="197"/>
      <c r="I54" s="195" t="s">
        <v>247</v>
      </c>
      <c r="J54" s="120">
        <f t="shared" si="10"/>
        <v>28</v>
      </c>
      <c r="K54" s="121">
        <f t="shared" si="11"/>
        <v>28</v>
      </c>
      <c r="L54" s="121">
        <f t="shared" si="12"/>
        <v>0</v>
      </c>
      <c r="M54" s="17"/>
      <c r="N54" s="26"/>
      <c r="O54" s="26"/>
      <c r="P54" s="26"/>
      <c r="Q54" s="26">
        <v>28</v>
      </c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266</v>
      </c>
      <c r="F55" s="9" t="s">
        <v>40</v>
      </c>
      <c r="G55" s="9" t="s">
        <v>266</v>
      </c>
      <c r="H55" s="197"/>
      <c r="I55" s="195" t="s">
        <v>247</v>
      </c>
      <c r="J55" s="120">
        <f t="shared" si="10"/>
        <v>33.478000000000002</v>
      </c>
      <c r="K55" s="121">
        <f t="shared" si="11"/>
        <v>33.478000000000002</v>
      </c>
      <c r="L55" s="121">
        <f t="shared" si="12"/>
        <v>0</v>
      </c>
      <c r="M55" s="17"/>
      <c r="N55" s="26"/>
      <c r="O55" s="26"/>
      <c r="P55" s="26"/>
      <c r="Q55" s="26"/>
      <c r="R55" s="26">
        <f>62.328-60.85+32</f>
        <v>33.478000000000002</v>
      </c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270</v>
      </c>
      <c r="F56" s="9" t="s">
        <v>40</v>
      </c>
      <c r="G56" s="9" t="s">
        <v>270</v>
      </c>
      <c r="H56" s="197"/>
      <c r="I56" s="195" t="s">
        <v>247</v>
      </c>
      <c r="J56" s="120">
        <f t="shared" si="10"/>
        <v>200.78899999999999</v>
      </c>
      <c r="K56" s="121">
        <f t="shared" si="11"/>
        <v>200.78899999999999</v>
      </c>
      <c r="L56" s="121">
        <f t="shared" si="12"/>
        <v>0</v>
      </c>
      <c r="M56" s="17"/>
      <c r="N56" s="26"/>
      <c r="O56" s="26"/>
      <c r="P56" s="26">
        <f>208.238-7.449</f>
        <v>200.78899999999999</v>
      </c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30.632999999999999</v>
      </c>
      <c r="K57" s="121">
        <f t="shared" si="11"/>
        <v>30.632999999999999</v>
      </c>
      <c r="L57" s="121">
        <f t="shared" si="12"/>
        <v>0</v>
      </c>
      <c r="M57" s="17"/>
      <c r="N57" s="26"/>
      <c r="O57" s="26"/>
      <c r="P57" s="26"/>
      <c r="Q57" s="26">
        <f>22.633+8</f>
        <v>30.632999999999999</v>
      </c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195" t="s">
        <v>247</v>
      </c>
      <c r="J58" s="120">
        <f t="shared" si="10"/>
        <v>49.941000000000003</v>
      </c>
      <c r="K58" s="121">
        <f t="shared" si="11"/>
        <v>49.941000000000003</v>
      </c>
      <c r="L58" s="121">
        <f t="shared" si="12"/>
        <v>0</v>
      </c>
      <c r="M58" s="17"/>
      <c r="N58" s="26"/>
      <c r="O58" s="26"/>
      <c r="P58" s="26">
        <v>49.941000000000003</v>
      </c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195" t="s">
        <v>247</v>
      </c>
      <c r="J59" s="120">
        <f t="shared" si="10"/>
        <v>12.052</v>
      </c>
      <c r="K59" s="121">
        <f t="shared" si="11"/>
        <v>12.052</v>
      </c>
      <c r="L59" s="121">
        <f t="shared" si="12"/>
        <v>0</v>
      </c>
      <c r="M59" s="17"/>
      <c r="N59" s="26"/>
      <c r="O59" s="26"/>
      <c r="P59" s="26">
        <v>12.052</v>
      </c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302</v>
      </c>
      <c r="F60" s="9" t="s">
        <v>40</v>
      </c>
      <c r="G60" s="9" t="s">
        <v>302</v>
      </c>
      <c r="H60" s="197"/>
      <c r="I60" s="195" t="s">
        <v>247</v>
      </c>
      <c r="J60" s="120">
        <f t="shared" si="10"/>
        <v>3</v>
      </c>
      <c r="K60" s="121">
        <f t="shared" si="11"/>
        <v>3</v>
      </c>
      <c r="L60" s="121">
        <f t="shared" si="12"/>
        <v>0</v>
      </c>
      <c r="M60" s="17"/>
      <c r="N60" s="26"/>
      <c r="O60" s="26"/>
      <c r="P60" s="26">
        <v>3</v>
      </c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304</v>
      </c>
      <c r="F61" s="9" t="s">
        <v>40</v>
      </c>
      <c r="G61" s="9" t="s">
        <v>304</v>
      </c>
      <c r="H61" s="198"/>
      <c r="I61" s="195" t="s">
        <v>247</v>
      </c>
      <c r="J61" s="120">
        <f t="shared" si="10"/>
        <v>7</v>
      </c>
      <c r="K61" s="121">
        <f t="shared" si="11"/>
        <v>7</v>
      </c>
      <c r="L61" s="121">
        <f t="shared" si="12"/>
        <v>0</v>
      </c>
      <c r="M61" s="17"/>
      <c r="N61" s="26"/>
      <c r="O61" s="26"/>
      <c r="P61" s="26">
        <v>7</v>
      </c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Q33" sqref="Q3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0+65.798+187.646+1646.019+2738.581+197.926+1008.221+129.743+236.84+210.522+419.213+379.871-21.033-10.626+J10</f>
        <v>7188.7210000000005</v>
      </c>
      <c r="I10" s="63"/>
      <c r="J10" s="162">
        <f>0</f>
        <v>0</v>
      </c>
      <c r="L10" s="162">
        <f>J10+Q17</f>
        <v>1954.2700000000002</v>
      </c>
      <c r="N10" s="57"/>
      <c r="O10" s="173">
        <f>+H10+K17</f>
        <v>12614.740000000002</v>
      </c>
      <c r="P10" s="174" cm="1">
        <f t="array" aca="1" ref="P10" ca="1">INDIRECT(ADDRESS(10,15,,,VLOOKUP($G$4,parameters!$G:$I,3,0)))</f>
        <v>11412.145</v>
      </c>
      <c r="Q10" s="186">
        <f ca="1">O10-P10</f>
        <v>1202.5950000000012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0+68.362+73.603+302.502+1813.594+46.497+224.908+0.185+192.936+6.425+106.702+57.172+J11</f>
        <v>2892.886</v>
      </c>
      <c r="I11" s="63"/>
      <c r="J11" s="18">
        <f>0</f>
        <v>0</v>
      </c>
      <c r="L11" s="18">
        <f>J11+Q18</f>
        <v>622.60200000000009</v>
      </c>
      <c r="N11" s="57"/>
      <c r="O11" s="155">
        <f>+H11+K18</f>
        <v>5941.17</v>
      </c>
      <c r="P11" s="156" cm="1">
        <f t="array" aca="1" ref="P11" ca="1">INDIRECT(ADDRESS(11,15,,,VLOOKUP($G$4,parameters!$G:$I,3,0)))</f>
        <v>5766.7130000000006</v>
      </c>
      <c r="Q11" s="187">
        <f t="shared" ref="Q11:Q12" ca="1" si="0">O11-P11</f>
        <v>174.45699999999943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10081.607</v>
      </c>
      <c r="I12" s="63"/>
      <c r="J12" s="128">
        <f>SUM(J10:J11)</f>
        <v>0</v>
      </c>
      <c r="K12" s="67"/>
      <c r="L12" s="128">
        <f>SUM(L10:L11)</f>
        <v>2576.8720000000003</v>
      </c>
      <c r="M12" s="67"/>
      <c r="N12" s="67"/>
      <c r="O12" s="157">
        <f>SUM(O10:O11)</f>
        <v>18555.910000000003</v>
      </c>
      <c r="P12" s="158">
        <f ca="1">SUM(P10:P11)</f>
        <v>17178.858</v>
      </c>
      <c r="Q12" s="159">
        <f t="shared" ca="1" si="0"/>
        <v>1377.0520000000033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5426.0190000000002</v>
      </c>
      <c r="K17" s="110">
        <f>+SUMIF($F$24:$F$251,"External",$K$24:$K$251)</f>
        <v>5426.0190000000002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1954.2700000000002</v>
      </c>
      <c r="R17" s="113">
        <f t="shared" si="1"/>
        <v>996.83799999999985</v>
      </c>
      <c r="S17" s="113">
        <f t="shared" si="1"/>
        <v>1583.7939999999999</v>
      </c>
      <c r="T17" s="113">
        <f t="shared" si="1"/>
        <v>767.73399999999992</v>
      </c>
      <c r="U17" s="113">
        <f t="shared" si="1"/>
        <v>123.38300000000001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3048.2840000000006</v>
      </c>
      <c r="K18" s="115">
        <f>+SUMIF($F$24:$F$251,"Group",$K$24:$K$251)</f>
        <v>3048.2840000000006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622.60200000000009</v>
      </c>
      <c r="R18" s="116">
        <f t="shared" si="3"/>
        <v>478.53800000000001</v>
      </c>
      <c r="S18" s="116">
        <f t="shared" si="3"/>
        <v>32</v>
      </c>
      <c r="T18" s="116">
        <f t="shared" si="3"/>
        <v>1185</v>
      </c>
      <c r="U18" s="116">
        <f t="shared" si="3"/>
        <v>730.14400000000001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8474.3029999999999</v>
      </c>
      <c r="K19" s="117">
        <f>SUM(K17:K18)</f>
        <v>8474.3029999999999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2576.8720000000003</v>
      </c>
      <c r="R19" s="118">
        <f t="shared" si="5"/>
        <v>1475.3759999999997</v>
      </c>
      <c r="S19" s="118">
        <f t="shared" si="5"/>
        <v>1615.7939999999999</v>
      </c>
      <c r="T19" s="118">
        <f t="shared" si="5"/>
        <v>1952.7339999999999</v>
      </c>
      <c r="U19" s="118">
        <f t="shared" si="5"/>
        <v>853.52700000000004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1802.5060000000001</v>
      </c>
      <c r="K24" s="121">
        <f t="shared" ref="K24" si="8">SUM(N24:Y24)</f>
        <v>1802.5060000000001</v>
      </c>
      <c r="L24" s="121">
        <f t="shared" ref="L24" si="9">SUM(AA24:AL24)</f>
        <v>0</v>
      </c>
      <c r="M24" s="25"/>
      <c r="N24" s="26"/>
      <c r="O24" s="26"/>
      <c r="P24" s="26"/>
      <c r="Q24" s="26">
        <f>31.589-26.621+32-9</f>
        <v>27.968000000000004</v>
      </c>
      <c r="R24" s="26">
        <f>381.538+9+53</f>
        <v>443.53800000000001</v>
      </c>
      <c r="S24" s="26">
        <f>14+10</f>
        <v>24</v>
      </c>
      <c r="T24" s="26">
        <f>1186-10+9</f>
        <v>1185</v>
      </c>
      <c r="U24" s="26">
        <f>108-53-9+76</f>
        <v>122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41.400000000000006</v>
      </c>
      <c r="K25" s="121">
        <f t="shared" ref="K25:K88" si="11">SUM(N25:Y25)</f>
        <v>41.400000000000006</v>
      </c>
      <c r="L25" s="121">
        <f t="shared" ref="L25:L88" si="12">SUM(AA25:AL25)</f>
        <v>0</v>
      </c>
      <c r="M25" s="25"/>
      <c r="N25" s="26"/>
      <c r="O25" s="26"/>
      <c r="P25" s="26"/>
      <c r="Q25" s="26">
        <v>41.400000000000006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88.207999999999998</v>
      </c>
      <c r="K26" s="121">
        <f t="shared" si="11"/>
        <v>88.207999999999998</v>
      </c>
      <c r="L26" s="121">
        <f t="shared" si="12"/>
        <v>0</v>
      </c>
      <c r="M26" s="25"/>
      <c r="N26" s="26"/>
      <c r="O26" s="26"/>
      <c r="P26" s="26"/>
      <c r="Q26" s="26">
        <f>63.953-6</f>
        <v>57.953000000000003</v>
      </c>
      <c r="R26" s="26"/>
      <c r="S26" s="26"/>
      <c r="T26" s="26"/>
      <c r="U26" s="26">
        <f>24.255+6</f>
        <v>30.254999999999999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87.507999999999996</v>
      </c>
      <c r="K27" s="121">
        <f t="shared" si="11"/>
        <v>87.507999999999996</v>
      </c>
      <c r="L27" s="121">
        <f t="shared" si="12"/>
        <v>0</v>
      </c>
      <c r="M27" s="25"/>
      <c r="N27" s="26"/>
      <c r="O27" s="26"/>
      <c r="P27" s="26"/>
      <c r="Q27" s="26">
        <v>1</v>
      </c>
      <c r="R27" s="26"/>
      <c r="S27" s="26"/>
      <c r="T27" s="26"/>
      <c r="U27" s="26">
        <f>87.508-1</f>
        <v>86.507999999999996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30.152000000000005</v>
      </c>
      <c r="K28" s="121">
        <f t="shared" si="11"/>
        <v>30.152000000000005</v>
      </c>
      <c r="L28" s="121">
        <f t="shared" si="12"/>
        <v>0</v>
      </c>
      <c r="M28" s="25"/>
      <c r="N28" s="26"/>
      <c r="O28" s="26"/>
      <c r="P28" s="26"/>
      <c r="Q28" s="26">
        <v>1</v>
      </c>
      <c r="R28" s="26"/>
      <c r="S28" s="26"/>
      <c r="T28" s="26"/>
      <c r="U28" s="26">
        <f>32.401-0.874-1.375-1</f>
        <v>29.152000000000005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4.8260000000000005</v>
      </c>
      <c r="K29" s="121">
        <f t="shared" si="11"/>
        <v>4.8260000000000005</v>
      </c>
      <c r="L29" s="121">
        <f t="shared" si="12"/>
        <v>0</v>
      </c>
      <c r="M29" s="25"/>
      <c r="N29" s="26"/>
      <c r="O29" s="26"/>
      <c r="P29" s="26"/>
      <c r="Q29" s="26">
        <v>4.8260000000000005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349.76499999999999</v>
      </c>
      <c r="K30" s="121">
        <f t="shared" si="11"/>
        <v>349.76499999999999</v>
      </c>
      <c r="L30" s="121">
        <f t="shared" si="12"/>
        <v>0</v>
      </c>
      <c r="M30" s="25"/>
      <c r="N30" s="26"/>
      <c r="O30" s="26"/>
      <c r="P30" s="26"/>
      <c r="Q30" s="26">
        <f>20.293-7.344-7</f>
        <v>5.9489999999999981</v>
      </c>
      <c r="R30" s="26">
        <v>35</v>
      </c>
      <c r="S30" s="26">
        <v>8</v>
      </c>
      <c r="T30" s="26"/>
      <c r="U30" s="26">
        <f>301.816+7-8</f>
        <v>300.81599999999997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21.254999999999999</v>
      </c>
      <c r="K31" s="121">
        <f t="shared" si="11"/>
        <v>21.254999999999999</v>
      </c>
      <c r="L31" s="121">
        <f t="shared" si="12"/>
        <v>0</v>
      </c>
      <c r="M31" s="25"/>
      <c r="N31" s="26"/>
      <c r="O31" s="26"/>
      <c r="P31" s="26"/>
      <c r="Q31" s="26">
        <v>21.254999999999999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3.96</v>
      </c>
      <c r="K32" s="121">
        <f t="shared" si="11"/>
        <v>3.96</v>
      </c>
      <c r="L32" s="121">
        <f t="shared" si="12"/>
        <v>0</v>
      </c>
      <c r="M32" s="17"/>
      <c r="N32" s="26"/>
      <c r="O32" s="26"/>
      <c r="P32" s="26"/>
      <c r="Q32" s="26">
        <f>5.003-1.043</f>
        <v>3.96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277.77999999999997</v>
      </c>
      <c r="K33" s="121">
        <f t="shared" si="11"/>
        <v>277.77999999999997</v>
      </c>
      <c r="L33" s="121">
        <f t="shared" si="12"/>
        <v>0</v>
      </c>
      <c r="M33" s="17"/>
      <c r="N33" s="26"/>
      <c r="O33" s="26"/>
      <c r="P33" s="26"/>
      <c r="Q33" s="26">
        <v>204.34100000000001</v>
      </c>
      <c r="R33" s="26"/>
      <c r="S33" s="26"/>
      <c r="T33" s="26"/>
      <c r="U33" s="26">
        <f>159.259-9.82-76</f>
        <v>73.438999999999993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182.80199999999999</v>
      </c>
      <c r="K34" s="121">
        <f t="shared" si="11"/>
        <v>182.80199999999999</v>
      </c>
      <c r="L34" s="121">
        <f t="shared" si="12"/>
        <v>0</v>
      </c>
      <c r="M34" s="17"/>
      <c r="N34" s="26"/>
      <c r="O34" s="26"/>
      <c r="P34" s="26"/>
      <c r="Q34" s="26">
        <f>29.802+2+30+76</f>
        <v>137.80199999999999</v>
      </c>
      <c r="R34" s="26"/>
      <c r="S34" s="26"/>
      <c r="T34" s="26"/>
      <c r="U34" s="26">
        <v>45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7.9740000000000038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316</v>
      </c>
      <c r="F36" s="9" t="s">
        <v>10</v>
      </c>
      <c r="G36" s="9" t="s">
        <v>317</v>
      </c>
      <c r="H36" s="197"/>
      <c r="I36" s="195" t="s">
        <v>234</v>
      </c>
      <c r="J36" s="120">
        <f t="shared" ref="J36" si="13">+K36+L36</f>
        <v>98.456999999999994</v>
      </c>
      <c r="K36" s="121">
        <f t="shared" ref="K36" si="14">SUM(N36:Y36)</f>
        <v>98.456999999999994</v>
      </c>
      <c r="L36" s="121">
        <f t="shared" ref="L36" si="15">SUM(AA36:AL36)</f>
        <v>0</v>
      </c>
      <c r="M36" s="17"/>
      <c r="N36" s="26"/>
      <c r="O36" s="26"/>
      <c r="P36" s="26"/>
      <c r="Q36" s="26">
        <v>98.456999999999994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195" t="s">
        <v>234</v>
      </c>
      <c r="J37" s="120">
        <f t="shared" si="10"/>
        <v>42.486000000000004</v>
      </c>
      <c r="K37" s="121">
        <f t="shared" si="11"/>
        <v>42.486000000000004</v>
      </c>
      <c r="L37" s="121">
        <f t="shared" si="12"/>
        <v>0</v>
      </c>
      <c r="M37" s="17"/>
      <c r="N37" s="26"/>
      <c r="O37" s="26"/>
      <c r="P37" s="26"/>
      <c r="Q37" s="26">
        <f>15.486+5-13</f>
        <v>7.4860000000000007</v>
      </c>
      <c r="R37" s="26"/>
      <c r="S37" s="26"/>
      <c r="T37" s="26"/>
      <c r="U37" s="26">
        <f>12+13+10</f>
        <v>35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136</v>
      </c>
      <c r="F38" s="9" t="s">
        <v>10</v>
      </c>
      <c r="G38" s="9" t="s">
        <v>136</v>
      </c>
      <c r="H38" s="197"/>
      <c r="I38" s="195" t="s">
        <v>234</v>
      </c>
      <c r="J38" s="120">
        <f t="shared" si="10"/>
        <v>9.2050000000000001</v>
      </c>
      <c r="K38" s="121">
        <f t="shared" si="11"/>
        <v>9.2050000000000001</v>
      </c>
      <c r="L38" s="121">
        <f t="shared" si="12"/>
        <v>0</v>
      </c>
      <c r="M38" s="17"/>
      <c r="N38" s="26"/>
      <c r="O38" s="26"/>
      <c r="P38" s="26"/>
      <c r="Q38" s="26">
        <f>19.3-10.095</f>
        <v>9.2050000000000001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262</v>
      </c>
      <c r="F39" s="9" t="s">
        <v>40</v>
      </c>
      <c r="G39" s="9" t="s">
        <v>263</v>
      </c>
      <c r="H39" s="197"/>
      <c r="I39" s="195" t="s">
        <v>234</v>
      </c>
      <c r="J39" s="120">
        <f t="shared" si="10"/>
        <v>73.163000000000011</v>
      </c>
      <c r="K39" s="121">
        <f t="shared" si="11"/>
        <v>73.163000000000011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73.163000000000011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290</v>
      </c>
      <c r="F40" s="9" t="s">
        <v>40</v>
      </c>
      <c r="G40" s="9" t="s">
        <v>245</v>
      </c>
      <c r="H40" s="197"/>
      <c r="I40" s="195" t="s">
        <v>234</v>
      </c>
      <c r="J40" s="120">
        <f t="shared" si="10"/>
        <v>2039.7259999999999</v>
      </c>
      <c r="K40" s="121">
        <f t="shared" si="11"/>
        <v>2039.7259999999999</v>
      </c>
      <c r="L40" s="121">
        <f t="shared" si="12"/>
        <v>0</v>
      </c>
      <c r="M40" s="17"/>
      <c r="N40" s="26"/>
      <c r="O40" s="26"/>
      <c r="P40" s="26"/>
      <c r="Q40" s="26">
        <f>52.163-22.176+123</f>
        <v>152.98699999999999</v>
      </c>
      <c r="R40" s="26"/>
      <c r="S40" s="26">
        <f>745.765+484</f>
        <v>1229.7649999999999</v>
      </c>
      <c r="T40" s="26">
        <f>229.974+427</f>
        <v>656.97399999999993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281</v>
      </c>
      <c r="H41" s="197"/>
      <c r="I41" s="195" t="s">
        <v>234</v>
      </c>
      <c r="J41" s="120">
        <f t="shared" si="10"/>
        <v>36.892000000000003</v>
      </c>
      <c r="K41" s="121">
        <f t="shared" si="11"/>
        <v>36.892000000000003</v>
      </c>
      <c r="L41" s="121">
        <f t="shared" si="12"/>
        <v>0</v>
      </c>
      <c r="M41" s="17"/>
      <c r="N41" s="26"/>
      <c r="O41" s="26"/>
      <c r="P41" s="26"/>
      <c r="Q41" s="26">
        <v>36.892000000000003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276</v>
      </c>
      <c r="F42" s="9" t="s">
        <v>40</v>
      </c>
      <c r="G42" s="9" t="s">
        <v>276</v>
      </c>
      <c r="H42" s="197"/>
      <c r="I42" s="195" t="s">
        <v>234</v>
      </c>
      <c r="J42" s="120">
        <f t="shared" si="10"/>
        <v>17</v>
      </c>
      <c r="K42" s="121">
        <f t="shared" si="11"/>
        <v>17</v>
      </c>
      <c r="L42" s="121">
        <f t="shared" si="12"/>
        <v>0</v>
      </c>
      <c r="M42" s="17"/>
      <c r="N42" s="26"/>
      <c r="O42" s="26"/>
      <c r="P42" s="26"/>
      <c r="Q42" s="26">
        <v>17</v>
      </c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256</v>
      </c>
      <c r="F43" s="9" t="s">
        <v>40</v>
      </c>
      <c r="G43" s="9" t="s">
        <v>257</v>
      </c>
      <c r="H43" s="197"/>
      <c r="I43" s="195" t="s">
        <v>234</v>
      </c>
      <c r="J43" s="120">
        <f t="shared" si="10"/>
        <v>184.697</v>
      </c>
      <c r="K43" s="121">
        <f t="shared" si="11"/>
        <v>184.697</v>
      </c>
      <c r="L43" s="121">
        <f t="shared" si="12"/>
        <v>0</v>
      </c>
      <c r="M43" s="17"/>
      <c r="N43" s="26"/>
      <c r="O43" s="26"/>
      <c r="P43" s="26"/>
      <c r="Q43" s="26">
        <f>21.466-30.889+10+7</f>
        <v>7.5770000000000017</v>
      </c>
      <c r="R43" s="26"/>
      <c r="S43" s="26">
        <f>150-7-52</f>
        <v>91</v>
      </c>
      <c r="T43" s="26"/>
      <c r="U43" s="26">
        <f>34.12+52</f>
        <v>86.12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264</v>
      </c>
      <c r="F44" s="9" t="s">
        <v>40</v>
      </c>
      <c r="G44" s="9" t="s">
        <v>265</v>
      </c>
      <c r="H44" s="198"/>
      <c r="I44" s="195" t="s">
        <v>234</v>
      </c>
      <c r="J44" s="120">
        <f t="shared" si="10"/>
        <v>219.953</v>
      </c>
      <c r="K44" s="121">
        <f t="shared" si="11"/>
        <v>219.953</v>
      </c>
      <c r="L44" s="121">
        <f t="shared" si="12"/>
        <v>0</v>
      </c>
      <c r="M44" s="17"/>
      <c r="N44" s="26"/>
      <c r="O44" s="26"/>
      <c r="P44" s="26"/>
      <c r="Q44" s="26">
        <f>125.057-11.104+80-116</f>
        <v>77.953000000000003</v>
      </c>
      <c r="R44" s="26">
        <f>116+13</f>
        <v>129</v>
      </c>
      <c r="S44" s="26"/>
      <c r="T44" s="26">
        <v>13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258</v>
      </c>
      <c r="F45" s="9" t="s">
        <v>40</v>
      </c>
      <c r="G45" s="9" t="s">
        <v>259</v>
      </c>
      <c r="H45" s="198"/>
      <c r="I45" s="195" t="s">
        <v>234</v>
      </c>
      <c r="J45" s="120">
        <f t="shared" si="10"/>
        <v>119.718</v>
      </c>
      <c r="K45" s="121">
        <f t="shared" si="11"/>
        <v>119.718</v>
      </c>
      <c r="L45" s="121">
        <f t="shared" si="12"/>
        <v>0</v>
      </c>
      <c r="M45" s="17"/>
      <c r="N45" s="26"/>
      <c r="O45" s="26"/>
      <c r="P45" s="26"/>
      <c r="Q45" s="26"/>
      <c r="R45" s="26">
        <v>119.718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310</v>
      </c>
      <c r="F46" s="9" t="s">
        <v>40</v>
      </c>
      <c r="G46" s="9" t="s">
        <v>311</v>
      </c>
      <c r="H46" s="198"/>
      <c r="I46" s="195" t="s">
        <v>234</v>
      </c>
      <c r="J46" s="120">
        <f t="shared" si="10"/>
        <v>7.734</v>
      </c>
      <c r="K46" s="121">
        <f t="shared" si="11"/>
        <v>7.734</v>
      </c>
      <c r="L46" s="121">
        <f t="shared" si="12"/>
        <v>0</v>
      </c>
      <c r="M46" s="17"/>
      <c r="N46" s="26"/>
      <c r="O46" s="26"/>
      <c r="P46" s="26"/>
      <c r="Q46" s="26"/>
      <c r="R46" s="26">
        <v>7.734</v>
      </c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250</v>
      </c>
      <c r="F47" s="9" t="s">
        <v>40</v>
      </c>
      <c r="G47" s="9" t="s">
        <v>251</v>
      </c>
      <c r="H47" s="195"/>
      <c r="I47" s="195" t="s">
        <v>247</v>
      </c>
      <c r="J47" s="120">
        <f t="shared" si="10"/>
        <v>687.27800000000002</v>
      </c>
      <c r="K47" s="121">
        <f t="shared" si="11"/>
        <v>687.27800000000002</v>
      </c>
      <c r="L47" s="121">
        <f t="shared" si="12"/>
        <v>0</v>
      </c>
      <c r="M47" s="17"/>
      <c r="N47" s="26"/>
      <c r="O47" s="26"/>
      <c r="P47" s="26"/>
      <c r="Q47" s="26">
        <f>217.481-169.053+241+87</f>
        <v>376.428</v>
      </c>
      <c r="R47" s="26">
        <f>192.358-87+98</f>
        <v>203.358</v>
      </c>
      <c r="S47" s="26">
        <f>41.866+31</f>
        <v>72.866</v>
      </c>
      <c r="T47" s="26">
        <f>13+10.626+11</f>
        <v>34.625999999999998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254</v>
      </c>
      <c r="F48" s="9" t="s">
        <v>40</v>
      </c>
      <c r="G48" s="9" t="s">
        <v>255</v>
      </c>
      <c r="H48" s="195"/>
      <c r="I48" s="195" t="s">
        <v>247</v>
      </c>
      <c r="J48" s="120">
        <f t="shared" si="10"/>
        <v>384.33300000000003</v>
      </c>
      <c r="K48" s="121">
        <f t="shared" si="11"/>
        <v>384.33300000000003</v>
      </c>
      <c r="L48" s="121">
        <f t="shared" si="12"/>
        <v>0</v>
      </c>
      <c r="M48" s="17"/>
      <c r="N48" s="26"/>
      <c r="O48" s="26"/>
      <c r="P48" s="26"/>
      <c r="Q48" s="26">
        <f>242.3+21.033-129</f>
        <v>134.33300000000003</v>
      </c>
      <c r="R48" s="26">
        <f>85+129+36</f>
        <v>250</v>
      </c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6"/>
      <c r="I49" s="195" t="s">
        <v>247</v>
      </c>
      <c r="J49" s="120">
        <f t="shared" si="10"/>
        <v>12.603</v>
      </c>
      <c r="K49" s="121">
        <f t="shared" si="11"/>
        <v>12.603</v>
      </c>
      <c r="L49" s="121">
        <f t="shared" si="12"/>
        <v>0</v>
      </c>
      <c r="M49" s="17"/>
      <c r="N49" s="26"/>
      <c r="O49" s="26"/>
      <c r="P49" s="26"/>
      <c r="Q49" s="26">
        <f>2-4.068-2.906+3+9.577-5</f>
        <v>2.6029999999999998</v>
      </c>
      <c r="R49" s="26"/>
      <c r="S49" s="26">
        <f>5+5</f>
        <v>10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7"/>
      <c r="I50" s="195" t="s">
        <v>247</v>
      </c>
      <c r="J50" s="120">
        <f t="shared" si="10"/>
        <v>256.96300000000002</v>
      </c>
      <c r="K50" s="121">
        <f t="shared" si="11"/>
        <v>256.96300000000002</v>
      </c>
      <c r="L50" s="121">
        <f t="shared" si="12"/>
        <v>0</v>
      </c>
      <c r="M50" s="17"/>
      <c r="N50" s="26"/>
      <c r="O50" s="26"/>
      <c r="P50" s="26"/>
      <c r="Q50" s="26">
        <f>7-2.182+3</f>
        <v>7.8179999999999996</v>
      </c>
      <c r="R50" s="26">
        <f>223.55-3+8</f>
        <v>228.55</v>
      </c>
      <c r="S50" s="26"/>
      <c r="T50" s="26"/>
      <c r="U50" s="26">
        <v>20.594999999999999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195" t="s">
        <v>247</v>
      </c>
      <c r="J51" s="120">
        <f t="shared" si="10"/>
        <v>792.47900000000004</v>
      </c>
      <c r="K51" s="121">
        <f t="shared" si="11"/>
        <v>792.47900000000004</v>
      </c>
      <c r="L51" s="121">
        <f t="shared" si="12"/>
        <v>0</v>
      </c>
      <c r="M51" s="17"/>
      <c r="N51" s="26"/>
      <c r="O51" s="26"/>
      <c r="P51" s="26"/>
      <c r="Q51" s="26">
        <f>16.249-8.408+742.638</f>
        <v>750.47900000000004</v>
      </c>
      <c r="R51" s="26">
        <v>9</v>
      </c>
      <c r="S51" s="26"/>
      <c r="T51" s="26">
        <v>33</v>
      </c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195" t="s">
        <v>247</v>
      </c>
      <c r="J52" s="120">
        <f t="shared" si="10"/>
        <v>7.375</v>
      </c>
      <c r="K52" s="121">
        <f t="shared" si="11"/>
        <v>7.375</v>
      </c>
      <c r="L52" s="121">
        <f t="shared" si="12"/>
        <v>0</v>
      </c>
      <c r="M52" s="17"/>
      <c r="N52" s="26"/>
      <c r="O52" s="26"/>
      <c r="P52" s="26"/>
      <c r="Q52" s="26">
        <f>1.082+6.293</f>
        <v>7.375</v>
      </c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195" t="s">
        <v>247</v>
      </c>
      <c r="J53" s="120">
        <f t="shared" si="10"/>
        <v>40.777999999999999</v>
      </c>
      <c r="K53" s="121">
        <f t="shared" si="11"/>
        <v>40.777999999999999</v>
      </c>
      <c r="L53" s="121">
        <f t="shared" si="12"/>
        <v>0</v>
      </c>
      <c r="M53" s="17"/>
      <c r="N53" s="26"/>
      <c r="O53" s="26"/>
      <c r="P53" s="26"/>
      <c r="Q53" s="26">
        <f>25.122-1.344+14-3</f>
        <v>34.777999999999999</v>
      </c>
      <c r="R53" s="26">
        <f>3+3</f>
        <v>6</v>
      </c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195" t="s">
        <v>247</v>
      </c>
      <c r="J54" s="120">
        <f t="shared" si="10"/>
        <v>201.04000000000002</v>
      </c>
      <c r="K54" s="121">
        <f t="shared" si="11"/>
        <v>201.04000000000002</v>
      </c>
      <c r="L54" s="121">
        <f t="shared" si="12"/>
        <v>0</v>
      </c>
      <c r="M54" s="17"/>
      <c r="N54" s="26"/>
      <c r="O54" s="26"/>
      <c r="P54" s="26"/>
      <c r="Q54" s="26">
        <f>109.041-26.915-20.22+1</f>
        <v>62.906000000000006</v>
      </c>
      <c r="R54" s="26">
        <v>1</v>
      </c>
      <c r="S54" s="26">
        <f>105+2</f>
        <v>107</v>
      </c>
      <c r="T54" s="26">
        <f>28.134-1-1-2+6</f>
        <v>30.134</v>
      </c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195" t="s">
        <v>247</v>
      </c>
      <c r="J55" s="120">
        <f t="shared" si="10"/>
        <v>28</v>
      </c>
      <c r="K55" s="121">
        <f t="shared" si="11"/>
        <v>28</v>
      </c>
      <c r="L55" s="121">
        <f t="shared" si="12"/>
        <v>0</v>
      </c>
      <c r="M55" s="17"/>
      <c r="N55" s="26"/>
      <c r="O55" s="26"/>
      <c r="P55" s="26"/>
      <c r="Q55" s="26">
        <v>28</v>
      </c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195" t="s">
        <v>247</v>
      </c>
      <c r="J56" s="120">
        <f t="shared" si="10"/>
        <v>33.478000000000002</v>
      </c>
      <c r="K56" s="121">
        <f t="shared" si="11"/>
        <v>33.478000000000002</v>
      </c>
      <c r="L56" s="121">
        <f t="shared" si="12"/>
        <v>0</v>
      </c>
      <c r="M56" s="17"/>
      <c r="N56" s="26"/>
      <c r="O56" s="26"/>
      <c r="P56" s="26"/>
      <c r="Q56" s="26"/>
      <c r="R56" s="26">
        <v>33.478000000000002</v>
      </c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195" t="s">
        <v>247</v>
      </c>
      <c r="J57" s="120">
        <f t="shared" si="10"/>
        <v>200.78899999999999</v>
      </c>
      <c r="K57" s="121">
        <f t="shared" si="11"/>
        <v>200.78899999999999</v>
      </c>
      <c r="L57" s="121">
        <f t="shared" si="12"/>
        <v>0</v>
      </c>
      <c r="M57" s="17"/>
      <c r="N57" s="26"/>
      <c r="O57" s="26"/>
      <c r="P57" s="26"/>
      <c r="Q57" s="26">
        <f>200.789-19</f>
        <v>181.78899999999999</v>
      </c>
      <c r="R57" s="26">
        <f>19-10</f>
        <v>9</v>
      </c>
      <c r="S57" s="26"/>
      <c r="T57" s="26"/>
      <c r="U57" s="26">
        <v>10</v>
      </c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294</v>
      </c>
      <c r="F58" s="9" t="s">
        <v>40</v>
      </c>
      <c r="G58" s="9" t="s">
        <v>294</v>
      </c>
      <c r="H58" s="197"/>
      <c r="I58" s="195" t="s">
        <v>247</v>
      </c>
      <c r="J58" s="120">
        <f t="shared" si="10"/>
        <v>30.632999999999999</v>
      </c>
      <c r="K58" s="121">
        <f t="shared" si="11"/>
        <v>30.632999999999999</v>
      </c>
      <c r="L58" s="121">
        <f t="shared" si="12"/>
        <v>0</v>
      </c>
      <c r="M58" s="17"/>
      <c r="N58" s="26"/>
      <c r="O58" s="26"/>
      <c r="P58" s="26"/>
      <c r="Q58" s="26">
        <v>30.632999999999999</v>
      </c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271</v>
      </c>
      <c r="F59" s="9" t="s">
        <v>40</v>
      </c>
      <c r="G59" s="9" t="s">
        <v>272</v>
      </c>
      <c r="H59" s="197"/>
      <c r="I59" s="195" t="s">
        <v>247</v>
      </c>
      <c r="J59" s="120">
        <f t="shared" si="10"/>
        <v>33.770000000000003</v>
      </c>
      <c r="K59" s="121">
        <f t="shared" si="11"/>
        <v>33.770000000000003</v>
      </c>
      <c r="L59" s="121">
        <f t="shared" si="12"/>
        <v>0</v>
      </c>
      <c r="M59" s="17"/>
      <c r="N59" s="26"/>
      <c r="O59" s="26"/>
      <c r="P59" s="26"/>
      <c r="Q59" s="26">
        <f>49.941-27.171+11</f>
        <v>33.770000000000003</v>
      </c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273</v>
      </c>
      <c r="F60" s="9" t="s">
        <v>40</v>
      </c>
      <c r="G60" s="9" t="s">
        <v>274</v>
      </c>
      <c r="H60" s="197"/>
      <c r="I60" s="195" t="s">
        <v>247</v>
      </c>
      <c r="J60" s="120">
        <f t="shared" si="10"/>
        <v>10.948999999999998</v>
      </c>
      <c r="K60" s="121">
        <f t="shared" si="11"/>
        <v>10.948999999999998</v>
      </c>
      <c r="L60" s="121">
        <f t="shared" si="12"/>
        <v>0</v>
      </c>
      <c r="M60" s="17"/>
      <c r="N60" s="26"/>
      <c r="O60" s="26"/>
      <c r="P60" s="26"/>
      <c r="Q60" s="26">
        <f>12.052-50.103+49</f>
        <v>10.948999999999998</v>
      </c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304</v>
      </c>
      <c r="F61" s="9" t="s">
        <v>40</v>
      </c>
      <c r="G61" s="9" t="s">
        <v>304</v>
      </c>
      <c r="H61" s="197"/>
      <c r="I61" s="195" t="s">
        <v>247</v>
      </c>
      <c r="J61" s="120">
        <f t="shared" si="10"/>
        <v>6.6680000000000001</v>
      </c>
      <c r="K61" s="121">
        <f t="shared" si="11"/>
        <v>6.6680000000000001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>
        <f>3-3.332+7</f>
        <v>6.6680000000000001</v>
      </c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6">+K89+L89</f>
        <v>0</v>
      </c>
      <c r="K89" s="121">
        <f t="shared" ref="K89:K152" si="17">SUM(N89:Y89)</f>
        <v>0</v>
      </c>
      <c r="L89" s="121">
        <f t="shared" ref="L89:L152" si="18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9">+K153+L153</f>
        <v>0</v>
      </c>
      <c r="K153" s="121">
        <f t="shared" ref="K153:K216" si="20">SUM(N153:Y153)</f>
        <v>0</v>
      </c>
      <c r="L153" s="121">
        <f t="shared" ref="L153:L216" si="21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2">+K217+L217</f>
        <v>0</v>
      </c>
      <c r="K217" s="121">
        <f t="shared" ref="K217:K252" si="23">SUM(N217:Y217)</f>
        <v>0</v>
      </c>
      <c r="L217" s="121">
        <f t="shared" ref="L217:L252" si="24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2"/>
        <v>0</v>
      </c>
      <c r="K252" s="121">
        <f t="shared" si="23"/>
        <v>0</v>
      </c>
      <c r="L252" s="121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E3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0+65.798+187.646+1646.019+2738.581+197.926+1008.221+129.743+236.84+210.522+419.213+379.871-21.033-10.626+J10</f>
        <v>8185.0820000000003</v>
      </c>
      <c r="I10" s="63"/>
      <c r="J10" s="162">
        <f>0+996.361</f>
        <v>996.36099999999999</v>
      </c>
      <c r="L10" s="162">
        <f>J10+Q17</f>
        <v>2115.27</v>
      </c>
      <c r="N10" s="57"/>
      <c r="O10" s="173">
        <f>+H10+K17</f>
        <v>12968.74</v>
      </c>
      <c r="P10" s="174" cm="1">
        <f t="array" aca="1" ref="P10" ca="1">INDIRECT(ADDRESS(10,15,,,VLOOKUP($G$4,parameters!$G:$I,3,0)))</f>
        <v>12614.740000000002</v>
      </c>
      <c r="Q10" s="186">
        <f ca="1">O10-P10</f>
        <v>353.99999999999818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0+68.362+73.603+302.502+1813.594+46.497+224.908+0.185+192.936+6.425+106.702+57.172+J11</f>
        <v>3151.3539999999998</v>
      </c>
      <c r="I11" s="63"/>
      <c r="J11" s="18">
        <f>0+258.468</f>
        <v>258.46800000000002</v>
      </c>
      <c r="L11" s="18">
        <f>J11+Q18</f>
        <v>770.73299999999995</v>
      </c>
      <c r="N11" s="57"/>
      <c r="O11" s="155">
        <f>+H11+K18</f>
        <v>6015.17</v>
      </c>
      <c r="P11" s="156" cm="1">
        <f t="array" aca="1" ref="P11" ca="1">INDIRECT(ADDRESS(11,15,,,VLOOKUP($G$4,parameters!$G:$I,3,0)))</f>
        <v>5941.17</v>
      </c>
      <c r="Q11" s="187">
        <f t="shared" ref="Q11:Q12" ca="1" si="0">O11-P11</f>
        <v>74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11336.436</v>
      </c>
      <c r="I12" s="63"/>
      <c r="J12" s="128">
        <f>SUM(J10:J11)</f>
        <v>1254.829</v>
      </c>
      <c r="K12" s="67"/>
      <c r="L12" s="128">
        <f>SUM(L10:L11)</f>
        <v>2886.0029999999997</v>
      </c>
      <c r="M12" s="67"/>
      <c r="N12" s="67"/>
      <c r="O12" s="157">
        <f>SUM(O10:O11)</f>
        <v>18983.91</v>
      </c>
      <c r="P12" s="158">
        <f ca="1">SUM(P10:P11)</f>
        <v>18555.910000000003</v>
      </c>
      <c r="Q12" s="159">
        <f t="shared" ca="1" si="0"/>
        <v>427.99999999999636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4783.6579999999994</v>
      </c>
      <c r="K17" s="110">
        <f>+SUMIF($F$24:$F$251,"External",$K$24:$K$251)</f>
        <v>4783.6579999999994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1118.9090000000001</v>
      </c>
      <c r="R17" s="113">
        <f t="shared" si="1"/>
        <v>1000.8379999999999</v>
      </c>
      <c r="S17" s="113">
        <f t="shared" si="1"/>
        <v>996.79399999999987</v>
      </c>
      <c r="T17" s="113">
        <f t="shared" si="1"/>
        <v>1524.7339999999999</v>
      </c>
      <c r="U17" s="113">
        <f t="shared" si="1"/>
        <v>142.38300000000001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2863.8160000000003</v>
      </c>
      <c r="K18" s="115">
        <f>+SUMIF($F$24:$F$251,"Group",$K$24:$K$251)</f>
        <v>2863.8160000000003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512.26499999999999</v>
      </c>
      <c r="R18" s="116">
        <f t="shared" si="3"/>
        <v>617.97699999999998</v>
      </c>
      <c r="S18" s="116">
        <f t="shared" si="3"/>
        <v>32</v>
      </c>
      <c r="T18" s="116">
        <f t="shared" si="3"/>
        <v>1185</v>
      </c>
      <c r="U18" s="116">
        <f t="shared" si="3"/>
        <v>516.57400000000007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7647.4740000000002</v>
      </c>
      <c r="K19" s="117">
        <f>SUM(K17:K18)</f>
        <v>7647.4740000000002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1631.174</v>
      </c>
      <c r="R19" s="118">
        <f t="shared" si="5"/>
        <v>1618.8149999999998</v>
      </c>
      <c r="S19" s="118">
        <f t="shared" si="5"/>
        <v>1028.7939999999999</v>
      </c>
      <c r="T19" s="118">
        <f t="shared" si="5"/>
        <v>2709.7339999999999</v>
      </c>
      <c r="U19" s="118">
        <f t="shared" si="5"/>
        <v>658.95700000000011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1802.5060000000001</v>
      </c>
      <c r="K24" s="121">
        <f t="shared" ref="K24" si="8">SUM(N24:Y24)</f>
        <v>1802.5060000000001</v>
      </c>
      <c r="L24" s="121">
        <f t="shared" ref="L24" si="9">SUM(AA24:AL24)</f>
        <v>0</v>
      </c>
      <c r="M24" s="25"/>
      <c r="N24" s="26"/>
      <c r="O24" s="26"/>
      <c r="P24" s="26"/>
      <c r="Q24" s="26">
        <f>31.589-26.621+32-9</f>
        <v>27.968000000000004</v>
      </c>
      <c r="R24" s="26">
        <f>381.538+9+53</f>
        <v>443.53800000000001</v>
      </c>
      <c r="S24" s="26">
        <f>14+10</f>
        <v>24</v>
      </c>
      <c r="T24" s="26">
        <f>1186-10+9</f>
        <v>1185</v>
      </c>
      <c r="U24" s="26">
        <f>108-53-9+76</f>
        <v>122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41.400000000000006</v>
      </c>
      <c r="K25" s="121">
        <f t="shared" ref="K25:K88" si="11">SUM(N25:Y25)</f>
        <v>41.400000000000006</v>
      </c>
      <c r="L25" s="121">
        <f t="shared" ref="L25:L88" si="12">SUM(AA25:AL25)</f>
        <v>0</v>
      </c>
      <c r="M25" s="25"/>
      <c r="N25" s="26"/>
      <c r="O25" s="26"/>
      <c r="P25" s="26"/>
      <c r="Q25" s="26">
        <v>41.400000000000006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79.816000000000003</v>
      </c>
      <c r="K26" s="121">
        <f t="shared" si="11"/>
        <v>79.816000000000003</v>
      </c>
      <c r="L26" s="121">
        <f t="shared" si="12"/>
        <v>0</v>
      </c>
      <c r="M26" s="25"/>
      <c r="N26" s="26"/>
      <c r="O26" s="26"/>
      <c r="P26" s="26"/>
      <c r="Q26" s="26">
        <f>63.953-6-7.737+8</f>
        <v>58.216000000000001</v>
      </c>
      <c r="R26" s="26"/>
      <c r="S26" s="26"/>
      <c r="T26" s="26"/>
      <c r="U26" s="26">
        <f>24.255+6-0.655-8</f>
        <v>21.599999999999998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3.1999999999996476E-2</v>
      </c>
      <c r="K27" s="121">
        <f t="shared" si="11"/>
        <v>3.1999999999996476E-2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87.508-1-87.476+1</f>
        <v>3.1999999999996476E-2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30.152000000000005</v>
      </c>
      <c r="K28" s="121">
        <f t="shared" si="11"/>
        <v>30.152000000000005</v>
      </c>
      <c r="L28" s="121">
        <f t="shared" si="12"/>
        <v>0</v>
      </c>
      <c r="M28" s="25"/>
      <c r="N28" s="26"/>
      <c r="O28" s="26"/>
      <c r="P28" s="26"/>
      <c r="Q28" s="26">
        <v>1</v>
      </c>
      <c r="R28" s="26"/>
      <c r="S28" s="26"/>
      <c r="T28" s="26"/>
      <c r="U28" s="26">
        <f>32.401-0.874-1.375-1</f>
        <v>29.152000000000005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4.8260000000000005</v>
      </c>
      <c r="K29" s="121">
        <f t="shared" si="11"/>
        <v>4.8260000000000005</v>
      </c>
      <c r="L29" s="121">
        <f t="shared" si="12"/>
        <v>0</v>
      </c>
      <c r="M29" s="25"/>
      <c r="N29" s="26"/>
      <c r="O29" s="26"/>
      <c r="P29" s="26"/>
      <c r="Q29" s="26">
        <v>4.8260000000000005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349.71699999999998</v>
      </c>
      <c r="K30" s="121">
        <f t="shared" si="11"/>
        <v>349.71699999999998</v>
      </c>
      <c r="L30" s="121">
        <f t="shared" si="12"/>
        <v>0</v>
      </c>
      <c r="M30" s="25"/>
      <c r="N30" s="26"/>
      <c r="O30" s="26"/>
      <c r="P30" s="26"/>
      <c r="Q30" s="26">
        <f>20.293-7.344-7-0.048</f>
        <v>5.900999999999998</v>
      </c>
      <c r="R30" s="26">
        <v>35</v>
      </c>
      <c r="S30" s="26">
        <v>8</v>
      </c>
      <c r="T30" s="26"/>
      <c r="U30" s="26">
        <f>301.816+7-8</f>
        <v>300.81599999999997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18.696999999999999</v>
      </c>
      <c r="K31" s="121">
        <f t="shared" si="11"/>
        <v>18.696999999999999</v>
      </c>
      <c r="L31" s="121">
        <f t="shared" si="12"/>
        <v>0</v>
      </c>
      <c r="M31" s="25"/>
      <c r="N31" s="26"/>
      <c r="O31" s="26"/>
      <c r="P31" s="26"/>
      <c r="Q31" s="26">
        <f>21.255-2.558</f>
        <v>18.696999999999999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3.96</v>
      </c>
      <c r="K32" s="121">
        <f t="shared" si="11"/>
        <v>3.96</v>
      </c>
      <c r="L32" s="121">
        <f t="shared" si="12"/>
        <v>0</v>
      </c>
      <c r="M32" s="17"/>
      <c r="N32" s="26"/>
      <c r="O32" s="26"/>
      <c r="P32" s="26"/>
      <c r="Q32" s="26">
        <f>5.003-1.043</f>
        <v>3.96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191.786</v>
      </c>
      <c r="K33" s="121">
        <f t="shared" si="11"/>
        <v>191.786</v>
      </c>
      <c r="L33" s="121">
        <f t="shared" si="12"/>
        <v>0</v>
      </c>
      <c r="M33" s="17"/>
      <c r="N33" s="26"/>
      <c r="O33" s="26"/>
      <c r="P33" s="26"/>
      <c r="Q33" s="26">
        <f>204.341-159.994+8</f>
        <v>52.347000000000008</v>
      </c>
      <c r="R33" s="26">
        <f>159.259-9.82-76-8+74</f>
        <v>139.43899999999999</v>
      </c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182.80199999999999</v>
      </c>
      <c r="K34" s="121">
        <f t="shared" si="11"/>
        <v>182.80199999999999</v>
      </c>
      <c r="L34" s="121">
        <f t="shared" si="12"/>
        <v>0</v>
      </c>
      <c r="M34" s="17"/>
      <c r="N34" s="26"/>
      <c r="O34" s="26"/>
      <c r="P34" s="26"/>
      <c r="Q34" s="26">
        <f>29.802+2+30+76+45</f>
        <v>182.80199999999999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7.9740000000000038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316</v>
      </c>
      <c r="F36" s="9" t="s">
        <v>10</v>
      </c>
      <c r="G36" s="9" t="s">
        <v>317</v>
      </c>
      <c r="H36" s="197"/>
      <c r="I36" s="195" t="s">
        <v>234</v>
      </c>
      <c r="J36" s="120">
        <f t="shared" si="10"/>
        <v>98.456999999999994</v>
      </c>
      <c r="K36" s="121">
        <f t="shared" si="11"/>
        <v>98.456999999999994</v>
      </c>
      <c r="L36" s="121">
        <f t="shared" si="12"/>
        <v>0</v>
      </c>
      <c r="M36" s="17"/>
      <c r="N36" s="26"/>
      <c r="O36" s="26"/>
      <c r="P36" s="26"/>
      <c r="Q36" s="26">
        <v>98.456999999999994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195" t="s">
        <v>234</v>
      </c>
      <c r="J37" s="120">
        <f t="shared" si="10"/>
        <v>42.486000000000004</v>
      </c>
      <c r="K37" s="121">
        <f t="shared" si="11"/>
        <v>42.486000000000004</v>
      </c>
      <c r="L37" s="121">
        <f t="shared" si="12"/>
        <v>0</v>
      </c>
      <c r="M37" s="17"/>
      <c r="N37" s="26"/>
      <c r="O37" s="26"/>
      <c r="P37" s="26"/>
      <c r="Q37" s="26">
        <f>15.486+5-13</f>
        <v>7.4860000000000007</v>
      </c>
      <c r="R37" s="26"/>
      <c r="S37" s="26"/>
      <c r="T37" s="26"/>
      <c r="U37" s="26">
        <f>12+13+10</f>
        <v>35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136</v>
      </c>
      <c r="F38" s="9" t="s">
        <v>10</v>
      </c>
      <c r="G38" s="9" t="s">
        <v>136</v>
      </c>
      <c r="H38" s="197"/>
      <c r="I38" s="195" t="s">
        <v>234</v>
      </c>
      <c r="J38" s="120">
        <f t="shared" si="10"/>
        <v>9.2050000000000001</v>
      </c>
      <c r="K38" s="121">
        <f t="shared" si="11"/>
        <v>9.2050000000000001</v>
      </c>
      <c r="L38" s="121">
        <f t="shared" si="12"/>
        <v>0</v>
      </c>
      <c r="M38" s="17"/>
      <c r="N38" s="26"/>
      <c r="O38" s="26"/>
      <c r="P38" s="26"/>
      <c r="Q38" s="26">
        <f>19.3-10.095</f>
        <v>9.2050000000000001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262</v>
      </c>
      <c r="F39" s="9" t="s">
        <v>40</v>
      </c>
      <c r="G39" s="9" t="s">
        <v>263</v>
      </c>
      <c r="H39" s="197"/>
      <c r="I39" s="195" t="s">
        <v>234</v>
      </c>
      <c r="J39" s="120">
        <f t="shared" si="10"/>
        <v>73.163000000000011</v>
      </c>
      <c r="K39" s="121">
        <f t="shared" si="11"/>
        <v>73.163000000000011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73.163000000000011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290</v>
      </c>
      <c r="F40" s="9" t="s">
        <v>40</v>
      </c>
      <c r="G40" s="9" t="s">
        <v>245</v>
      </c>
      <c r="H40" s="197"/>
      <c r="I40" s="195" t="s">
        <v>234</v>
      </c>
      <c r="J40" s="120">
        <f t="shared" si="10"/>
        <v>2130.183</v>
      </c>
      <c r="K40" s="121">
        <f t="shared" si="11"/>
        <v>2130.183</v>
      </c>
      <c r="L40" s="121">
        <f t="shared" si="12"/>
        <v>0</v>
      </c>
      <c r="M40" s="17"/>
      <c r="N40" s="26"/>
      <c r="O40" s="26"/>
      <c r="P40" s="26"/>
      <c r="Q40" s="26">
        <f>52.163-22.176+123-14.543+17</f>
        <v>155.44399999999999</v>
      </c>
      <c r="R40" s="26">
        <v>4</v>
      </c>
      <c r="S40" s="26">
        <f>745.765+484-706</f>
        <v>523.76499999999987</v>
      </c>
      <c r="T40" s="26">
        <f>229.974+427-17-4+706+90+15</f>
        <v>1446.9739999999999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281</v>
      </c>
      <c r="H41" s="197"/>
      <c r="I41" s="195" t="s">
        <v>234</v>
      </c>
      <c r="J41" s="120">
        <f t="shared" si="10"/>
        <v>36.892000000000003</v>
      </c>
      <c r="K41" s="121">
        <f t="shared" si="11"/>
        <v>36.892000000000003</v>
      </c>
      <c r="L41" s="121">
        <f t="shared" si="12"/>
        <v>0</v>
      </c>
      <c r="M41" s="17"/>
      <c r="N41" s="26"/>
      <c r="O41" s="26"/>
      <c r="P41" s="26"/>
      <c r="Q41" s="26">
        <v>36.892000000000003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276</v>
      </c>
      <c r="F42" s="9" t="s">
        <v>40</v>
      </c>
      <c r="G42" s="9" t="s">
        <v>276</v>
      </c>
      <c r="H42" s="197"/>
      <c r="I42" s="195" t="s">
        <v>234</v>
      </c>
      <c r="J42" s="120">
        <f t="shared" si="10"/>
        <v>17</v>
      </c>
      <c r="K42" s="121">
        <f t="shared" si="11"/>
        <v>17</v>
      </c>
      <c r="L42" s="121">
        <f t="shared" si="12"/>
        <v>0</v>
      </c>
      <c r="M42" s="17"/>
      <c r="N42" s="26"/>
      <c r="O42" s="26"/>
      <c r="P42" s="26"/>
      <c r="Q42" s="26">
        <v>17</v>
      </c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256</v>
      </c>
      <c r="F43" s="9" t="s">
        <v>40</v>
      </c>
      <c r="G43" s="9" t="s">
        <v>257</v>
      </c>
      <c r="H43" s="197"/>
      <c r="I43" s="195" t="s">
        <v>234</v>
      </c>
      <c r="J43" s="120">
        <f t="shared" si="10"/>
        <v>184.18200000000002</v>
      </c>
      <c r="K43" s="121">
        <f t="shared" si="11"/>
        <v>184.18200000000002</v>
      </c>
      <c r="L43" s="121">
        <f t="shared" si="12"/>
        <v>0</v>
      </c>
      <c r="M43" s="17"/>
      <c r="N43" s="26"/>
      <c r="O43" s="26"/>
      <c r="P43" s="26"/>
      <c r="Q43" s="26">
        <f>21.466-30.889+10+7-0.515</f>
        <v>7.0620000000000021</v>
      </c>
      <c r="R43" s="26"/>
      <c r="S43" s="26">
        <f>150-7-52</f>
        <v>91</v>
      </c>
      <c r="T43" s="26"/>
      <c r="U43" s="26">
        <f>34.12+52</f>
        <v>86.12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264</v>
      </c>
      <c r="F44" s="9" t="s">
        <v>40</v>
      </c>
      <c r="G44" s="9" t="s">
        <v>265</v>
      </c>
      <c r="H44" s="198"/>
      <c r="I44" s="195" t="s">
        <v>234</v>
      </c>
      <c r="J44" s="120">
        <f t="shared" si="10"/>
        <v>213.66399999999999</v>
      </c>
      <c r="K44" s="121">
        <f t="shared" si="11"/>
        <v>213.66399999999999</v>
      </c>
      <c r="L44" s="121">
        <f t="shared" si="12"/>
        <v>0</v>
      </c>
      <c r="M44" s="17"/>
      <c r="N44" s="26"/>
      <c r="O44" s="26"/>
      <c r="P44" s="26"/>
      <c r="Q44" s="26">
        <f>125.057-11.104+80-116-6.289+129</f>
        <v>200.66399999999999</v>
      </c>
      <c r="R44" s="26"/>
      <c r="S44" s="26"/>
      <c r="T44" s="26">
        <v>13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258</v>
      </c>
      <c r="F45" s="9" t="s">
        <v>40</v>
      </c>
      <c r="G45" s="9" t="s">
        <v>259</v>
      </c>
      <c r="H45" s="198"/>
      <c r="I45" s="195" t="s">
        <v>234</v>
      </c>
      <c r="J45" s="120">
        <f t="shared" si="10"/>
        <v>119.718</v>
      </c>
      <c r="K45" s="121">
        <f t="shared" si="11"/>
        <v>119.718</v>
      </c>
      <c r="L45" s="121">
        <f t="shared" si="12"/>
        <v>0</v>
      </c>
      <c r="M45" s="17"/>
      <c r="N45" s="26"/>
      <c r="O45" s="26"/>
      <c r="P45" s="26"/>
      <c r="Q45" s="26"/>
      <c r="R45" s="26">
        <v>119.718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310</v>
      </c>
      <c r="F46" s="9" t="s">
        <v>40</v>
      </c>
      <c r="G46" s="9" t="s">
        <v>311</v>
      </c>
      <c r="H46" s="198"/>
      <c r="I46" s="195" t="s">
        <v>234</v>
      </c>
      <c r="J46" s="120">
        <f t="shared" si="10"/>
        <v>7.734</v>
      </c>
      <c r="K46" s="121">
        <f t="shared" si="11"/>
        <v>7.734</v>
      </c>
      <c r="L46" s="121">
        <f t="shared" si="12"/>
        <v>0</v>
      </c>
      <c r="M46" s="17"/>
      <c r="N46" s="26"/>
      <c r="O46" s="26"/>
      <c r="P46" s="26"/>
      <c r="Q46" s="26"/>
      <c r="R46" s="26">
        <v>7.734</v>
      </c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250</v>
      </c>
      <c r="F47" s="9" t="s">
        <v>40</v>
      </c>
      <c r="G47" s="9" t="s">
        <v>251</v>
      </c>
      <c r="H47" s="195"/>
      <c r="I47" s="195" t="s">
        <v>247</v>
      </c>
      <c r="J47" s="120">
        <f t="shared" si="10"/>
        <v>618.923</v>
      </c>
      <c r="K47" s="121">
        <f t="shared" si="11"/>
        <v>618.923</v>
      </c>
      <c r="L47" s="121">
        <f t="shared" si="12"/>
        <v>0</v>
      </c>
      <c r="M47" s="17"/>
      <c r="N47" s="26"/>
      <c r="O47" s="26"/>
      <c r="P47" s="26"/>
      <c r="Q47" s="26">
        <f>217.481-169.053+241+87-47.326-0.923-87.106-26</f>
        <v>215.07299999999998</v>
      </c>
      <c r="R47" s="26">
        <f>192.358-87+98+26+2</f>
        <v>231.358</v>
      </c>
      <c r="S47" s="26">
        <f>41.866+31-2+67</f>
        <v>137.86599999999999</v>
      </c>
      <c r="T47" s="26">
        <f>13+10.626+11</f>
        <v>34.625999999999998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254</v>
      </c>
      <c r="F48" s="9" t="s">
        <v>40</v>
      </c>
      <c r="G48" s="9" t="s">
        <v>255</v>
      </c>
      <c r="H48" s="195"/>
      <c r="I48" s="195" t="s">
        <v>247</v>
      </c>
      <c r="J48" s="120">
        <f t="shared" si="10"/>
        <v>300.41000000000003</v>
      </c>
      <c r="K48" s="121">
        <f t="shared" si="11"/>
        <v>300.41000000000003</v>
      </c>
      <c r="L48" s="121">
        <f t="shared" si="12"/>
        <v>0</v>
      </c>
      <c r="M48" s="17"/>
      <c r="N48" s="26"/>
      <c r="O48" s="26"/>
      <c r="P48" s="26"/>
      <c r="Q48" s="26">
        <f>242.3+21.033-129-83.923-4</f>
        <v>46.410000000000025</v>
      </c>
      <c r="R48" s="26">
        <f>85+129+36-15</f>
        <v>235</v>
      </c>
      <c r="S48" s="26"/>
      <c r="T48" s="26"/>
      <c r="U48" s="26">
        <f>4+15</f>
        <v>19</v>
      </c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267</v>
      </c>
      <c r="F49" s="9" t="s">
        <v>40</v>
      </c>
      <c r="G49" s="9" t="s">
        <v>268</v>
      </c>
      <c r="H49" s="196"/>
      <c r="I49" s="195" t="s">
        <v>247</v>
      </c>
      <c r="J49" s="120">
        <f t="shared" si="10"/>
        <v>12.603</v>
      </c>
      <c r="K49" s="121">
        <f t="shared" si="11"/>
        <v>12.603</v>
      </c>
      <c r="L49" s="121">
        <f t="shared" si="12"/>
        <v>0</v>
      </c>
      <c r="M49" s="17"/>
      <c r="N49" s="26"/>
      <c r="O49" s="26"/>
      <c r="P49" s="26"/>
      <c r="Q49" s="26">
        <f>2-4.068-2.906+3+9.577-5</f>
        <v>2.6029999999999998</v>
      </c>
      <c r="R49" s="26"/>
      <c r="S49" s="26">
        <f>5+5</f>
        <v>10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246</v>
      </c>
      <c r="F50" s="9" t="s">
        <v>40</v>
      </c>
      <c r="G50" s="9" t="s">
        <v>246</v>
      </c>
      <c r="H50" s="197"/>
      <c r="I50" s="195" t="s">
        <v>247</v>
      </c>
      <c r="J50" s="120">
        <f t="shared" si="10"/>
        <v>256.96300000000002</v>
      </c>
      <c r="K50" s="121">
        <f t="shared" si="11"/>
        <v>256.96300000000002</v>
      </c>
      <c r="L50" s="121">
        <f t="shared" si="12"/>
        <v>0</v>
      </c>
      <c r="M50" s="17"/>
      <c r="N50" s="26"/>
      <c r="O50" s="26"/>
      <c r="P50" s="26"/>
      <c r="Q50" s="26">
        <f>7-2.182+3</f>
        <v>7.8179999999999996</v>
      </c>
      <c r="R50" s="26">
        <f>223.55-3+8</f>
        <v>228.55</v>
      </c>
      <c r="S50" s="26"/>
      <c r="T50" s="26"/>
      <c r="U50" s="26">
        <v>20.594999999999999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248</v>
      </c>
      <c r="F51" s="9" t="s">
        <v>40</v>
      </c>
      <c r="G51" s="9" t="s">
        <v>249</v>
      </c>
      <c r="H51" s="197"/>
      <c r="I51" s="195" t="s">
        <v>247</v>
      </c>
      <c r="J51" s="120">
        <f t="shared" si="10"/>
        <v>149.91800000000001</v>
      </c>
      <c r="K51" s="121">
        <f t="shared" si="11"/>
        <v>149.91800000000001</v>
      </c>
      <c r="L51" s="121">
        <f t="shared" si="12"/>
        <v>0</v>
      </c>
      <c r="M51" s="17"/>
      <c r="N51" s="26"/>
      <c r="O51" s="26"/>
      <c r="P51" s="26"/>
      <c r="Q51" s="26">
        <f>16.249-8.408+742.638-690.561+33+28</f>
        <v>120.91800000000001</v>
      </c>
      <c r="R51" s="26">
        <f>9+20</f>
        <v>29</v>
      </c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195" t="s">
        <v>247</v>
      </c>
      <c r="J52" s="120">
        <f t="shared" si="10"/>
        <v>12.375</v>
      </c>
      <c r="K52" s="121">
        <f t="shared" si="11"/>
        <v>12.375</v>
      </c>
      <c r="L52" s="121">
        <f t="shared" si="12"/>
        <v>0</v>
      </c>
      <c r="M52" s="17"/>
      <c r="N52" s="26"/>
      <c r="O52" s="26"/>
      <c r="P52" s="26"/>
      <c r="Q52" s="26">
        <f>1.082+6.293+4</f>
        <v>11.375</v>
      </c>
      <c r="R52" s="26">
        <v>1</v>
      </c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252</v>
      </c>
      <c r="F53" s="9" t="s">
        <v>40</v>
      </c>
      <c r="G53" s="9" t="s">
        <v>253</v>
      </c>
      <c r="H53" s="197"/>
      <c r="I53" s="195" t="s">
        <v>247</v>
      </c>
      <c r="J53" s="120">
        <f t="shared" si="10"/>
        <v>40.777999999999999</v>
      </c>
      <c r="K53" s="121">
        <f t="shared" si="11"/>
        <v>40.777999999999999</v>
      </c>
      <c r="L53" s="121">
        <f t="shared" si="12"/>
        <v>0</v>
      </c>
      <c r="M53" s="17"/>
      <c r="N53" s="26"/>
      <c r="O53" s="26"/>
      <c r="P53" s="26"/>
      <c r="Q53" s="26">
        <f>25.122-1.344+14-3</f>
        <v>34.777999999999999</v>
      </c>
      <c r="R53" s="26">
        <f>3+3</f>
        <v>6</v>
      </c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260</v>
      </c>
      <c r="F54" s="9" t="s">
        <v>40</v>
      </c>
      <c r="G54" s="9" t="s">
        <v>261</v>
      </c>
      <c r="H54" s="197"/>
      <c r="I54" s="195" t="s">
        <v>247</v>
      </c>
      <c r="J54" s="120">
        <f t="shared" si="10"/>
        <v>201.04000000000002</v>
      </c>
      <c r="K54" s="121">
        <f t="shared" si="11"/>
        <v>201.04000000000002</v>
      </c>
      <c r="L54" s="121">
        <f t="shared" si="12"/>
        <v>0</v>
      </c>
      <c r="M54" s="17"/>
      <c r="N54" s="26"/>
      <c r="O54" s="26"/>
      <c r="P54" s="26"/>
      <c r="Q54" s="26">
        <f>109.041-26.915-20.22+1-20</f>
        <v>42.906000000000006</v>
      </c>
      <c r="R54" s="26">
        <f>1+20</f>
        <v>21</v>
      </c>
      <c r="S54" s="26">
        <f>105+2</f>
        <v>107</v>
      </c>
      <c r="T54" s="26">
        <f>28.134-1-1-2+6</f>
        <v>30.134</v>
      </c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279</v>
      </c>
      <c r="F55" s="9" t="s">
        <v>40</v>
      </c>
      <c r="G55" s="9" t="s">
        <v>283</v>
      </c>
      <c r="H55" s="197"/>
      <c r="I55" s="195" t="s">
        <v>247</v>
      </c>
      <c r="J55" s="120">
        <f t="shared" si="10"/>
        <v>28</v>
      </c>
      <c r="K55" s="121">
        <f t="shared" si="11"/>
        <v>28</v>
      </c>
      <c r="L55" s="121">
        <f t="shared" si="12"/>
        <v>0</v>
      </c>
      <c r="M55" s="17"/>
      <c r="N55" s="26"/>
      <c r="O55" s="26"/>
      <c r="P55" s="26"/>
      <c r="Q55" s="26">
        <v>28</v>
      </c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97"/>
      <c r="I56" s="195" t="s">
        <v>247</v>
      </c>
      <c r="J56" s="120">
        <f t="shared" si="10"/>
        <v>33.478000000000002</v>
      </c>
      <c r="K56" s="121">
        <f t="shared" si="11"/>
        <v>33.478000000000002</v>
      </c>
      <c r="L56" s="121">
        <f t="shared" si="12"/>
        <v>0</v>
      </c>
      <c r="M56" s="17"/>
      <c r="N56" s="26"/>
      <c r="O56" s="26"/>
      <c r="P56" s="26"/>
      <c r="Q56" s="26"/>
      <c r="R56" s="26">
        <v>33.478000000000002</v>
      </c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270</v>
      </c>
      <c r="F57" s="9" t="s">
        <v>40</v>
      </c>
      <c r="G57" s="9" t="s">
        <v>270</v>
      </c>
      <c r="H57" s="197"/>
      <c r="I57" s="195" t="s">
        <v>247</v>
      </c>
      <c r="J57" s="120">
        <f t="shared" si="10"/>
        <v>135.61399999999998</v>
      </c>
      <c r="K57" s="121">
        <f t="shared" si="11"/>
        <v>135.61399999999998</v>
      </c>
      <c r="L57" s="121">
        <f t="shared" si="12"/>
        <v>0</v>
      </c>
      <c r="M57" s="17"/>
      <c r="N57" s="26"/>
      <c r="O57" s="26"/>
      <c r="P57" s="26"/>
      <c r="Q57" s="26">
        <f>200.789-19-65.175</f>
        <v>116.61399999999999</v>
      </c>
      <c r="R57" s="26">
        <f>19-10</f>
        <v>9</v>
      </c>
      <c r="S57" s="26"/>
      <c r="T57" s="26"/>
      <c r="U57" s="26">
        <v>10</v>
      </c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294</v>
      </c>
      <c r="F58" s="9" t="s">
        <v>40</v>
      </c>
      <c r="G58" s="9" t="s">
        <v>294</v>
      </c>
      <c r="H58" s="197"/>
      <c r="I58" s="195" t="s">
        <v>247</v>
      </c>
      <c r="J58" s="120">
        <f t="shared" si="10"/>
        <v>30.632999999999999</v>
      </c>
      <c r="K58" s="121">
        <f t="shared" si="11"/>
        <v>30.632999999999999</v>
      </c>
      <c r="L58" s="121">
        <f t="shared" si="12"/>
        <v>0</v>
      </c>
      <c r="M58" s="17"/>
      <c r="N58" s="26"/>
      <c r="O58" s="26"/>
      <c r="P58" s="26"/>
      <c r="Q58" s="26">
        <v>30.632999999999999</v>
      </c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271</v>
      </c>
      <c r="F59" s="9" t="s">
        <v>40</v>
      </c>
      <c r="G59" s="9" t="s">
        <v>272</v>
      </c>
      <c r="H59" s="197"/>
      <c r="I59" s="195" t="s">
        <v>247</v>
      </c>
      <c r="J59" s="120">
        <f t="shared" si="10"/>
        <v>45.77</v>
      </c>
      <c r="K59" s="121">
        <f t="shared" si="11"/>
        <v>45.77</v>
      </c>
      <c r="L59" s="121">
        <f t="shared" si="12"/>
        <v>0</v>
      </c>
      <c r="M59" s="17"/>
      <c r="N59" s="26"/>
      <c r="O59" s="26"/>
      <c r="P59" s="26"/>
      <c r="Q59" s="26">
        <f>49.941-27.171+11</f>
        <v>33.770000000000003</v>
      </c>
      <c r="R59" s="26">
        <v>12</v>
      </c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273</v>
      </c>
      <c r="F60" s="9" t="s">
        <v>40</v>
      </c>
      <c r="G60" s="9" t="s">
        <v>274</v>
      </c>
      <c r="H60" s="197"/>
      <c r="I60" s="195" t="s">
        <v>247</v>
      </c>
      <c r="J60" s="120">
        <f t="shared" si="10"/>
        <v>127.949</v>
      </c>
      <c r="K60" s="121">
        <f t="shared" si="11"/>
        <v>127.949</v>
      </c>
      <c r="L60" s="121">
        <f t="shared" si="12"/>
        <v>0</v>
      </c>
      <c r="M60" s="17"/>
      <c r="N60" s="26"/>
      <c r="O60" s="26"/>
      <c r="P60" s="26"/>
      <c r="Q60" s="26">
        <f>12.052-50.103+49</f>
        <v>10.948999999999998</v>
      </c>
      <c r="R60" s="26">
        <v>63</v>
      </c>
      <c r="S60" s="26">
        <v>54</v>
      </c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304</v>
      </c>
      <c r="F61" s="9" t="s">
        <v>40</v>
      </c>
      <c r="G61" s="9" t="s">
        <v>304</v>
      </c>
      <c r="H61" s="197"/>
      <c r="I61" s="195" t="s">
        <v>247</v>
      </c>
      <c r="J61" s="120">
        <f t="shared" si="10"/>
        <v>6.6680000000000001</v>
      </c>
      <c r="K61" s="121">
        <f t="shared" si="11"/>
        <v>6.6680000000000001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>
        <f>3-3.332+7</f>
        <v>6.6680000000000001</v>
      </c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1"/>
  <sheetViews>
    <sheetView showGridLines="0" topLeftCell="C10" zoomScale="80" zoomScaleNormal="80" workbookViewId="0">
      <selection activeCell="Q56" sqref="Q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0+65.798+187.646+1646.019+2738.581+197.926+1008.221+129.743+236.84+210.522+419.213+379.871-21.033-10.626+J10</f>
        <v>8641.4660000000003</v>
      </c>
      <c r="I10" s="63"/>
      <c r="J10" s="162">
        <f>0+996.361+456.384</f>
        <v>1452.7449999999999</v>
      </c>
      <c r="L10" s="162">
        <f>J10+Q17</f>
        <v>2152.4489999999996</v>
      </c>
      <c r="N10" s="57"/>
      <c r="O10" s="173">
        <f>+H10+K17</f>
        <v>13534.825000000001</v>
      </c>
      <c r="P10" s="174" cm="1">
        <f t="array" aca="1" ref="P10" ca="1">INDIRECT(ADDRESS(10,15,,,VLOOKUP($G$4,parameters!$G:$I,3,0)))</f>
        <v>12968.74</v>
      </c>
      <c r="Q10" s="186">
        <f ca="1">O10-P10</f>
        <v>566.08500000000095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0+68.362+73.603+302.502+1813.594+46.497+224.908+0.185+192.936+6.425+106.702+57.172+J11</f>
        <v>3236.2260000000001</v>
      </c>
      <c r="I11" s="63"/>
      <c r="J11" s="18">
        <f>0+258.468+84.872</f>
        <v>343.34000000000003</v>
      </c>
      <c r="L11" s="18">
        <f>J11+Q18</f>
        <v>786.73700000000008</v>
      </c>
      <c r="N11" s="57"/>
      <c r="O11" s="155">
        <f>+H11+K18</f>
        <v>6020.17</v>
      </c>
      <c r="P11" s="156" cm="1">
        <f t="array" aca="1" ref="P11" ca="1">INDIRECT(ADDRESS(11,15,,,VLOOKUP($G$4,parameters!$G:$I,3,0)))</f>
        <v>6015.17</v>
      </c>
      <c r="Q11" s="187">
        <f t="shared" ref="Q11:Q12" ca="1" si="0">O11-P11</f>
        <v>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11877.692000000001</v>
      </c>
      <c r="I12" s="63"/>
      <c r="J12" s="128">
        <f>SUM(J10:J11)</f>
        <v>1796.085</v>
      </c>
      <c r="K12" s="67"/>
      <c r="L12" s="128">
        <f>SUM(L10:L11)</f>
        <v>2939.1859999999997</v>
      </c>
      <c r="M12" s="67"/>
      <c r="N12" s="67"/>
      <c r="O12" s="157">
        <f>SUM(O10:O11)</f>
        <v>19554.995000000003</v>
      </c>
      <c r="P12" s="158">
        <f ca="1">SUM(P10:P11)</f>
        <v>18983.91</v>
      </c>
      <c r="Q12" s="159">
        <f t="shared" ca="1" si="0"/>
        <v>571.08500000000276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4893.3590000000004</v>
      </c>
      <c r="K17" s="110">
        <f>+SUMIF($F$24:$F$250,"External",$K$24:$K$250)</f>
        <v>4893.3590000000004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699.70399999999995</v>
      </c>
      <c r="R17" s="113">
        <f t="shared" si="1"/>
        <v>1243.1199999999999</v>
      </c>
      <c r="S17" s="113">
        <f t="shared" si="1"/>
        <v>1375.7749999999999</v>
      </c>
      <c r="T17" s="113">
        <f t="shared" si="1"/>
        <v>1472.6</v>
      </c>
      <c r="U17" s="113">
        <f t="shared" si="1"/>
        <v>102.16000000000001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2783.9440000000004</v>
      </c>
      <c r="K18" s="115">
        <f>+SUMIF($F$24:$F$250,"Group",$K$24:$K$250)</f>
        <v>2783.9440000000004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443.39699999999999</v>
      </c>
      <c r="R18" s="116">
        <f t="shared" si="3"/>
        <v>623.97699999999998</v>
      </c>
      <c r="S18" s="116">
        <f t="shared" si="3"/>
        <v>33</v>
      </c>
      <c r="T18" s="116">
        <f t="shared" si="3"/>
        <v>1186</v>
      </c>
      <c r="U18" s="116">
        <f t="shared" si="3"/>
        <v>497.56999999999994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7677.3030000000008</v>
      </c>
      <c r="K19" s="117">
        <f>SUM(K17:K18)</f>
        <v>7677.3030000000008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1143.1009999999999</v>
      </c>
      <c r="R19" s="118">
        <f t="shared" si="5"/>
        <v>1867.0969999999998</v>
      </c>
      <c r="S19" s="118">
        <f t="shared" si="5"/>
        <v>1408.7749999999999</v>
      </c>
      <c r="T19" s="118">
        <f t="shared" si="5"/>
        <v>2658.6</v>
      </c>
      <c r="U19" s="118">
        <f t="shared" si="5"/>
        <v>599.7299999999999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1795.43</v>
      </c>
      <c r="K24" s="121">
        <f t="shared" ref="K24" si="8">SUM(N24:Y24)</f>
        <v>1795.43</v>
      </c>
      <c r="L24" s="121">
        <f t="shared" ref="L24" si="9">SUM(AA24:AL24)</f>
        <v>0</v>
      </c>
      <c r="M24" s="25"/>
      <c r="N24" s="26"/>
      <c r="O24" s="26"/>
      <c r="P24" s="26"/>
      <c r="Q24" s="26">
        <f>27.968-7.076+2</f>
        <v>22.891999999999999</v>
      </c>
      <c r="R24" s="26">
        <f>443.538-2-1-1</f>
        <v>439.53800000000001</v>
      </c>
      <c r="S24" s="26">
        <f>24+1</f>
        <v>25</v>
      </c>
      <c r="T24" s="26">
        <f>1185+1</f>
        <v>1186</v>
      </c>
      <c r="U24" s="26">
        <f>122-1+1</f>
        <v>122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0.42199999999999704</v>
      </c>
      <c r="K25" s="121">
        <f t="shared" ref="K25:K87" si="11">SUM(N25:Y25)</f>
        <v>0.42199999999999704</v>
      </c>
      <c r="L25" s="121">
        <f t="shared" ref="L25:L87" si="12">SUM(AA25:AL25)</f>
        <v>0</v>
      </c>
      <c r="M25" s="25"/>
      <c r="N25" s="26"/>
      <c r="O25" s="26"/>
      <c r="P25" s="26"/>
      <c r="Q25" s="26">
        <f>41.4-44.978+4</f>
        <v>0.42199999999999704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67.831000000000003</v>
      </c>
      <c r="K26" s="121">
        <f t="shared" si="11"/>
        <v>67.831000000000003</v>
      </c>
      <c r="L26" s="121">
        <f t="shared" si="12"/>
        <v>0</v>
      </c>
      <c r="M26" s="25"/>
      <c r="N26" s="26"/>
      <c r="O26" s="26"/>
      <c r="P26" s="26"/>
      <c r="Q26" s="26">
        <f>58.216-11.985+3</f>
        <v>49.231000000000002</v>
      </c>
      <c r="R26" s="26">
        <v>10</v>
      </c>
      <c r="S26" s="26"/>
      <c r="T26" s="26"/>
      <c r="U26" s="26">
        <f>21.6-10-3</f>
        <v>8.6000000000000014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2.7999999999996472E-2</v>
      </c>
      <c r="K27" s="121">
        <f t="shared" si="11"/>
        <v>2.7999999999996472E-2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0.0319999999999965-1.004+1</f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22.152000000000001</v>
      </c>
      <c r="K28" s="121">
        <f t="shared" si="11"/>
        <v>22.152000000000001</v>
      </c>
      <c r="L28" s="121">
        <f t="shared" si="12"/>
        <v>0</v>
      </c>
      <c r="M28" s="25"/>
      <c r="N28" s="26"/>
      <c r="O28" s="26"/>
      <c r="P28" s="26"/>
      <c r="Q28" s="26">
        <v>1</v>
      </c>
      <c r="R28" s="26"/>
      <c r="S28" s="26"/>
      <c r="T28" s="26"/>
      <c r="U28" s="26">
        <f>29.152-3-5</f>
        <v>21.152000000000001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9.8260000000000005</v>
      </c>
      <c r="K29" s="121">
        <f t="shared" si="11"/>
        <v>9.8260000000000005</v>
      </c>
      <c r="L29" s="121">
        <f t="shared" si="12"/>
        <v>0</v>
      </c>
      <c r="M29" s="25"/>
      <c r="N29" s="26"/>
      <c r="O29" s="26"/>
      <c r="P29" s="26"/>
      <c r="Q29" s="26">
        <f>4.826+5</f>
        <v>9.8260000000000005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345.67999999999995</v>
      </c>
      <c r="K30" s="121">
        <f t="shared" si="11"/>
        <v>345.67999999999995</v>
      </c>
      <c r="L30" s="121">
        <f t="shared" si="12"/>
        <v>0</v>
      </c>
      <c r="M30" s="25"/>
      <c r="N30" s="26"/>
      <c r="O30" s="26"/>
      <c r="P30" s="26"/>
      <c r="Q30" s="26">
        <f>5.901-0.881-3.156</f>
        <v>1.8639999999999994</v>
      </c>
      <c r="R30" s="26">
        <v>35</v>
      </c>
      <c r="S30" s="26">
        <v>8</v>
      </c>
      <c r="T30" s="26"/>
      <c r="U30" s="26">
        <v>300.81599999999997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2.9049999999999994</v>
      </c>
      <c r="K31" s="121">
        <f t="shared" si="11"/>
        <v>2.9049999999999994</v>
      </c>
      <c r="L31" s="121">
        <f t="shared" si="12"/>
        <v>0</v>
      </c>
      <c r="M31" s="25"/>
      <c r="N31" s="26"/>
      <c r="O31" s="26"/>
      <c r="P31" s="26"/>
      <c r="Q31" s="26">
        <f>18.697-15.792-2</f>
        <v>0.90499999999999936</v>
      </c>
      <c r="R31" s="26"/>
      <c r="S31" s="26"/>
      <c r="T31" s="26"/>
      <c r="U31" s="26">
        <v>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6.96</v>
      </c>
      <c r="K32" s="121">
        <f t="shared" si="11"/>
        <v>6.96</v>
      </c>
      <c r="L32" s="121">
        <f t="shared" si="12"/>
        <v>0</v>
      </c>
      <c r="M32" s="17"/>
      <c r="N32" s="26"/>
      <c r="O32" s="26"/>
      <c r="P32" s="26"/>
      <c r="Q32" s="26">
        <f>3.96+3</f>
        <v>6.96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191.786</v>
      </c>
      <c r="K33" s="121">
        <f t="shared" si="11"/>
        <v>191.786</v>
      </c>
      <c r="L33" s="121">
        <f t="shared" si="12"/>
        <v>0</v>
      </c>
      <c r="M33" s="17"/>
      <c r="N33" s="26"/>
      <c r="O33" s="26"/>
      <c r="P33" s="26"/>
      <c r="Q33" s="26">
        <v>52.347000000000008</v>
      </c>
      <c r="R33" s="26">
        <v>139.43899999999999</v>
      </c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182.80199999999999</v>
      </c>
      <c r="K34" s="121">
        <f t="shared" si="11"/>
        <v>182.80199999999999</v>
      </c>
      <c r="L34" s="121">
        <f t="shared" si="12"/>
        <v>0</v>
      </c>
      <c r="M34" s="17"/>
      <c r="N34" s="26"/>
      <c r="O34" s="26"/>
      <c r="P34" s="26"/>
      <c r="Q34" s="26">
        <v>182.80199999999999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7.9740000000000038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316</v>
      </c>
      <c r="F36" s="9" t="s">
        <v>10</v>
      </c>
      <c r="G36" s="9" t="s">
        <v>318</v>
      </c>
      <c r="H36" s="197"/>
      <c r="I36" s="195" t="s">
        <v>234</v>
      </c>
      <c r="J36" s="120">
        <f t="shared" si="10"/>
        <v>98.456999999999994</v>
      </c>
      <c r="K36" s="121">
        <f t="shared" si="11"/>
        <v>98.456999999999994</v>
      </c>
      <c r="L36" s="121">
        <f t="shared" si="12"/>
        <v>0</v>
      </c>
      <c r="M36" s="17"/>
      <c r="N36" s="26"/>
      <c r="O36" s="26"/>
      <c r="P36" s="26"/>
      <c r="Q36" s="26">
        <v>98.456999999999994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195" t="s">
        <v>234</v>
      </c>
      <c r="J37" s="120">
        <f t="shared" si="10"/>
        <v>42.486000000000004</v>
      </c>
      <c r="K37" s="121">
        <f t="shared" si="11"/>
        <v>42.486000000000004</v>
      </c>
      <c r="L37" s="121">
        <f t="shared" si="12"/>
        <v>0</v>
      </c>
      <c r="M37" s="17"/>
      <c r="N37" s="26"/>
      <c r="O37" s="26"/>
      <c r="P37" s="26"/>
      <c r="Q37" s="26">
        <v>7.4860000000000007</v>
      </c>
      <c r="R37" s="26"/>
      <c r="S37" s="26"/>
      <c r="T37" s="26"/>
      <c r="U37" s="26">
        <v>35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136</v>
      </c>
      <c r="F38" s="9" t="s">
        <v>10</v>
      </c>
      <c r="G38" s="9" t="s">
        <v>136</v>
      </c>
      <c r="H38" s="197"/>
      <c r="I38" s="195" t="s">
        <v>234</v>
      </c>
      <c r="J38" s="120">
        <f t="shared" si="10"/>
        <v>9.2050000000000001</v>
      </c>
      <c r="K38" s="121">
        <f t="shared" si="11"/>
        <v>9.2050000000000001</v>
      </c>
      <c r="L38" s="121">
        <f t="shared" si="12"/>
        <v>0</v>
      </c>
      <c r="M38" s="17"/>
      <c r="N38" s="26"/>
      <c r="O38" s="26"/>
      <c r="P38" s="26"/>
      <c r="Q38" s="26">
        <v>9.2050000000000001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262</v>
      </c>
      <c r="F39" s="9" t="s">
        <v>40</v>
      </c>
      <c r="G39" s="9" t="s">
        <v>263</v>
      </c>
      <c r="H39" s="197"/>
      <c r="I39" s="195" t="s">
        <v>234</v>
      </c>
      <c r="J39" s="120">
        <f t="shared" si="10"/>
        <v>73.163000000000011</v>
      </c>
      <c r="K39" s="121">
        <f t="shared" si="11"/>
        <v>73.163000000000011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73.163000000000011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290</v>
      </c>
      <c r="F40" s="9" t="s">
        <v>40</v>
      </c>
      <c r="G40" s="9" t="s">
        <v>245</v>
      </c>
      <c r="H40" s="197"/>
      <c r="I40" s="195" t="s">
        <v>234</v>
      </c>
      <c r="J40" s="120">
        <f t="shared" si="10"/>
        <v>2130.183</v>
      </c>
      <c r="K40" s="121">
        <f t="shared" si="11"/>
        <v>2130.183</v>
      </c>
      <c r="L40" s="121">
        <f t="shared" si="12"/>
        <v>0</v>
      </c>
      <c r="M40" s="17"/>
      <c r="N40" s="26"/>
      <c r="O40" s="26"/>
      <c r="P40" s="26"/>
      <c r="Q40" s="26">
        <f>155.444-95</f>
        <v>60.443999999999988</v>
      </c>
      <c r="R40" s="26">
        <f>4+95+8</f>
        <v>107</v>
      </c>
      <c r="S40" s="26">
        <f>523.765-8+11</f>
        <v>526.76499999999999</v>
      </c>
      <c r="T40" s="26">
        <f>1446.974-11</f>
        <v>1435.9739999999999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276</v>
      </c>
      <c r="F41" s="9" t="s">
        <v>40</v>
      </c>
      <c r="G41" s="9" t="s">
        <v>276</v>
      </c>
      <c r="H41" s="197"/>
      <c r="I41" s="195" t="s">
        <v>234</v>
      </c>
      <c r="J41" s="120">
        <f t="shared" si="10"/>
        <v>17</v>
      </c>
      <c r="K41" s="121">
        <f t="shared" si="11"/>
        <v>17</v>
      </c>
      <c r="L41" s="121">
        <f t="shared" si="12"/>
        <v>0</v>
      </c>
      <c r="M41" s="17"/>
      <c r="N41" s="26"/>
      <c r="O41" s="26"/>
      <c r="P41" s="26"/>
      <c r="Q41" s="26">
        <v>17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256</v>
      </c>
      <c r="F42" s="9" t="s">
        <v>40</v>
      </c>
      <c r="G42" s="9" t="s">
        <v>257</v>
      </c>
      <c r="H42" s="198"/>
      <c r="I42" s="195" t="s">
        <v>234</v>
      </c>
      <c r="J42" s="120">
        <f t="shared" si="10"/>
        <v>184.18200000000002</v>
      </c>
      <c r="K42" s="121">
        <f t="shared" si="11"/>
        <v>184.18200000000002</v>
      </c>
      <c r="L42" s="121">
        <f t="shared" si="12"/>
        <v>0</v>
      </c>
      <c r="M42" s="17"/>
      <c r="N42" s="26"/>
      <c r="O42" s="26"/>
      <c r="P42" s="26"/>
      <c r="Q42" s="26">
        <f>7.062+27</f>
        <v>34.061999999999998</v>
      </c>
      <c r="R42" s="26">
        <v>39</v>
      </c>
      <c r="S42" s="26">
        <v>91</v>
      </c>
      <c r="T42" s="26"/>
      <c r="U42" s="26">
        <f>86.12-27-39</f>
        <v>20.120000000000005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264</v>
      </c>
      <c r="F43" s="9" t="s">
        <v>40</v>
      </c>
      <c r="G43" s="9" t="s">
        <v>265</v>
      </c>
      <c r="H43" s="198"/>
      <c r="I43" s="195" t="s">
        <v>234</v>
      </c>
      <c r="J43" s="120">
        <f t="shared" si="10"/>
        <v>95.725999999999985</v>
      </c>
      <c r="K43" s="121">
        <f t="shared" si="11"/>
        <v>95.725999999999985</v>
      </c>
      <c r="L43" s="121">
        <f t="shared" si="12"/>
        <v>0</v>
      </c>
      <c r="M43" s="17"/>
      <c r="N43" s="26"/>
      <c r="O43" s="26"/>
      <c r="P43" s="26"/>
      <c r="Q43" s="26">
        <f>200.664-117.938-12</f>
        <v>70.725999999999985</v>
      </c>
      <c r="R43" s="26">
        <v>12</v>
      </c>
      <c r="S43" s="26"/>
      <c r="T43" s="26"/>
      <c r="U43" s="26">
        <v>13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258</v>
      </c>
      <c r="F44" s="9" t="s">
        <v>40</v>
      </c>
      <c r="G44" s="9" t="s">
        <v>259</v>
      </c>
      <c r="H44" s="198"/>
      <c r="I44" s="195" t="s">
        <v>234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>
        <f>119.718-119.718</f>
        <v>0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310</v>
      </c>
      <c r="F45" s="9" t="s">
        <v>40</v>
      </c>
      <c r="G45" s="9" t="s">
        <v>311</v>
      </c>
      <c r="H45" s="195"/>
      <c r="I45" s="195" t="s">
        <v>234</v>
      </c>
      <c r="J45" s="120">
        <f t="shared" si="10"/>
        <v>7.734</v>
      </c>
      <c r="K45" s="121">
        <f t="shared" si="11"/>
        <v>7.734</v>
      </c>
      <c r="L45" s="121">
        <f t="shared" si="12"/>
        <v>0</v>
      </c>
      <c r="M45" s="17"/>
      <c r="N45" s="26"/>
      <c r="O45" s="26"/>
      <c r="P45" s="26"/>
      <c r="Q45" s="26"/>
      <c r="R45" s="26">
        <v>7.734</v>
      </c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250</v>
      </c>
      <c r="F46" s="9" t="s">
        <v>40</v>
      </c>
      <c r="G46" s="9" t="s">
        <v>251</v>
      </c>
      <c r="H46" s="195"/>
      <c r="I46" s="195" t="s">
        <v>247</v>
      </c>
      <c r="J46" s="120">
        <f t="shared" si="10"/>
        <v>861.13</v>
      </c>
      <c r="K46" s="121">
        <f t="shared" si="11"/>
        <v>861.13</v>
      </c>
      <c r="L46" s="121">
        <f t="shared" si="12"/>
        <v>0</v>
      </c>
      <c r="M46" s="17"/>
      <c r="N46" s="26"/>
      <c r="O46" s="26"/>
      <c r="P46" s="26"/>
      <c r="Q46" s="26">
        <f>215.073-14.57-57</f>
        <v>143.50300000000001</v>
      </c>
      <c r="R46" s="26">
        <f>231.358+57</f>
        <v>288.358</v>
      </c>
      <c r="S46" s="26">
        <f>137.866+244</f>
        <v>381.86599999999999</v>
      </c>
      <c r="T46" s="26">
        <v>34.625999999999998</v>
      </c>
      <c r="U46" s="26">
        <v>12.776999999999999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254</v>
      </c>
      <c r="F47" s="9" t="s">
        <v>40</v>
      </c>
      <c r="G47" s="9" t="s">
        <v>255</v>
      </c>
      <c r="H47" s="196"/>
      <c r="I47" s="195" t="s">
        <v>247</v>
      </c>
      <c r="J47" s="120">
        <f t="shared" si="10"/>
        <v>357.65</v>
      </c>
      <c r="K47" s="121">
        <f t="shared" si="11"/>
        <v>357.65</v>
      </c>
      <c r="L47" s="121">
        <f t="shared" si="12"/>
        <v>0</v>
      </c>
      <c r="M47" s="17"/>
      <c r="N47" s="26"/>
      <c r="O47" s="26"/>
      <c r="P47" s="26"/>
      <c r="Q47" s="26">
        <f>46.41-26.76+124</f>
        <v>143.65</v>
      </c>
      <c r="R47" s="26">
        <f>235-124+84</f>
        <v>195</v>
      </c>
      <c r="S47" s="26"/>
      <c r="T47" s="26"/>
      <c r="U47" s="26">
        <v>19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267</v>
      </c>
      <c r="F48" s="9" t="s">
        <v>40</v>
      </c>
      <c r="G48" s="9" t="s">
        <v>268</v>
      </c>
      <c r="H48" s="197"/>
      <c r="I48" s="195" t="s">
        <v>247</v>
      </c>
      <c r="J48" s="120">
        <f t="shared" si="10"/>
        <v>18.603000000000002</v>
      </c>
      <c r="K48" s="121">
        <f t="shared" si="11"/>
        <v>18.603000000000002</v>
      </c>
      <c r="L48" s="121">
        <f t="shared" si="12"/>
        <v>0</v>
      </c>
      <c r="M48" s="17"/>
      <c r="N48" s="26"/>
      <c r="O48" s="26"/>
      <c r="P48" s="26"/>
      <c r="Q48" s="26">
        <f>2.603-1</f>
        <v>1.6030000000000002</v>
      </c>
      <c r="R48" s="26"/>
      <c r="S48" s="26">
        <f>10+1+4</f>
        <v>15</v>
      </c>
      <c r="T48" s="26">
        <v>2</v>
      </c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246</v>
      </c>
      <c r="F49" s="9" t="s">
        <v>40</v>
      </c>
      <c r="G49" s="9" t="s">
        <v>246</v>
      </c>
      <c r="H49" s="197"/>
      <c r="I49" s="195" t="s">
        <v>247</v>
      </c>
      <c r="J49" s="120">
        <f t="shared" si="10"/>
        <v>256.96300000000002</v>
      </c>
      <c r="K49" s="121">
        <f t="shared" si="11"/>
        <v>256.96300000000002</v>
      </c>
      <c r="L49" s="121">
        <f t="shared" si="12"/>
        <v>0</v>
      </c>
      <c r="M49" s="17"/>
      <c r="N49" s="26"/>
      <c r="O49" s="26"/>
      <c r="P49" s="26"/>
      <c r="Q49" s="26">
        <v>7.8179999999999996</v>
      </c>
      <c r="R49" s="26">
        <v>228.55</v>
      </c>
      <c r="S49" s="26"/>
      <c r="T49" s="26"/>
      <c r="U49" s="26">
        <v>20.594999999999999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248</v>
      </c>
      <c r="F50" s="9" t="s">
        <v>40</v>
      </c>
      <c r="G50" s="9" t="s">
        <v>249</v>
      </c>
      <c r="H50" s="197"/>
      <c r="I50" s="195" t="s">
        <v>247</v>
      </c>
      <c r="J50" s="120">
        <f t="shared" si="10"/>
        <v>139.59100000000001</v>
      </c>
      <c r="K50" s="121">
        <f t="shared" si="11"/>
        <v>139.59100000000001</v>
      </c>
      <c r="L50" s="121">
        <f t="shared" si="12"/>
        <v>0</v>
      </c>
      <c r="M50" s="17"/>
      <c r="N50" s="26"/>
      <c r="O50" s="26"/>
      <c r="P50" s="26"/>
      <c r="Q50" s="26">
        <f>120.918-10.327-38</f>
        <v>72.591000000000008</v>
      </c>
      <c r="R50" s="26">
        <f>29+14</f>
        <v>43</v>
      </c>
      <c r="S50" s="26">
        <f>38-14</f>
        <v>24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195" t="s">
        <v>247</v>
      </c>
      <c r="J51" s="120">
        <f t="shared" si="10"/>
        <v>12.375</v>
      </c>
      <c r="K51" s="121">
        <f t="shared" si="11"/>
        <v>12.375</v>
      </c>
      <c r="L51" s="121">
        <f t="shared" si="12"/>
        <v>0</v>
      </c>
      <c r="M51" s="17"/>
      <c r="N51" s="26"/>
      <c r="O51" s="26"/>
      <c r="P51" s="26"/>
      <c r="Q51" s="26">
        <f>11.375-8</f>
        <v>3.375</v>
      </c>
      <c r="R51" s="26">
        <f>1+8-1</f>
        <v>8</v>
      </c>
      <c r="S51" s="26">
        <v>1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252</v>
      </c>
      <c r="F52" s="9" t="s">
        <v>40</v>
      </c>
      <c r="G52" s="9" t="s">
        <v>253</v>
      </c>
      <c r="H52" s="197"/>
      <c r="I52" s="195" t="s">
        <v>247</v>
      </c>
      <c r="J52" s="120">
        <f t="shared" si="10"/>
        <v>56.647999999999996</v>
      </c>
      <c r="K52" s="121">
        <f t="shared" si="11"/>
        <v>56.647999999999996</v>
      </c>
      <c r="L52" s="121">
        <f t="shared" si="12"/>
        <v>0</v>
      </c>
      <c r="M52" s="17"/>
      <c r="N52" s="26"/>
      <c r="O52" s="26"/>
      <c r="P52" s="26"/>
      <c r="Q52" s="26">
        <f>34.778-0.13</f>
        <v>34.647999999999996</v>
      </c>
      <c r="R52" s="26">
        <f>6+16</f>
        <v>22</v>
      </c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260</v>
      </c>
      <c r="F53" s="9" t="s">
        <v>40</v>
      </c>
      <c r="G53" s="9" t="s">
        <v>261</v>
      </c>
      <c r="H53" s="197"/>
      <c r="I53" s="195" t="s">
        <v>247</v>
      </c>
      <c r="J53" s="120">
        <f t="shared" si="10"/>
        <v>205.98099999999999</v>
      </c>
      <c r="K53" s="121">
        <f t="shared" si="11"/>
        <v>205.98099999999999</v>
      </c>
      <c r="L53" s="121">
        <f t="shared" si="12"/>
        <v>0</v>
      </c>
      <c r="M53" s="17"/>
      <c r="N53" s="26"/>
      <c r="O53" s="26"/>
      <c r="P53" s="26"/>
      <c r="Q53" s="26"/>
      <c r="R53" s="26">
        <f>21-20</f>
        <v>1</v>
      </c>
      <c r="S53" s="26">
        <f>107+42.906-17.059+20+30.134+22</f>
        <v>204.98099999999999</v>
      </c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279</v>
      </c>
      <c r="F54" s="9" t="s">
        <v>40</v>
      </c>
      <c r="G54" s="9" t="s">
        <v>283</v>
      </c>
      <c r="H54" s="197"/>
      <c r="I54" s="195" t="s">
        <v>247</v>
      </c>
      <c r="J54" s="120">
        <f t="shared" si="10"/>
        <v>28</v>
      </c>
      <c r="K54" s="121">
        <f t="shared" si="11"/>
        <v>28</v>
      </c>
      <c r="L54" s="121">
        <f t="shared" si="12"/>
        <v>0</v>
      </c>
      <c r="M54" s="17"/>
      <c r="N54" s="26"/>
      <c r="O54" s="26"/>
      <c r="P54" s="26"/>
      <c r="Q54" s="26">
        <v>28</v>
      </c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266</v>
      </c>
      <c r="F55" s="9" t="s">
        <v>40</v>
      </c>
      <c r="G55" s="9" t="s">
        <v>266</v>
      </c>
      <c r="H55" s="197"/>
      <c r="I55" s="195" t="s">
        <v>247</v>
      </c>
      <c r="J55" s="120">
        <f t="shared" si="10"/>
        <v>33.478000000000002</v>
      </c>
      <c r="K55" s="121">
        <f t="shared" si="11"/>
        <v>33.478000000000002</v>
      </c>
      <c r="L55" s="121">
        <f t="shared" si="12"/>
        <v>0</v>
      </c>
      <c r="M55" s="17"/>
      <c r="N55" s="26"/>
      <c r="O55" s="26"/>
      <c r="P55" s="26"/>
      <c r="Q55" s="26"/>
      <c r="R55" s="26">
        <v>33.478000000000002</v>
      </c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270</v>
      </c>
      <c r="F56" s="9" t="s">
        <v>40</v>
      </c>
      <c r="G56" s="9" t="s">
        <v>270</v>
      </c>
      <c r="H56" s="197"/>
      <c r="I56" s="195" t="s">
        <v>247</v>
      </c>
      <c r="J56" s="120">
        <f t="shared" si="10"/>
        <v>24.294000000000011</v>
      </c>
      <c r="K56" s="121">
        <f t="shared" si="11"/>
        <v>24.294000000000011</v>
      </c>
      <c r="L56" s="121">
        <f t="shared" si="12"/>
        <v>0</v>
      </c>
      <c r="M56" s="17"/>
      <c r="N56" s="26"/>
      <c r="O56" s="26"/>
      <c r="P56" s="26"/>
      <c r="Q56" s="26">
        <f>116.614-111.32</f>
        <v>5.2940000000000111</v>
      </c>
      <c r="R56" s="26">
        <f>9-3</f>
        <v>6</v>
      </c>
      <c r="S56" s="26">
        <v>3</v>
      </c>
      <c r="T56" s="26"/>
      <c r="U56" s="26">
        <v>10</v>
      </c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30.632999999999999</v>
      </c>
      <c r="K57" s="121">
        <f t="shared" si="11"/>
        <v>30.632999999999999</v>
      </c>
      <c r="L57" s="121">
        <f t="shared" si="12"/>
        <v>0</v>
      </c>
      <c r="M57" s="17"/>
      <c r="N57" s="26"/>
      <c r="O57" s="26"/>
      <c r="P57" s="26"/>
      <c r="Q57" s="26">
        <v>30.632999999999999</v>
      </c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195" t="s">
        <v>247</v>
      </c>
      <c r="J58" s="120">
        <f t="shared" si="10"/>
        <v>44.408000000000001</v>
      </c>
      <c r="K58" s="121">
        <f t="shared" si="11"/>
        <v>44.408000000000001</v>
      </c>
      <c r="L58" s="121">
        <f t="shared" si="12"/>
        <v>0</v>
      </c>
      <c r="M58" s="17"/>
      <c r="N58" s="26"/>
      <c r="O58" s="26"/>
      <c r="P58" s="26"/>
      <c r="Q58" s="26">
        <f>33.77-1.362</f>
        <v>32.408000000000001</v>
      </c>
      <c r="R58" s="26">
        <v>12</v>
      </c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195" t="s">
        <v>247</v>
      </c>
      <c r="J59" s="120">
        <f t="shared" si="10"/>
        <v>308.94900000000001</v>
      </c>
      <c r="K59" s="121">
        <f t="shared" si="11"/>
        <v>308.94900000000001</v>
      </c>
      <c r="L59" s="121">
        <f t="shared" si="12"/>
        <v>0</v>
      </c>
      <c r="M59" s="17"/>
      <c r="N59" s="26"/>
      <c r="O59" s="26"/>
      <c r="P59" s="26"/>
      <c r="Q59" s="26">
        <f>10.949+11+15-23</f>
        <v>13.948999999999998</v>
      </c>
      <c r="R59" s="26">
        <f>63+184+16+4-27</f>
        <v>240</v>
      </c>
      <c r="S59" s="26">
        <f>54-11+12</f>
        <v>55</v>
      </c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304</v>
      </c>
      <c r="F60" s="9" t="s">
        <v>40</v>
      </c>
      <c r="G60" s="9" t="s">
        <v>304</v>
      </c>
      <c r="H60" s="197"/>
      <c r="I60" s="195" t="s">
        <v>247</v>
      </c>
      <c r="J60" s="120">
        <f t="shared" si="10"/>
        <v>6.6680000000000001</v>
      </c>
      <c r="K60" s="121">
        <f t="shared" si="11"/>
        <v>6.6680000000000001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>
        <v>6.6680000000000001</v>
      </c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95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95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95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95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95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95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95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1"/>
  <sheetViews>
    <sheetView showGridLines="0" topLeftCell="F1" zoomScale="90" zoomScaleNormal="90" workbookViewId="0">
      <selection activeCell="P38" sqref="P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0+65.798+187.646+1646.019+2738.581+197.926+1008.221+129.743+236.84+210.522+419.213+379.871-21.033-10.626+J10</f>
        <v>8907.1200000000008</v>
      </c>
      <c r="I10" s="63"/>
      <c r="J10" s="162">
        <f>0+996.361+456.384+265.654</f>
        <v>1718.3989999999999</v>
      </c>
      <c r="L10" s="162">
        <f>J10+Q17</f>
        <v>2166.569</v>
      </c>
      <c r="N10" s="57"/>
      <c r="O10" s="173">
        <f>+H10+K17</f>
        <v>14092.825000000001</v>
      </c>
      <c r="P10" s="174" cm="1">
        <f t="array" aca="1" ref="P10" ca="1">INDIRECT(ADDRESS(10,15,,,VLOOKUP($G$4,parameters!$G:$I,3,0)))</f>
        <v>13534.825000000001</v>
      </c>
      <c r="Q10" s="186">
        <f ca="1">O10-P10</f>
        <v>558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0+68.362+73.603+302.502+1813.594+46.497+224.908+0.185+192.936+6.425+106.702+57.172+J11</f>
        <v>4003.239</v>
      </c>
      <c r="I11" s="63"/>
      <c r="J11" s="18">
        <f>0+258.468+84.872+767.013</f>
        <v>1110.3530000000001</v>
      </c>
      <c r="L11" s="18">
        <f>J11+Q18</f>
        <v>1237.8320000000001</v>
      </c>
      <c r="N11" s="57"/>
      <c r="O11" s="155">
        <f>+H11+K18</f>
        <v>6510.0020000000004</v>
      </c>
      <c r="P11" s="156" cm="1">
        <f t="array" aca="1" ref="P11" ca="1">INDIRECT(ADDRESS(11,15,,,VLOOKUP($G$4,parameters!$G:$I,3,0)))</f>
        <v>6020.17</v>
      </c>
      <c r="Q11" s="187">
        <f t="shared" ref="Q11:Q12" ca="1" si="0">O11-P11</f>
        <v>489.83200000000033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12910.359</v>
      </c>
      <c r="I12" s="63"/>
      <c r="J12" s="128">
        <f>SUM(J10:J11)</f>
        <v>2828.752</v>
      </c>
      <c r="K12" s="67"/>
      <c r="L12" s="128">
        <f>SUM(L10:L11)</f>
        <v>3404.4009999999998</v>
      </c>
      <c r="M12" s="67"/>
      <c r="N12" s="67"/>
      <c r="O12" s="157">
        <f>SUM(O10:O11)</f>
        <v>20602.827000000001</v>
      </c>
      <c r="P12" s="158">
        <f ca="1">SUM(P10:P11)</f>
        <v>19554.995000000003</v>
      </c>
      <c r="Q12" s="159">
        <f t="shared" ca="1" si="0"/>
        <v>1047.8319999999985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5185.7049999999999</v>
      </c>
      <c r="K17" s="110">
        <f>+SUMIF($F$24:$F$250,"External",$K$24:$K$250)</f>
        <v>5185.7049999999999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448.16999999999996</v>
      </c>
      <c r="R17" s="113">
        <f t="shared" si="1"/>
        <v>1350.4119999999998</v>
      </c>
      <c r="S17" s="113">
        <f t="shared" si="1"/>
        <v>1333.3629999999998</v>
      </c>
      <c r="T17" s="113">
        <f t="shared" si="1"/>
        <v>1770.6</v>
      </c>
      <c r="U17" s="113">
        <f t="shared" si="1"/>
        <v>55.445</v>
      </c>
      <c r="V17" s="113">
        <f t="shared" si="1"/>
        <v>227.715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2506.7629999999999</v>
      </c>
      <c r="K18" s="115">
        <f>+SUMIF($F$24:$F$250,"Group",$K$24:$K$250)</f>
        <v>2506.7629999999999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127.479</v>
      </c>
      <c r="R18" s="116">
        <f t="shared" si="3"/>
        <v>297.88100000000009</v>
      </c>
      <c r="S18" s="116">
        <f t="shared" si="3"/>
        <v>330.43899999999996</v>
      </c>
      <c r="T18" s="116">
        <f t="shared" si="3"/>
        <v>1186</v>
      </c>
      <c r="U18" s="116">
        <f t="shared" si="3"/>
        <v>564.96399999999994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7692.4679999999998</v>
      </c>
      <c r="K19" s="117">
        <f>SUM(K17:K18)</f>
        <v>7692.4679999999998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575.649</v>
      </c>
      <c r="R19" s="118">
        <f t="shared" si="5"/>
        <v>1648.2929999999999</v>
      </c>
      <c r="S19" s="118">
        <f t="shared" si="5"/>
        <v>1663.8019999999997</v>
      </c>
      <c r="T19" s="118">
        <f t="shared" si="5"/>
        <v>2956.6</v>
      </c>
      <c r="U19" s="118">
        <f t="shared" si="5"/>
        <v>620.40899999999999</v>
      </c>
      <c r="V19" s="118">
        <f t="shared" si="5"/>
        <v>227.715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1661.0770000000002</v>
      </c>
      <c r="K24" s="121">
        <f t="shared" ref="K24" si="8">SUM(N24:Y24)</f>
        <v>1661.0770000000002</v>
      </c>
      <c r="L24" s="121">
        <f t="shared" ref="L24" si="9">SUM(AA24:AL24)</f>
        <v>0</v>
      </c>
      <c r="M24" s="25"/>
      <c r="N24" s="26"/>
      <c r="O24" s="26"/>
      <c r="P24" s="26"/>
      <c r="Q24" s="26">
        <v>10</v>
      </c>
      <c r="R24" s="26">
        <f>22.892-668.353+439.538+25+245</f>
        <v>64.077000000000112</v>
      </c>
      <c r="S24" s="26">
        <v>288</v>
      </c>
      <c r="T24" s="26">
        <f>1186-245-288+9+524</f>
        <v>1186</v>
      </c>
      <c r="U24" s="26">
        <f>122-9</f>
        <v>113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0.42199999999999704</v>
      </c>
      <c r="K25" s="121">
        <f t="shared" ref="K25:K87" si="11">SUM(N25:Y25)</f>
        <v>0.42199999999999704</v>
      </c>
      <c r="L25" s="121">
        <f t="shared" ref="L25:L87" si="12">SUM(AA25:AL25)</f>
        <v>0</v>
      </c>
      <c r="M25" s="25"/>
      <c r="N25" s="26"/>
      <c r="O25" s="26"/>
      <c r="P25" s="26"/>
      <c r="Q25" s="26">
        <v>0.42199999999999704</v>
      </c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60.666000000000004</v>
      </c>
      <c r="K26" s="121">
        <f t="shared" si="11"/>
        <v>60.666000000000004</v>
      </c>
      <c r="L26" s="121">
        <f t="shared" si="12"/>
        <v>0</v>
      </c>
      <c r="M26" s="25"/>
      <c r="N26" s="26"/>
      <c r="O26" s="26"/>
      <c r="P26" s="26"/>
      <c r="Q26" s="26">
        <f>49.231-7.165</f>
        <v>42.066000000000003</v>
      </c>
      <c r="R26" s="26">
        <v>10</v>
      </c>
      <c r="S26" s="26"/>
      <c r="T26" s="26"/>
      <c r="U26" s="26">
        <v>8.6000000000000014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2.7999999999996472E-2</v>
      </c>
      <c r="K27" s="121">
        <f t="shared" si="11"/>
        <v>2.7999999999996472E-2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21.152000000000001</v>
      </c>
      <c r="K28" s="121">
        <f t="shared" si="11"/>
        <v>21.152000000000001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21.152000000000001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9.8260000000000005</v>
      </c>
      <c r="K29" s="121">
        <f t="shared" si="11"/>
        <v>9.8260000000000005</v>
      </c>
      <c r="L29" s="121">
        <f t="shared" si="12"/>
        <v>0</v>
      </c>
      <c r="M29" s="25"/>
      <c r="N29" s="26"/>
      <c r="O29" s="26"/>
      <c r="P29" s="26"/>
      <c r="Q29" s="26">
        <v>9.8260000000000005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345.47299999999996</v>
      </c>
      <c r="K30" s="121">
        <f t="shared" si="11"/>
        <v>345.47299999999996</v>
      </c>
      <c r="L30" s="121">
        <f t="shared" si="12"/>
        <v>0</v>
      </c>
      <c r="M30" s="25"/>
      <c r="N30" s="26"/>
      <c r="O30" s="26"/>
      <c r="P30" s="26"/>
      <c r="Q30" s="26">
        <f>1.864-0.207</f>
        <v>1.657</v>
      </c>
      <c r="R30" s="26">
        <v>35</v>
      </c>
      <c r="S30" s="26">
        <v>8</v>
      </c>
      <c r="T30" s="26"/>
      <c r="U30" s="26">
        <v>300.81599999999997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2.0619999999999989</v>
      </c>
      <c r="K31" s="121">
        <f t="shared" si="11"/>
        <v>2.0619999999999989</v>
      </c>
      <c r="L31" s="121">
        <f t="shared" si="12"/>
        <v>0</v>
      </c>
      <c r="M31" s="25"/>
      <c r="N31" s="26"/>
      <c r="O31" s="26"/>
      <c r="P31" s="26"/>
      <c r="Q31" s="26">
        <f>0.904999999999999-0.843</f>
        <v>6.1999999999999056E-2</v>
      </c>
      <c r="R31" s="26"/>
      <c r="S31" s="26"/>
      <c r="T31" s="26"/>
      <c r="U31" s="26">
        <v>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6.96</v>
      </c>
      <c r="K32" s="121">
        <f t="shared" si="11"/>
        <v>6.96</v>
      </c>
      <c r="L32" s="121">
        <f t="shared" si="12"/>
        <v>0</v>
      </c>
      <c r="M32" s="17"/>
      <c r="N32" s="26"/>
      <c r="O32" s="26"/>
      <c r="P32" s="26"/>
      <c r="Q32" s="26">
        <v>6.96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227.786</v>
      </c>
      <c r="K33" s="121">
        <f t="shared" si="11"/>
        <v>227.786</v>
      </c>
      <c r="L33" s="121">
        <f t="shared" si="12"/>
        <v>0</v>
      </c>
      <c r="M33" s="17"/>
      <c r="N33" s="26"/>
      <c r="O33" s="26"/>
      <c r="P33" s="26"/>
      <c r="Q33" s="26">
        <v>49</v>
      </c>
      <c r="R33" s="26">
        <f>52.347-23+115</f>
        <v>144.34700000000001</v>
      </c>
      <c r="S33" s="26">
        <f>139.439-49-115+59</f>
        <v>34.438999999999993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57.393999999999991</v>
      </c>
      <c r="K34" s="121">
        <f t="shared" si="11"/>
        <v>57.393999999999991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182.802-66.408-59</f>
        <v>57.393999999999991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7.9740000000000038</v>
      </c>
      <c r="K35" s="121">
        <f t="shared" si="11"/>
        <v>7.9740000000000038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7.9740000000000038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316</v>
      </c>
      <c r="F36" s="9" t="s">
        <v>10</v>
      </c>
      <c r="G36" s="9" t="s">
        <v>318</v>
      </c>
      <c r="H36" s="197"/>
      <c r="I36" s="195" t="s">
        <v>234</v>
      </c>
      <c r="J36" s="120">
        <f t="shared" si="10"/>
        <v>98.456999999999994</v>
      </c>
      <c r="K36" s="121">
        <f t="shared" si="11"/>
        <v>98.456999999999994</v>
      </c>
      <c r="L36" s="121">
        <f t="shared" si="12"/>
        <v>0</v>
      </c>
      <c r="M36" s="17"/>
      <c r="N36" s="26"/>
      <c r="O36" s="26"/>
      <c r="P36" s="26"/>
      <c r="Q36" s="26"/>
      <c r="R36" s="26">
        <f>98.457-54</f>
        <v>44.456999999999994</v>
      </c>
      <c r="S36" s="26"/>
      <c r="T36" s="26"/>
      <c r="U36" s="26">
        <v>54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195" t="s">
        <v>234</v>
      </c>
      <c r="J37" s="120">
        <f t="shared" si="10"/>
        <v>7.4860000000000007</v>
      </c>
      <c r="K37" s="121">
        <f t="shared" si="11"/>
        <v>7.4860000000000007</v>
      </c>
      <c r="L37" s="121">
        <f t="shared" si="12"/>
        <v>0</v>
      </c>
      <c r="M37" s="17"/>
      <c r="N37" s="26"/>
      <c r="O37" s="26"/>
      <c r="P37" s="26"/>
      <c r="Q37" s="26">
        <v>7.4860000000000007</v>
      </c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73.163000000000011</v>
      </c>
      <c r="K38" s="121">
        <f t="shared" si="11"/>
        <v>73.163000000000011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73.163000000000011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2416.8670000000002</v>
      </c>
      <c r="K39" s="121">
        <f t="shared" si="11"/>
        <v>2416.8670000000002</v>
      </c>
      <c r="L39" s="121">
        <f t="shared" si="12"/>
        <v>0</v>
      </c>
      <c r="M39" s="17"/>
      <c r="N39" s="26"/>
      <c r="O39" s="26"/>
      <c r="P39" s="26"/>
      <c r="Q39" s="26">
        <f>60.444-14.423-8.893-24</f>
        <v>13.128</v>
      </c>
      <c r="R39" s="26">
        <f>107+24+32-18</f>
        <v>145</v>
      </c>
      <c r="S39" s="26">
        <f>526.765-32+18+13</f>
        <v>525.76499999999999</v>
      </c>
      <c r="T39" s="26">
        <f>1435.974-13+310</f>
        <v>1732.9739999999999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276</v>
      </c>
      <c r="F40" s="9" t="s">
        <v>40</v>
      </c>
      <c r="G40" s="9" t="s">
        <v>276</v>
      </c>
      <c r="H40" s="197"/>
      <c r="I40" s="195" t="s">
        <v>234</v>
      </c>
      <c r="J40" s="120">
        <f t="shared" si="10"/>
        <v>17</v>
      </c>
      <c r="K40" s="121">
        <f t="shared" si="11"/>
        <v>17</v>
      </c>
      <c r="L40" s="121">
        <f t="shared" si="12"/>
        <v>0</v>
      </c>
      <c r="M40" s="17"/>
      <c r="N40" s="26"/>
      <c r="O40" s="26"/>
      <c r="P40" s="26"/>
      <c r="Q40" s="26"/>
      <c r="R40" s="26">
        <v>17</v>
      </c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256</v>
      </c>
      <c r="F41" s="9" t="s">
        <v>40</v>
      </c>
      <c r="G41" s="9" t="s">
        <v>257</v>
      </c>
      <c r="H41" s="197"/>
      <c r="I41" s="195" t="s">
        <v>234</v>
      </c>
      <c r="J41" s="120">
        <f t="shared" si="10"/>
        <v>184.18200000000002</v>
      </c>
      <c r="K41" s="121">
        <f t="shared" si="11"/>
        <v>184.18200000000002</v>
      </c>
      <c r="L41" s="121">
        <f t="shared" si="12"/>
        <v>0</v>
      </c>
      <c r="M41" s="17"/>
      <c r="N41" s="26"/>
      <c r="O41" s="26"/>
      <c r="P41" s="26"/>
      <c r="Q41" s="26"/>
      <c r="R41" s="26">
        <f>34.062+39+3</f>
        <v>76.061999999999998</v>
      </c>
      <c r="S41" s="26">
        <v>91</v>
      </c>
      <c r="T41" s="26"/>
      <c r="U41" s="26"/>
      <c r="V41" s="26">
        <f>20.12-3</f>
        <v>17.12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264</v>
      </c>
      <c r="F42" s="9" t="s">
        <v>40</v>
      </c>
      <c r="G42" s="9" t="s">
        <v>265</v>
      </c>
      <c r="H42" s="198"/>
      <c r="I42" s="195" t="s">
        <v>234</v>
      </c>
      <c r="J42" s="120">
        <f t="shared" si="10"/>
        <v>90.698999999999998</v>
      </c>
      <c r="K42" s="121">
        <f t="shared" si="11"/>
        <v>90.698999999999998</v>
      </c>
      <c r="L42" s="121">
        <f t="shared" si="12"/>
        <v>0</v>
      </c>
      <c r="M42" s="17"/>
      <c r="N42" s="26"/>
      <c r="O42" s="26"/>
      <c r="P42" s="26"/>
      <c r="Q42" s="26"/>
      <c r="R42" s="26">
        <f>70.726-5.027+12</f>
        <v>77.698999999999998</v>
      </c>
      <c r="S42" s="26"/>
      <c r="T42" s="26"/>
      <c r="U42" s="26">
        <v>13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258</v>
      </c>
      <c r="F43" s="9" t="s">
        <v>40</v>
      </c>
      <c r="G43" s="9" t="s">
        <v>259</v>
      </c>
      <c r="H43" s="198"/>
      <c r="I43" s="195" t="s">
        <v>234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>
        <v>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310</v>
      </c>
      <c r="F44" s="9" t="s">
        <v>40</v>
      </c>
      <c r="G44" s="9" t="s">
        <v>311</v>
      </c>
      <c r="H44" s="198"/>
      <c r="I44" s="195" t="s">
        <v>234</v>
      </c>
      <c r="J44" s="120">
        <f t="shared" si="10"/>
        <v>7.734</v>
      </c>
      <c r="K44" s="121">
        <f t="shared" si="11"/>
        <v>7.734</v>
      </c>
      <c r="L44" s="121">
        <f t="shared" si="12"/>
        <v>0</v>
      </c>
      <c r="M44" s="17"/>
      <c r="N44" s="26"/>
      <c r="O44" s="26"/>
      <c r="P44" s="26"/>
      <c r="Q44" s="26"/>
      <c r="R44" s="26">
        <v>7.734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250</v>
      </c>
      <c r="F45" s="9" t="s">
        <v>40</v>
      </c>
      <c r="G45" s="9" t="s">
        <v>251</v>
      </c>
      <c r="H45" s="195"/>
      <c r="I45" s="195" t="s">
        <v>247</v>
      </c>
      <c r="J45" s="120">
        <f t="shared" si="10"/>
        <v>995.053</v>
      </c>
      <c r="K45" s="121">
        <f t="shared" si="11"/>
        <v>995.053</v>
      </c>
      <c r="L45" s="121">
        <f t="shared" si="12"/>
        <v>0</v>
      </c>
      <c r="M45" s="17"/>
      <c r="N45" s="26"/>
      <c r="O45" s="26"/>
      <c r="P45" s="26"/>
      <c r="Q45" s="26">
        <f>143.503-5.379-22.206-0.492+27</f>
        <v>142.42599999999999</v>
      </c>
      <c r="R45" s="26">
        <f>288.358-7</f>
        <v>281.358</v>
      </c>
      <c r="S45" s="26">
        <f>381.866+7-25</f>
        <v>363.86599999999999</v>
      </c>
      <c r="T45" s="26">
        <f>34.626-27+25+3</f>
        <v>35.625999999999998</v>
      </c>
      <c r="U45" s="26">
        <f>12.777-3</f>
        <v>9.7769999999999992</v>
      </c>
      <c r="V45" s="26">
        <v>162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254</v>
      </c>
      <c r="F46" s="9" t="s">
        <v>40</v>
      </c>
      <c r="G46" s="9" t="s">
        <v>255</v>
      </c>
      <c r="H46" s="195"/>
      <c r="I46" s="195" t="s">
        <v>247</v>
      </c>
      <c r="J46" s="120">
        <f t="shared" si="10"/>
        <v>239.76499999999999</v>
      </c>
      <c r="K46" s="121">
        <f t="shared" si="11"/>
        <v>239.76499999999999</v>
      </c>
      <c r="L46" s="121">
        <f t="shared" si="12"/>
        <v>0</v>
      </c>
      <c r="M46" s="17"/>
      <c r="N46" s="26"/>
      <c r="O46" s="26"/>
      <c r="P46" s="26"/>
      <c r="Q46" s="26">
        <f>143.65-117.885</f>
        <v>25.765000000000001</v>
      </c>
      <c r="R46" s="26">
        <v>195</v>
      </c>
      <c r="S46" s="26"/>
      <c r="T46" s="26"/>
      <c r="U46" s="26">
        <v>19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319</v>
      </c>
      <c r="F47" s="9" t="s">
        <v>40</v>
      </c>
      <c r="G47" s="9" t="s">
        <v>268</v>
      </c>
      <c r="H47" s="196"/>
      <c r="I47" s="195" t="s">
        <v>247</v>
      </c>
      <c r="J47" s="120">
        <f t="shared" si="10"/>
        <v>4.5879999999999992</v>
      </c>
      <c r="K47" s="121">
        <f t="shared" si="11"/>
        <v>4.5879999999999992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>
        <f>1.603-13.663-3.352+15+3</f>
        <v>2.5879999999999992</v>
      </c>
      <c r="T47" s="26">
        <v>2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246</v>
      </c>
      <c r="F48" s="9" t="s">
        <v>40</v>
      </c>
      <c r="G48" s="9" t="s">
        <v>246</v>
      </c>
      <c r="H48" s="197"/>
      <c r="I48" s="195" t="s">
        <v>247</v>
      </c>
      <c r="J48" s="120">
        <f t="shared" si="10"/>
        <v>249.37100000000001</v>
      </c>
      <c r="K48" s="121">
        <f t="shared" si="11"/>
        <v>249.37100000000001</v>
      </c>
      <c r="L48" s="121">
        <f t="shared" si="12"/>
        <v>0</v>
      </c>
      <c r="M48" s="17"/>
      <c r="N48" s="26"/>
      <c r="O48" s="26"/>
      <c r="P48" s="26"/>
      <c r="Q48" s="26">
        <f>7.818-7.592+182</f>
        <v>182.226</v>
      </c>
      <c r="R48" s="26">
        <f>228.55-182-7</f>
        <v>39.550000000000011</v>
      </c>
      <c r="S48" s="26"/>
      <c r="T48" s="26"/>
      <c r="U48" s="26"/>
      <c r="V48" s="26">
        <f>20.595+7</f>
        <v>27.594999999999999</v>
      </c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248</v>
      </c>
      <c r="F49" s="9" t="s">
        <v>40</v>
      </c>
      <c r="G49" s="9" t="s">
        <v>249</v>
      </c>
      <c r="H49" s="197"/>
      <c r="I49" s="195" t="s">
        <v>247</v>
      </c>
      <c r="J49" s="120">
        <f t="shared" si="10"/>
        <v>109.64099999999999</v>
      </c>
      <c r="K49" s="121">
        <f t="shared" si="11"/>
        <v>109.64099999999999</v>
      </c>
      <c r="L49" s="121">
        <f t="shared" si="12"/>
        <v>0</v>
      </c>
      <c r="M49" s="17"/>
      <c r="N49" s="26"/>
      <c r="O49" s="26"/>
      <c r="P49" s="26"/>
      <c r="Q49" s="26">
        <f>72.591-39.95</f>
        <v>32.640999999999991</v>
      </c>
      <c r="R49" s="26">
        <v>43</v>
      </c>
      <c r="S49" s="26">
        <f>24+10</f>
        <v>34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7"/>
      <c r="I50" s="195" t="s">
        <v>247</v>
      </c>
      <c r="J50" s="120">
        <f t="shared" si="10"/>
        <v>12.375</v>
      </c>
      <c r="K50" s="121">
        <f t="shared" si="11"/>
        <v>12.375</v>
      </c>
      <c r="L50" s="121">
        <f t="shared" si="12"/>
        <v>0</v>
      </c>
      <c r="M50" s="17"/>
      <c r="N50" s="26"/>
      <c r="O50" s="26"/>
      <c r="P50" s="26"/>
      <c r="Q50" s="26">
        <v>3.375</v>
      </c>
      <c r="R50" s="26">
        <v>8</v>
      </c>
      <c r="S50" s="26">
        <v>1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252</v>
      </c>
      <c r="F51" s="9" t="s">
        <v>40</v>
      </c>
      <c r="G51" s="9" t="s">
        <v>253</v>
      </c>
      <c r="H51" s="197"/>
      <c r="I51" s="195" t="s">
        <v>247</v>
      </c>
      <c r="J51" s="120">
        <f t="shared" si="10"/>
        <v>50.409000000000006</v>
      </c>
      <c r="K51" s="121">
        <f t="shared" si="11"/>
        <v>50.409000000000006</v>
      </c>
      <c r="L51" s="121">
        <f t="shared" si="12"/>
        <v>0</v>
      </c>
      <c r="M51" s="17"/>
      <c r="N51" s="26"/>
      <c r="O51" s="26"/>
      <c r="P51" s="26"/>
      <c r="Q51" s="26"/>
      <c r="R51" s="26">
        <f>34.648-5.873-5.366+22+5</f>
        <v>50.409000000000006</v>
      </c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260</v>
      </c>
      <c r="F52" s="9" t="s">
        <v>40</v>
      </c>
      <c r="G52" s="9" t="s">
        <v>261</v>
      </c>
      <c r="H52" s="197"/>
      <c r="I52" s="195" t="s">
        <v>247</v>
      </c>
      <c r="J52" s="120">
        <f t="shared" si="10"/>
        <v>205.98099999999999</v>
      </c>
      <c r="K52" s="121">
        <f t="shared" si="11"/>
        <v>205.98099999999999</v>
      </c>
      <c r="L52" s="121">
        <f t="shared" si="12"/>
        <v>0</v>
      </c>
      <c r="M52" s="17"/>
      <c r="N52" s="26"/>
      <c r="O52" s="26"/>
      <c r="P52" s="26"/>
      <c r="Q52" s="26"/>
      <c r="R52" s="26">
        <v>1</v>
      </c>
      <c r="S52" s="26">
        <f>204.981-21</f>
        <v>183.98099999999999</v>
      </c>
      <c r="T52" s="26"/>
      <c r="U52" s="26"/>
      <c r="V52" s="26">
        <v>21</v>
      </c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279</v>
      </c>
      <c r="F53" s="9" t="s">
        <v>40</v>
      </c>
      <c r="G53" s="9" t="s">
        <v>283</v>
      </c>
      <c r="H53" s="197"/>
      <c r="I53" s="195" t="s">
        <v>247</v>
      </c>
      <c r="J53" s="120">
        <f t="shared" si="10"/>
        <v>28</v>
      </c>
      <c r="K53" s="121">
        <f t="shared" si="11"/>
        <v>28</v>
      </c>
      <c r="L53" s="121">
        <f t="shared" si="12"/>
        <v>0</v>
      </c>
      <c r="M53" s="17"/>
      <c r="N53" s="26"/>
      <c r="O53" s="26"/>
      <c r="P53" s="26"/>
      <c r="Q53" s="26"/>
      <c r="R53" s="26">
        <v>28</v>
      </c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7"/>
      <c r="I54" s="195" t="s">
        <v>247</v>
      </c>
      <c r="J54" s="120">
        <f t="shared" si="10"/>
        <v>33.478000000000002</v>
      </c>
      <c r="K54" s="121">
        <f t="shared" si="11"/>
        <v>33.478000000000002</v>
      </c>
      <c r="L54" s="121">
        <f t="shared" si="12"/>
        <v>0</v>
      </c>
      <c r="M54" s="17"/>
      <c r="N54" s="26"/>
      <c r="O54" s="26"/>
      <c r="P54" s="26"/>
      <c r="Q54" s="26"/>
      <c r="R54" s="26">
        <v>33.478000000000002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270</v>
      </c>
      <c r="F55" s="9" t="s">
        <v>40</v>
      </c>
      <c r="G55" s="9" t="s">
        <v>270</v>
      </c>
      <c r="H55" s="197"/>
      <c r="I55" s="195" t="s">
        <v>247</v>
      </c>
      <c r="J55" s="120">
        <f t="shared" si="10"/>
        <v>20.122000000000011</v>
      </c>
      <c r="K55" s="121">
        <f t="shared" si="11"/>
        <v>20.122000000000011</v>
      </c>
      <c r="L55" s="121">
        <f t="shared" si="12"/>
        <v>0</v>
      </c>
      <c r="M55" s="17"/>
      <c r="N55" s="26"/>
      <c r="O55" s="26"/>
      <c r="P55" s="26"/>
      <c r="Q55" s="26"/>
      <c r="R55" s="26">
        <f>5.29400000000001-4.172+6+3</f>
        <v>10.122000000000011</v>
      </c>
      <c r="S55" s="26">
        <v>3</v>
      </c>
      <c r="T55" s="26"/>
      <c r="U55" s="26">
        <f>10-3</f>
        <v>7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294</v>
      </c>
      <c r="F56" s="9" t="s">
        <v>40</v>
      </c>
      <c r="G56" s="9" t="s">
        <v>294</v>
      </c>
      <c r="H56" s="197"/>
      <c r="I56" s="195" t="s">
        <v>247</v>
      </c>
      <c r="J56" s="120">
        <f t="shared" si="10"/>
        <v>22.251999999999999</v>
      </c>
      <c r="K56" s="121">
        <f t="shared" si="11"/>
        <v>22.251999999999999</v>
      </c>
      <c r="L56" s="121">
        <f t="shared" si="12"/>
        <v>0</v>
      </c>
      <c r="M56" s="17"/>
      <c r="N56" s="26"/>
      <c r="O56" s="26"/>
      <c r="P56" s="26"/>
      <c r="Q56" s="26">
        <f>30.633-11.381-14</f>
        <v>5.2519999999999989</v>
      </c>
      <c r="R56" s="26">
        <f>14+3</f>
        <v>17</v>
      </c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271</v>
      </c>
      <c r="F57" s="9" t="s">
        <v>40</v>
      </c>
      <c r="G57" s="9" t="s">
        <v>272</v>
      </c>
      <c r="H57" s="197"/>
      <c r="I57" s="195" t="s">
        <v>247</v>
      </c>
      <c r="J57" s="120">
        <f t="shared" si="10"/>
        <v>99.408000000000001</v>
      </c>
      <c r="K57" s="121">
        <f t="shared" si="11"/>
        <v>99.408000000000001</v>
      </c>
      <c r="L57" s="121">
        <f t="shared" si="12"/>
        <v>0</v>
      </c>
      <c r="M57" s="17"/>
      <c r="N57" s="26"/>
      <c r="O57" s="26"/>
      <c r="P57" s="26"/>
      <c r="Q57" s="26">
        <v>32.408000000000001</v>
      </c>
      <c r="R57" s="26">
        <f>12+55</f>
        <v>67</v>
      </c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273</v>
      </c>
      <c r="F58" s="9" t="s">
        <v>40</v>
      </c>
      <c r="G58" s="9" t="s">
        <v>274</v>
      </c>
      <c r="H58" s="197"/>
      <c r="I58" s="195" t="s">
        <v>247</v>
      </c>
      <c r="J58" s="120">
        <f t="shared" si="10"/>
        <v>318.94900000000001</v>
      </c>
      <c r="K58" s="121">
        <f t="shared" si="11"/>
        <v>318.94900000000001</v>
      </c>
      <c r="L58" s="121">
        <f t="shared" si="12"/>
        <v>0</v>
      </c>
      <c r="M58" s="17"/>
      <c r="N58" s="26"/>
      <c r="O58" s="26"/>
      <c r="P58" s="26"/>
      <c r="Q58" s="26">
        <f>13.949-3</f>
        <v>10.949</v>
      </c>
      <c r="R58" s="26">
        <f>240+3+10</f>
        <v>253</v>
      </c>
      <c r="S58" s="26">
        <v>55</v>
      </c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304</v>
      </c>
      <c r="F59" s="9" t="s">
        <v>40</v>
      </c>
      <c r="G59" s="9" t="s">
        <v>304</v>
      </c>
      <c r="H59" s="197"/>
      <c r="I59" s="195" t="s">
        <v>247</v>
      </c>
      <c r="J59" s="120">
        <f t="shared" si="10"/>
        <v>6.6680000000000001</v>
      </c>
      <c r="K59" s="121">
        <f t="shared" si="11"/>
        <v>6.6680000000000001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>
        <v>6.6680000000000001</v>
      </c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95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2"/>
  <sheetViews>
    <sheetView showGridLines="0" topLeftCell="F3" zoomScale="90" zoomScaleNormal="90" workbookViewId="0">
      <selection activeCell="R24" sqref="R24:X6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0+65.798+187.646+1646.019+2738.581+197.926+1008.221+129.743+236.84+210.522+419.213+379.871-21.033-10.626+J10</f>
        <v>9192.4439999999995</v>
      </c>
      <c r="I10" s="63"/>
      <c r="J10" s="162">
        <f>0+996.361+456.384+265.654+288.475-3.151</f>
        <v>2003.7229999999997</v>
      </c>
      <c r="L10" s="162">
        <f>J10+Q17</f>
        <v>2003.7229999999997</v>
      </c>
      <c r="N10" s="57"/>
      <c r="O10" s="173">
        <f>+H10+K17</f>
        <v>14414.823</v>
      </c>
      <c r="P10" s="174" cm="1">
        <f t="array" aca="1" ref="P10" ca="1">INDIRECT(ADDRESS(10,15,,,VLOOKUP($G$4,parameters!$G:$I,3,0)))</f>
        <v>14092.825000000001</v>
      </c>
      <c r="Q10" s="186">
        <f ca="1">O10-P10</f>
        <v>321.99799999999959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0+68.362+73.603+302.502+1813.594+46.497+224.908+0.185+192.936+6.425+106.702+57.172+J11</f>
        <v>3577.79</v>
      </c>
      <c r="I11" s="63"/>
      <c r="J11" s="18">
        <f>0+258.468+84.872+767.013-531.301+105.852</f>
        <v>684.904</v>
      </c>
      <c r="L11" s="18">
        <f>J11+Q18</f>
        <v>684.904</v>
      </c>
      <c r="N11" s="57"/>
      <c r="O11" s="155">
        <f>+H11+K18</f>
        <v>6590.7569999999996</v>
      </c>
      <c r="P11" s="156" cm="1">
        <f t="array" aca="1" ref="P11" ca="1">INDIRECT(ADDRESS(11,15,,,VLOOKUP($G$4,parameters!$G:$I,3,0)))</f>
        <v>6510.0020000000004</v>
      </c>
      <c r="Q11" s="187">
        <f t="shared" ref="Q11:Q12" ca="1" si="0">O11-P11</f>
        <v>80.7549999999992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12770.234</v>
      </c>
      <c r="I12" s="63"/>
      <c r="J12" s="128">
        <f>SUM(J10:J11)</f>
        <v>2688.6269999999995</v>
      </c>
      <c r="K12" s="67"/>
      <c r="L12" s="128">
        <f>SUM(L10:L11)</f>
        <v>2688.6269999999995</v>
      </c>
      <c r="M12" s="67"/>
      <c r="N12" s="67"/>
      <c r="O12" s="157">
        <f>SUM(O10:O11)</f>
        <v>21005.58</v>
      </c>
      <c r="P12" s="158">
        <f ca="1">SUM(P10:P11)</f>
        <v>20602.827000000001</v>
      </c>
      <c r="Q12" s="159">
        <f t="shared" ca="1" si="0"/>
        <v>402.75300000000061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5222.3790000000008</v>
      </c>
      <c r="K17" s="110">
        <f>+SUMIF($F$24:$F$251,"External",$K$24:$K$251)</f>
        <v>5222.3790000000008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1476.5039999999999</v>
      </c>
      <c r="S17" s="113">
        <f t="shared" si="1"/>
        <v>1648.5830000000001</v>
      </c>
      <c r="T17" s="113">
        <f t="shared" si="1"/>
        <v>1872.6</v>
      </c>
      <c r="U17" s="113">
        <f t="shared" si="1"/>
        <v>45.097000000000001</v>
      </c>
      <c r="V17" s="113">
        <f t="shared" si="1"/>
        <v>152</v>
      </c>
      <c r="W17" s="113">
        <f t="shared" si="1"/>
        <v>27.594999999999999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3012.9669999999996</v>
      </c>
      <c r="K18" s="115">
        <f>+SUMIF($F$24:$F$251,"Group",$K$24:$K$251)</f>
        <v>3012.9669999999996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712.42500000000018</v>
      </c>
      <c r="S18" s="116">
        <f t="shared" si="3"/>
        <v>72.820999999999998</v>
      </c>
      <c r="T18" s="116">
        <f t="shared" si="3"/>
        <v>1452.116</v>
      </c>
      <c r="U18" s="116">
        <f t="shared" si="3"/>
        <v>119.196</v>
      </c>
      <c r="V18" s="116">
        <f t="shared" si="3"/>
        <v>0</v>
      </c>
      <c r="W18" s="116">
        <f t="shared" si="3"/>
        <v>656.40899999999999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8235.3460000000014</v>
      </c>
      <c r="K19" s="117">
        <f>SUM(K17:K18)</f>
        <v>8235.3460000000014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2188.9290000000001</v>
      </c>
      <c r="S19" s="118">
        <f t="shared" si="5"/>
        <v>1721.404</v>
      </c>
      <c r="T19" s="118">
        <f t="shared" si="5"/>
        <v>3324.7159999999999</v>
      </c>
      <c r="U19" s="118">
        <f t="shared" si="5"/>
        <v>164.29300000000001</v>
      </c>
      <c r="V19" s="118">
        <f t="shared" si="5"/>
        <v>152</v>
      </c>
      <c r="W19" s="118">
        <f t="shared" si="5"/>
        <v>684.00400000000002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2150.942</v>
      </c>
      <c r="K24" s="121">
        <f t="shared" ref="K24" si="8">SUM(N24:Y24)</f>
        <v>2150.942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10-28.576+64.0770000000001+310</f>
        <v>355.50100000000009</v>
      </c>
      <c r="S24" s="26">
        <f>288-278</f>
        <v>10</v>
      </c>
      <c r="T24" s="26">
        <f>1186+278-114</f>
        <v>1350</v>
      </c>
      <c r="U24" s="26">
        <v>113</v>
      </c>
      <c r="V24" s="26"/>
      <c r="W24" s="26">
        <f>531.301-310+114-5.86-7</f>
        <v>322.44100000000003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13.176999999999998</v>
      </c>
      <c r="K25" s="121">
        <f t="shared" ref="K25:K88" si="11">SUM(N25:Y25)</f>
        <v>13.176999999999998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0.42199999999999704</v>
      </c>
      <c r="S25" s="26">
        <v>12.755000000000001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79.00800000000001</v>
      </c>
      <c r="K26" s="121">
        <f t="shared" si="11"/>
        <v>79.00800000000001</v>
      </c>
      <c r="L26" s="121">
        <f t="shared" si="12"/>
        <v>0</v>
      </c>
      <c r="M26" s="25"/>
      <c r="N26" s="26"/>
      <c r="O26" s="26"/>
      <c r="P26" s="26"/>
      <c r="Q26" s="26"/>
      <c r="R26" s="26">
        <f>42.066-19.658+10+8.6+38</f>
        <v>79.00800000000001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2.7999999999996472E-2</v>
      </c>
      <c r="K27" s="121">
        <f t="shared" si="11"/>
        <v>2.7999999999996472E-2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13.152000000000001</v>
      </c>
      <c r="K28" s="121">
        <f t="shared" si="11"/>
        <v>13.152000000000001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f>21.152-7-1</f>
        <v>13.152000000000001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301</v>
      </c>
      <c r="F29" s="9" t="s">
        <v>10</v>
      </c>
      <c r="G29" s="9" t="s">
        <v>301</v>
      </c>
      <c r="H29" s="196"/>
      <c r="I29" s="195" t="s">
        <v>234</v>
      </c>
      <c r="J29" s="120">
        <f t="shared" si="10"/>
        <v>9.8260000000000005</v>
      </c>
      <c r="K29" s="121">
        <f t="shared" si="11"/>
        <v>9.8260000000000005</v>
      </c>
      <c r="L29" s="121">
        <f t="shared" si="12"/>
        <v>0</v>
      </c>
      <c r="M29" s="25"/>
      <c r="N29" s="26"/>
      <c r="O29" s="26"/>
      <c r="P29" s="26"/>
      <c r="Q29" s="26"/>
      <c r="R29" s="26">
        <v>9.8260000000000005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275</v>
      </c>
      <c r="F30" s="9" t="s">
        <v>10</v>
      </c>
      <c r="G30" s="9" t="s">
        <v>275</v>
      </c>
      <c r="H30" s="197"/>
      <c r="I30" s="195" t="s">
        <v>234</v>
      </c>
      <c r="J30" s="120">
        <f t="shared" si="10"/>
        <v>307.47299999999996</v>
      </c>
      <c r="K30" s="121">
        <f t="shared" si="11"/>
        <v>307.47299999999996</v>
      </c>
      <c r="L30" s="121">
        <f t="shared" si="12"/>
        <v>0</v>
      </c>
      <c r="M30" s="25"/>
      <c r="N30" s="26"/>
      <c r="O30" s="26"/>
      <c r="P30" s="26"/>
      <c r="Q30" s="26"/>
      <c r="R30" s="26">
        <f>35+1.657</f>
        <v>36.656999999999996</v>
      </c>
      <c r="S30" s="26">
        <v>8</v>
      </c>
      <c r="T30" s="26"/>
      <c r="U30" s="26"/>
      <c r="V30" s="26"/>
      <c r="W30" s="26">
        <f>300.816-38</f>
        <v>262.81599999999997</v>
      </c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278</v>
      </c>
      <c r="F31" s="9" t="s">
        <v>10</v>
      </c>
      <c r="G31" s="9" t="s">
        <v>278</v>
      </c>
      <c r="H31" s="197"/>
      <c r="I31" s="195" t="s">
        <v>234</v>
      </c>
      <c r="J31" s="120">
        <f t="shared" si="10"/>
        <v>3.0619999999999989</v>
      </c>
      <c r="K31" s="121">
        <f t="shared" si="11"/>
        <v>3.0619999999999989</v>
      </c>
      <c r="L31" s="121">
        <f t="shared" si="12"/>
        <v>0</v>
      </c>
      <c r="M31" s="25"/>
      <c r="N31" s="26"/>
      <c r="O31" s="26"/>
      <c r="P31" s="26"/>
      <c r="Q31" s="26"/>
      <c r="R31" s="26">
        <f>0.0619999999999991+2+1</f>
        <v>3.0619999999999989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315</v>
      </c>
      <c r="F32" s="9" t="s">
        <v>10</v>
      </c>
      <c r="G32" s="9" t="s">
        <v>315</v>
      </c>
      <c r="H32" s="197"/>
      <c r="I32" s="195" t="s">
        <v>234</v>
      </c>
      <c r="J32" s="120">
        <f t="shared" si="10"/>
        <v>7.3639999999999999</v>
      </c>
      <c r="K32" s="121">
        <f t="shared" si="11"/>
        <v>7.3639999999999999</v>
      </c>
      <c r="L32" s="121">
        <f t="shared" si="12"/>
        <v>0</v>
      </c>
      <c r="M32" s="17"/>
      <c r="N32" s="26"/>
      <c r="O32" s="26"/>
      <c r="P32" s="26"/>
      <c r="Q32" s="26"/>
      <c r="R32" s="26">
        <f>6.96-6.596+7</f>
        <v>7.3639999999999999</v>
      </c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292</v>
      </c>
      <c r="H33" s="197"/>
      <c r="I33" s="195" t="s">
        <v>234</v>
      </c>
      <c r="J33" s="120">
        <f t="shared" si="10"/>
        <v>153.90200000000002</v>
      </c>
      <c r="K33" s="121">
        <f t="shared" si="11"/>
        <v>153.90200000000002</v>
      </c>
      <c r="L33" s="121">
        <f t="shared" si="12"/>
        <v>0</v>
      </c>
      <c r="M33" s="17"/>
      <c r="N33" s="26"/>
      <c r="O33" s="26"/>
      <c r="P33" s="26"/>
      <c r="Q33" s="26"/>
      <c r="R33" s="26">
        <f>144.347-104</f>
        <v>40.347000000000008</v>
      </c>
      <c r="S33" s="26">
        <f>34.439-29+1</f>
        <v>6.4390000000000001</v>
      </c>
      <c r="T33" s="26">
        <f>49-6.884+29+31</f>
        <v>102.116</v>
      </c>
      <c r="U33" s="26"/>
      <c r="V33" s="26"/>
      <c r="W33" s="26">
        <f>104-31-61-6-1</f>
        <v>5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144</v>
      </c>
      <c r="F34" s="9" t="s">
        <v>10</v>
      </c>
      <c r="G34" s="9" t="s">
        <v>238</v>
      </c>
      <c r="H34" s="197"/>
      <c r="I34" s="195" t="s">
        <v>234</v>
      </c>
      <c r="J34" s="120">
        <f t="shared" si="10"/>
        <v>164.62700000000001</v>
      </c>
      <c r="K34" s="121">
        <f t="shared" si="11"/>
        <v>164.62700000000001</v>
      </c>
      <c r="L34" s="121">
        <f t="shared" si="12"/>
        <v>0</v>
      </c>
      <c r="M34" s="17"/>
      <c r="N34" s="26"/>
      <c r="O34" s="26"/>
      <c r="P34" s="26"/>
      <c r="Q34" s="26"/>
      <c r="R34" s="26">
        <f>61+68</f>
        <v>129</v>
      </c>
      <c r="S34" s="26">
        <f>57.394-27.767+6</f>
        <v>35.626999999999995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207</v>
      </c>
      <c r="F35" s="9" t="s">
        <v>10</v>
      </c>
      <c r="G35" s="9" t="s">
        <v>239</v>
      </c>
      <c r="H35" s="197"/>
      <c r="I35" s="195" t="s">
        <v>234</v>
      </c>
      <c r="J35" s="120">
        <f t="shared" si="10"/>
        <v>6.1680000000000001</v>
      </c>
      <c r="K35" s="121">
        <f t="shared" si="11"/>
        <v>6.1680000000000001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7.974-1.806</f>
        <v>6.1680000000000001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316</v>
      </c>
      <c r="F36" s="9" t="s">
        <v>10</v>
      </c>
      <c r="G36" s="9" t="s">
        <v>318</v>
      </c>
      <c r="H36" s="197"/>
      <c r="I36" s="195" t="s">
        <v>234</v>
      </c>
      <c r="J36" s="120">
        <f t="shared" si="10"/>
        <v>97.239000000000004</v>
      </c>
      <c r="K36" s="121">
        <f t="shared" si="11"/>
        <v>97.239000000000004</v>
      </c>
      <c r="L36" s="121">
        <f t="shared" si="12"/>
        <v>0</v>
      </c>
      <c r="M36" s="17"/>
      <c r="N36" s="26"/>
      <c r="O36" s="26"/>
      <c r="P36" s="26"/>
      <c r="Q36" s="26"/>
      <c r="R36" s="26">
        <f>44.457-1.218+1</f>
        <v>44.239000000000004</v>
      </c>
      <c r="S36" s="26"/>
      <c r="T36" s="26"/>
      <c r="U36" s="26"/>
      <c r="V36" s="26"/>
      <c r="W36" s="26">
        <f>54-1</f>
        <v>53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78</v>
      </c>
      <c r="F37" s="9" t="s">
        <v>10</v>
      </c>
      <c r="G37" s="9" t="s">
        <v>240</v>
      </c>
      <c r="H37" s="197"/>
      <c r="I37" s="195" t="s">
        <v>234</v>
      </c>
      <c r="J37" s="120">
        <f t="shared" si="10"/>
        <v>6.9990000000000006</v>
      </c>
      <c r="K37" s="121">
        <f t="shared" si="11"/>
        <v>6.9990000000000006</v>
      </c>
      <c r="L37" s="121">
        <f t="shared" si="12"/>
        <v>0</v>
      </c>
      <c r="M37" s="17"/>
      <c r="N37" s="26"/>
      <c r="O37" s="26"/>
      <c r="P37" s="26"/>
      <c r="Q37" s="26"/>
      <c r="R37" s="26">
        <f>7.486-13.347+5.86+7</f>
        <v>6.9990000000000006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262</v>
      </c>
      <c r="F38" s="9" t="s">
        <v>40</v>
      </c>
      <c r="G38" s="9" t="s">
        <v>263</v>
      </c>
      <c r="H38" s="197"/>
      <c r="I38" s="195" t="s">
        <v>234</v>
      </c>
      <c r="J38" s="120">
        <f t="shared" si="10"/>
        <v>73.163000000000011</v>
      </c>
      <c r="K38" s="121">
        <f t="shared" si="11"/>
        <v>73.163000000000011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73.163000000000011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290</v>
      </c>
      <c r="F39" s="9" t="s">
        <v>40</v>
      </c>
      <c r="G39" s="9" t="s">
        <v>245</v>
      </c>
      <c r="H39" s="197"/>
      <c r="I39" s="195" t="s">
        <v>234</v>
      </c>
      <c r="J39" s="120">
        <f t="shared" si="10"/>
        <v>2404.5940000000001</v>
      </c>
      <c r="K39" s="121">
        <f t="shared" si="11"/>
        <v>2404.5940000000001</v>
      </c>
      <c r="L39" s="121">
        <f t="shared" si="12"/>
        <v>0</v>
      </c>
      <c r="M39" s="17"/>
      <c r="N39" s="26"/>
      <c r="O39" s="26"/>
      <c r="P39" s="26"/>
      <c r="Q39" s="26"/>
      <c r="R39" s="26">
        <f>13.128-13.273+145-100+1</f>
        <v>45.85499999999999</v>
      </c>
      <c r="S39" s="26">
        <v>525.76499999999999</v>
      </c>
      <c r="T39" s="26">
        <f>1732.974+100</f>
        <v>1832.9739999999999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276</v>
      </c>
      <c r="F40" s="9" t="s">
        <v>40</v>
      </c>
      <c r="G40" s="9" t="s">
        <v>276</v>
      </c>
      <c r="H40" s="197"/>
      <c r="I40" s="195" t="s">
        <v>234</v>
      </c>
      <c r="J40" s="120">
        <f t="shared" si="10"/>
        <v>17</v>
      </c>
      <c r="K40" s="121">
        <f t="shared" si="11"/>
        <v>17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17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256</v>
      </c>
      <c r="F41" s="9" t="s">
        <v>40</v>
      </c>
      <c r="G41" s="9" t="s">
        <v>257</v>
      </c>
      <c r="H41" s="197"/>
      <c r="I41" s="195" t="s">
        <v>234</v>
      </c>
      <c r="J41" s="120">
        <f t="shared" si="10"/>
        <v>194.285</v>
      </c>
      <c r="K41" s="121">
        <f t="shared" si="11"/>
        <v>194.285</v>
      </c>
      <c r="L41" s="121">
        <f t="shared" si="12"/>
        <v>0</v>
      </c>
      <c r="M41" s="17"/>
      <c r="N41" s="26"/>
      <c r="O41" s="26"/>
      <c r="P41" s="26"/>
      <c r="Q41" s="26"/>
      <c r="R41" s="26">
        <f>76.062-7.897+8+1</f>
        <v>77.164999999999992</v>
      </c>
      <c r="S41" s="26">
        <f>91-8+17.12+18-1</f>
        <v>117.12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264</v>
      </c>
      <c r="F42" s="9" t="s">
        <v>40</v>
      </c>
      <c r="G42" s="9" t="s">
        <v>265</v>
      </c>
      <c r="H42" s="197"/>
      <c r="I42" s="195" t="s">
        <v>234</v>
      </c>
      <c r="J42" s="120">
        <f t="shared" si="10"/>
        <v>90.698999999999998</v>
      </c>
      <c r="K42" s="121">
        <f t="shared" si="11"/>
        <v>90.698999999999998</v>
      </c>
      <c r="L42" s="121">
        <f t="shared" si="12"/>
        <v>0</v>
      </c>
      <c r="M42" s="17"/>
      <c r="N42" s="26"/>
      <c r="O42" s="26"/>
      <c r="P42" s="26"/>
      <c r="Q42" s="26"/>
      <c r="R42" s="26">
        <v>77.698999999999998</v>
      </c>
      <c r="S42" s="26"/>
      <c r="T42" s="26"/>
      <c r="U42" s="26">
        <v>13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258</v>
      </c>
      <c r="F43" s="9" t="s">
        <v>40</v>
      </c>
      <c r="G43" s="9" t="s">
        <v>259</v>
      </c>
      <c r="H43" s="198"/>
      <c r="I43" s="195" t="s">
        <v>234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310</v>
      </c>
      <c r="F44" s="9" t="s">
        <v>40</v>
      </c>
      <c r="G44" s="9" t="s">
        <v>311</v>
      </c>
      <c r="H44" s="198"/>
      <c r="I44" s="195" t="s">
        <v>234</v>
      </c>
      <c r="J44" s="120">
        <f t="shared" si="10"/>
        <v>7.734</v>
      </c>
      <c r="K44" s="121">
        <f t="shared" si="11"/>
        <v>7.734</v>
      </c>
      <c r="L44" s="121">
        <f t="shared" si="12"/>
        <v>0</v>
      </c>
      <c r="M44" s="17"/>
      <c r="N44" s="26"/>
      <c r="O44" s="26"/>
      <c r="P44" s="26"/>
      <c r="Q44" s="26"/>
      <c r="R44" s="26">
        <v>7.734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250</v>
      </c>
      <c r="F45" s="9" t="s">
        <v>40</v>
      </c>
      <c r="G45" s="9" t="s">
        <v>251</v>
      </c>
      <c r="H45" s="198"/>
      <c r="I45" s="195" t="s">
        <v>247</v>
      </c>
      <c r="J45" s="120">
        <f t="shared" si="10"/>
        <v>993.97199999999998</v>
      </c>
      <c r="K45" s="121">
        <f t="shared" si="11"/>
        <v>993.97199999999998</v>
      </c>
      <c r="L45" s="121">
        <f t="shared" si="12"/>
        <v>0</v>
      </c>
      <c r="M45" s="17"/>
      <c r="N45" s="26"/>
      <c r="O45" s="26"/>
      <c r="P45" s="26"/>
      <c r="Q45" s="26"/>
      <c r="R45" s="26">
        <f>142.426-0.499-0.582+281.358-148</f>
        <v>274.70299999999997</v>
      </c>
      <c r="S45" s="26">
        <f>363.866+156</f>
        <v>519.86599999999999</v>
      </c>
      <c r="T45" s="26">
        <f>35.626+2</f>
        <v>37.625999999999998</v>
      </c>
      <c r="U45" s="26">
        <v>9.7769999999999992</v>
      </c>
      <c r="V45" s="26">
        <f>162-156+146</f>
        <v>152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322</v>
      </c>
      <c r="F46" s="9" t="s">
        <v>40</v>
      </c>
      <c r="G46" s="9" t="s">
        <v>321</v>
      </c>
      <c r="H46" s="198"/>
      <c r="I46" s="195" t="s">
        <v>247</v>
      </c>
      <c r="J46" s="120">
        <f t="shared" ref="J46" si="13">+K46+L46</f>
        <v>242</v>
      </c>
      <c r="K46" s="121">
        <f t="shared" ref="K46" si="14">SUM(N46:Y46)</f>
        <v>242</v>
      </c>
      <c r="L46" s="121">
        <f t="shared" ref="L46" si="15">SUM(AA46:AL46)</f>
        <v>0</v>
      </c>
      <c r="M46" s="17"/>
      <c r="N46" s="26"/>
      <c r="O46" s="26"/>
      <c r="P46" s="26"/>
      <c r="Q46" s="26"/>
      <c r="R46" s="26">
        <v>149</v>
      </c>
      <c r="S46" s="26">
        <v>93</v>
      </c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254</v>
      </c>
      <c r="F47" s="9" t="s">
        <v>40</v>
      </c>
      <c r="G47" s="9" t="s">
        <v>255</v>
      </c>
      <c r="H47" s="195"/>
      <c r="I47" s="195" t="s">
        <v>247</v>
      </c>
      <c r="J47" s="120">
        <f t="shared" si="10"/>
        <v>239.76499999999999</v>
      </c>
      <c r="K47" s="121">
        <f t="shared" si="11"/>
        <v>239.76499999999999</v>
      </c>
      <c r="L47" s="121">
        <f t="shared" si="12"/>
        <v>0</v>
      </c>
      <c r="M47" s="17"/>
      <c r="N47" s="26"/>
      <c r="O47" s="26"/>
      <c r="P47" s="26"/>
      <c r="Q47" s="26"/>
      <c r="R47" s="26">
        <f>195+25.765-3.151+5</f>
        <v>222.61399999999998</v>
      </c>
      <c r="S47" s="26">
        <v>3.1509999999999998</v>
      </c>
      <c r="T47" s="26"/>
      <c r="U47" s="26">
        <f>19-5</f>
        <v>14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320</v>
      </c>
      <c r="F48" s="9" t="s">
        <v>40</v>
      </c>
      <c r="G48" s="9" t="s">
        <v>268</v>
      </c>
      <c r="H48" s="195"/>
      <c r="I48" s="195" t="s">
        <v>247</v>
      </c>
      <c r="J48" s="120">
        <f t="shared" si="10"/>
        <v>4.5879999999999992</v>
      </c>
      <c r="K48" s="121">
        <f t="shared" si="11"/>
        <v>4.5879999999999992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>
        <v>2.5879999999999992</v>
      </c>
      <c r="T48" s="26">
        <v>2</v>
      </c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246</v>
      </c>
      <c r="F49" s="9" t="s">
        <v>40</v>
      </c>
      <c r="G49" s="9" t="s">
        <v>246</v>
      </c>
      <c r="H49" s="196"/>
      <c r="I49" s="195" t="s">
        <v>247</v>
      </c>
      <c r="J49" s="120">
        <f t="shared" si="10"/>
        <v>67.673999999999992</v>
      </c>
      <c r="K49" s="121">
        <f t="shared" si="11"/>
        <v>67.673999999999992</v>
      </c>
      <c r="L49" s="121">
        <f t="shared" si="12"/>
        <v>0</v>
      </c>
      <c r="M49" s="17"/>
      <c r="N49" s="26"/>
      <c r="O49" s="26"/>
      <c r="P49" s="26"/>
      <c r="Q49" s="26"/>
      <c r="R49" s="26">
        <f>182.226-181.697+39.55</f>
        <v>40.078999999999994</v>
      </c>
      <c r="S49" s="26"/>
      <c r="T49" s="26"/>
      <c r="U49" s="26"/>
      <c r="V49" s="26"/>
      <c r="W49" s="26">
        <v>27.594999999999999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248</v>
      </c>
      <c r="F50" s="9" t="s">
        <v>40</v>
      </c>
      <c r="G50" s="9" t="s">
        <v>249</v>
      </c>
      <c r="H50" s="197"/>
      <c r="I50" s="195" t="s">
        <v>247</v>
      </c>
      <c r="J50" s="120">
        <f t="shared" si="10"/>
        <v>80.580999999999989</v>
      </c>
      <c r="K50" s="121">
        <f t="shared" si="11"/>
        <v>80.580999999999989</v>
      </c>
      <c r="L50" s="121">
        <f t="shared" si="12"/>
        <v>0</v>
      </c>
      <c r="M50" s="17"/>
      <c r="N50" s="26"/>
      <c r="O50" s="26"/>
      <c r="P50" s="26"/>
      <c r="Q50" s="26"/>
      <c r="R50" s="26">
        <f>32.641-57.06+43+27+1</f>
        <v>46.580999999999996</v>
      </c>
      <c r="S50" s="26">
        <f>34-27+27</f>
        <v>34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195" t="s">
        <v>247</v>
      </c>
      <c r="J51" s="120">
        <f t="shared" si="10"/>
        <v>4.4279999999999999</v>
      </c>
      <c r="K51" s="121">
        <f t="shared" si="11"/>
        <v>4.4279999999999999</v>
      </c>
      <c r="L51" s="121">
        <f t="shared" si="12"/>
        <v>0</v>
      </c>
      <c r="M51" s="17"/>
      <c r="N51" s="26"/>
      <c r="O51" s="26"/>
      <c r="P51" s="26"/>
      <c r="Q51" s="26"/>
      <c r="R51" s="26">
        <f>3.375-7.947+8</f>
        <v>3.4279999999999999</v>
      </c>
      <c r="S51" s="26">
        <v>1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252</v>
      </c>
      <c r="F52" s="9" t="s">
        <v>40</v>
      </c>
      <c r="G52" s="9" t="s">
        <v>253</v>
      </c>
      <c r="H52" s="197"/>
      <c r="I52" s="195" t="s">
        <v>247</v>
      </c>
      <c r="J52" s="120">
        <f t="shared" si="10"/>
        <v>46.504999999999995</v>
      </c>
      <c r="K52" s="121">
        <f t="shared" si="11"/>
        <v>46.504999999999995</v>
      </c>
      <c r="L52" s="121">
        <f t="shared" si="12"/>
        <v>0</v>
      </c>
      <c r="M52" s="17"/>
      <c r="N52" s="26"/>
      <c r="O52" s="26"/>
      <c r="P52" s="26"/>
      <c r="Q52" s="26"/>
      <c r="R52" s="26">
        <f>50.409-4.728-0.176+1</f>
        <v>46.504999999999995</v>
      </c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260</v>
      </c>
      <c r="F53" s="9" t="s">
        <v>40</v>
      </c>
      <c r="G53" s="9" t="s">
        <v>261</v>
      </c>
      <c r="H53" s="197"/>
      <c r="I53" s="195" t="s">
        <v>247</v>
      </c>
      <c r="J53" s="120">
        <f t="shared" si="10"/>
        <v>205.98099999999999</v>
      </c>
      <c r="K53" s="121">
        <f t="shared" si="11"/>
        <v>205.98099999999999</v>
      </c>
      <c r="L53" s="121">
        <f t="shared" si="12"/>
        <v>0</v>
      </c>
      <c r="M53" s="17"/>
      <c r="N53" s="26"/>
      <c r="O53" s="26"/>
      <c r="P53" s="26"/>
      <c r="Q53" s="26"/>
      <c r="R53" s="26">
        <v>1</v>
      </c>
      <c r="S53" s="26">
        <f>183.981+21</f>
        <v>204.98099999999999</v>
      </c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279</v>
      </c>
      <c r="F54" s="9" t="s">
        <v>40</v>
      </c>
      <c r="G54" s="9" t="s">
        <v>283</v>
      </c>
      <c r="H54" s="197"/>
      <c r="I54" s="195" t="s">
        <v>247</v>
      </c>
      <c r="J54" s="120">
        <f t="shared" si="10"/>
        <v>28</v>
      </c>
      <c r="K54" s="121">
        <f t="shared" si="11"/>
        <v>28</v>
      </c>
      <c r="L54" s="121">
        <f t="shared" si="12"/>
        <v>0</v>
      </c>
      <c r="M54" s="17"/>
      <c r="N54" s="26"/>
      <c r="O54" s="26"/>
      <c r="P54" s="26"/>
      <c r="Q54" s="26"/>
      <c r="R54" s="26">
        <v>28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266</v>
      </c>
      <c r="F55" s="9" t="s">
        <v>40</v>
      </c>
      <c r="G55" s="9" t="s">
        <v>266</v>
      </c>
      <c r="H55" s="197"/>
      <c r="I55" s="195" t="s">
        <v>247</v>
      </c>
      <c r="J55" s="120">
        <f t="shared" si="10"/>
        <v>34.478000000000002</v>
      </c>
      <c r="K55" s="121">
        <f t="shared" si="11"/>
        <v>34.478000000000002</v>
      </c>
      <c r="L55" s="121">
        <f t="shared" si="12"/>
        <v>0</v>
      </c>
      <c r="M55" s="17"/>
      <c r="N55" s="26"/>
      <c r="O55" s="26"/>
      <c r="P55" s="26"/>
      <c r="Q55" s="26"/>
      <c r="R55" s="26">
        <f>33.478+1</f>
        <v>34.478000000000002</v>
      </c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270</v>
      </c>
      <c r="F56" s="9" t="s">
        <v>40</v>
      </c>
      <c r="G56" s="9" t="s">
        <v>270</v>
      </c>
      <c r="H56" s="197"/>
      <c r="I56" s="195" t="s">
        <v>247</v>
      </c>
      <c r="J56" s="120">
        <f t="shared" si="10"/>
        <v>19.122</v>
      </c>
      <c r="K56" s="121">
        <f t="shared" si="11"/>
        <v>19.122</v>
      </c>
      <c r="L56" s="121">
        <f t="shared" si="12"/>
        <v>0</v>
      </c>
      <c r="M56" s="17"/>
      <c r="N56" s="26"/>
      <c r="O56" s="26"/>
      <c r="P56" s="26"/>
      <c r="Q56" s="26"/>
      <c r="R56" s="26">
        <f>10.122+1</f>
        <v>11.122</v>
      </c>
      <c r="S56" s="26">
        <v>3</v>
      </c>
      <c r="T56" s="26"/>
      <c r="U56" s="26">
        <f>7-1-1</f>
        <v>5</v>
      </c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20.251999999999999</v>
      </c>
      <c r="K57" s="121">
        <f t="shared" si="11"/>
        <v>20.251999999999999</v>
      </c>
      <c r="L57" s="121">
        <f t="shared" si="12"/>
        <v>0</v>
      </c>
      <c r="M57" s="17"/>
      <c r="N57" s="26"/>
      <c r="O57" s="26"/>
      <c r="P57" s="26"/>
      <c r="Q57" s="26"/>
      <c r="R57" s="26">
        <f>17+2+5.252-2-1-1</f>
        <v>20.251999999999999</v>
      </c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195" t="s">
        <v>247</v>
      </c>
      <c r="J58" s="120">
        <f t="shared" si="10"/>
        <v>130.28899999999999</v>
      </c>
      <c r="K58" s="121">
        <f t="shared" si="11"/>
        <v>130.28899999999999</v>
      </c>
      <c r="L58" s="121">
        <f t="shared" si="12"/>
        <v>0</v>
      </c>
      <c r="M58" s="17"/>
      <c r="N58" s="26"/>
      <c r="O58" s="26"/>
      <c r="P58" s="26"/>
      <c r="Q58" s="26"/>
      <c r="R58" s="26">
        <f>67+32.408-1.092-2.027+34</f>
        <v>130.28899999999999</v>
      </c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195" t="s">
        <v>247</v>
      </c>
      <c r="J59" s="120">
        <f t="shared" si="10"/>
        <v>317.26900000000001</v>
      </c>
      <c r="K59" s="121">
        <f t="shared" si="11"/>
        <v>317.26900000000001</v>
      </c>
      <c r="L59" s="121">
        <f t="shared" si="12"/>
        <v>0</v>
      </c>
      <c r="M59" s="17"/>
      <c r="N59" s="26"/>
      <c r="O59" s="26"/>
      <c r="P59" s="26"/>
      <c r="Q59" s="26"/>
      <c r="R59" s="26">
        <f>253+7</f>
        <v>260</v>
      </c>
      <c r="S59" s="26">
        <f>55-7+10.949-5</f>
        <v>53.948999999999998</v>
      </c>
      <c r="T59" s="26"/>
      <c r="U59" s="26">
        <f>5-1.68</f>
        <v>3.3200000000000003</v>
      </c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95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6">+K89+L89</f>
        <v>0</v>
      </c>
      <c r="K89" s="121">
        <f t="shared" ref="K89:K152" si="17">SUM(N89:Y89)</f>
        <v>0</v>
      </c>
      <c r="L89" s="121">
        <f t="shared" ref="L89:L152" si="18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9">+K153+L153</f>
        <v>0</v>
      </c>
      <c r="K153" s="121">
        <f t="shared" ref="K153:K216" si="20">SUM(N153:Y153)</f>
        <v>0</v>
      </c>
      <c r="L153" s="121">
        <f t="shared" ref="L153:L216" si="21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2">+K217+L217</f>
        <v>0</v>
      </c>
      <c r="K217" s="121">
        <f t="shared" ref="K217:K252" si="23">SUM(N217:Y217)</f>
        <v>0</v>
      </c>
      <c r="L217" s="121">
        <f t="shared" ref="L217:L252" si="24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2"/>
        <v>0</v>
      </c>
      <c r="K252" s="121">
        <f t="shared" si="23"/>
        <v>0</v>
      </c>
      <c r="L252" s="121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1"/>
  <sheetViews>
    <sheetView showGridLines="0" topLeftCell="F30" zoomScale="90" zoomScaleNormal="90" workbookViewId="0">
      <selection activeCell="J58" sqref="J5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0+65.798+187.646+1646.019+2738.581+197.926+1008.221+129.743+236.84+210.522+419.213+379.871-21.033-10.626+0+996.361+456.384+265.654+288.475-3.151+J10</f>
        <v>9192.4440000000013</v>
      </c>
      <c r="I10" s="63"/>
      <c r="J10" s="162">
        <f>0</f>
        <v>0</v>
      </c>
      <c r="L10" s="162">
        <f>J10+R17</f>
        <v>1161.5039999999999</v>
      </c>
      <c r="N10" s="57"/>
      <c r="O10" s="173">
        <f>+H10+K17</f>
        <v>14560.823000000002</v>
      </c>
      <c r="P10" s="174" cm="1">
        <f t="array" aca="1" ref="P10" ca="1">INDIRECT(ADDRESS(10,15,,,VLOOKUP($G$4,parameters!$G:$I,3,0)))</f>
        <v>14414.823</v>
      </c>
      <c r="Q10" s="186">
        <f ca="1">O10-P10</f>
        <v>146.00000000000182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0+68.362+73.603+302.502+1813.594+46.497+224.908+0.185+192.936+6.425+106.702+57.172+0+258.468+84.872+767.013-531.301+105.852+J11</f>
        <v>3577.7899999999995</v>
      </c>
      <c r="I11" s="63"/>
      <c r="J11" s="18">
        <f>0</f>
        <v>0</v>
      </c>
      <c r="L11" s="18">
        <f>J11+R18</f>
        <v>671.42600000000004</v>
      </c>
      <c r="N11" s="57"/>
      <c r="O11" s="155">
        <f>+H11+K18</f>
        <v>6601.7579999999998</v>
      </c>
      <c r="P11" s="156" cm="1">
        <f t="array" aca="1" ref="P11" ca="1">INDIRECT(ADDRESS(11,15,,,VLOOKUP($G$4,parameters!$G:$I,3,0)))</f>
        <v>6590.7569999999996</v>
      </c>
      <c r="Q11" s="187">
        <f ca="1">O11-P11</f>
        <v>11.001000000000204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12770.234</v>
      </c>
      <c r="I12" s="63"/>
      <c r="J12" s="128">
        <f>SUM(J10:J11)</f>
        <v>0</v>
      </c>
      <c r="K12" s="67"/>
      <c r="L12" s="128">
        <f>SUM(L10:L11)</f>
        <v>1832.9299999999998</v>
      </c>
      <c r="M12" s="67"/>
      <c r="N12" s="67"/>
      <c r="O12" s="157">
        <f>SUM(O10:O11)</f>
        <v>21162.581000000002</v>
      </c>
      <c r="P12" s="158">
        <f ca="1">SUM(P10:P11)</f>
        <v>21005.58</v>
      </c>
      <c r="Q12" s="159">
        <f ca="1">O12-P12</f>
        <v>157.0010000000002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5368.3790000000008</v>
      </c>
      <c r="K17" s="110">
        <f>+SUMIF($F$24:$F$250,"External",$K$24:$K$250)</f>
        <v>5368.3790000000008</v>
      </c>
      <c r="L17" s="111">
        <f>+SUMIF($F$24:$F$250,"External",$L$24:$L$250)</f>
        <v>0</v>
      </c>
      <c r="M17" s="112"/>
      <c r="N17" s="113">
        <f t="shared" ref="N17:Y17" si="0">+SUMIF($F$24:$F$250,"External",N$24:N$250)</f>
        <v>0</v>
      </c>
      <c r="O17" s="113">
        <f t="shared" si="0"/>
        <v>0</v>
      </c>
      <c r="P17" s="113">
        <f t="shared" si="0"/>
        <v>0</v>
      </c>
      <c r="Q17" s="113">
        <f t="shared" si="0"/>
        <v>0</v>
      </c>
      <c r="R17" s="113">
        <f t="shared" si="0"/>
        <v>1161.5039999999999</v>
      </c>
      <c r="S17" s="113">
        <f t="shared" si="0"/>
        <v>1913.752</v>
      </c>
      <c r="T17" s="113">
        <f t="shared" si="0"/>
        <v>1855.6</v>
      </c>
      <c r="U17" s="113">
        <f t="shared" si="0"/>
        <v>36.777000000000001</v>
      </c>
      <c r="V17" s="113">
        <f t="shared" si="0"/>
        <v>161</v>
      </c>
      <c r="W17" s="113">
        <f t="shared" si="0"/>
        <v>239.74600000000001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+SUMIF($F$24:$F$250,"External",AA$24:AA$250)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3023.9679999999998</v>
      </c>
      <c r="K18" s="115">
        <f>+SUMIF($F$24:$F$250,"Group",$K$24:$K$250)</f>
        <v>3023.9679999999998</v>
      </c>
      <c r="L18" s="116">
        <f>SUMIF($F$24:$F$250,"Group",$L$24:$L$250)</f>
        <v>0</v>
      </c>
      <c r="M18" s="112"/>
      <c r="N18" s="116">
        <f t="shared" ref="N18:Y18" si="2">+SUMIF($F$24:$F$250,"Group",N$24:N$250)</f>
        <v>0</v>
      </c>
      <c r="O18" s="116">
        <f t="shared" si="2"/>
        <v>0</v>
      </c>
      <c r="P18" s="116">
        <f t="shared" si="2"/>
        <v>0</v>
      </c>
      <c r="Q18" s="116">
        <f t="shared" si="2"/>
        <v>0</v>
      </c>
      <c r="R18" s="116">
        <f t="shared" si="2"/>
        <v>671.42600000000004</v>
      </c>
      <c r="S18" s="116">
        <f t="shared" si="2"/>
        <v>97.820999999999998</v>
      </c>
      <c r="T18" s="116">
        <f t="shared" si="2"/>
        <v>1452.116</v>
      </c>
      <c r="U18" s="116">
        <f t="shared" si="2"/>
        <v>119.196</v>
      </c>
      <c r="V18" s="116">
        <f t="shared" si="2"/>
        <v>0</v>
      </c>
      <c r="W18" s="116">
        <f t="shared" si="2"/>
        <v>683.40899999999988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+SUMIF($F$24:$F$250,"Group",AA$24:AA$250)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8392.3470000000016</v>
      </c>
      <c r="K19" s="117">
        <f>SUM(K17:K18)</f>
        <v>8392.3470000000016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0</v>
      </c>
      <c r="R19" s="118">
        <f t="shared" si="4"/>
        <v>1832.9299999999998</v>
      </c>
      <c r="S19" s="118">
        <f t="shared" si="4"/>
        <v>2011.5729999999999</v>
      </c>
      <c r="T19" s="118">
        <f t="shared" si="4"/>
        <v>3307.7159999999999</v>
      </c>
      <c r="U19" s="118">
        <f t="shared" si="4"/>
        <v>155.97300000000001</v>
      </c>
      <c r="V19" s="118">
        <f t="shared" si="4"/>
        <v>161</v>
      </c>
      <c r="W19" s="118">
        <f t="shared" si="4"/>
        <v>923.15499999999986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4" t="s">
        <v>78</v>
      </c>
      <c r="F24" s="204" t="s">
        <v>10</v>
      </c>
      <c r="G24" s="204" t="s">
        <v>78</v>
      </c>
      <c r="H24" s="204"/>
      <c r="I24" s="204" t="s">
        <v>234</v>
      </c>
      <c r="J24" s="120">
        <f t="shared" ref="J24" si="6">+K24+L24</f>
        <v>2157.942</v>
      </c>
      <c r="K24" s="121">
        <f t="shared" ref="K24" si="7">SUM(N24:Y24)</f>
        <v>2157.942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>
        <f>355.501+6</f>
        <v>361.50099999999998</v>
      </c>
      <c r="S24" s="26">
        <f>10+14</f>
        <v>24</v>
      </c>
      <c r="T24" s="26">
        <v>1350</v>
      </c>
      <c r="U24" s="26">
        <v>113</v>
      </c>
      <c r="V24" s="26"/>
      <c r="W24" s="26">
        <f>322.441-6-14+7</f>
        <v>309.44099999999997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4" t="s">
        <v>105</v>
      </c>
      <c r="F25" s="204" t="s">
        <v>10</v>
      </c>
      <c r="G25" s="204" t="s">
        <v>105</v>
      </c>
      <c r="H25" s="195"/>
      <c r="I25" s="195" t="s">
        <v>234</v>
      </c>
      <c r="J25" s="120">
        <f t="shared" ref="J25:J56" si="9">+K25+L25</f>
        <v>24.177</v>
      </c>
      <c r="K25" s="121">
        <f t="shared" ref="K25:K87" si="10">SUM(N25:Y25)</f>
        <v>24.177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>
        <v>0.42199999999999704</v>
      </c>
      <c r="S25" s="26">
        <f>12.755+11</f>
        <v>23.755000000000003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4" t="s">
        <v>235</v>
      </c>
      <c r="F26" s="204" t="s">
        <v>10</v>
      </c>
      <c r="G26" s="204" t="s">
        <v>235</v>
      </c>
      <c r="H26" s="195"/>
      <c r="I26" s="195" t="s">
        <v>234</v>
      </c>
      <c r="J26" s="120">
        <f t="shared" si="9"/>
        <v>79.00800000000001</v>
      </c>
      <c r="K26" s="121">
        <f t="shared" si="10"/>
        <v>79.00800000000001</v>
      </c>
      <c r="L26" s="121">
        <f t="shared" si="11"/>
        <v>0</v>
      </c>
      <c r="M26" s="25"/>
      <c r="N26" s="26"/>
      <c r="O26" s="26"/>
      <c r="P26" s="26"/>
      <c r="Q26" s="26"/>
      <c r="R26" s="26">
        <v>79.00800000000001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4" t="s">
        <v>309</v>
      </c>
      <c r="F27" s="204" t="s">
        <v>10</v>
      </c>
      <c r="G27" s="204" t="s">
        <v>309</v>
      </c>
      <c r="H27" s="195"/>
      <c r="I27" s="195" t="s">
        <v>234</v>
      </c>
      <c r="J27" s="120">
        <f t="shared" si="9"/>
        <v>2.7999999999996472E-2</v>
      </c>
      <c r="K27" s="121">
        <f t="shared" si="10"/>
        <v>2.7999999999996472E-2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/>
      <c r="T27" s="26"/>
      <c r="U27" s="26"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4" t="s">
        <v>106</v>
      </c>
      <c r="F28" s="204" t="s">
        <v>10</v>
      </c>
      <c r="G28" s="204" t="s">
        <v>106</v>
      </c>
      <c r="H28" s="195"/>
      <c r="I28" s="195" t="s">
        <v>234</v>
      </c>
      <c r="J28" s="120">
        <f t="shared" si="9"/>
        <v>13.152000000000001</v>
      </c>
      <c r="K28" s="121">
        <f t="shared" si="10"/>
        <v>13.152000000000001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13.152000000000001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4" t="s">
        <v>301</v>
      </c>
      <c r="F29" s="204" t="s">
        <v>10</v>
      </c>
      <c r="G29" s="204" t="s">
        <v>301</v>
      </c>
      <c r="H29" s="205"/>
      <c r="I29" s="205" t="s">
        <v>234</v>
      </c>
      <c r="J29" s="120">
        <f t="shared" si="9"/>
        <v>9.8260000000000005</v>
      </c>
      <c r="K29" s="121">
        <f t="shared" si="10"/>
        <v>9.8260000000000005</v>
      </c>
      <c r="L29" s="121">
        <f t="shared" si="11"/>
        <v>0</v>
      </c>
      <c r="M29" s="25"/>
      <c r="N29" s="26"/>
      <c r="O29" s="26"/>
      <c r="P29" s="26"/>
      <c r="Q29" s="26"/>
      <c r="R29" s="26">
        <v>9.8260000000000005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4" t="s">
        <v>275</v>
      </c>
      <c r="F30" s="204" t="s">
        <v>10</v>
      </c>
      <c r="G30" s="204" t="s">
        <v>275</v>
      </c>
      <c r="H30" s="206"/>
      <c r="I30" s="206" t="s">
        <v>234</v>
      </c>
      <c r="J30" s="120">
        <f t="shared" si="9"/>
        <v>307.47299999999996</v>
      </c>
      <c r="K30" s="121">
        <f t="shared" si="10"/>
        <v>307.47299999999996</v>
      </c>
      <c r="L30" s="121">
        <f t="shared" si="11"/>
        <v>0</v>
      </c>
      <c r="M30" s="25"/>
      <c r="N30" s="26"/>
      <c r="O30" s="26"/>
      <c r="P30" s="26"/>
      <c r="Q30" s="26"/>
      <c r="R30" s="26">
        <v>36.656999999999996</v>
      </c>
      <c r="S30" s="26">
        <v>8</v>
      </c>
      <c r="T30" s="26"/>
      <c r="U30" s="26"/>
      <c r="V30" s="26"/>
      <c r="W30" s="26">
        <v>262.81599999999997</v>
      </c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4" t="s">
        <v>278</v>
      </c>
      <c r="F31" s="204" t="s">
        <v>10</v>
      </c>
      <c r="G31" s="204" t="s">
        <v>278</v>
      </c>
      <c r="H31" s="206"/>
      <c r="I31" s="206" t="s">
        <v>234</v>
      </c>
      <c r="J31" s="120">
        <f t="shared" si="9"/>
        <v>3.0619999999999989</v>
      </c>
      <c r="K31" s="121">
        <f t="shared" si="10"/>
        <v>3.0619999999999989</v>
      </c>
      <c r="L31" s="121">
        <f t="shared" si="11"/>
        <v>0</v>
      </c>
      <c r="M31" s="25"/>
      <c r="N31" s="26"/>
      <c r="O31" s="26"/>
      <c r="P31" s="26"/>
      <c r="Q31" s="26"/>
      <c r="R31" s="26">
        <v>3.0619999999999989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4" t="s">
        <v>315</v>
      </c>
      <c r="F32" s="204" t="s">
        <v>10</v>
      </c>
      <c r="G32" s="204" t="s">
        <v>315</v>
      </c>
      <c r="H32" s="206"/>
      <c r="I32" s="206" t="s">
        <v>234</v>
      </c>
      <c r="J32" s="120">
        <f t="shared" si="9"/>
        <v>7.3639999999999999</v>
      </c>
      <c r="K32" s="121">
        <f t="shared" si="10"/>
        <v>7.3639999999999999</v>
      </c>
      <c r="L32" s="121">
        <f t="shared" si="11"/>
        <v>0</v>
      </c>
      <c r="M32" s="17"/>
      <c r="N32" s="26"/>
      <c r="O32" s="26"/>
      <c r="P32" s="26"/>
      <c r="Q32" s="26"/>
      <c r="R32" s="26">
        <v>7.3639999999999999</v>
      </c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4" t="s">
        <v>144</v>
      </c>
      <c r="F33" s="204" t="s">
        <v>10</v>
      </c>
      <c r="G33" s="204" t="s">
        <v>291</v>
      </c>
      <c r="H33" s="206"/>
      <c r="I33" s="206" t="s">
        <v>234</v>
      </c>
      <c r="J33" s="120">
        <f t="shared" si="9"/>
        <v>253.529</v>
      </c>
      <c r="K33" s="121">
        <f t="shared" si="10"/>
        <v>253.529</v>
      </c>
      <c r="L33" s="121">
        <f t="shared" si="11"/>
        <v>0</v>
      </c>
      <c r="M33" s="17"/>
      <c r="N33" s="26"/>
      <c r="O33" s="26"/>
      <c r="P33" s="26"/>
      <c r="Q33" s="26"/>
      <c r="R33" s="26">
        <f>40.347+24</f>
        <v>64.347000000000008</v>
      </c>
      <c r="S33" s="26">
        <f>6.439+35.627</f>
        <v>42.066000000000003</v>
      </c>
      <c r="T33" s="26">
        <v>102.116</v>
      </c>
      <c r="U33" s="26"/>
      <c r="V33" s="26"/>
      <c r="W33" s="26">
        <f>5+40</f>
        <v>45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4" t="s">
        <v>144</v>
      </c>
      <c r="F34" s="204" t="s">
        <v>10</v>
      </c>
      <c r="G34" s="204" t="s">
        <v>238</v>
      </c>
      <c r="H34" s="206"/>
      <c r="I34" s="206" t="s">
        <v>234</v>
      </c>
      <c r="J34" s="120">
        <f t="shared" si="9"/>
        <v>65</v>
      </c>
      <c r="K34" s="121">
        <f t="shared" si="10"/>
        <v>65</v>
      </c>
      <c r="L34" s="121">
        <f t="shared" si="11"/>
        <v>0</v>
      </c>
      <c r="M34" s="17"/>
      <c r="N34" s="26"/>
      <c r="O34" s="26"/>
      <c r="P34" s="26"/>
      <c r="Q34" s="26"/>
      <c r="R34" s="26">
        <f>129-24-40</f>
        <v>65</v>
      </c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4" t="s">
        <v>207</v>
      </c>
      <c r="F35" s="204" t="s">
        <v>10</v>
      </c>
      <c r="G35" s="204" t="s">
        <v>239</v>
      </c>
      <c r="H35" s="206"/>
      <c r="I35" s="206" t="s">
        <v>234</v>
      </c>
      <c r="J35" s="120">
        <f t="shared" si="9"/>
        <v>6.1680000000000001</v>
      </c>
      <c r="K35" s="121">
        <f t="shared" si="10"/>
        <v>6.1680000000000001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>
        <v>6.1680000000000001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4" t="s">
        <v>316</v>
      </c>
      <c r="F36" s="204" t="s">
        <v>10</v>
      </c>
      <c r="G36" s="204" t="s">
        <v>318</v>
      </c>
      <c r="H36" s="206"/>
      <c r="I36" s="206" t="s">
        <v>234</v>
      </c>
      <c r="J36" s="120">
        <f t="shared" si="9"/>
        <v>97.239000000000004</v>
      </c>
      <c r="K36" s="121">
        <f t="shared" si="10"/>
        <v>97.239000000000004</v>
      </c>
      <c r="L36" s="121">
        <f t="shared" si="11"/>
        <v>0</v>
      </c>
      <c r="M36" s="17"/>
      <c r="N36" s="26"/>
      <c r="O36" s="26"/>
      <c r="P36" s="26"/>
      <c r="Q36" s="26"/>
      <c r="R36" s="26">
        <v>44.239000000000004</v>
      </c>
      <c r="S36" s="26"/>
      <c r="T36" s="26"/>
      <c r="U36" s="26"/>
      <c r="V36" s="26"/>
      <c r="W36" s="26">
        <v>53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4" t="s">
        <v>262</v>
      </c>
      <c r="F37" s="204" t="s">
        <v>40</v>
      </c>
      <c r="G37" s="204" t="s">
        <v>263</v>
      </c>
      <c r="H37" s="206"/>
      <c r="I37" s="206" t="s">
        <v>234</v>
      </c>
      <c r="J37" s="120">
        <f t="shared" si="9"/>
        <v>73.163000000000011</v>
      </c>
      <c r="K37" s="121">
        <f t="shared" si="10"/>
        <v>73.163000000000011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>
        <v>73.163000000000011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4" t="s">
        <v>290</v>
      </c>
      <c r="F38" s="204" t="s">
        <v>40</v>
      </c>
      <c r="G38" s="204" t="s">
        <v>245</v>
      </c>
      <c r="H38" s="206"/>
      <c r="I38" s="206" t="s">
        <v>234</v>
      </c>
      <c r="J38" s="120">
        <f t="shared" si="9"/>
        <v>2404.5940000000001</v>
      </c>
      <c r="K38" s="121">
        <f t="shared" si="10"/>
        <v>2404.5940000000001</v>
      </c>
      <c r="L38" s="121">
        <f t="shared" si="11"/>
        <v>0</v>
      </c>
      <c r="M38" s="17"/>
      <c r="N38" s="26"/>
      <c r="O38" s="26"/>
      <c r="P38" s="26"/>
      <c r="Q38" s="26"/>
      <c r="R38" s="26">
        <f>45.855-25</f>
        <v>20.854999999999997</v>
      </c>
      <c r="S38" s="26">
        <f>525.765+25-5</f>
        <v>545.76499999999999</v>
      </c>
      <c r="T38" s="26">
        <f>1832.974+5-22</f>
        <v>1815.9739999999999</v>
      </c>
      <c r="U38" s="26"/>
      <c r="V38" s="26"/>
      <c r="W38" s="26">
        <v>22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4" t="s">
        <v>276</v>
      </c>
      <c r="F39" s="204" t="s">
        <v>40</v>
      </c>
      <c r="G39" s="204" t="s">
        <v>276</v>
      </c>
      <c r="H39" s="206"/>
      <c r="I39" s="206" t="s">
        <v>234</v>
      </c>
      <c r="J39" s="120">
        <f t="shared" si="9"/>
        <v>17</v>
      </c>
      <c r="K39" s="121">
        <f t="shared" si="10"/>
        <v>17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17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4" t="s">
        <v>256</v>
      </c>
      <c r="F40" s="204" t="s">
        <v>40</v>
      </c>
      <c r="G40" s="204" t="s">
        <v>257</v>
      </c>
      <c r="H40" s="206"/>
      <c r="I40" s="206" t="s">
        <v>234</v>
      </c>
      <c r="J40" s="120">
        <f t="shared" si="9"/>
        <v>194.28500000000003</v>
      </c>
      <c r="K40" s="121">
        <f t="shared" si="10"/>
        <v>194.28500000000003</v>
      </c>
      <c r="L40" s="121">
        <f t="shared" si="11"/>
        <v>0</v>
      </c>
      <c r="M40" s="17"/>
      <c r="N40" s="26"/>
      <c r="O40" s="26"/>
      <c r="P40" s="26"/>
      <c r="Q40" s="26"/>
      <c r="R40" s="26">
        <f>77.165-26</f>
        <v>51.165000000000006</v>
      </c>
      <c r="S40" s="26">
        <f>117.12+1</f>
        <v>118.12</v>
      </c>
      <c r="T40" s="26"/>
      <c r="U40" s="26"/>
      <c r="V40" s="26"/>
      <c r="W40" s="26">
        <f>26-1</f>
        <v>25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4" t="s">
        <v>264</v>
      </c>
      <c r="F41" s="204" t="s">
        <v>40</v>
      </c>
      <c r="G41" s="204" t="s">
        <v>265</v>
      </c>
      <c r="H41" s="206"/>
      <c r="I41" s="206" t="s">
        <v>234</v>
      </c>
      <c r="J41" s="120">
        <f t="shared" si="9"/>
        <v>90.698999999999998</v>
      </c>
      <c r="K41" s="121">
        <f t="shared" si="10"/>
        <v>90.698999999999998</v>
      </c>
      <c r="L41" s="121">
        <f t="shared" si="11"/>
        <v>0</v>
      </c>
      <c r="M41" s="17"/>
      <c r="N41" s="26"/>
      <c r="O41" s="26"/>
      <c r="P41" s="26"/>
      <c r="Q41" s="26"/>
      <c r="R41" s="26">
        <v>77.698999999999998</v>
      </c>
      <c r="S41" s="26"/>
      <c r="T41" s="26"/>
      <c r="U41" s="26"/>
      <c r="V41" s="26"/>
      <c r="W41" s="26">
        <v>13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4" t="s">
        <v>258</v>
      </c>
      <c r="F42" s="204" t="s">
        <v>40</v>
      </c>
      <c r="G42" s="204" t="s">
        <v>259</v>
      </c>
      <c r="H42" s="206"/>
      <c r="I42" s="206" t="s">
        <v>234</v>
      </c>
      <c r="J42" s="120">
        <f t="shared" si="9"/>
        <v>59</v>
      </c>
      <c r="K42" s="121">
        <f t="shared" si="10"/>
        <v>59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4" t="s">
        <v>310</v>
      </c>
      <c r="F43" s="204" t="s">
        <v>40</v>
      </c>
      <c r="G43" s="204" t="s">
        <v>311</v>
      </c>
      <c r="H43" s="206"/>
      <c r="I43" s="206" t="s">
        <v>234</v>
      </c>
      <c r="J43" s="120">
        <f t="shared" si="9"/>
        <v>7.734</v>
      </c>
      <c r="K43" s="121">
        <f t="shared" si="10"/>
        <v>7.734</v>
      </c>
      <c r="L43" s="121">
        <f t="shared" si="11"/>
        <v>0</v>
      </c>
      <c r="M43" s="17"/>
      <c r="N43" s="26"/>
      <c r="O43" s="26"/>
      <c r="P43" s="26"/>
      <c r="Q43" s="26"/>
      <c r="R43" s="26">
        <v>7.734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4" t="s">
        <v>250</v>
      </c>
      <c r="F44" s="204" t="s">
        <v>40</v>
      </c>
      <c r="G44" s="204" t="s">
        <v>251</v>
      </c>
      <c r="H44" s="206"/>
      <c r="I44" s="206" t="s">
        <v>247</v>
      </c>
      <c r="J44" s="120">
        <f t="shared" si="9"/>
        <v>1017.972</v>
      </c>
      <c r="K44" s="121">
        <f t="shared" si="10"/>
        <v>1017.972</v>
      </c>
      <c r="L44" s="121">
        <f t="shared" si="11"/>
        <v>0</v>
      </c>
      <c r="M44" s="17"/>
      <c r="N44" s="26"/>
      <c r="O44" s="26"/>
      <c r="P44" s="26"/>
      <c r="Q44" s="26"/>
      <c r="R44" s="26">
        <f>274.703-9-2</f>
        <v>263.70299999999997</v>
      </c>
      <c r="S44" s="26">
        <f>519.866+9-5</f>
        <v>523.86599999999999</v>
      </c>
      <c r="T44" s="26">
        <v>37.625999999999998</v>
      </c>
      <c r="U44" s="26">
        <f>9.777+5+17</f>
        <v>31.777000000000001</v>
      </c>
      <c r="V44" s="26">
        <f>152-17+26</f>
        <v>161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4" t="s">
        <v>323</v>
      </c>
      <c r="F45" s="204" t="s">
        <v>40</v>
      </c>
      <c r="G45" s="204" t="s">
        <v>324</v>
      </c>
      <c r="H45" s="195"/>
      <c r="I45" s="195" t="s">
        <v>247</v>
      </c>
      <c r="J45" s="120">
        <f t="shared" si="9"/>
        <v>263</v>
      </c>
      <c r="K45" s="121">
        <f t="shared" si="10"/>
        <v>263</v>
      </c>
      <c r="L45" s="121">
        <f t="shared" si="11"/>
        <v>0</v>
      </c>
      <c r="M45" s="17"/>
      <c r="N45" s="26"/>
      <c r="O45" s="26"/>
      <c r="P45" s="26"/>
      <c r="Q45" s="26"/>
      <c r="R45" s="26">
        <f>149-1</f>
        <v>148</v>
      </c>
      <c r="S45" s="26">
        <f>93+1+21</f>
        <v>115</v>
      </c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254</v>
      </c>
      <c r="F46" s="204" t="s">
        <v>40</v>
      </c>
      <c r="G46" s="204" t="s">
        <v>255</v>
      </c>
      <c r="H46" s="195"/>
      <c r="I46" s="195" t="s">
        <v>247</v>
      </c>
      <c r="J46" s="120">
        <f t="shared" si="9"/>
        <v>239.76499999999999</v>
      </c>
      <c r="K46" s="121">
        <f t="shared" si="10"/>
        <v>239.76499999999999</v>
      </c>
      <c r="L46" s="121">
        <f t="shared" si="11"/>
        <v>0</v>
      </c>
      <c r="M46" s="17"/>
      <c r="N46" s="26"/>
      <c r="O46" s="26"/>
      <c r="P46" s="26"/>
      <c r="Q46" s="26"/>
      <c r="R46" s="26">
        <f>222.614-76</f>
        <v>146.614</v>
      </c>
      <c r="S46" s="26"/>
      <c r="T46" s="26"/>
      <c r="U46" s="26"/>
      <c r="V46" s="26"/>
      <c r="W46" s="26">
        <f>3.151+76+14</f>
        <v>93.150999999999996</v>
      </c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204" t="s">
        <v>320</v>
      </c>
      <c r="F47" s="204" t="s">
        <v>40</v>
      </c>
      <c r="G47" s="204" t="s">
        <v>268</v>
      </c>
      <c r="H47" s="205"/>
      <c r="I47" s="205" t="s">
        <v>247</v>
      </c>
      <c r="J47" s="120">
        <f t="shared" si="9"/>
        <v>4.5879999999999992</v>
      </c>
      <c r="K47" s="121">
        <f t="shared" si="10"/>
        <v>4.5879999999999992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>
        <v>2.5879999999999992</v>
      </c>
      <c r="T47" s="26">
        <v>2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204" t="s">
        <v>246</v>
      </c>
      <c r="F48" s="204" t="s">
        <v>40</v>
      </c>
      <c r="G48" s="204" t="s">
        <v>246</v>
      </c>
      <c r="H48" s="206"/>
      <c r="I48" s="206" t="s">
        <v>247</v>
      </c>
      <c r="J48" s="120">
        <f t="shared" si="9"/>
        <v>67.673999999999992</v>
      </c>
      <c r="K48" s="121">
        <f t="shared" si="10"/>
        <v>67.673999999999992</v>
      </c>
      <c r="L48" s="121">
        <f t="shared" si="11"/>
        <v>0</v>
      </c>
      <c r="M48" s="17"/>
      <c r="N48" s="26"/>
      <c r="O48" s="26"/>
      <c r="P48" s="26"/>
      <c r="Q48" s="26"/>
      <c r="R48" s="26">
        <v>40.078999999999994</v>
      </c>
      <c r="S48" s="26"/>
      <c r="T48" s="26"/>
      <c r="U48" s="26"/>
      <c r="V48" s="26"/>
      <c r="W48" s="26">
        <v>27.594999999999999</v>
      </c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204" t="s">
        <v>248</v>
      </c>
      <c r="F49" s="204" t="s">
        <v>40</v>
      </c>
      <c r="G49" s="204" t="s">
        <v>249</v>
      </c>
      <c r="H49" s="206"/>
      <c r="I49" s="206" t="s">
        <v>247</v>
      </c>
      <c r="J49" s="120">
        <f t="shared" si="9"/>
        <v>81.581000000000003</v>
      </c>
      <c r="K49" s="121">
        <f t="shared" si="10"/>
        <v>81.581000000000003</v>
      </c>
      <c r="L49" s="121">
        <f t="shared" si="11"/>
        <v>0</v>
      </c>
      <c r="M49" s="17"/>
      <c r="N49" s="26"/>
      <c r="O49" s="26"/>
      <c r="P49" s="26"/>
      <c r="Q49" s="26"/>
      <c r="R49" s="26">
        <f>46.581+1</f>
        <v>47.581000000000003</v>
      </c>
      <c r="S49" s="26">
        <v>34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204" t="s">
        <v>269</v>
      </c>
      <c r="F50" s="204" t="s">
        <v>40</v>
      </c>
      <c r="G50" s="204" t="s">
        <v>269</v>
      </c>
      <c r="H50" s="206"/>
      <c r="I50" s="206" t="s">
        <v>247</v>
      </c>
      <c r="J50" s="120">
        <f t="shared" si="9"/>
        <v>4.4279999999999999</v>
      </c>
      <c r="K50" s="121">
        <f t="shared" si="10"/>
        <v>4.4279999999999999</v>
      </c>
      <c r="L50" s="121">
        <f t="shared" si="11"/>
        <v>0</v>
      </c>
      <c r="M50" s="17"/>
      <c r="N50" s="26"/>
      <c r="O50" s="26"/>
      <c r="P50" s="26"/>
      <c r="Q50" s="26"/>
      <c r="R50" s="26">
        <v>3.4279999999999999</v>
      </c>
      <c r="S50" s="26">
        <v>1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204" t="s">
        <v>252</v>
      </c>
      <c r="F51" s="204" t="s">
        <v>40</v>
      </c>
      <c r="G51" s="204" t="s">
        <v>253</v>
      </c>
      <c r="H51" s="206"/>
      <c r="I51" s="206" t="s">
        <v>247</v>
      </c>
      <c r="J51" s="120">
        <f t="shared" si="9"/>
        <v>84.504999999999995</v>
      </c>
      <c r="K51" s="121">
        <f t="shared" si="10"/>
        <v>84.504999999999995</v>
      </c>
      <c r="L51" s="121">
        <f t="shared" si="11"/>
        <v>0</v>
      </c>
      <c r="M51" s="17"/>
      <c r="N51" s="26"/>
      <c r="O51" s="26"/>
      <c r="P51" s="26"/>
      <c r="Q51" s="26"/>
      <c r="R51" s="26">
        <f>46.505+4</f>
        <v>50.505000000000003</v>
      </c>
      <c r="S51" s="26">
        <v>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204" t="s">
        <v>260</v>
      </c>
      <c r="F52" s="204" t="s">
        <v>40</v>
      </c>
      <c r="G52" s="204" t="s">
        <v>261</v>
      </c>
      <c r="H52" s="206"/>
      <c r="I52" s="206" t="s">
        <v>247</v>
      </c>
      <c r="J52" s="120">
        <f t="shared" si="9"/>
        <v>205.98099999999999</v>
      </c>
      <c r="K52" s="121">
        <f t="shared" si="10"/>
        <v>205.98099999999999</v>
      </c>
      <c r="L52" s="121">
        <f t="shared" si="11"/>
        <v>0</v>
      </c>
      <c r="M52" s="17"/>
      <c r="N52" s="26"/>
      <c r="O52" s="26"/>
      <c r="P52" s="26"/>
      <c r="Q52" s="26"/>
      <c r="R52" s="26">
        <v>1</v>
      </c>
      <c r="S52" s="26">
        <v>204.98099999999999</v>
      </c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204" t="s">
        <v>279</v>
      </c>
      <c r="F53" s="204" t="s">
        <v>40</v>
      </c>
      <c r="G53" s="204" t="s">
        <v>283</v>
      </c>
      <c r="H53" s="206"/>
      <c r="I53" s="206" t="s">
        <v>247</v>
      </c>
      <c r="J53" s="120">
        <f t="shared" si="9"/>
        <v>28</v>
      </c>
      <c r="K53" s="121">
        <f t="shared" si="10"/>
        <v>28</v>
      </c>
      <c r="L53" s="121">
        <f t="shared" si="11"/>
        <v>0</v>
      </c>
      <c r="M53" s="17"/>
      <c r="N53" s="26"/>
      <c r="O53" s="26"/>
      <c r="P53" s="26"/>
      <c r="Q53" s="26"/>
      <c r="R53" s="26">
        <v>28</v>
      </c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204" t="s">
        <v>266</v>
      </c>
      <c r="F54" s="204" t="s">
        <v>40</v>
      </c>
      <c r="G54" s="204" t="s">
        <v>266</v>
      </c>
      <c r="H54" s="206"/>
      <c r="I54" s="206" t="s">
        <v>247</v>
      </c>
      <c r="J54" s="120">
        <f t="shared" si="9"/>
        <v>33.478000000000002</v>
      </c>
      <c r="K54" s="121">
        <f t="shared" si="10"/>
        <v>33.478000000000002</v>
      </c>
      <c r="L54" s="121">
        <f t="shared" si="11"/>
        <v>0</v>
      </c>
      <c r="M54" s="17"/>
      <c r="N54" s="26"/>
      <c r="O54" s="26"/>
      <c r="P54" s="26"/>
      <c r="Q54" s="26"/>
      <c r="R54" s="26">
        <f>34.478-1</f>
        <v>33.478000000000002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204" t="s">
        <v>270</v>
      </c>
      <c r="F55" s="204" t="s">
        <v>40</v>
      </c>
      <c r="G55" s="204" t="s">
        <v>270</v>
      </c>
      <c r="H55" s="206"/>
      <c r="I55" s="206" t="s">
        <v>247</v>
      </c>
      <c r="J55" s="120">
        <f t="shared" si="9"/>
        <v>19.122</v>
      </c>
      <c r="K55" s="121">
        <f t="shared" si="10"/>
        <v>19.122</v>
      </c>
      <c r="L55" s="121">
        <f t="shared" si="11"/>
        <v>0</v>
      </c>
      <c r="M55" s="17"/>
      <c r="N55" s="26"/>
      <c r="O55" s="26"/>
      <c r="P55" s="26"/>
      <c r="Q55" s="26"/>
      <c r="R55" s="26">
        <v>11.122</v>
      </c>
      <c r="S55" s="26">
        <v>3</v>
      </c>
      <c r="T55" s="26"/>
      <c r="U55" s="26">
        <v>5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204" t="s">
        <v>294</v>
      </c>
      <c r="F56" s="204" t="s">
        <v>40</v>
      </c>
      <c r="G56" s="204" t="s">
        <v>294</v>
      </c>
      <c r="H56" s="206"/>
      <c r="I56" s="206" t="s">
        <v>247</v>
      </c>
      <c r="J56" s="120">
        <f t="shared" si="9"/>
        <v>20.251999999999999</v>
      </c>
      <c r="K56" s="121">
        <f t="shared" si="10"/>
        <v>20.251999999999999</v>
      </c>
      <c r="L56" s="121">
        <f t="shared" si="11"/>
        <v>0</v>
      </c>
      <c r="M56" s="17"/>
      <c r="N56" s="26"/>
      <c r="O56" s="26"/>
      <c r="P56" s="26"/>
      <c r="Q56" s="26"/>
      <c r="R56" s="26">
        <f>20.252</f>
        <v>20.251999999999999</v>
      </c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204" t="s">
        <v>271</v>
      </c>
      <c r="F57" s="204" t="s">
        <v>40</v>
      </c>
      <c r="G57" s="204" t="s">
        <v>272</v>
      </c>
      <c r="H57" s="206"/>
      <c r="I57" s="206" t="s">
        <v>247</v>
      </c>
      <c r="J57" s="120">
        <f t="shared" ref="J57:J87" si="12">+K57+L57</f>
        <v>134.28899999999999</v>
      </c>
      <c r="K57" s="121">
        <f t="shared" si="10"/>
        <v>134.28899999999999</v>
      </c>
      <c r="L57" s="121">
        <f t="shared" si="11"/>
        <v>0</v>
      </c>
      <c r="M57" s="17"/>
      <c r="N57" s="26"/>
      <c r="O57" s="26"/>
      <c r="P57" s="26"/>
      <c r="Q57" s="26"/>
      <c r="R57" s="26">
        <f>130.289+4</f>
        <v>134.28899999999999</v>
      </c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204" t="s">
        <v>273</v>
      </c>
      <c r="F58" s="204" t="s">
        <v>40</v>
      </c>
      <c r="G58" s="204" t="s">
        <v>274</v>
      </c>
      <c r="H58" s="206"/>
      <c r="I58" s="206" t="s">
        <v>247</v>
      </c>
      <c r="J58" s="120">
        <f t="shared" si="12"/>
        <v>317.26900000000001</v>
      </c>
      <c r="K58" s="121">
        <f t="shared" si="10"/>
        <v>317.26900000000001</v>
      </c>
      <c r="L58" s="121">
        <f t="shared" si="11"/>
        <v>0</v>
      </c>
      <c r="M58" s="17"/>
      <c r="N58" s="26"/>
      <c r="O58" s="26"/>
      <c r="P58" s="26"/>
      <c r="Q58" s="26"/>
      <c r="R58" s="26">
        <f>260-184</f>
        <v>76</v>
      </c>
      <c r="S58" s="26">
        <f>53.949+184+3.32</f>
        <v>241.26900000000001</v>
      </c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2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2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2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2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2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2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2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2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2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2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2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2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2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2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2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2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2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2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2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2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2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2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2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2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2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2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2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2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S37" sqref="S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0+65.798+187.646+1646.019+2738.581+197.926+1008.221+129.743+236.84+210.522+419.213+379.871-21.033-10.626+0+996.361+456.384+265.654+288.475-3.151+J10</f>
        <v>9444.7770000000019</v>
      </c>
      <c r="I10" s="63"/>
      <c r="J10" s="162">
        <f>0+252.333</f>
        <v>252.333</v>
      </c>
      <c r="L10" s="162">
        <f>J10+R17</f>
        <v>1136.2809999999999</v>
      </c>
      <c r="N10" s="57"/>
      <c r="O10" s="173">
        <f>+H10+K17</f>
        <v>14897.130000000001</v>
      </c>
      <c r="P10" s="174" cm="1">
        <f t="array" aca="1" ref="P10" ca="1">INDIRECT(ADDRESS(10,15,,,VLOOKUP($G$4,parameters!$G:$I,3,0)))</f>
        <v>14560.823000000002</v>
      </c>
      <c r="Q10" s="186">
        <f ca="1">O10-P10</f>
        <v>336.30699999999888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0+68.362+73.603+302.502+1813.594+46.497+224.908+0.185+192.936+6.425+106.702+57.172+0+258.468+84.872+767.013-531.301+105.852+J11</f>
        <v>3664.3879999999995</v>
      </c>
      <c r="I11" s="63"/>
      <c r="J11" s="18">
        <f>0+86.598</f>
        <v>86.597999999999999</v>
      </c>
      <c r="L11" s="18">
        <f>J11+R18</f>
        <v>555.90599999999984</v>
      </c>
      <c r="N11" s="57"/>
      <c r="O11" s="155">
        <f>+H11+K18</f>
        <v>6601.7579999999989</v>
      </c>
      <c r="P11" s="156" cm="1">
        <f t="array" aca="1" ref="P11" ca="1">INDIRECT(ADDRESS(11,15,,,VLOOKUP($G$4,parameters!$G:$I,3,0)))</f>
        <v>6601.7579999999998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13109.165000000001</v>
      </c>
      <c r="I12" s="63"/>
      <c r="J12" s="128">
        <f>SUM(J10:J11)</f>
        <v>338.93099999999998</v>
      </c>
      <c r="K12" s="67"/>
      <c r="L12" s="128">
        <f>SUM(L10:L11)</f>
        <v>1692.1869999999999</v>
      </c>
      <c r="M12" s="67"/>
      <c r="N12" s="67"/>
      <c r="O12" s="157">
        <f>SUM(O10:O11)</f>
        <v>21498.887999999999</v>
      </c>
      <c r="P12" s="158">
        <f ca="1">SUM(P10:P11)</f>
        <v>21162.581000000002</v>
      </c>
      <c r="Q12" s="159">
        <f t="shared" ca="1" si="0"/>
        <v>336.30699999999706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5452.3530000000001</v>
      </c>
      <c r="K17" s="110">
        <f>+SUMIF($F$24:$F$251,"External",$K$24:$K$251)</f>
        <v>5452.3530000000001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883.94799999999987</v>
      </c>
      <c r="S17" s="113">
        <f t="shared" si="1"/>
        <v>2045.752</v>
      </c>
      <c r="T17" s="113">
        <f t="shared" si="1"/>
        <v>2155.9070000000002</v>
      </c>
      <c r="U17" s="113">
        <f t="shared" si="1"/>
        <v>56.028999999999996</v>
      </c>
      <c r="V17" s="113">
        <f t="shared" si="1"/>
        <v>224.12200000000001</v>
      </c>
      <c r="W17" s="113">
        <f t="shared" si="1"/>
        <v>86.594999999999999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2937.3699999999994</v>
      </c>
      <c r="K18" s="115">
        <f>+SUMIF($F$24:$F$251,"Group",$K$24:$K$251)</f>
        <v>2937.3699999999994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469.30799999999988</v>
      </c>
      <c r="S18" s="116">
        <f t="shared" si="3"/>
        <v>144.52699999999999</v>
      </c>
      <c r="T18" s="116">
        <f t="shared" si="3"/>
        <v>1618.8589999999999</v>
      </c>
      <c r="U18" s="116">
        <f t="shared" si="3"/>
        <v>210.196</v>
      </c>
      <c r="V18" s="116">
        <f t="shared" si="3"/>
        <v>34</v>
      </c>
      <c r="W18" s="116">
        <f t="shared" si="3"/>
        <v>460.47999999999996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8389.723</v>
      </c>
      <c r="K19" s="117">
        <f>SUM(K17:K18)</f>
        <v>8389.723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1353.2559999999999</v>
      </c>
      <c r="S19" s="118">
        <f t="shared" si="5"/>
        <v>2190.279</v>
      </c>
      <c r="T19" s="118">
        <f t="shared" si="5"/>
        <v>3774.7660000000001</v>
      </c>
      <c r="U19" s="118">
        <f t="shared" si="5"/>
        <v>266.22500000000002</v>
      </c>
      <c r="V19" s="118">
        <f t="shared" si="5"/>
        <v>258.12200000000001</v>
      </c>
      <c r="W19" s="118">
        <f t="shared" si="5"/>
        <v>547.07499999999993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4" t="s">
        <v>78</v>
      </c>
      <c r="F24" s="204" t="s">
        <v>10</v>
      </c>
      <c r="G24" s="204" t="s">
        <v>78</v>
      </c>
      <c r="H24" s="204"/>
      <c r="I24" s="204" t="s">
        <v>234</v>
      </c>
      <c r="J24" s="120">
        <f t="shared" ref="J24" si="7">+K24+L24</f>
        <v>2155.6979999999999</v>
      </c>
      <c r="K24" s="121">
        <f t="shared" ref="K24" si="8">SUM(N24:Y24)</f>
        <v>2155.6979999999999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361.501-2.244</f>
        <v>359.25699999999995</v>
      </c>
      <c r="S24" s="26">
        <v>24</v>
      </c>
      <c r="T24" s="26">
        <f>1350+86</f>
        <v>1436</v>
      </c>
      <c r="U24" s="26">
        <f>113+89</f>
        <v>202</v>
      </c>
      <c r="V24" s="26"/>
      <c r="W24" s="26">
        <f>309.441-86-89</f>
        <v>134.44099999999997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4" t="s">
        <v>105</v>
      </c>
      <c r="F25" s="204" t="s">
        <v>10</v>
      </c>
      <c r="G25" s="204" t="s">
        <v>105</v>
      </c>
      <c r="H25" s="195"/>
      <c r="I25" s="195" t="s">
        <v>234</v>
      </c>
      <c r="J25" s="120">
        <f t="shared" ref="J25:J88" si="10">+K25+L25</f>
        <v>25.460999999999995</v>
      </c>
      <c r="K25" s="121">
        <f t="shared" ref="K25:K88" si="11">SUM(N25:Y25)</f>
        <v>25.460999999999995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>
        <f>23.755+0.72+0.421999999999997-0.436-12+11</f>
        <v>23.460999999999995</v>
      </c>
      <c r="T25" s="26"/>
      <c r="U25" s="26">
        <f>13-11</f>
        <v>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4" t="s">
        <v>235</v>
      </c>
      <c r="F26" s="204" t="s">
        <v>10</v>
      </c>
      <c r="G26" s="204" t="s">
        <v>235</v>
      </c>
      <c r="H26" s="195"/>
      <c r="I26" s="195" t="s">
        <v>234</v>
      </c>
      <c r="J26" s="120">
        <f t="shared" si="10"/>
        <v>64.307999999999993</v>
      </c>
      <c r="K26" s="121">
        <f t="shared" si="11"/>
        <v>64.307999999999993</v>
      </c>
      <c r="L26" s="121">
        <f t="shared" si="12"/>
        <v>0</v>
      </c>
      <c r="M26" s="25"/>
      <c r="N26" s="26"/>
      <c r="O26" s="26"/>
      <c r="P26" s="26"/>
      <c r="Q26" s="26"/>
      <c r="R26" s="26">
        <f>79.008-14.7-18</f>
        <v>46.307999999999993</v>
      </c>
      <c r="S26" s="26">
        <v>18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4" t="s">
        <v>309</v>
      </c>
      <c r="F27" s="204" t="s">
        <v>10</v>
      </c>
      <c r="G27" s="204" t="s">
        <v>309</v>
      </c>
      <c r="H27" s="195"/>
      <c r="I27" s="195" t="s">
        <v>234</v>
      </c>
      <c r="J27" s="120">
        <f t="shared" si="10"/>
        <v>2.7999999999996472E-2</v>
      </c>
      <c r="K27" s="121">
        <f t="shared" si="11"/>
        <v>2.7999999999996472E-2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4" t="s">
        <v>106</v>
      </c>
      <c r="F28" s="204" t="s">
        <v>10</v>
      </c>
      <c r="G28" s="204" t="s">
        <v>106</v>
      </c>
      <c r="H28" s="195"/>
      <c r="I28" s="195" t="s">
        <v>234</v>
      </c>
      <c r="J28" s="120">
        <f t="shared" si="10"/>
        <v>10.222999999999999</v>
      </c>
      <c r="K28" s="121">
        <f t="shared" si="11"/>
        <v>10.222999999999999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10.222999999999999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4" t="s">
        <v>275</v>
      </c>
      <c r="F29" s="204" t="s">
        <v>10</v>
      </c>
      <c r="G29" s="204" t="s">
        <v>275</v>
      </c>
      <c r="H29" s="206"/>
      <c r="I29" s="206" t="s">
        <v>234</v>
      </c>
      <c r="J29" s="120">
        <f t="shared" si="10"/>
        <v>307.47299999999996</v>
      </c>
      <c r="K29" s="121">
        <f t="shared" si="11"/>
        <v>307.47299999999996</v>
      </c>
      <c r="L29" s="121">
        <f t="shared" si="12"/>
        <v>0</v>
      </c>
      <c r="M29" s="25"/>
      <c r="N29" s="26"/>
      <c r="O29" s="26"/>
      <c r="P29" s="26"/>
      <c r="Q29" s="26"/>
      <c r="R29" s="26">
        <v>36.656999999999996</v>
      </c>
      <c r="S29" s="26">
        <v>8</v>
      </c>
      <c r="T29" s="26"/>
      <c r="U29" s="26"/>
      <c r="V29" s="26"/>
      <c r="W29" s="26">
        <v>262.81599999999997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4" t="s">
        <v>278</v>
      </c>
      <c r="F30" s="204" t="s">
        <v>10</v>
      </c>
      <c r="G30" s="204" t="s">
        <v>278</v>
      </c>
      <c r="H30" s="206"/>
      <c r="I30" s="206" t="s">
        <v>234</v>
      </c>
      <c r="J30" s="120">
        <f t="shared" si="10"/>
        <v>3.0619999999999989</v>
      </c>
      <c r="K30" s="121">
        <f t="shared" si="11"/>
        <v>3.0619999999999989</v>
      </c>
      <c r="L30" s="121">
        <f t="shared" si="12"/>
        <v>0</v>
      </c>
      <c r="M30" s="25"/>
      <c r="N30" s="26"/>
      <c r="O30" s="26"/>
      <c r="P30" s="26"/>
      <c r="Q30" s="26"/>
      <c r="R30" s="26">
        <v>3.0619999999999989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4" t="s">
        <v>315</v>
      </c>
      <c r="F31" s="204" t="s">
        <v>10</v>
      </c>
      <c r="G31" s="204" t="s">
        <v>315</v>
      </c>
      <c r="H31" s="206"/>
      <c r="I31" s="206" t="s">
        <v>234</v>
      </c>
      <c r="J31" s="120">
        <f t="shared" si="10"/>
        <v>7.3639999999999999</v>
      </c>
      <c r="K31" s="121">
        <f t="shared" si="11"/>
        <v>7.3639999999999999</v>
      </c>
      <c r="L31" s="121">
        <f t="shared" si="12"/>
        <v>0</v>
      </c>
      <c r="M31" s="17"/>
      <c r="N31" s="26"/>
      <c r="O31" s="26"/>
      <c r="P31" s="26"/>
      <c r="Q31" s="26"/>
      <c r="R31" s="26">
        <v>7.3639999999999999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4" t="s">
        <v>144</v>
      </c>
      <c r="F32" s="204" t="s">
        <v>10</v>
      </c>
      <c r="G32" s="204" t="s">
        <v>291</v>
      </c>
      <c r="H32" s="206"/>
      <c r="I32" s="206" t="s">
        <v>234</v>
      </c>
      <c r="J32" s="120">
        <f t="shared" si="10"/>
        <v>224.95699999999999</v>
      </c>
      <c r="K32" s="121">
        <f t="shared" si="11"/>
        <v>224.95699999999999</v>
      </c>
      <c r="L32" s="121">
        <f t="shared" si="12"/>
        <v>0</v>
      </c>
      <c r="M32" s="17"/>
      <c r="N32" s="26"/>
      <c r="O32" s="26"/>
      <c r="P32" s="26"/>
      <c r="Q32" s="26"/>
      <c r="R32" s="26">
        <f>64.347-54.572</f>
        <v>9.7749999999999915</v>
      </c>
      <c r="S32" s="26">
        <v>42.066000000000003</v>
      </c>
      <c r="T32" s="26">
        <f>102.116+37</f>
        <v>139.11599999999999</v>
      </c>
      <c r="U32" s="26"/>
      <c r="V32" s="26">
        <f>45-37+26</f>
        <v>34</v>
      </c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4" t="s">
        <v>144</v>
      </c>
      <c r="F33" s="204" t="s">
        <v>10</v>
      </c>
      <c r="G33" s="204" t="s">
        <v>238</v>
      </c>
      <c r="H33" s="206"/>
      <c r="I33" s="206" t="s">
        <v>234</v>
      </c>
      <c r="J33" s="120">
        <f t="shared" si="10"/>
        <v>35.389000000000003</v>
      </c>
      <c r="K33" s="121">
        <f t="shared" si="11"/>
        <v>35.389000000000003</v>
      </c>
      <c r="L33" s="121">
        <f t="shared" si="12"/>
        <v>0</v>
      </c>
      <c r="M33" s="17"/>
      <c r="N33" s="26"/>
      <c r="O33" s="26"/>
      <c r="P33" s="26"/>
      <c r="Q33" s="26"/>
      <c r="R33" s="26">
        <f>65-3.611-26-29</f>
        <v>6.3890000000000029</v>
      </c>
      <c r="S33" s="26">
        <v>29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4" t="s">
        <v>207</v>
      </c>
      <c r="F34" s="204" t="s">
        <v>10</v>
      </c>
      <c r="G34" s="204" t="s">
        <v>239</v>
      </c>
      <c r="H34" s="206"/>
      <c r="I34" s="206" t="s">
        <v>234</v>
      </c>
      <c r="J34" s="120">
        <f t="shared" si="10"/>
        <v>6.1680000000000001</v>
      </c>
      <c r="K34" s="121">
        <f t="shared" si="11"/>
        <v>6.1680000000000001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6.1680000000000001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4" t="s">
        <v>316</v>
      </c>
      <c r="F35" s="204" t="s">
        <v>10</v>
      </c>
      <c r="G35" s="204" t="s">
        <v>318</v>
      </c>
      <c r="H35" s="206"/>
      <c r="I35" s="206" t="s">
        <v>234</v>
      </c>
      <c r="J35" s="120">
        <f t="shared" si="10"/>
        <v>97.239000000000004</v>
      </c>
      <c r="K35" s="121">
        <f t="shared" si="11"/>
        <v>97.239000000000004</v>
      </c>
      <c r="L35" s="121">
        <f t="shared" si="12"/>
        <v>0</v>
      </c>
      <c r="M35" s="17"/>
      <c r="N35" s="26"/>
      <c r="O35" s="26"/>
      <c r="P35" s="26"/>
      <c r="Q35" s="26"/>
      <c r="R35" s="26">
        <v>0.496</v>
      </c>
      <c r="S35" s="26"/>
      <c r="T35" s="26">
        <f>44.239-0.496</f>
        <v>43.742999999999995</v>
      </c>
      <c r="U35" s="26"/>
      <c r="V35" s="26"/>
      <c r="W35" s="26">
        <v>53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4" t="s">
        <v>262</v>
      </c>
      <c r="F36" s="204" t="s">
        <v>40</v>
      </c>
      <c r="G36" s="204" t="s">
        <v>263</v>
      </c>
      <c r="H36" s="206"/>
      <c r="I36" s="206" t="s">
        <v>234</v>
      </c>
      <c r="J36" s="120">
        <f t="shared" si="10"/>
        <v>73.163000000000011</v>
      </c>
      <c r="K36" s="121">
        <f t="shared" si="11"/>
        <v>73.163000000000011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73.163000000000011</v>
      </c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4" t="s">
        <v>290</v>
      </c>
      <c r="F37" s="204" t="s">
        <v>40</v>
      </c>
      <c r="G37" s="204" t="s">
        <v>325</v>
      </c>
      <c r="H37" s="206"/>
      <c r="I37" s="206" t="s">
        <v>234</v>
      </c>
      <c r="J37" s="120">
        <f t="shared" si="10"/>
        <v>2628.7340000000004</v>
      </c>
      <c r="K37" s="121">
        <f t="shared" si="11"/>
        <v>2628.7340000000004</v>
      </c>
      <c r="L37" s="121">
        <f t="shared" si="12"/>
        <v>0</v>
      </c>
      <c r="M37" s="17"/>
      <c r="N37" s="26"/>
      <c r="O37" s="26"/>
      <c r="P37" s="26"/>
      <c r="Q37" s="26"/>
      <c r="R37" s="26">
        <f>20.855-16.86</f>
        <v>3.995000000000001</v>
      </c>
      <c r="S37" s="26">
        <f>545.765-15+25</f>
        <v>555.76499999999999</v>
      </c>
      <c r="T37" s="26">
        <f>1815.974+15-25+22+241</f>
        <v>2068.9740000000002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4" t="s">
        <v>276</v>
      </c>
      <c r="F38" s="204" t="s">
        <v>40</v>
      </c>
      <c r="G38" s="204" t="s">
        <v>326</v>
      </c>
      <c r="H38" s="206"/>
      <c r="I38" s="206" t="s">
        <v>234</v>
      </c>
      <c r="J38" s="120">
        <f t="shared" si="10"/>
        <v>17</v>
      </c>
      <c r="K38" s="121">
        <f t="shared" si="11"/>
        <v>17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17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4" t="s">
        <v>327</v>
      </c>
      <c r="F39" s="204" t="s">
        <v>40</v>
      </c>
      <c r="G39" s="204" t="s">
        <v>328</v>
      </c>
      <c r="H39" s="206"/>
      <c r="I39" s="206" t="s">
        <v>234</v>
      </c>
      <c r="J39" s="120">
        <f t="shared" ref="J39" si="13">+K39+L39</f>
        <v>31.306999999999999</v>
      </c>
      <c r="K39" s="121">
        <f t="shared" ref="K39" si="14">SUM(N39:Y39)</f>
        <v>31.306999999999999</v>
      </c>
      <c r="L39" s="121">
        <f t="shared" ref="L39" si="15">SUM(AA39:AL39)</f>
        <v>0</v>
      </c>
      <c r="M39" s="17"/>
      <c r="N39" s="26"/>
      <c r="O39" s="26"/>
      <c r="P39" s="26"/>
      <c r="Q39" s="26"/>
      <c r="R39" s="26"/>
      <c r="S39" s="26"/>
      <c r="T39" s="26">
        <v>31.306999999999999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4" t="s">
        <v>256</v>
      </c>
      <c r="F40" s="204" t="s">
        <v>40</v>
      </c>
      <c r="G40" s="204" t="s">
        <v>257</v>
      </c>
      <c r="H40" s="206"/>
      <c r="I40" s="206" t="s">
        <v>234</v>
      </c>
      <c r="J40" s="120">
        <f t="shared" si="10"/>
        <v>213.12900000000002</v>
      </c>
      <c r="K40" s="121">
        <f t="shared" si="11"/>
        <v>213.12900000000002</v>
      </c>
      <c r="L40" s="121">
        <f t="shared" si="12"/>
        <v>0</v>
      </c>
      <c r="M40" s="17"/>
      <c r="N40" s="26"/>
      <c r="O40" s="26"/>
      <c r="P40" s="26"/>
      <c r="Q40" s="26"/>
      <c r="R40" s="26">
        <f>51.165-18.156</f>
        <v>33.009</v>
      </c>
      <c r="S40" s="26">
        <f>118.12+25+37</f>
        <v>180.12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4" t="s">
        <v>264</v>
      </c>
      <c r="F41" s="204" t="s">
        <v>40</v>
      </c>
      <c r="G41" s="204" t="s">
        <v>265</v>
      </c>
      <c r="H41" s="206"/>
      <c r="I41" s="206" t="s">
        <v>234</v>
      </c>
      <c r="J41" s="120">
        <f t="shared" si="10"/>
        <v>95.698999999999998</v>
      </c>
      <c r="K41" s="121">
        <f t="shared" si="11"/>
        <v>95.698999999999998</v>
      </c>
      <c r="L41" s="121">
        <f t="shared" si="12"/>
        <v>0</v>
      </c>
      <c r="M41" s="17"/>
      <c r="N41" s="26"/>
      <c r="O41" s="26"/>
      <c r="P41" s="26"/>
      <c r="Q41" s="26"/>
      <c r="R41" s="26">
        <v>77.698999999999998</v>
      </c>
      <c r="S41" s="26">
        <f>13+5</f>
        <v>18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4" t="s">
        <v>258</v>
      </c>
      <c r="F42" s="204" t="s">
        <v>40</v>
      </c>
      <c r="G42" s="204" t="s">
        <v>259</v>
      </c>
      <c r="H42" s="206"/>
      <c r="I42" s="206" t="s">
        <v>234</v>
      </c>
      <c r="J42" s="120">
        <f t="shared" si="10"/>
        <v>59</v>
      </c>
      <c r="K42" s="121">
        <f t="shared" si="11"/>
        <v>59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4" t="s">
        <v>310</v>
      </c>
      <c r="F43" s="204" t="s">
        <v>40</v>
      </c>
      <c r="G43" s="204" t="s">
        <v>311</v>
      </c>
      <c r="H43" s="206"/>
      <c r="I43" s="206" t="s">
        <v>234</v>
      </c>
      <c r="J43" s="120">
        <f t="shared" si="10"/>
        <v>7.734</v>
      </c>
      <c r="K43" s="121">
        <f t="shared" si="11"/>
        <v>7.734</v>
      </c>
      <c r="L43" s="121">
        <f t="shared" si="12"/>
        <v>0</v>
      </c>
      <c r="M43" s="17"/>
      <c r="N43" s="26"/>
      <c r="O43" s="26"/>
      <c r="P43" s="26"/>
      <c r="Q43" s="26"/>
      <c r="R43" s="26">
        <v>7.734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4" t="s">
        <v>250</v>
      </c>
      <c r="F44" s="204" t="s">
        <v>40</v>
      </c>
      <c r="G44" s="204" t="s">
        <v>251</v>
      </c>
      <c r="H44" s="206"/>
      <c r="I44" s="206" t="s">
        <v>247</v>
      </c>
      <c r="J44" s="120">
        <f t="shared" si="10"/>
        <v>1017.79</v>
      </c>
      <c r="K44" s="121">
        <f t="shared" si="11"/>
        <v>1017.79</v>
      </c>
      <c r="L44" s="121">
        <f t="shared" si="12"/>
        <v>0</v>
      </c>
      <c r="M44" s="17"/>
      <c r="N44" s="26"/>
      <c r="O44" s="26"/>
      <c r="P44" s="26"/>
      <c r="Q44" s="26"/>
      <c r="R44" s="26">
        <f>263.703-0.182</f>
        <v>263.52099999999996</v>
      </c>
      <c r="S44" s="26">
        <v>523.86599999999999</v>
      </c>
      <c r="T44" s="26">
        <v>37.625999999999998</v>
      </c>
      <c r="U44" s="26">
        <v>31.777000000000001</v>
      </c>
      <c r="V44" s="26">
        <v>161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4" t="s">
        <v>323</v>
      </c>
      <c r="F45" s="204" t="s">
        <v>40</v>
      </c>
      <c r="G45" s="204" t="s">
        <v>324</v>
      </c>
      <c r="H45" s="195"/>
      <c r="I45" s="195" t="s">
        <v>247</v>
      </c>
      <c r="J45" s="120">
        <f t="shared" si="10"/>
        <v>263</v>
      </c>
      <c r="K45" s="121">
        <f t="shared" si="11"/>
        <v>263</v>
      </c>
      <c r="L45" s="121">
        <f t="shared" si="12"/>
        <v>0</v>
      </c>
      <c r="M45" s="17"/>
      <c r="N45" s="26"/>
      <c r="O45" s="26"/>
      <c r="P45" s="26"/>
      <c r="Q45" s="26"/>
      <c r="R45" s="26">
        <v>148</v>
      </c>
      <c r="S45" s="26">
        <v>115</v>
      </c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254</v>
      </c>
      <c r="F46" s="204" t="s">
        <v>40</v>
      </c>
      <c r="G46" s="204" t="s">
        <v>255</v>
      </c>
      <c r="H46" s="195"/>
      <c r="I46" s="195" t="s">
        <v>247</v>
      </c>
      <c r="J46" s="120">
        <f t="shared" si="10"/>
        <v>63.122</v>
      </c>
      <c r="K46" s="121">
        <f t="shared" si="11"/>
        <v>63.122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146.614-176.643+93.151</f>
        <v>63.122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204" t="s">
        <v>320</v>
      </c>
      <c r="F47" s="204" t="s">
        <v>40</v>
      </c>
      <c r="G47" s="204" t="s">
        <v>268</v>
      </c>
      <c r="H47" s="205"/>
      <c r="I47" s="205" t="s">
        <v>247</v>
      </c>
      <c r="J47" s="120">
        <f t="shared" si="10"/>
        <v>4.5879999999999992</v>
      </c>
      <c r="K47" s="121">
        <f t="shared" si="11"/>
        <v>4.5879999999999992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>
        <v>2.5879999999999992</v>
      </c>
      <c r="T47" s="26">
        <v>2</v>
      </c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204" t="s">
        <v>246</v>
      </c>
      <c r="F48" s="204" t="s">
        <v>40</v>
      </c>
      <c r="G48" s="204" t="s">
        <v>246</v>
      </c>
      <c r="H48" s="206"/>
      <c r="I48" s="206" t="s">
        <v>247</v>
      </c>
      <c r="J48" s="120">
        <f t="shared" si="10"/>
        <v>67.673999999999992</v>
      </c>
      <c r="K48" s="121">
        <f t="shared" si="11"/>
        <v>67.673999999999992</v>
      </c>
      <c r="L48" s="121">
        <f t="shared" si="12"/>
        <v>0</v>
      </c>
      <c r="M48" s="17"/>
      <c r="N48" s="26"/>
      <c r="O48" s="26"/>
      <c r="P48" s="26"/>
      <c r="Q48" s="26"/>
      <c r="R48" s="26">
        <v>40.078999999999994</v>
      </c>
      <c r="S48" s="26"/>
      <c r="T48" s="26"/>
      <c r="U48" s="26"/>
      <c r="V48" s="26"/>
      <c r="W48" s="26">
        <v>27.594999999999999</v>
      </c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204" t="s">
        <v>248</v>
      </c>
      <c r="F49" s="204" t="s">
        <v>40</v>
      </c>
      <c r="G49" s="204" t="s">
        <v>249</v>
      </c>
      <c r="H49" s="206"/>
      <c r="I49" s="206" t="s">
        <v>247</v>
      </c>
      <c r="J49" s="120">
        <f t="shared" si="10"/>
        <v>81.043000000000006</v>
      </c>
      <c r="K49" s="121">
        <f t="shared" si="11"/>
        <v>81.043000000000006</v>
      </c>
      <c r="L49" s="121">
        <f t="shared" si="12"/>
        <v>0</v>
      </c>
      <c r="M49" s="17"/>
      <c r="N49" s="26"/>
      <c r="O49" s="26"/>
      <c r="P49" s="26"/>
      <c r="Q49" s="26"/>
      <c r="R49" s="26">
        <f>47.581-0.538</f>
        <v>47.043000000000006</v>
      </c>
      <c r="S49" s="26">
        <v>34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204" t="s">
        <v>269</v>
      </c>
      <c r="F50" s="204" t="s">
        <v>40</v>
      </c>
      <c r="G50" s="204" t="s">
        <v>269</v>
      </c>
      <c r="H50" s="206"/>
      <c r="I50" s="206" t="s">
        <v>247</v>
      </c>
      <c r="J50" s="120">
        <f t="shared" si="10"/>
        <v>4.4279999999999999</v>
      </c>
      <c r="K50" s="121">
        <f t="shared" si="11"/>
        <v>4.4279999999999999</v>
      </c>
      <c r="L50" s="121">
        <f t="shared" si="12"/>
        <v>0</v>
      </c>
      <c r="M50" s="17"/>
      <c r="N50" s="26"/>
      <c r="O50" s="26"/>
      <c r="P50" s="26"/>
      <c r="Q50" s="26"/>
      <c r="R50" s="26">
        <v>3.4279999999999999</v>
      </c>
      <c r="S50" s="26">
        <v>1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204" t="s">
        <v>252</v>
      </c>
      <c r="F51" s="204" t="s">
        <v>40</v>
      </c>
      <c r="G51" s="204" t="s">
        <v>253</v>
      </c>
      <c r="H51" s="206"/>
      <c r="I51" s="206" t="s">
        <v>247</v>
      </c>
      <c r="J51" s="120">
        <f t="shared" si="10"/>
        <v>75.072000000000003</v>
      </c>
      <c r="K51" s="121">
        <f t="shared" si="11"/>
        <v>75.072000000000003</v>
      </c>
      <c r="L51" s="121">
        <f t="shared" si="12"/>
        <v>0</v>
      </c>
      <c r="M51" s="17"/>
      <c r="N51" s="26"/>
      <c r="O51" s="26"/>
      <c r="P51" s="26"/>
      <c r="Q51" s="26"/>
      <c r="R51" s="26">
        <f>50.505-9.433</f>
        <v>41.072000000000003</v>
      </c>
      <c r="S51" s="26">
        <f>34</f>
        <v>34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204" t="s">
        <v>260</v>
      </c>
      <c r="F52" s="204" t="s">
        <v>40</v>
      </c>
      <c r="G52" s="204" t="s">
        <v>261</v>
      </c>
      <c r="H52" s="206"/>
      <c r="I52" s="206" t="s">
        <v>247</v>
      </c>
      <c r="J52" s="120">
        <f t="shared" si="10"/>
        <v>205.98099999999999</v>
      </c>
      <c r="K52" s="121">
        <f t="shared" si="11"/>
        <v>205.98099999999999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>
        <f>204.981+1</f>
        <v>205.98099999999999</v>
      </c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204" t="s">
        <v>279</v>
      </c>
      <c r="F53" s="204" t="s">
        <v>40</v>
      </c>
      <c r="G53" s="204" t="s">
        <v>283</v>
      </c>
      <c r="H53" s="206"/>
      <c r="I53" s="206" t="s">
        <v>247</v>
      </c>
      <c r="J53" s="120">
        <f t="shared" si="10"/>
        <v>28</v>
      </c>
      <c r="K53" s="121">
        <f t="shared" si="11"/>
        <v>28</v>
      </c>
      <c r="L53" s="121">
        <f t="shared" si="12"/>
        <v>0</v>
      </c>
      <c r="M53" s="17"/>
      <c r="N53" s="26"/>
      <c r="O53" s="26"/>
      <c r="P53" s="26"/>
      <c r="Q53" s="26"/>
      <c r="R53" s="26">
        <v>28</v>
      </c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204" t="s">
        <v>266</v>
      </c>
      <c r="F54" s="204" t="s">
        <v>40</v>
      </c>
      <c r="G54" s="204" t="s">
        <v>266</v>
      </c>
      <c r="H54" s="206"/>
      <c r="I54" s="206" t="s">
        <v>247</v>
      </c>
      <c r="J54" s="120">
        <f t="shared" si="10"/>
        <v>33.478000000000002</v>
      </c>
      <c r="K54" s="121">
        <f t="shared" si="11"/>
        <v>33.478000000000002</v>
      </c>
      <c r="L54" s="121">
        <f t="shared" si="12"/>
        <v>0</v>
      </c>
      <c r="M54" s="17"/>
      <c r="N54" s="26"/>
      <c r="O54" s="26"/>
      <c r="P54" s="26"/>
      <c r="Q54" s="26"/>
      <c r="R54" s="26">
        <v>33.478000000000002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204" t="s">
        <v>270</v>
      </c>
      <c r="F55" s="204" t="s">
        <v>40</v>
      </c>
      <c r="G55" s="204" t="s">
        <v>270</v>
      </c>
      <c r="H55" s="206"/>
      <c r="I55" s="206" t="s">
        <v>247</v>
      </c>
      <c r="J55" s="120">
        <f t="shared" si="10"/>
        <v>10.417999999999999</v>
      </c>
      <c r="K55" s="121">
        <f t="shared" si="11"/>
        <v>10.417999999999999</v>
      </c>
      <c r="L55" s="121">
        <f t="shared" si="12"/>
        <v>0</v>
      </c>
      <c r="M55" s="17"/>
      <c r="N55" s="26"/>
      <c r="O55" s="26"/>
      <c r="P55" s="26"/>
      <c r="Q55" s="26"/>
      <c r="R55" s="26">
        <f>11.122-8.704</f>
        <v>2.4179999999999993</v>
      </c>
      <c r="S55" s="26">
        <v>3</v>
      </c>
      <c r="T55" s="26"/>
      <c r="U55" s="26">
        <v>5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204" t="s">
        <v>294</v>
      </c>
      <c r="F56" s="204" t="s">
        <v>40</v>
      </c>
      <c r="G56" s="204" t="s">
        <v>294</v>
      </c>
      <c r="H56" s="206"/>
      <c r="I56" s="206" t="s">
        <v>247</v>
      </c>
      <c r="J56" s="120">
        <f t="shared" si="10"/>
        <v>20.251999999999999</v>
      </c>
      <c r="K56" s="121">
        <f t="shared" si="11"/>
        <v>20.251999999999999</v>
      </c>
      <c r="L56" s="121">
        <f t="shared" si="12"/>
        <v>0</v>
      </c>
      <c r="M56" s="17"/>
      <c r="N56" s="26"/>
      <c r="O56" s="26"/>
      <c r="P56" s="26"/>
      <c r="Q56" s="26"/>
      <c r="R56" s="26">
        <v>1</v>
      </c>
      <c r="S56" s="26"/>
      <c r="T56" s="26"/>
      <c r="U56" s="26">
        <f>20.252-1</f>
        <v>19.251999999999999</v>
      </c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204" t="s">
        <v>271</v>
      </c>
      <c r="F57" s="204" t="s">
        <v>40</v>
      </c>
      <c r="G57" s="204" t="s">
        <v>272</v>
      </c>
      <c r="H57" s="206"/>
      <c r="I57" s="206" t="s">
        <v>247</v>
      </c>
      <c r="J57" s="120">
        <f t="shared" si="10"/>
        <v>134.28899999999999</v>
      </c>
      <c r="K57" s="121">
        <f t="shared" si="11"/>
        <v>134.28899999999999</v>
      </c>
      <c r="L57" s="121">
        <f t="shared" si="12"/>
        <v>0</v>
      </c>
      <c r="M57" s="17"/>
      <c r="N57" s="26"/>
      <c r="O57" s="26"/>
      <c r="P57" s="26"/>
      <c r="Q57" s="26"/>
      <c r="R57" s="26">
        <f>134.289-6</f>
        <v>128.28899999999999</v>
      </c>
      <c r="S57" s="26">
        <v>6</v>
      </c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204" t="s">
        <v>273</v>
      </c>
      <c r="F58" s="204" t="s">
        <v>40</v>
      </c>
      <c r="G58" s="204" t="s">
        <v>274</v>
      </c>
      <c r="H58" s="206"/>
      <c r="I58" s="206" t="s">
        <v>247</v>
      </c>
      <c r="J58" s="120">
        <f t="shared" si="10"/>
        <v>317.452</v>
      </c>
      <c r="K58" s="121">
        <f t="shared" si="11"/>
        <v>317.452</v>
      </c>
      <c r="L58" s="121">
        <f t="shared" si="12"/>
        <v>0</v>
      </c>
      <c r="M58" s="17"/>
      <c r="N58" s="26"/>
      <c r="O58" s="26"/>
      <c r="P58" s="26"/>
      <c r="Q58" s="26"/>
      <c r="R58" s="26">
        <f>76-21.817-29</f>
        <v>25.183</v>
      </c>
      <c r="S58" s="26">
        <f>241.269+29+6</f>
        <v>276.26900000000001</v>
      </c>
      <c r="T58" s="26">
        <v>16</v>
      </c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6">+K89+L89</f>
        <v>0</v>
      </c>
      <c r="K89" s="121">
        <f t="shared" ref="K89:K152" si="17">SUM(N89:Y89)</f>
        <v>0</v>
      </c>
      <c r="L89" s="121">
        <f t="shared" ref="L89:L152" si="18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9">+K153+L153</f>
        <v>0</v>
      </c>
      <c r="K153" s="121">
        <f t="shared" ref="K153:K216" si="20">SUM(N153:Y153)</f>
        <v>0</v>
      </c>
      <c r="L153" s="121">
        <f t="shared" ref="L153:L216" si="21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2">+K217+L217</f>
        <v>0</v>
      </c>
      <c r="K217" s="121">
        <f t="shared" ref="K217:K252" si="23">SUM(N217:Y217)</f>
        <v>0</v>
      </c>
      <c r="L217" s="121">
        <f t="shared" ref="L217:L252" si="24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2"/>
        <v>0</v>
      </c>
      <c r="K252" s="121">
        <f t="shared" si="23"/>
        <v>0</v>
      </c>
      <c r="L252" s="121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3"/>
  <sheetViews>
    <sheetView showGridLines="0" topLeftCell="C1" zoomScale="85" zoomScaleNormal="85" workbookViewId="0">
      <selection activeCell="L45" sqref="L4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0+65.798+187.646+1646.019+2738.581+197.926+1008.221+129.743+236.84+210.522+419.213+379.871-21.033-10.626+0+996.361+456.384+265.654+288.475-3.151+J10</f>
        <v>9633.6470000000008</v>
      </c>
      <c r="I10" s="63"/>
      <c r="J10" s="162">
        <f>0+252.333+188.87</f>
        <v>441.20299999999997</v>
      </c>
      <c r="L10" s="162">
        <f>J10+R17</f>
        <v>953.00800000000004</v>
      </c>
      <c r="N10" s="57"/>
      <c r="O10" s="173">
        <f>+H10+K17</f>
        <v>15242.589</v>
      </c>
      <c r="P10" s="174" cm="1">
        <f t="array" aca="1" ref="P10" ca="1">INDIRECT(ADDRESS(10,15,,,VLOOKUP($G$4,parameters!$G:$I,3,0)))</f>
        <v>14897.130000000001</v>
      </c>
      <c r="Q10" s="186">
        <f ca="1">O10-P10</f>
        <v>345.45899999999892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0+68.362+73.603+302.502+1813.594+46.497+224.908+0.185+192.936+6.425+106.702+57.172+0+258.468+84.872+767.013-531.301+105.852+J11</f>
        <v>3668.0649999999996</v>
      </c>
      <c r="I11" s="63"/>
      <c r="J11" s="18">
        <f>0+86.598+3.677</f>
        <v>90.275000000000006</v>
      </c>
      <c r="L11" s="18">
        <f>J11+R18</f>
        <v>557.75599999999986</v>
      </c>
      <c r="N11" s="57"/>
      <c r="O11" s="155">
        <f>+H11+K18</f>
        <v>6777.8469999999998</v>
      </c>
      <c r="P11" s="156" cm="1">
        <f t="array" aca="1" ref="P11" ca="1">INDIRECT(ADDRESS(11,15,,,VLOOKUP($G$4,parameters!$G:$I,3,0)))</f>
        <v>6601.7579999999989</v>
      </c>
      <c r="Q11" s="187">
        <f t="shared" ref="Q11:Q12" ca="1" si="0">O11-P11</f>
        <v>176.08900000000085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13301.712</v>
      </c>
      <c r="I12" s="63"/>
      <c r="J12" s="128">
        <f>SUM(J10:J11)</f>
        <v>531.47799999999995</v>
      </c>
      <c r="K12" s="67"/>
      <c r="L12" s="128">
        <f>SUM(L10:L11)</f>
        <v>1510.7639999999999</v>
      </c>
      <c r="M12" s="67"/>
      <c r="N12" s="67"/>
      <c r="O12" s="157">
        <f>SUM(O10:O11)</f>
        <v>22020.436000000002</v>
      </c>
      <c r="P12" s="158">
        <f ca="1">SUM(P10:P11)</f>
        <v>21498.887999999999</v>
      </c>
      <c r="Q12" s="159">
        <f t="shared" ca="1" si="0"/>
        <v>521.5480000000025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207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5608.9419999999991</v>
      </c>
      <c r="K17" s="110">
        <f>+SUMIF($F$24:$F$252,"External",$K$24:$K$252)</f>
        <v>5608.9419999999991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511.80500000000001</v>
      </c>
      <c r="S17" s="113">
        <f t="shared" si="1"/>
        <v>2286.5739999999996</v>
      </c>
      <c r="T17" s="113">
        <f t="shared" si="1"/>
        <v>2139.1970000000001</v>
      </c>
      <c r="U17" s="113">
        <f t="shared" si="1"/>
        <v>142.77099999999999</v>
      </c>
      <c r="V17" s="113">
        <f t="shared" si="1"/>
        <v>217</v>
      </c>
      <c r="W17" s="113">
        <f t="shared" si="1"/>
        <v>311.59500000000003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3109.7819999999997</v>
      </c>
      <c r="K18" s="115">
        <f>+SUMIF($F$24:$F$252,"Group",$K$24:$K$252)</f>
        <v>3109.7819999999997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467.48099999999982</v>
      </c>
      <c r="S18" s="116">
        <f t="shared" si="3"/>
        <v>138.52699999999999</v>
      </c>
      <c r="T18" s="116">
        <f t="shared" si="3"/>
        <v>1927.116</v>
      </c>
      <c r="U18" s="116">
        <f t="shared" si="3"/>
        <v>270.61900000000003</v>
      </c>
      <c r="V18" s="116">
        <f t="shared" si="3"/>
        <v>33</v>
      </c>
      <c r="W18" s="116">
        <f t="shared" si="3"/>
        <v>273.03899999999999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8718.7239999999983</v>
      </c>
      <c r="K19" s="117">
        <f>SUM(K17:K18)</f>
        <v>8718.7239999999983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979.28599999999983</v>
      </c>
      <c r="S19" s="118">
        <f t="shared" si="5"/>
        <v>2425.1009999999997</v>
      </c>
      <c r="T19" s="118">
        <f t="shared" si="5"/>
        <v>4066.3130000000001</v>
      </c>
      <c r="U19" s="118">
        <f t="shared" si="5"/>
        <v>413.39</v>
      </c>
      <c r="V19" s="118">
        <f t="shared" si="5"/>
        <v>250</v>
      </c>
      <c r="W19" s="118">
        <f t="shared" si="5"/>
        <v>584.63400000000001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2352.3519999999999</v>
      </c>
      <c r="K24" s="121">
        <f t="shared" ref="K24" si="8">SUM(N24:Y24)</f>
        <v>2352.3519999999999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359.25699999999995</v>
      </c>
      <c r="S24" s="26">
        <v>24</v>
      </c>
      <c r="T24" s="26">
        <f>1436+266</f>
        <v>1702</v>
      </c>
      <c r="U24" s="26">
        <f>202-266+134.441-0.346+197</f>
        <v>267.09500000000003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9" si="10">+K25+L25</f>
        <v>25.460999999999999</v>
      </c>
      <c r="K25" s="121">
        <f t="shared" ref="K25:K89" si="11">SUM(N25:Y25)</f>
        <v>25.460999999999999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>
        <v>2</v>
      </c>
      <c r="S25" s="26">
        <f>23.461-2</f>
        <v>21.460999999999999</v>
      </c>
      <c r="T25" s="26"/>
      <c r="U25" s="26">
        <v>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64.307999999999993</v>
      </c>
      <c r="K26" s="121">
        <f t="shared" si="11"/>
        <v>64.307999999999993</v>
      </c>
      <c r="L26" s="121">
        <f t="shared" si="12"/>
        <v>0</v>
      </c>
      <c r="M26" s="25"/>
      <c r="N26" s="26"/>
      <c r="O26" s="26"/>
      <c r="P26" s="26"/>
      <c r="Q26" s="26"/>
      <c r="R26" s="26">
        <v>46.307999999999993</v>
      </c>
      <c r="S26" s="26">
        <v>18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309</v>
      </c>
      <c r="F27" s="9" t="s">
        <v>10</v>
      </c>
      <c r="G27" s="9" t="s">
        <v>309</v>
      </c>
      <c r="H27" s="195"/>
      <c r="I27" s="195" t="s">
        <v>234</v>
      </c>
      <c r="J27" s="120">
        <f t="shared" si="10"/>
        <v>2.7999999999996472E-2</v>
      </c>
      <c r="K27" s="121">
        <f t="shared" si="11"/>
        <v>2.7999999999996472E-2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2.7999999999996472E-2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106</v>
      </c>
      <c r="F28" s="9" t="s">
        <v>10</v>
      </c>
      <c r="G28" s="9" t="s">
        <v>106</v>
      </c>
      <c r="H28" s="195"/>
      <c r="I28" s="195" t="s">
        <v>234</v>
      </c>
      <c r="J28" s="120">
        <f t="shared" si="10"/>
        <v>10.222999999999999</v>
      </c>
      <c r="K28" s="121">
        <f t="shared" si="11"/>
        <v>10.222999999999999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10.222999999999999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275</v>
      </c>
      <c r="F29" s="9" t="s">
        <v>10</v>
      </c>
      <c r="G29" s="9" t="s">
        <v>275</v>
      </c>
      <c r="H29" s="196"/>
      <c r="I29" s="195" t="s">
        <v>234</v>
      </c>
      <c r="J29" s="120">
        <f t="shared" si="10"/>
        <v>307.47299999999996</v>
      </c>
      <c r="K29" s="121">
        <f t="shared" si="11"/>
        <v>307.47299999999996</v>
      </c>
      <c r="L29" s="121">
        <f t="shared" si="12"/>
        <v>0</v>
      </c>
      <c r="M29" s="25"/>
      <c r="N29" s="26"/>
      <c r="O29" s="26"/>
      <c r="P29" s="26"/>
      <c r="Q29" s="26"/>
      <c r="R29" s="26">
        <v>36.656999999999996</v>
      </c>
      <c r="S29" s="26">
        <v>8</v>
      </c>
      <c r="T29" s="26"/>
      <c r="U29" s="26"/>
      <c r="V29" s="26"/>
      <c r="W29" s="26">
        <v>262.81599999999997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278</v>
      </c>
      <c r="F30" s="9" t="s">
        <v>10</v>
      </c>
      <c r="G30" s="9" t="s">
        <v>278</v>
      </c>
      <c r="H30" s="197"/>
      <c r="I30" s="195" t="s">
        <v>234</v>
      </c>
      <c r="J30" s="120">
        <f t="shared" si="10"/>
        <v>1.9049999999999998</v>
      </c>
      <c r="K30" s="121">
        <f t="shared" si="11"/>
        <v>1.9049999999999998</v>
      </c>
      <c r="L30" s="121">
        <f t="shared" si="12"/>
        <v>0</v>
      </c>
      <c r="M30" s="25"/>
      <c r="N30" s="26"/>
      <c r="O30" s="26"/>
      <c r="P30" s="26"/>
      <c r="Q30" s="26"/>
      <c r="R30" s="26">
        <f>3.062-0.495-0.662</f>
        <v>1.9049999999999998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315</v>
      </c>
      <c r="F31" s="9" t="s">
        <v>10</v>
      </c>
      <c r="G31" s="9" t="s">
        <v>315</v>
      </c>
      <c r="H31" s="197"/>
      <c r="I31" s="195" t="s">
        <v>234</v>
      </c>
      <c r="J31" s="120">
        <f t="shared" si="10"/>
        <v>7.3639999999999999</v>
      </c>
      <c r="K31" s="121">
        <f t="shared" si="11"/>
        <v>7.3639999999999999</v>
      </c>
      <c r="L31" s="121">
        <f t="shared" si="12"/>
        <v>0</v>
      </c>
      <c r="M31" s="25"/>
      <c r="N31" s="26"/>
      <c r="O31" s="26"/>
      <c r="P31" s="26"/>
      <c r="Q31" s="26"/>
      <c r="R31" s="26">
        <v>7.3639999999999999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292</v>
      </c>
      <c r="H32" s="197"/>
      <c r="I32" s="195" t="s">
        <v>234</v>
      </c>
      <c r="J32" s="120">
        <f t="shared" si="10"/>
        <v>334.95699999999999</v>
      </c>
      <c r="K32" s="121">
        <f t="shared" si="11"/>
        <v>334.95699999999999</v>
      </c>
      <c r="L32" s="121">
        <f t="shared" si="12"/>
        <v>0</v>
      </c>
      <c r="M32" s="17"/>
      <c r="N32" s="26"/>
      <c r="O32" s="26"/>
      <c r="P32" s="26"/>
      <c r="Q32" s="26"/>
      <c r="R32" s="26">
        <f>9.77499999999999</f>
        <v>9.7749999999999897</v>
      </c>
      <c r="S32" s="26">
        <f>42.066+25</f>
        <v>67.066000000000003</v>
      </c>
      <c r="T32" s="26">
        <f>139.116+9+77</f>
        <v>225.11600000000001</v>
      </c>
      <c r="U32" s="26"/>
      <c r="V32" s="26">
        <v>33</v>
      </c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144</v>
      </c>
      <c r="F33" s="9" t="s">
        <v>10</v>
      </c>
      <c r="G33" s="9" t="s">
        <v>238</v>
      </c>
      <c r="H33" s="197"/>
      <c r="I33" s="195" t="s">
        <v>234</v>
      </c>
      <c r="J33" s="120">
        <f t="shared" si="10"/>
        <v>4.2149999999999999</v>
      </c>
      <c r="K33" s="121">
        <f t="shared" si="11"/>
        <v>4.2149999999999999</v>
      </c>
      <c r="L33" s="121">
        <f t="shared" si="12"/>
        <v>0</v>
      </c>
      <c r="M33" s="17"/>
      <c r="N33" s="26"/>
      <c r="O33" s="26"/>
      <c r="P33" s="26"/>
      <c r="Q33" s="26"/>
      <c r="R33" s="26">
        <f>6.389-2.174</f>
        <v>4.2149999999999999</v>
      </c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207</v>
      </c>
      <c r="F34" s="9" t="s">
        <v>10</v>
      </c>
      <c r="G34" s="9" t="s">
        <v>239</v>
      </c>
      <c r="H34" s="197"/>
      <c r="I34" s="195" t="s">
        <v>234</v>
      </c>
      <c r="J34" s="120">
        <f t="shared" si="10"/>
        <v>1</v>
      </c>
      <c r="K34" s="121">
        <f t="shared" si="11"/>
        <v>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316</v>
      </c>
      <c r="F35" s="9" t="s">
        <v>10</v>
      </c>
      <c r="G35" s="9" t="s">
        <v>318</v>
      </c>
      <c r="H35" s="197"/>
      <c r="I35" s="195" t="s">
        <v>234</v>
      </c>
      <c r="J35" s="120">
        <f t="shared" si="10"/>
        <v>0.496</v>
      </c>
      <c r="K35" s="121">
        <f t="shared" si="11"/>
        <v>0.496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0.496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263</v>
      </c>
      <c r="H36" s="197"/>
      <c r="I36" s="195" t="s">
        <v>234</v>
      </c>
      <c r="J36" s="120">
        <f t="shared" si="10"/>
        <v>73.163000000000011</v>
      </c>
      <c r="K36" s="121">
        <f t="shared" si="11"/>
        <v>73.163000000000011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v>73.163000000000011</v>
      </c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290</v>
      </c>
      <c r="F37" s="9" t="s">
        <v>40</v>
      </c>
      <c r="G37" s="9" t="s">
        <v>245</v>
      </c>
      <c r="H37" s="197"/>
      <c r="I37" s="195" t="s">
        <v>234</v>
      </c>
      <c r="J37" s="120">
        <f t="shared" si="10"/>
        <v>2726.7080000000001</v>
      </c>
      <c r="K37" s="121">
        <f t="shared" si="11"/>
        <v>2726.7080000000001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>
        <f>555.765+3.995-32.913-4.113+253</f>
        <v>775.73399999999992</v>
      </c>
      <c r="T37" s="26">
        <f>2068.974-253</f>
        <v>1815.9740000000002</v>
      </c>
      <c r="U37" s="26">
        <v>90</v>
      </c>
      <c r="V37" s="26">
        <v>45</v>
      </c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276</v>
      </c>
      <c r="F38" s="9" t="s">
        <v>40</v>
      </c>
      <c r="G38" s="9" t="s">
        <v>277</v>
      </c>
      <c r="H38" s="197"/>
      <c r="I38" s="195" t="s">
        <v>234</v>
      </c>
      <c r="J38" s="120">
        <f t="shared" si="10"/>
        <v>17</v>
      </c>
      <c r="K38" s="121">
        <f t="shared" si="11"/>
        <v>17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17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329</v>
      </c>
      <c r="F39" s="9" t="s">
        <v>40</v>
      </c>
      <c r="G39" s="9" t="s">
        <v>330</v>
      </c>
      <c r="H39" s="197"/>
      <c r="I39" s="195" t="s">
        <v>234</v>
      </c>
      <c r="J39" s="120">
        <f t="shared" si="10"/>
        <v>45.307000000000002</v>
      </c>
      <c r="K39" s="121">
        <f t="shared" si="11"/>
        <v>45.307000000000002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31.307-6</f>
        <v>25.306999999999999</v>
      </c>
      <c r="U39" s="26">
        <f>6+14</f>
        <v>20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256</v>
      </c>
      <c r="F40" s="9" t="s">
        <v>40</v>
      </c>
      <c r="G40" s="9" t="s">
        <v>257</v>
      </c>
      <c r="H40" s="197"/>
      <c r="I40" s="195" t="s">
        <v>234</v>
      </c>
      <c r="J40" s="120">
        <f t="shared" si="10"/>
        <v>213.12900000000002</v>
      </c>
      <c r="K40" s="121">
        <f t="shared" si="11"/>
        <v>213.12900000000002</v>
      </c>
      <c r="L40" s="121">
        <f t="shared" si="12"/>
        <v>0</v>
      </c>
      <c r="M40" s="17"/>
      <c r="N40" s="26"/>
      <c r="O40" s="26"/>
      <c r="P40" s="26"/>
      <c r="Q40" s="26"/>
      <c r="R40" s="26">
        <v>33.009</v>
      </c>
      <c r="S40" s="26">
        <v>180.12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264</v>
      </c>
      <c r="F41" s="9" t="s">
        <v>40</v>
      </c>
      <c r="G41" s="9" t="s">
        <v>265</v>
      </c>
      <c r="H41" s="197"/>
      <c r="I41" s="195" t="s">
        <v>234</v>
      </c>
      <c r="J41" s="120">
        <f t="shared" si="10"/>
        <v>95.698999999999998</v>
      </c>
      <c r="K41" s="121">
        <f t="shared" si="11"/>
        <v>95.698999999999998</v>
      </c>
      <c r="L41" s="121">
        <f t="shared" si="12"/>
        <v>0</v>
      </c>
      <c r="M41" s="17"/>
      <c r="N41" s="26"/>
      <c r="O41" s="26"/>
      <c r="P41" s="26"/>
      <c r="Q41" s="26"/>
      <c r="R41" s="26">
        <v>77.698999999999998</v>
      </c>
      <c r="S41" s="26">
        <v>18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258</v>
      </c>
      <c r="F42" s="9" t="s">
        <v>40</v>
      </c>
      <c r="G42" s="9" t="s">
        <v>259</v>
      </c>
      <c r="H42" s="197"/>
      <c r="I42" s="195" t="s">
        <v>234</v>
      </c>
      <c r="J42" s="120">
        <f t="shared" si="10"/>
        <v>59</v>
      </c>
      <c r="K42" s="121">
        <f t="shared" si="11"/>
        <v>59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310</v>
      </c>
      <c r="F43" s="9" t="s">
        <v>40</v>
      </c>
      <c r="G43" s="9" t="s">
        <v>311</v>
      </c>
      <c r="H43" s="198"/>
      <c r="I43" s="195" t="s">
        <v>234</v>
      </c>
      <c r="J43" s="120">
        <f t="shared" si="10"/>
        <v>7.734</v>
      </c>
      <c r="K43" s="121">
        <f t="shared" si="11"/>
        <v>7.734</v>
      </c>
      <c r="L43" s="121">
        <f t="shared" si="12"/>
        <v>0</v>
      </c>
      <c r="M43" s="17"/>
      <c r="N43" s="26"/>
      <c r="O43" s="26"/>
      <c r="P43" s="26"/>
      <c r="Q43" s="26"/>
      <c r="R43" s="26">
        <v>7.734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332</v>
      </c>
      <c r="F44" s="9" t="s">
        <v>40</v>
      </c>
      <c r="G44" s="9" t="s">
        <v>331</v>
      </c>
      <c r="H44" s="198"/>
      <c r="I44" s="195" t="s">
        <v>234</v>
      </c>
      <c r="J44" s="120">
        <f>+K44+L44</f>
        <v>103.97799999999999</v>
      </c>
      <c r="K44" s="121">
        <f t="shared" ref="K44" si="13">SUM(N44:Y44)</f>
        <v>103.97799999999999</v>
      </c>
      <c r="L44" s="121">
        <f t="shared" ref="L44" si="14">SUM(AA44:AL44)</f>
        <v>0</v>
      </c>
      <c r="M44" s="17"/>
      <c r="N44" s="26"/>
      <c r="O44" s="26"/>
      <c r="P44" s="26"/>
      <c r="Q44" s="26"/>
      <c r="R44" s="26"/>
      <c r="S44" s="26"/>
      <c r="T44" s="26">
        <v>103.97799999999999</v>
      </c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250</v>
      </c>
      <c r="F45" s="9" t="s">
        <v>40</v>
      </c>
      <c r="G45" s="9" t="s">
        <v>251</v>
      </c>
      <c r="H45" s="198"/>
      <c r="I45" s="195" t="s">
        <v>247</v>
      </c>
      <c r="J45" s="120">
        <f t="shared" si="10"/>
        <v>1017.79</v>
      </c>
      <c r="K45" s="121">
        <f t="shared" si="11"/>
        <v>1017.79</v>
      </c>
      <c r="L45" s="121">
        <f t="shared" si="12"/>
        <v>0</v>
      </c>
      <c r="M45" s="17"/>
      <c r="N45" s="26"/>
      <c r="O45" s="26"/>
      <c r="P45" s="26"/>
      <c r="Q45" s="26"/>
      <c r="R45" s="26">
        <f>263.521-206</f>
        <v>57.521000000000015</v>
      </c>
      <c r="S45" s="26">
        <f>523.866+39</f>
        <v>562.86599999999999</v>
      </c>
      <c r="T45" s="26">
        <f>37.626+206-39-146</f>
        <v>58.626000000000005</v>
      </c>
      <c r="U45" s="26">
        <v>31.777000000000001</v>
      </c>
      <c r="V45" s="26">
        <f>161+11</f>
        <v>172</v>
      </c>
      <c r="W45" s="26">
        <f>146-11</f>
        <v>135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323</v>
      </c>
      <c r="F46" s="9" t="s">
        <v>40</v>
      </c>
      <c r="G46" s="9" t="s">
        <v>324</v>
      </c>
      <c r="H46" s="198"/>
      <c r="I46" s="195" t="s">
        <v>247</v>
      </c>
      <c r="J46" s="120">
        <f t="shared" si="10"/>
        <v>263</v>
      </c>
      <c r="K46" s="121">
        <f t="shared" si="11"/>
        <v>263</v>
      </c>
      <c r="L46" s="121">
        <f t="shared" si="12"/>
        <v>0</v>
      </c>
      <c r="M46" s="17"/>
      <c r="N46" s="26"/>
      <c r="O46" s="26"/>
      <c r="P46" s="26"/>
      <c r="Q46" s="26"/>
      <c r="R46" s="26">
        <f>148-70</f>
        <v>78</v>
      </c>
      <c r="S46" s="26">
        <v>115</v>
      </c>
      <c r="T46" s="26"/>
      <c r="U46" s="26"/>
      <c r="V46" s="26"/>
      <c r="W46" s="26">
        <v>70</v>
      </c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254</v>
      </c>
      <c r="F47" s="9" t="s">
        <v>40</v>
      </c>
      <c r="G47" s="9" t="s">
        <v>255</v>
      </c>
      <c r="H47" s="195"/>
      <c r="I47" s="195" t="s">
        <v>247</v>
      </c>
      <c r="J47" s="120">
        <f t="shared" si="10"/>
        <v>90.801999999999992</v>
      </c>
      <c r="K47" s="121">
        <f t="shared" si="11"/>
        <v>90.801999999999992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>
        <f>63.122-22.32+50</f>
        <v>90.801999999999992</v>
      </c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320</v>
      </c>
      <c r="F48" s="9" t="s">
        <v>40</v>
      </c>
      <c r="G48" s="9" t="s">
        <v>268</v>
      </c>
      <c r="H48" s="195"/>
      <c r="I48" s="195" t="s">
        <v>247</v>
      </c>
      <c r="J48" s="120">
        <f t="shared" si="10"/>
        <v>1.8970000000000002</v>
      </c>
      <c r="K48" s="121">
        <f t="shared" si="11"/>
        <v>1.8970000000000002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f>2.588-4.691+2+2</f>
        <v>1.8970000000000002</v>
      </c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246</v>
      </c>
      <c r="F49" s="9" t="s">
        <v>40</v>
      </c>
      <c r="G49" s="9" t="s">
        <v>246</v>
      </c>
      <c r="H49" s="196"/>
      <c r="I49" s="195" t="s">
        <v>247</v>
      </c>
      <c r="J49" s="120">
        <f t="shared" si="10"/>
        <v>27.665999999999997</v>
      </c>
      <c r="K49" s="121">
        <f t="shared" si="11"/>
        <v>27.665999999999997</v>
      </c>
      <c r="L49" s="121">
        <f t="shared" si="12"/>
        <v>0</v>
      </c>
      <c r="M49" s="17"/>
      <c r="N49" s="26"/>
      <c r="O49" s="26"/>
      <c r="P49" s="26"/>
      <c r="Q49" s="26"/>
      <c r="R49" s="26">
        <f>40.079-40.008</f>
        <v>7.0999999999997954E-2</v>
      </c>
      <c r="S49" s="26"/>
      <c r="T49" s="26"/>
      <c r="U49" s="26"/>
      <c r="V49" s="26"/>
      <c r="W49" s="26">
        <v>27.594999999999999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248</v>
      </c>
      <c r="F50" s="9" t="s">
        <v>40</v>
      </c>
      <c r="G50" s="9" t="s">
        <v>249</v>
      </c>
      <c r="H50" s="197"/>
      <c r="I50" s="195" t="s">
        <v>247</v>
      </c>
      <c r="J50" s="120">
        <f t="shared" si="10"/>
        <v>81.043000000000006</v>
      </c>
      <c r="K50" s="121">
        <f t="shared" si="11"/>
        <v>81.043000000000006</v>
      </c>
      <c r="L50" s="121">
        <f t="shared" si="12"/>
        <v>0</v>
      </c>
      <c r="M50" s="17"/>
      <c r="N50" s="26"/>
      <c r="O50" s="26"/>
      <c r="P50" s="26"/>
      <c r="Q50" s="26"/>
      <c r="R50" s="26">
        <v>47.043000000000006</v>
      </c>
      <c r="S50" s="26">
        <v>34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195" t="s">
        <v>247</v>
      </c>
      <c r="J51" s="120">
        <f t="shared" si="10"/>
        <v>4.4279999999999999</v>
      </c>
      <c r="K51" s="121">
        <f t="shared" si="11"/>
        <v>4.4279999999999999</v>
      </c>
      <c r="L51" s="121">
        <f t="shared" si="12"/>
        <v>0</v>
      </c>
      <c r="M51" s="17"/>
      <c r="N51" s="26"/>
      <c r="O51" s="26"/>
      <c r="P51" s="26"/>
      <c r="Q51" s="26"/>
      <c r="R51" s="26">
        <v>3.4279999999999999</v>
      </c>
      <c r="S51" s="26">
        <v>1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252</v>
      </c>
      <c r="F52" s="9" t="s">
        <v>40</v>
      </c>
      <c r="G52" s="9" t="s">
        <v>253</v>
      </c>
      <c r="H52" s="197"/>
      <c r="I52" s="195" t="s">
        <v>247</v>
      </c>
      <c r="J52" s="120">
        <f t="shared" si="10"/>
        <v>50.533000000000001</v>
      </c>
      <c r="K52" s="121">
        <f t="shared" si="11"/>
        <v>50.533000000000001</v>
      </c>
      <c r="L52" s="121">
        <f t="shared" si="12"/>
        <v>0</v>
      </c>
      <c r="M52" s="17"/>
      <c r="N52" s="26"/>
      <c r="O52" s="26"/>
      <c r="P52" s="26"/>
      <c r="Q52" s="26"/>
      <c r="R52" s="26">
        <f>41.072-6.792-17.747</f>
        <v>16.533000000000001</v>
      </c>
      <c r="S52" s="26">
        <v>34</v>
      </c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260</v>
      </c>
      <c r="F53" s="9" t="s">
        <v>40</v>
      </c>
      <c r="G53" s="9" t="s">
        <v>261</v>
      </c>
      <c r="H53" s="197"/>
      <c r="I53" s="195" t="s">
        <v>247</v>
      </c>
      <c r="J53" s="120">
        <f t="shared" si="10"/>
        <v>205.98099999999999</v>
      </c>
      <c r="K53" s="121">
        <f t="shared" si="11"/>
        <v>205.98099999999999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>
        <f>205.981-25-20</f>
        <v>160.98099999999999</v>
      </c>
      <c r="T53" s="26">
        <v>25</v>
      </c>
      <c r="U53" s="26"/>
      <c r="V53" s="26"/>
      <c r="W53" s="26">
        <v>20</v>
      </c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279</v>
      </c>
      <c r="F54" s="9" t="s">
        <v>40</v>
      </c>
      <c r="G54" s="9" t="s">
        <v>283</v>
      </c>
      <c r="H54" s="197"/>
      <c r="I54" s="195" t="s">
        <v>247</v>
      </c>
      <c r="J54" s="120">
        <f t="shared" si="10"/>
        <v>28</v>
      </c>
      <c r="K54" s="121">
        <f t="shared" si="11"/>
        <v>28</v>
      </c>
      <c r="L54" s="121">
        <f t="shared" si="12"/>
        <v>0</v>
      </c>
      <c r="M54" s="17"/>
      <c r="N54" s="26"/>
      <c r="O54" s="26"/>
      <c r="P54" s="26"/>
      <c r="Q54" s="26"/>
      <c r="R54" s="26">
        <v>28</v>
      </c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266</v>
      </c>
      <c r="F55" s="9" t="s">
        <v>40</v>
      </c>
      <c r="G55" s="9" t="s">
        <v>266</v>
      </c>
      <c r="H55" s="197"/>
      <c r="I55" s="195" t="s">
        <v>247</v>
      </c>
      <c r="J55" s="120">
        <f t="shared" si="10"/>
        <v>33.478000000000002</v>
      </c>
      <c r="K55" s="121">
        <f t="shared" si="11"/>
        <v>33.478000000000002</v>
      </c>
      <c r="L55" s="121">
        <f t="shared" si="12"/>
        <v>0</v>
      </c>
      <c r="M55" s="17"/>
      <c r="N55" s="26"/>
      <c r="O55" s="26"/>
      <c r="P55" s="26"/>
      <c r="Q55" s="26"/>
      <c r="R55" s="26">
        <v>33.478000000000002</v>
      </c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270</v>
      </c>
      <c r="F56" s="9" t="s">
        <v>40</v>
      </c>
      <c r="G56" s="9" t="s">
        <v>270</v>
      </c>
      <c r="H56" s="197"/>
      <c r="I56" s="195" t="s">
        <v>247</v>
      </c>
      <c r="J56" s="120">
        <f t="shared" si="10"/>
        <v>3.9939999999999998</v>
      </c>
      <c r="K56" s="121">
        <f t="shared" si="11"/>
        <v>3.9939999999999998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>
        <v>3</v>
      </c>
      <c r="T56" s="26"/>
      <c r="U56" s="26">
        <f>2.418-6.424+5</f>
        <v>0.99399999999999977</v>
      </c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1</v>
      </c>
      <c r="K57" s="121">
        <f t="shared" si="11"/>
        <v>1</v>
      </c>
      <c r="L57" s="121">
        <f t="shared" si="12"/>
        <v>0</v>
      </c>
      <c r="M57" s="17"/>
      <c r="N57" s="26"/>
      <c r="O57" s="26"/>
      <c r="P57" s="26"/>
      <c r="Q57" s="26"/>
      <c r="R57" s="26">
        <v>1</v>
      </c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271</v>
      </c>
      <c r="F58" s="9" t="s">
        <v>40</v>
      </c>
      <c r="G58" s="9" t="s">
        <v>272</v>
      </c>
      <c r="H58" s="197"/>
      <c r="I58" s="195" t="s">
        <v>247</v>
      </c>
      <c r="J58" s="120">
        <f t="shared" si="10"/>
        <v>134.28899999999999</v>
      </c>
      <c r="K58" s="121">
        <f t="shared" si="11"/>
        <v>134.28899999999999</v>
      </c>
      <c r="L58" s="121">
        <f t="shared" si="12"/>
        <v>0</v>
      </c>
      <c r="M58" s="17"/>
      <c r="N58" s="26"/>
      <c r="O58" s="26"/>
      <c r="P58" s="26"/>
      <c r="Q58" s="26"/>
      <c r="R58" s="26">
        <v>128.28899999999999</v>
      </c>
      <c r="S58" s="26">
        <v>6</v>
      </c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273</v>
      </c>
      <c r="F59" s="9" t="s">
        <v>40</v>
      </c>
      <c r="G59" s="9" t="s">
        <v>274</v>
      </c>
      <c r="H59" s="197"/>
      <c r="I59" s="195" t="s">
        <v>247</v>
      </c>
      <c r="J59" s="120">
        <f t="shared" si="10"/>
        <v>304.07100000000003</v>
      </c>
      <c r="K59" s="121">
        <f t="shared" si="11"/>
        <v>304.07100000000003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>
        <f>25.183-43.381+276.269+30</f>
        <v>288.07100000000003</v>
      </c>
      <c r="T59" s="26">
        <v>16</v>
      </c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333</v>
      </c>
      <c r="F60" s="9" t="s">
        <v>40</v>
      </c>
      <c r="G60" s="9" t="s">
        <v>334</v>
      </c>
      <c r="H60" s="197"/>
      <c r="I60" s="195" t="s">
        <v>247</v>
      </c>
      <c r="J60" s="120">
        <f t="shared" si="10"/>
        <v>19.251999999999999</v>
      </c>
      <c r="K60" s="121">
        <f t="shared" si="11"/>
        <v>19.251999999999999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>
        <v>19.251999999999999</v>
      </c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95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49"/>
  <sheetViews>
    <sheetView showGridLines="0" zoomScale="90" zoomScaleNormal="90" workbookViewId="0">
      <selection activeCell="S43" sqref="S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0+65.798+187.646+1646.019+2738.581+197.926+1008.221+129.743+236.84+210.522+419.213+379.871-21.033-10.626+0+996.361+456.384+265.654+288.475-3.151+J10</f>
        <v>10107.318000000001</v>
      </c>
      <c r="I10" s="63"/>
      <c r="J10" s="162">
        <f>0+252.333+188.87+473.671</f>
        <v>914.87400000000002</v>
      </c>
      <c r="L10" s="162">
        <f>J10+R17</f>
        <v>914.87400000000002</v>
      </c>
      <c r="N10" s="57"/>
      <c r="O10" s="173">
        <f>+H10+K17</f>
        <v>15753.19</v>
      </c>
      <c r="P10" s="174" cm="1">
        <f t="array" aca="1" ref="P10" ca="1">INDIRECT(ADDRESS(10,15,,,VLOOKUP($G$4,parameters!$G:$I,3,0)))</f>
        <v>15242.589</v>
      </c>
      <c r="Q10" s="186">
        <f ca="1">O10-P10</f>
        <v>510.60100000000057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0+68.362+73.603+302.502+1813.594+46.497+224.908+0.185+192.936+6.425+106.702+57.172+0+258.468+84.872+767.013-531.301+105.852+J11</f>
        <v>5109.5609999999997</v>
      </c>
      <c r="I11" s="63"/>
      <c r="J11" s="18">
        <f>0+86.598+3.677+1441.496</f>
        <v>1531.7710000000002</v>
      </c>
      <c r="L11" s="18">
        <f>J11+R18</f>
        <v>1531.7710000000002</v>
      </c>
      <c r="N11" s="57"/>
      <c r="O11" s="155">
        <f>+H11+K18</f>
        <v>6895.8469999999998</v>
      </c>
      <c r="P11" s="156" cm="1">
        <f t="array" aca="1" ref="P11" ca="1">INDIRECT(ADDRESS(11,15,,,VLOOKUP($G$4,parameters!$G:$I,3,0)))</f>
        <v>6777.8469999999998</v>
      </c>
      <c r="Q11" s="187">
        <f t="shared" ref="Q11:Q12" ca="1" si="0">O11-P11</f>
        <v>118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15216.879000000001</v>
      </c>
      <c r="I12" s="63"/>
      <c r="J12" s="128">
        <f>SUM(J10:J11)</f>
        <v>2446.6450000000004</v>
      </c>
      <c r="K12" s="67"/>
      <c r="L12" s="128">
        <f>SUM(L10:L11)</f>
        <v>2446.6450000000004</v>
      </c>
      <c r="M12" s="67"/>
      <c r="N12" s="67"/>
      <c r="O12" s="157">
        <f>SUM(O10:O11)</f>
        <v>22649.037</v>
      </c>
      <c r="P12" s="158">
        <f ca="1">SUM(P10:P11)</f>
        <v>22020.436000000002</v>
      </c>
      <c r="Q12" s="159">
        <f t="shared" ca="1" si="0"/>
        <v>628.60099999999875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+SUMIF($F$24:$F$248,"External",$J$24:$J$248)</f>
        <v>5645.8719999999994</v>
      </c>
      <c r="K17" s="110">
        <f>+SUMIF($F$24:$F$248,"External",$K$24:$K$248)</f>
        <v>5645.8719999999994</v>
      </c>
      <c r="L17" s="111">
        <f>+SUMIF($F$24:$F$248,"External",$L$24:$L$248)</f>
        <v>0</v>
      </c>
      <c r="M17" s="112"/>
      <c r="N17" s="113">
        <f t="shared" ref="N17:Y17" si="1">+SUMIF($F$24:$F$248,"External",N$24:N$248)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2435.2359999999994</v>
      </c>
      <c r="T17" s="113">
        <f t="shared" si="1"/>
        <v>1885.0430000000003</v>
      </c>
      <c r="U17" s="113">
        <f t="shared" si="1"/>
        <v>773.77700000000004</v>
      </c>
      <c r="V17" s="113">
        <f t="shared" si="1"/>
        <v>217</v>
      </c>
      <c r="W17" s="113">
        <f t="shared" si="1"/>
        <v>334.81600000000003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+SUMIF($F$24:$F$248,"External",AA$24:AA$248)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+SUMIF($F$24:$F$248,"Group",$J$24:$J$248)</f>
        <v>1786.2860000000003</v>
      </c>
      <c r="K18" s="115">
        <f>+SUMIF($F$24:$F$248,"Group",$K$24:$K$248)</f>
        <v>1786.2860000000003</v>
      </c>
      <c r="L18" s="116">
        <f>SUMIF($F$24:$F$248,"Group",$L$24:$L$248)</f>
        <v>0</v>
      </c>
      <c r="M18" s="112"/>
      <c r="N18" s="116">
        <f t="shared" ref="N18:Y18" si="3">+SUMIF($F$24:$F$248,"Group",N$24:N$248)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327.83799999999997</v>
      </c>
      <c r="T18" s="116">
        <f t="shared" si="3"/>
        <v>1015.027</v>
      </c>
      <c r="U18" s="116">
        <f t="shared" si="3"/>
        <v>289.54199999999997</v>
      </c>
      <c r="V18" s="116">
        <f t="shared" si="3"/>
        <v>0</v>
      </c>
      <c r="W18" s="116">
        <f t="shared" si="3"/>
        <v>153.87899999999999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+SUMIF($F$24:$F$248,"Group",AA$24:AA$248)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7432.1579999999994</v>
      </c>
      <c r="K19" s="117">
        <f>SUM(K17:K18)</f>
        <v>7432.1579999999994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2763.0739999999996</v>
      </c>
      <c r="T19" s="118">
        <f t="shared" si="5"/>
        <v>2900.0700000000006</v>
      </c>
      <c r="U19" s="118">
        <f t="shared" si="5"/>
        <v>1063.319</v>
      </c>
      <c r="V19" s="118">
        <f t="shared" si="5"/>
        <v>217</v>
      </c>
      <c r="W19" s="118">
        <f t="shared" si="5"/>
        <v>488.69500000000005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IF(SUM(J24:J248)=J19,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1117.2140000000002</v>
      </c>
      <c r="K24" s="121">
        <f t="shared" ref="K24" si="8">SUM(N24:Y24)</f>
        <v>1117.2140000000002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359.257+24-261</f>
        <v>122.25700000000001</v>
      </c>
      <c r="T24" s="26">
        <f>1436+266-1258.618-4.499+0.0279999999999965+261+28</f>
        <v>727.91100000000006</v>
      </c>
      <c r="U24" s="26">
        <f>202-266+134.441-0.346+197+10.223-0.338-6.934-3</f>
        <v>267.04599999999999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5" si="10">+K25+L25</f>
        <v>25.460999999999999</v>
      </c>
      <c r="K25" s="121">
        <f t="shared" ref="K25:K85" si="11">SUM(N25:Y25)</f>
        <v>25.460999999999999</v>
      </c>
      <c r="L25" s="121">
        <f t="shared" ref="L25:L85" si="12">SUM(AA25:AL25)</f>
        <v>0</v>
      </c>
      <c r="M25" s="25"/>
      <c r="N25" s="26"/>
      <c r="O25" s="26"/>
      <c r="P25" s="26"/>
      <c r="Q25" s="26"/>
      <c r="R25" s="26"/>
      <c r="S25" s="26">
        <f>23.461-2+2-10</f>
        <v>13.460999999999999</v>
      </c>
      <c r="T25" s="26"/>
      <c r="U25" s="26">
        <f>2+10</f>
        <v>12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67.307999999999993</v>
      </c>
      <c r="K26" s="121">
        <f t="shared" si="11"/>
        <v>67.307999999999993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46.308+18-3</f>
        <v>61.307999999999993</v>
      </c>
      <c r="T26" s="26">
        <v>3</v>
      </c>
      <c r="U26" s="26">
        <v>3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6"/>
      <c r="I27" s="195" t="s">
        <v>234</v>
      </c>
      <c r="J27" s="120">
        <f t="shared" si="10"/>
        <v>190.67999999999998</v>
      </c>
      <c r="K27" s="121">
        <f t="shared" si="11"/>
        <v>190.67999999999998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36.657-15.856+8+8</f>
        <v>36.800999999999995</v>
      </c>
      <c r="T27" s="26"/>
      <c r="U27" s="26"/>
      <c r="V27" s="26"/>
      <c r="W27" s="26">
        <f>262.816-3.825-97.112-8</f>
        <v>153.87899999999999</v>
      </c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278</v>
      </c>
      <c r="F28" s="9" t="s">
        <v>10</v>
      </c>
      <c r="G28" s="9" t="s">
        <v>278</v>
      </c>
      <c r="H28" s="197"/>
      <c r="I28" s="195" t="s">
        <v>234</v>
      </c>
      <c r="J28" s="120">
        <f t="shared" si="10"/>
        <v>1.9049999999999998</v>
      </c>
      <c r="K28" s="121">
        <f t="shared" si="11"/>
        <v>1.9049999999999998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3.062-0.495-0.662-1</f>
        <v>0.9049999999999998</v>
      </c>
      <c r="T28" s="26"/>
      <c r="U28" s="26">
        <v>1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315</v>
      </c>
      <c r="F29" s="9" t="s">
        <v>10</v>
      </c>
      <c r="G29" s="9" t="s">
        <v>315</v>
      </c>
      <c r="H29" s="197"/>
      <c r="I29" s="195" t="s">
        <v>234</v>
      </c>
      <c r="J29" s="120">
        <f t="shared" si="10"/>
        <v>7.3639999999999999</v>
      </c>
      <c r="K29" s="121">
        <f t="shared" si="11"/>
        <v>7.3639999999999999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v>7.3639999999999999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144</v>
      </c>
      <c r="F30" s="9" t="s">
        <v>10</v>
      </c>
      <c r="G30" s="9" t="s">
        <v>292</v>
      </c>
      <c r="H30" s="197"/>
      <c r="I30" s="195" t="s">
        <v>234</v>
      </c>
      <c r="J30" s="120">
        <f t="shared" si="10"/>
        <v>373.95399999999995</v>
      </c>
      <c r="K30" s="121">
        <f t="shared" si="11"/>
        <v>373.95399999999995</v>
      </c>
      <c r="L30" s="121">
        <f t="shared" si="12"/>
        <v>0</v>
      </c>
      <c r="M30" s="17"/>
      <c r="N30" s="26"/>
      <c r="O30" s="26"/>
      <c r="P30" s="26"/>
      <c r="Q30" s="26"/>
      <c r="R30" s="26"/>
      <c r="S30" s="26">
        <f>42.066+25-50.003+9.77499999999999+63-5</f>
        <v>84.837999999999994</v>
      </c>
      <c r="T30" s="26">
        <f>139.116+9+77-63+32+90</f>
        <v>284.11599999999999</v>
      </c>
      <c r="U30" s="26">
        <v>5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238</v>
      </c>
      <c r="H31" s="197"/>
      <c r="I31" s="195" t="s">
        <v>234</v>
      </c>
      <c r="J31" s="120">
        <f t="shared" si="10"/>
        <v>0.90399999999999991</v>
      </c>
      <c r="K31" s="121">
        <f t="shared" si="11"/>
        <v>0.90399999999999991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>
        <f>6.389-2.174-4.311+1</f>
        <v>0.90399999999999991</v>
      </c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1</v>
      </c>
      <c r="K32" s="121">
        <f t="shared" si="11"/>
        <v>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316</v>
      </c>
      <c r="F33" s="9" t="s">
        <v>10</v>
      </c>
      <c r="G33" s="9" t="s">
        <v>318</v>
      </c>
      <c r="H33" s="197"/>
      <c r="I33" s="195" t="s">
        <v>234</v>
      </c>
      <c r="J33" s="120">
        <f t="shared" si="10"/>
        <v>0.496</v>
      </c>
      <c r="K33" s="121">
        <f t="shared" si="11"/>
        <v>0.496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0.496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73.163000000000011</v>
      </c>
      <c r="K34" s="121">
        <f t="shared" si="11"/>
        <v>73.163000000000011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v>73.163000000000011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2726.4540000000002</v>
      </c>
      <c r="K35" s="121">
        <f t="shared" si="11"/>
        <v>2726.4540000000002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>
        <f>555.765+3.995-32.913-4.113+253-0.254</f>
        <v>775.4799999999999</v>
      </c>
      <c r="T35" s="26">
        <f>2068.974-253-83-600</f>
        <v>1132.9740000000002</v>
      </c>
      <c r="U35" s="26">
        <f>90+83-77+600</f>
        <v>696</v>
      </c>
      <c r="V35" s="26">
        <v>45</v>
      </c>
      <c r="W35" s="26">
        <v>77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276</v>
      </c>
      <c r="F36" s="9" t="s">
        <v>40</v>
      </c>
      <c r="G36" s="9" t="s">
        <v>277</v>
      </c>
      <c r="H36" s="197"/>
      <c r="I36" s="195" t="s">
        <v>234</v>
      </c>
      <c r="J36" s="120">
        <f t="shared" si="10"/>
        <v>17</v>
      </c>
      <c r="K36" s="121">
        <f t="shared" si="11"/>
        <v>17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17</v>
      </c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329</v>
      </c>
      <c r="F37" s="9" t="s">
        <v>40</v>
      </c>
      <c r="G37" s="9" t="s">
        <v>330</v>
      </c>
      <c r="H37" s="197"/>
      <c r="I37" s="195" t="s">
        <v>234</v>
      </c>
      <c r="J37" s="120">
        <f t="shared" si="10"/>
        <v>45.307000000000002</v>
      </c>
      <c r="K37" s="121">
        <f t="shared" si="11"/>
        <v>45.307000000000002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f>31.307-6</f>
        <v>25.306999999999999</v>
      </c>
      <c r="U37" s="26">
        <f>6+14</f>
        <v>20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256</v>
      </c>
      <c r="F38" s="9" t="s">
        <v>40</v>
      </c>
      <c r="G38" s="9" t="s">
        <v>257</v>
      </c>
      <c r="H38" s="197"/>
      <c r="I38" s="195" t="s">
        <v>234</v>
      </c>
      <c r="J38" s="120">
        <f t="shared" si="10"/>
        <v>170.488</v>
      </c>
      <c r="K38" s="121">
        <f t="shared" si="11"/>
        <v>170.488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f>180.12-94.641+33.009-5</f>
        <v>113.488</v>
      </c>
      <c r="T38" s="26">
        <f>5+52</f>
        <v>57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264</v>
      </c>
      <c r="F39" s="9" t="s">
        <v>40</v>
      </c>
      <c r="G39" s="9" t="s">
        <v>265</v>
      </c>
      <c r="H39" s="197"/>
      <c r="I39" s="195" t="s">
        <v>234</v>
      </c>
      <c r="J39" s="120">
        <f t="shared" si="10"/>
        <v>7.1799999999999926</v>
      </c>
      <c r="K39" s="121">
        <f t="shared" si="11"/>
        <v>7.1799999999999926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f>77.699-88.519+18</f>
        <v>7.1799999999999926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258</v>
      </c>
      <c r="F40" s="9" t="s">
        <v>40</v>
      </c>
      <c r="G40" s="9" t="s">
        <v>259</v>
      </c>
      <c r="H40" s="197"/>
      <c r="I40" s="195" t="s">
        <v>234</v>
      </c>
      <c r="J40" s="120">
        <f t="shared" si="10"/>
        <v>59</v>
      </c>
      <c r="K40" s="121">
        <f t="shared" si="11"/>
        <v>59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59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310</v>
      </c>
      <c r="F41" s="9" t="s">
        <v>40</v>
      </c>
      <c r="G41" s="9" t="s">
        <v>311</v>
      </c>
      <c r="H41" s="198"/>
      <c r="I41" s="195" t="s">
        <v>234</v>
      </c>
      <c r="J41" s="120">
        <f t="shared" si="10"/>
        <v>7.734</v>
      </c>
      <c r="K41" s="121">
        <f t="shared" si="11"/>
        <v>7.734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7.734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331</v>
      </c>
      <c r="F42" s="9" t="s">
        <v>40</v>
      </c>
      <c r="G42" s="9" t="s">
        <v>331</v>
      </c>
      <c r="H42" s="198"/>
      <c r="I42" s="195" t="s">
        <v>234</v>
      </c>
      <c r="J42" s="120">
        <f t="shared" si="10"/>
        <v>103.97799999999999</v>
      </c>
      <c r="K42" s="121">
        <f t="shared" si="11"/>
        <v>103.97799999999999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f>103.978-32</f>
        <v>71.977999999999994</v>
      </c>
      <c r="U42" s="26"/>
      <c r="V42" s="26"/>
      <c r="W42" s="26">
        <v>32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250</v>
      </c>
      <c r="F43" s="9" t="s">
        <v>40</v>
      </c>
      <c r="G43" s="9" t="s">
        <v>251</v>
      </c>
      <c r="H43" s="198"/>
      <c r="I43" s="195" t="s">
        <v>247</v>
      </c>
      <c r="J43" s="120">
        <f t="shared" si="10"/>
        <v>980.3610000000001</v>
      </c>
      <c r="K43" s="121">
        <f t="shared" si="11"/>
        <v>980.3610000000001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>
        <f>523.866+39-218.929+263.521-205.5+211</f>
        <v>612.95800000000008</v>
      </c>
      <c r="T43" s="26">
        <f>37.626+206-39-146+99</f>
        <v>157.626</v>
      </c>
      <c r="U43" s="26">
        <f>31.777+6</f>
        <v>37.777000000000001</v>
      </c>
      <c r="V43" s="26">
        <f>161+11</f>
        <v>172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4" t="s">
        <v>323</v>
      </c>
      <c r="F44" s="9" t="s">
        <v>40</v>
      </c>
      <c r="G44" s="9" t="s">
        <v>324</v>
      </c>
      <c r="H44" s="198"/>
      <c r="I44" s="195" t="s">
        <v>247</v>
      </c>
      <c r="J44" s="120">
        <f t="shared" si="10"/>
        <v>330.851</v>
      </c>
      <c r="K44" s="121">
        <f t="shared" si="11"/>
        <v>330.851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>
        <f>115+148-70-21.149+89</f>
        <v>260.851</v>
      </c>
      <c r="U44" s="26"/>
      <c r="V44" s="26"/>
      <c r="W44" s="26">
        <v>70</v>
      </c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5"/>
      <c r="I45" s="195" t="s">
        <v>247</v>
      </c>
      <c r="J45" s="120">
        <f t="shared" si="10"/>
        <v>183.26299999999998</v>
      </c>
      <c r="K45" s="121">
        <f t="shared" si="11"/>
        <v>183.26299999999998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>
        <f>63.122-22.32+50-33.539+126</f>
        <v>183.26299999999998</v>
      </c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320</v>
      </c>
      <c r="F46" s="9" t="s">
        <v>40</v>
      </c>
      <c r="G46" s="9" t="s">
        <v>268</v>
      </c>
      <c r="H46" s="195"/>
      <c r="I46" s="195" t="s">
        <v>247</v>
      </c>
      <c r="J46" s="120">
        <f t="shared" si="10"/>
        <v>1.7660000000000002</v>
      </c>
      <c r="K46" s="121">
        <f t="shared" si="11"/>
        <v>1.7660000000000002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f>2.588-4.691+2+2-0.131</f>
        <v>1.7660000000000002</v>
      </c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6"/>
      <c r="I47" s="195" t="s">
        <v>247</v>
      </c>
      <c r="J47" s="120">
        <f t="shared" si="10"/>
        <v>24.305999999999997</v>
      </c>
      <c r="K47" s="121">
        <f t="shared" si="11"/>
        <v>24.305999999999997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>
        <f>40.079-40.008+3</f>
        <v>3.070999999999998</v>
      </c>
      <c r="T47" s="26"/>
      <c r="U47" s="26"/>
      <c r="V47" s="26"/>
      <c r="W47" s="26">
        <f>27.595-3-3-0.36</f>
        <v>21.234999999999999</v>
      </c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7"/>
      <c r="I48" s="195" t="s">
        <v>247</v>
      </c>
      <c r="J48" s="120">
        <f t="shared" si="10"/>
        <v>85.781000000000006</v>
      </c>
      <c r="K48" s="121">
        <f t="shared" si="11"/>
        <v>85.781000000000006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>
        <f>47.043-14.262+34+19</f>
        <v>85.781000000000006</v>
      </c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195" t="s">
        <v>247</v>
      </c>
      <c r="J49" s="120">
        <f t="shared" si="10"/>
        <v>3.3439999999999999</v>
      </c>
      <c r="K49" s="121">
        <f t="shared" si="11"/>
        <v>3.3439999999999999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>
        <f>3.428-3.084+1+2</f>
        <v>3.3439999999999999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195" t="s">
        <v>247</v>
      </c>
      <c r="J50" s="120">
        <f t="shared" si="10"/>
        <v>90.965000000000003</v>
      </c>
      <c r="K50" s="121">
        <f t="shared" si="11"/>
        <v>90.965000000000003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>
        <f>41.072-6.792-17.747-0.568+34+15</f>
        <v>64.965000000000003</v>
      </c>
      <c r="T50" s="26">
        <v>6</v>
      </c>
      <c r="U50" s="26">
        <v>20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195" t="s">
        <v>247</v>
      </c>
      <c r="J51" s="120">
        <f t="shared" si="10"/>
        <v>205.98099999999999</v>
      </c>
      <c r="K51" s="121">
        <f t="shared" si="11"/>
        <v>205.98099999999999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>
        <f>205.981-25-20</f>
        <v>160.98099999999999</v>
      </c>
      <c r="T51" s="26">
        <v>2</v>
      </c>
      <c r="U51" s="26"/>
      <c r="V51" s="26"/>
      <c r="W51" s="26">
        <f>20+25-2</f>
        <v>43</v>
      </c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266</v>
      </c>
      <c r="F52" s="9" t="s">
        <v>40</v>
      </c>
      <c r="G52" s="9" t="s">
        <v>266</v>
      </c>
      <c r="H52" s="197"/>
      <c r="I52" s="195" t="s">
        <v>247</v>
      </c>
      <c r="J52" s="120">
        <f t="shared" si="10"/>
        <v>33.478000000000002</v>
      </c>
      <c r="K52" s="121">
        <f t="shared" si="11"/>
        <v>33.478000000000002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>
        <v>33.478000000000002</v>
      </c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270</v>
      </c>
      <c r="F53" s="9" t="s">
        <v>40</v>
      </c>
      <c r="G53" s="9" t="s">
        <v>270</v>
      </c>
      <c r="H53" s="197"/>
      <c r="I53" s="195" t="s">
        <v>247</v>
      </c>
      <c r="J53" s="120">
        <f t="shared" si="10"/>
        <v>3.9939999999999998</v>
      </c>
      <c r="K53" s="121">
        <f t="shared" si="11"/>
        <v>3.9939999999999998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>
        <f>3+2.418-6.424+5</f>
        <v>3.9939999999999998</v>
      </c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294</v>
      </c>
      <c r="F54" s="9" t="s">
        <v>40</v>
      </c>
      <c r="G54" s="9" t="s">
        <v>294</v>
      </c>
      <c r="H54" s="197"/>
      <c r="I54" s="195" t="s">
        <v>247</v>
      </c>
      <c r="J54" s="120">
        <f t="shared" si="10"/>
        <v>1.738</v>
      </c>
      <c r="K54" s="121">
        <f t="shared" si="11"/>
        <v>1.738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>
        <f>1-2.862+3.6</f>
        <v>1.738</v>
      </c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195" t="s">
        <v>247</v>
      </c>
      <c r="J55" s="120">
        <f t="shared" si="10"/>
        <v>134.28899999999999</v>
      </c>
      <c r="K55" s="121">
        <f t="shared" si="11"/>
        <v>134.28899999999999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>
        <f>128.289+6</f>
        <v>134.28899999999999</v>
      </c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195" t="s">
        <v>247</v>
      </c>
      <c r="J56" s="120">
        <f t="shared" si="10"/>
        <v>336.19900000000007</v>
      </c>
      <c r="K56" s="121">
        <f t="shared" si="11"/>
        <v>336.19900000000007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>
        <f>25.183-43.381+276.269+30-19.453+17+2</f>
        <v>287.61800000000005</v>
      </c>
      <c r="T56" s="26">
        <v>16</v>
      </c>
      <c r="U56" s="26"/>
      <c r="V56" s="26"/>
      <c r="W56" s="26">
        <f>51.581-17-2</f>
        <v>32.581000000000003</v>
      </c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333</v>
      </c>
      <c r="F57" s="9" t="s">
        <v>40</v>
      </c>
      <c r="G57" s="9" t="s">
        <v>333</v>
      </c>
      <c r="H57" s="197"/>
      <c r="I57" s="195" t="s">
        <v>247</v>
      </c>
      <c r="J57" s="120">
        <f t="shared" si="10"/>
        <v>19.251999999999999</v>
      </c>
      <c r="K57" s="121">
        <f t="shared" si="11"/>
        <v>19.251999999999999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>
        <v>19.251999999999999</v>
      </c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95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95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15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15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1"/>
      <c r="I71" s="11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2"/>
      <c r="I73" s="12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ref="J86:J149" si="13">+K86+L86</f>
        <v>0</v>
      </c>
      <c r="K86" s="121">
        <f t="shared" ref="K86:K149" si="14">SUM(N86:Y86)</f>
        <v>0</v>
      </c>
      <c r="L86" s="121">
        <f t="shared" ref="L86:L149" si="15">SUM(AA86:AL86)</f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4"/>
      <c r="I87" s="14"/>
      <c r="J87" s="120">
        <f t="shared" si="13"/>
        <v>0</v>
      </c>
      <c r="K87" s="121">
        <f t="shared" si="14"/>
        <v>0</v>
      </c>
      <c r="L87" s="121">
        <f t="shared" si="15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15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1"/>
      <c r="I90" s="11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2"/>
      <c r="I92" s="12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4"/>
      <c r="I106" s="14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15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15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1"/>
      <c r="I119" s="11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2"/>
      <c r="I121" s="12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4"/>
      <c r="I135" s="14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15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1"/>
      <c r="I138" s="11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2"/>
      <c r="I140" s="12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ref="J150:J213" si="16">+K150+L150</f>
        <v>0</v>
      </c>
      <c r="K150" s="121">
        <f t="shared" ref="K150:K213" si="17">SUM(N150:Y150)</f>
        <v>0</v>
      </c>
      <c r="L150" s="121">
        <f t="shared" ref="L150:L213" si="18">SUM(AA150:AL150)</f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4"/>
      <c r="I154" s="14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15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15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1"/>
      <c r="I166" s="11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2"/>
      <c r="I168" s="12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4"/>
      <c r="I182" s="14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15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1"/>
      <c r="I185" s="11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2"/>
      <c r="I187" s="12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4"/>
      <c r="I201" s="14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15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15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1"/>
      <c r="I214" s="11"/>
      <c r="J214" s="120">
        <f t="shared" ref="J214:J249" si="19">+K214+L214</f>
        <v>0</v>
      </c>
      <c r="K214" s="121">
        <f t="shared" ref="K214:K249" si="20">SUM(N214:Y214)</f>
        <v>0</v>
      </c>
      <c r="L214" s="121">
        <f t="shared" ref="L214:L249" si="21">SUM(AA214:AL214)</f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2"/>
      <c r="I216" s="12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4"/>
      <c r="I231" s="14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15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5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6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 s="24" customFormat="1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17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J249" s="120">
        <f t="shared" si="19"/>
        <v>0</v>
      </c>
      <c r="K249" s="121">
        <f t="shared" si="20"/>
        <v>0</v>
      </c>
      <c r="L249" s="12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F7" zoomScale="85" zoomScaleNormal="85" workbookViewId="0">
      <selection activeCell="J24" sqref="J24:J3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0+65.798+187.646+1646.019+2738.581+197.926+1008.221+129.743+236.84+210.522+419.213+379.871-21.033-10.626+0+996.361+456.384+265.654+288.475-3.151+0+252.333+188.87+473.671+J10</f>
        <v>10107.318000000003</v>
      </c>
      <c r="I10" s="63"/>
      <c r="J10" s="162">
        <f>0</f>
        <v>0</v>
      </c>
      <c r="L10" s="162">
        <f>J10+S17</f>
        <v>2094.3760000000002</v>
      </c>
      <c r="N10" s="57"/>
      <c r="O10" s="173">
        <f>+H10+K17</f>
        <v>15865.534000000001</v>
      </c>
      <c r="P10" s="174" cm="1">
        <f t="array" aca="1" ref="P10" ca="1">INDIRECT(ADDRESS(10,15,,,VLOOKUP($G$4,parameters!$G:$I,3,0)))</f>
        <v>15753.19</v>
      </c>
      <c r="Q10" s="186">
        <f ca="1">O10-P10</f>
        <v>112.34400000000096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0+68.362+73.603+302.502+1813.594+46.497+224.908+0.185+192.936+6.425+106.702+57.172+0+258.468+84.872+767.013-531.301+105.852+0+86.598+3.677+1441.496+J11</f>
        <v>5109.5609999999997</v>
      </c>
      <c r="I11" s="63"/>
      <c r="J11" s="18">
        <f>0</f>
        <v>0</v>
      </c>
      <c r="L11" s="18">
        <f>J11+S18</f>
        <v>327.83799999999997</v>
      </c>
      <c r="N11" s="57"/>
      <c r="O11" s="155">
        <f>+H11+K18</f>
        <v>7069.8469999999998</v>
      </c>
      <c r="P11" s="156" cm="1">
        <f t="array" aca="1" ref="P11" ca="1">INDIRECT(ADDRESS(11,15,,,VLOOKUP($G$4,parameters!$G:$I,3,0)))</f>
        <v>6895.8469999999998</v>
      </c>
      <c r="Q11" s="187">
        <f t="shared" ref="Q11:Q12" ca="1" si="0">O11-P11</f>
        <v>174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15216.879000000003</v>
      </c>
      <c r="I12" s="63"/>
      <c r="J12" s="128">
        <f>SUM(J10:J11)</f>
        <v>0</v>
      </c>
      <c r="K12" s="67"/>
      <c r="L12" s="128">
        <f>SUM(L10:L11)</f>
        <v>2422.2139999999999</v>
      </c>
      <c r="M12" s="67"/>
      <c r="N12" s="67"/>
      <c r="O12" s="157">
        <f>SUM(O10:O11)</f>
        <v>22935.381000000001</v>
      </c>
      <c r="P12" s="158">
        <f ca="1">SUM(P10:P11)</f>
        <v>22649.037</v>
      </c>
      <c r="Q12" s="159">
        <f t="shared" ca="1" si="0"/>
        <v>286.34400000000096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5758.2159999999985</v>
      </c>
      <c r="K17" s="110">
        <f>+SUMIF($F$24:$F$251,"External",$K$24:$K$251)</f>
        <v>5758.2159999999985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2094.3760000000002</v>
      </c>
      <c r="T17" s="113">
        <f t="shared" si="1"/>
        <v>2309.6080000000002</v>
      </c>
      <c r="U17" s="113">
        <f t="shared" si="1"/>
        <v>899.41600000000005</v>
      </c>
      <c r="V17" s="113">
        <f t="shared" si="1"/>
        <v>234</v>
      </c>
      <c r="W17" s="113">
        <f t="shared" si="1"/>
        <v>220.81600000000003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1960.2860000000001</v>
      </c>
      <c r="K18" s="115">
        <f>+SUMIF($F$24:$F$251,"Group",$K$24:$K$251)</f>
        <v>1960.2860000000001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327.83799999999997</v>
      </c>
      <c r="T18" s="116">
        <f t="shared" si="3"/>
        <v>1146.9059999999999</v>
      </c>
      <c r="U18" s="116">
        <f t="shared" si="3"/>
        <v>451.54199999999997</v>
      </c>
      <c r="V18" s="116">
        <f t="shared" si="3"/>
        <v>34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7718.5019999999986</v>
      </c>
      <c r="K19" s="117">
        <f>SUM(K17:K18)</f>
        <v>7718.5019999999986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2422.2139999999999</v>
      </c>
      <c r="T19" s="118">
        <f t="shared" si="5"/>
        <v>3456.5140000000001</v>
      </c>
      <c r="U19" s="118">
        <f t="shared" si="5"/>
        <v>1350.9580000000001</v>
      </c>
      <c r="V19" s="118">
        <f t="shared" si="5"/>
        <v>268</v>
      </c>
      <c r="W19" s="118">
        <f t="shared" si="5"/>
        <v>220.81600000000003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204" t="s">
        <v>234</v>
      </c>
      <c r="J24" s="120">
        <f t="shared" ref="J24" si="7">+K24+L24</f>
        <v>1227.2139999999999</v>
      </c>
      <c r="K24" s="121">
        <f t="shared" ref="K24" si="8">SUM(N24:Y24)</f>
        <v>1227.2139999999999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122.25700000000001</v>
      </c>
      <c r="T24" s="26">
        <f>727.911+20</f>
        <v>747.91099999999994</v>
      </c>
      <c r="U24" s="26">
        <f>267.046-20+110</f>
        <v>357.04599999999999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25.460999999999999</v>
      </c>
      <c r="K25" s="121">
        <f t="shared" ref="K25:K88" si="11">SUM(N25:Y25)</f>
        <v>25.460999999999999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>
        <v>13.460999999999999</v>
      </c>
      <c r="T25" s="26"/>
      <c r="U25" s="26">
        <v>12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75.307999999999993</v>
      </c>
      <c r="K26" s="121">
        <f t="shared" si="11"/>
        <v>75.307999999999993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61.308+4</f>
        <v>65.307999999999993</v>
      </c>
      <c r="T26" s="26">
        <f>2+8</f>
        <v>10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337</v>
      </c>
      <c r="H27" s="195"/>
      <c r="I27" s="195" t="s">
        <v>234</v>
      </c>
      <c r="J27" s="120">
        <f t="shared" si="10"/>
        <v>229.67999999999998</v>
      </c>
      <c r="K27" s="121">
        <f t="shared" si="11"/>
        <v>229.67999999999998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36.800999999999995</v>
      </c>
      <c r="T27" s="26">
        <f>153.879+39</f>
        <v>192.87899999999999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278</v>
      </c>
      <c r="F28" s="9" t="s">
        <v>10</v>
      </c>
      <c r="G28" s="9" t="s">
        <v>278</v>
      </c>
      <c r="H28" s="195"/>
      <c r="I28" s="195" t="s">
        <v>234</v>
      </c>
      <c r="J28" s="120">
        <f t="shared" si="10"/>
        <v>1.9049999999999998</v>
      </c>
      <c r="K28" s="121">
        <f t="shared" si="11"/>
        <v>1.9049999999999998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0.9049999999999998</v>
      </c>
      <c r="T28" s="26"/>
      <c r="U28" s="26">
        <v>1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315</v>
      </c>
      <c r="F29" s="9" t="s">
        <v>10</v>
      </c>
      <c r="G29" s="9" t="s">
        <v>315</v>
      </c>
      <c r="H29" s="196"/>
      <c r="I29" s="205" t="s">
        <v>234</v>
      </c>
      <c r="J29" s="120">
        <f t="shared" si="10"/>
        <v>7.3639999999999999</v>
      </c>
      <c r="K29" s="121">
        <f t="shared" si="11"/>
        <v>7.3639999999999999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v>7.3639999999999999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144</v>
      </c>
      <c r="F30" s="9" t="s">
        <v>10</v>
      </c>
      <c r="G30" s="9" t="s">
        <v>292</v>
      </c>
      <c r="H30" s="197"/>
      <c r="I30" s="202" t="s">
        <v>234</v>
      </c>
      <c r="J30" s="120">
        <f t="shared" si="10"/>
        <v>390.95399999999995</v>
      </c>
      <c r="K30" s="121">
        <f t="shared" si="11"/>
        <v>390.95399999999995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84.838-4</f>
        <v>80.837999999999994</v>
      </c>
      <c r="T30" s="26">
        <f>284.116-88</f>
        <v>196.11599999999999</v>
      </c>
      <c r="U30" s="26">
        <f>5+4+88-17</f>
        <v>80</v>
      </c>
      <c r="V30" s="26">
        <f>17+17</f>
        <v>34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238</v>
      </c>
      <c r="H31" s="197"/>
      <c r="I31" s="202" t="s">
        <v>234</v>
      </c>
      <c r="J31" s="120">
        <f t="shared" si="10"/>
        <v>0.90399999999999991</v>
      </c>
      <c r="K31" s="121">
        <f t="shared" si="11"/>
        <v>0.90399999999999991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0.90399999999999991</v>
      </c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202" t="s">
        <v>234</v>
      </c>
      <c r="J32" s="120">
        <f t="shared" si="10"/>
        <v>1</v>
      </c>
      <c r="K32" s="121">
        <f t="shared" si="11"/>
        <v>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316</v>
      </c>
      <c r="F33" s="9" t="s">
        <v>10</v>
      </c>
      <c r="G33" s="9" t="s">
        <v>318</v>
      </c>
      <c r="H33" s="197"/>
      <c r="I33" s="202" t="s">
        <v>234</v>
      </c>
      <c r="J33" s="120">
        <f t="shared" si="10"/>
        <v>0.496</v>
      </c>
      <c r="K33" s="121">
        <f t="shared" si="11"/>
        <v>0.496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0.496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202" t="s">
        <v>234</v>
      </c>
      <c r="J34" s="120">
        <f t="shared" si="10"/>
        <v>73.163000000000011</v>
      </c>
      <c r="K34" s="121">
        <f t="shared" si="11"/>
        <v>73.163000000000011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v>73.163000000000011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202" t="s">
        <v>234</v>
      </c>
      <c r="J35" s="120">
        <f t="shared" si="10"/>
        <v>2762.4540000000002</v>
      </c>
      <c r="K35" s="121">
        <f t="shared" si="11"/>
        <v>2762.4540000000002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>
        <f>775.48-20</f>
        <v>755.48</v>
      </c>
      <c r="T35" s="26">
        <v>1132.9740000000002</v>
      </c>
      <c r="U35" s="26">
        <f>696+20+77+36</f>
        <v>829</v>
      </c>
      <c r="V35" s="26">
        <v>45</v>
      </c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276</v>
      </c>
      <c r="F36" s="9" t="s">
        <v>40</v>
      </c>
      <c r="G36" s="9" t="s">
        <v>277</v>
      </c>
      <c r="H36" s="197"/>
      <c r="I36" s="202" t="s">
        <v>234</v>
      </c>
      <c r="J36" s="120">
        <f t="shared" si="10"/>
        <v>17</v>
      </c>
      <c r="K36" s="121">
        <f t="shared" si="11"/>
        <v>17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17</v>
      </c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329</v>
      </c>
      <c r="F37" s="9" t="s">
        <v>40</v>
      </c>
      <c r="G37" s="9" t="s">
        <v>330</v>
      </c>
      <c r="H37" s="197"/>
      <c r="I37" s="202" t="s">
        <v>234</v>
      </c>
      <c r="J37" s="120">
        <f t="shared" si="10"/>
        <v>45.307000000000002</v>
      </c>
      <c r="K37" s="121">
        <f t="shared" si="11"/>
        <v>45.307000000000002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25.306999999999999</v>
      </c>
      <c r="U37" s="26">
        <v>20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256</v>
      </c>
      <c r="F38" s="9" t="s">
        <v>40</v>
      </c>
      <c r="G38" s="9" t="s">
        <v>257</v>
      </c>
      <c r="H38" s="197"/>
      <c r="I38" s="202" t="s">
        <v>234</v>
      </c>
      <c r="J38" s="120">
        <f t="shared" si="10"/>
        <v>197.488</v>
      </c>
      <c r="K38" s="121">
        <f t="shared" si="11"/>
        <v>197.488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f>113.488-27</f>
        <v>86.488</v>
      </c>
      <c r="T38" s="26">
        <f>57+27+27</f>
        <v>111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264</v>
      </c>
      <c r="F39" s="9" t="s">
        <v>40</v>
      </c>
      <c r="G39" s="9" t="s">
        <v>265</v>
      </c>
      <c r="H39" s="197"/>
      <c r="I39" s="202" t="s">
        <v>234</v>
      </c>
      <c r="J39" s="120">
        <f t="shared" si="10"/>
        <v>7.1799999999999926</v>
      </c>
      <c r="K39" s="121">
        <f t="shared" si="11"/>
        <v>7.1799999999999926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7.1799999999999926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258</v>
      </c>
      <c r="F40" s="9" t="s">
        <v>40</v>
      </c>
      <c r="G40" s="9" t="s">
        <v>259</v>
      </c>
      <c r="H40" s="197"/>
      <c r="I40" s="202" t="s">
        <v>234</v>
      </c>
      <c r="J40" s="120">
        <f t="shared" si="10"/>
        <v>59</v>
      </c>
      <c r="K40" s="121">
        <f t="shared" si="11"/>
        <v>59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59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310</v>
      </c>
      <c r="F41" s="9" t="s">
        <v>40</v>
      </c>
      <c r="G41" s="9" t="s">
        <v>311</v>
      </c>
      <c r="H41" s="197"/>
      <c r="I41" s="202" t="s">
        <v>234</v>
      </c>
      <c r="J41" s="120">
        <f t="shared" si="10"/>
        <v>7.734</v>
      </c>
      <c r="K41" s="121">
        <f t="shared" si="11"/>
        <v>7.734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7.734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335</v>
      </c>
      <c r="F42" s="9" t="s">
        <v>40</v>
      </c>
      <c r="G42" s="9" t="s">
        <v>335</v>
      </c>
      <c r="H42" s="197"/>
      <c r="I42" s="202" t="s">
        <v>234</v>
      </c>
      <c r="J42" s="120">
        <f t="shared" si="10"/>
        <v>103.97799999999999</v>
      </c>
      <c r="K42" s="121">
        <f t="shared" si="11"/>
        <v>103.97799999999999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f>71.978+32</f>
        <v>103.97799999999999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250</v>
      </c>
      <c r="F43" s="9" t="s">
        <v>40</v>
      </c>
      <c r="G43" s="9" t="s">
        <v>251</v>
      </c>
      <c r="H43" s="198"/>
      <c r="I43" s="202" t="s">
        <v>247</v>
      </c>
      <c r="J43" s="120">
        <f t="shared" si="10"/>
        <v>980.36099999999999</v>
      </c>
      <c r="K43" s="121">
        <f t="shared" si="11"/>
        <v>980.36099999999999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>
        <f>612.958-347</f>
        <v>265.95799999999997</v>
      </c>
      <c r="T43" s="26">
        <f>157.626+357-11</f>
        <v>503.62599999999998</v>
      </c>
      <c r="U43" s="26">
        <f>37.777+4</f>
        <v>41.777000000000001</v>
      </c>
      <c r="V43" s="26">
        <f>172-3</f>
        <v>169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323</v>
      </c>
      <c r="F44" s="9" t="s">
        <v>40</v>
      </c>
      <c r="G44" s="9" t="s">
        <v>324</v>
      </c>
      <c r="H44" s="198"/>
      <c r="I44" s="202" t="s">
        <v>247</v>
      </c>
      <c r="J44" s="120">
        <f t="shared" si="10"/>
        <v>330.851</v>
      </c>
      <c r="K44" s="121">
        <f t="shared" si="11"/>
        <v>330.851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>
        <f>260.851+27-140+7</f>
        <v>154.851</v>
      </c>
      <c r="T44" s="26">
        <v>140</v>
      </c>
      <c r="U44" s="26"/>
      <c r="V44" s="26"/>
      <c r="W44" s="26">
        <f>70-27-7</f>
        <v>36</v>
      </c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254</v>
      </c>
      <c r="F45" s="9" t="s">
        <v>40</v>
      </c>
      <c r="G45" s="9" t="s">
        <v>255</v>
      </c>
      <c r="H45" s="198"/>
      <c r="I45" s="202" t="s">
        <v>247</v>
      </c>
      <c r="J45" s="120">
        <f t="shared" si="10"/>
        <v>183.26300000000001</v>
      </c>
      <c r="K45" s="121">
        <f t="shared" si="11"/>
        <v>183.26300000000001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>
        <f>183.263-61</f>
        <v>122.26300000000001</v>
      </c>
      <c r="T45" s="26"/>
      <c r="U45" s="26"/>
      <c r="V45" s="26"/>
      <c r="W45" s="26">
        <v>61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320</v>
      </c>
      <c r="F46" s="9" t="s">
        <v>40</v>
      </c>
      <c r="G46" s="9" t="s">
        <v>268</v>
      </c>
      <c r="H46" s="195"/>
      <c r="I46" s="202" t="s">
        <v>247</v>
      </c>
      <c r="J46" s="120">
        <f t="shared" si="10"/>
        <v>28.109999999999996</v>
      </c>
      <c r="K46" s="121">
        <f t="shared" si="11"/>
        <v>28.109999999999996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f>1.766+20.705</f>
        <v>22.470999999999997</v>
      </c>
      <c r="U46" s="26">
        <v>5.6390000000000002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246</v>
      </c>
      <c r="F47" s="9" t="s">
        <v>40</v>
      </c>
      <c r="G47" s="9" t="s">
        <v>246</v>
      </c>
      <c r="H47" s="195"/>
      <c r="I47" s="202" t="s">
        <v>247</v>
      </c>
      <c r="J47" s="120">
        <f t="shared" si="10"/>
        <v>24.305999999999997</v>
      </c>
      <c r="K47" s="121">
        <f t="shared" si="11"/>
        <v>24.305999999999997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>
        <v>3.070999999999998</v>
      </c>
      <c r="T47" s="26"/>
      <c r="U47" s="26">
        <v>3</v>
      </c>
      <c r="V47" s="26"/>
      <c r="W47" s="26">
        <f>21.235-3</f>
        <v>18.234999999999999</v>
      </c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248</v>
      </c>
      <c r="F48" s="9" t="s">
        <v>40</v>
      </c>
      <c r="G48" s="9" t="s">
        <v>249</v>
      </c>
      <c r="H48" s="196"/>
      <c r="I48" s="202" t="s">
        <v>247</v>
      </c>
      <c r="J48" s="120">
        <f t="shared" si="10"/>
        <v>85.781000000000006</v>
      </c>
      <c r="K48" s="121">
        <f t="shared" si="11"/>
        <v>85.781000000000006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>
        <v>85.781000000000006</v>
      </c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269</v>
      </c>
      <c r="F49" s="9" t="s">
        <v>40</v>
      </c>
      <c r="G49" s="9" t="s">
        <v>269</v>
      </c>
      <c r="H49" s="197"/>
      <c r="I49" s="202" t="s">
        <v>247</v>
      </c>
      <c r="J49" s="120">
        <f t="shared" si="10"/>
        <v>3.3439999999999999</v>
      </c>
      <c r="K49" s="121">
        <f t="shared" si="11"/>
        <v>3.3439999999999999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>
        <v>3.3439999999999999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252</v>
      </c>
      <c r="F50" s="9" t="s">
        <v>40</v>
      </c>
      <c r="G50" s="9" t="s">
        <v>253</v>
      </c>
      <c r="H50" s="197"/>
      <c r="I50" s="202" t="s">
        <v>247</v>
      </c>
      <c r="J50" s="120">
        <f t="shared" si="10"/>
        <v>110.965</v>
      </c>
      <c r="K50" s="121">
        <f t="shared" si="11"/>
        <v>110.965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>
        <f>64.965+8</f>
        <v>72.965000000000003</v>
      </c>
      <c r="T50" s="26">
        <f>6+12</f>
        <v>18</v>
      </c>
      <c r="U50" s="26"/>
      <c r="V50" s="26">
        <v>20</v>
      </c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260</v>
      </c>
      <c r="F51" s="9" t="s">
        <v>40</v>
      </c>
      <c r="G51" s="9" t="s">
        <v>261</v>
      </c>
      <c r="H51" s="197"/>
      <c r="I51" s="202" t="s">
        <v>247</v>
      </c>
      <c r="J51" s="120">
        <f t="shared" si="10"/>
        <v>205.98099999999999</v>
      </c>
      <c r="K51" s="121">
        <f t="shared" si="11"/>
        <v>205.98099999999999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>
        <v>160.98099999999999</v>
      </c>
      <c r="T51" s="26">
        <f>2+27</f>
        <v>29</v>
      </c>
      <c r="U51" s="26"/>
      <c r="V51" s="26"/>
      <c r="W51" s="26">
        <f>43-27</f>
        <v>16</v>
      </c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266</v>
      </c>
      <c r="F52" s="9" t="s">
        <v>40</v>
      </c>
      <c r="G52" s="9" t="s">
        <v>266</v>
      </c>
      <c r="H52" s="197"/>
      <c r="I52" s="202" t="s">
        <v>247</v>
      </c>
      <c r="J52" s="120">
        <f t="shared" si="10"/>
        <v>36.478000000000002</v>
      </c>
      <c r="K52" s="121">
        <f t="shared" si="11"/>
        <v>36.478000000000002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>
        <f>33.478+3</f>
        <v>36.478000000000002</v>
      </c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270</v>
      </c>
      <c r="F53" s="9" t="s">
        <v>40</v>
      </c>
      <c r="G53" s="9" t="s">
        <v>270</v>
      </c>
      <c r="H53" s="197"/>
      <c r="I53" s="202" t="s">
        <v>247</v>
      </c>
      <c r="J53" s="120">
        <f t="shared" si="10"/>
        <v>3.9939999999999998</v>
      </c>
      <c r="K53" s="121">
        <f t="shared" si="11"/>
        <v>3.9939999999999998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>
        <v>3.9939999999999998</v>
      </c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294</v>
      </c>
      <c r="F54" s="9" t="s">
        <v>40</v>
      </c>
      <c r="G54" s="9" t="s">
        <v>294</v>
      </c>
      <c r="H54" s="197"/>
      <c r="I54" s="202" t="s">
        <v>247</v>
      </c>
      <c r="J54" s="120">
        <f t="shared" si="10"/>
        <v>1.738</v>
      </c>
      <c r="K54" s="121">
        <f t="shared" si="11"/>
        <v>1.738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>
        <v>1.738</v>
      </c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271</v>
      </c>
      <c r="F55" s="9" t="s">
        <v>40</v>
      </c>
      <c r="G55" s="9" t="s">
        <v>272</v>
      </c>
      <c r="H55" s="197"/>
      <c r="I55" s="202" t="s">
        <v>247</v>
      </c>
      <c r="J55" s="120">
        <f t="shared" si="10"/>
        <v>134.28899999999999</v>
      </c>
      <c r="K55" s="121">
        <f t="shared" si="11"/>
        <v>134.28899999999999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>
        <v>134.28899999999999</v>
      </c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273</v>
      </c>
      <c r="F56" s="9" t="s">
        <v>40</v>
      </c>
      <c r="G56" s="9" t="s">
        <v>274</v>
      </c>
      <c r="H56" s="197"/>
      <c r="I56" s="202" t="s">
        <v>247</v>
      </c>
      <c r="J56" s="120">
        <f t="shared" si="10"/>
        <v>336.19900000000001</v>
      </c>
      <c r="K56" s="121">
        <f t="shared" si="11"/>
        <v>336.19900000000001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>
        <f>287.618-186</f>
        <v>101.61799999999999</v>
      </c>
      <c r="T56" s="26">
        <f>16+186+2</f>
        <v>204</v>
      </c>
      <c r="U56" s="26"/>
      <c r="V56" s="26"/>
      <c r="W56" s="26">
        <f>32.581-2</f>
        <v>30.581000000000003</v>
      </c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336</v>
      </c>
      <c r="F57" s="9" t="s">
        <v>40</v>
      </c>
      <c r="G57" s="9" t="s">
        <v>336</v>
      </c>
      <c r="H57" s="197"/>
      <c r="I57" s="202" t="s">
        <v>247</v>
      </c>
      <c r="J57" s="120">
        <f t="shared" si="10"/>
        <v>19.251999999999999</v>
      </c>
      <c r="K57" s="121">
        <f t="shared" si="11"/>
        <v>19.251999999999999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>
        <v>19.251999999999999</v>
      </c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7"/>
      <c r="I58" s="197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7"/>
      <c r="I59" s="197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3"/>
  <sheetViews>
    <sheetView showGridLines="0" topLeftCell="H40" zoomScale="90" zoomScaleNormal="90" workbookViewId="0">
      <selection activeCell="U69" sqref="U6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0+65.798+187.646+1646.019+2738.581+197.926+1008.221+129.743+236.84+210.522+419.213+379.871-21.033-10.626+0+996.361+456.384+265.654+288.475-3.151+0+252.333+188.87+473.671+J10</f>
        <v>10264.829000000003</v>
      </c>
      <c r="I10" s="63"/>
      <c r="J10" s="162">
        <f>0+157.511</f>
        <v>157.511</v>
      </c>
      <c r="L10" s="162">
        <f>J10+S17</f>
        <v>2118.4330000000004</v>
      </c>
      <c r="N10" s="57"/>
      <c r="O10" s="173">
        <f>+H10+K17</f>
        <v>16491.43</v>
      </c>
      <c r="P10" s="174" cm="1">
        <f t="array" aca="1" ref="P10" ca="1">INDIRECT(ADDRESS(10,15,,,VLOOKUP($G$4,parameters!$G:$I,3,0)))</f>
        <v>15865.534000000001</v>
      </c>
      <c r="Q10" s="186">
        <f ca="1">O10-P10</f>
        <v>625.89599999999882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0+68.362+73.603+302.502+1813.594+46.497+224.908+0.185+192.936+6.425+106.702+57.172+0+258.468+84.872+767.013-531.301+105.852+0+86.598+3.677+1441.496+J11</f>
        <v>5247.8389999999999</v>
      </c>
      <c r="I11" s="63"/>
      <c r="J11" s="18">
        <f>0+138.278</f>
        <v>138.27799999999999</v>
      </c>
      <c r="L11" s="18">
        <f>J11+S18</f>
        <v>331.79700000000003</v>
      </c>
      <c r="N11" s="57"/>
      <c r="O11" s="155">
        <f>+H11+K18</f>
        <v>7089.8059999999996</v>
      </c>
      <c r="P11" s="156" cm="1">
        <f t="array" aca="1" ref="P11" ca="1">INDIRECT(ADDRESS(11,15,,,VLOOKUP($G$4,parameters!$G:$I,3,0)))</f>
        <v>7069.8469999999998</v>
      </c>
      <c r="Q11" s="187">
        <f t="shared" ref="Q11:Q12" ca="1" si="0">O11-P11</f>
        <v>19.958999999999833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15512.668000000003</v>
      </c>
      <c r="I12" s="63"/>
      <c r="J12" s="128">
        <f>SUM(J10:J11)</f>
        <v>295.78899999999999</v>
      </c>
      <c r="K12" s="67"/>
      <c r="L12" s="128">
        <f>SUM(L10:L11)</f>
        <v>2450.2300000000005</v>
      </c>
      <c r="M12" s="67"/>
      <c r="N12" s="67"/>
      <c r="O12" s="157">
        <f>SUM(O10:O11)</f>
        <v>23581.236000000001</v>
      </c>
      <c r="P12" s="158">
        <f ca="1">SUM(P10:P11)</f>
        <v>22935.381000000001</v>
      </c>
      <c r="Q12" s="159">
        <f t="shared" ca="1" si="0"/>
        <v>645.85499999999956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6226.6009999999987</v>
      </c>
      <c r="K17" s="110">
        <f>+SUMIF($F$24:$F$252,"External",$K$24:$K$252)</f>
        <v>6226.6009999999987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1960.9220000000005</v>
      </c>
      <c r="T17" s="113">
        <f t="shared" si="1"/>
        <v>2353.61</v>
      </c>
      <c r="U17" s="113">
        <f t="shared" si="1"/>
        <v>1420.4880000000001</v>
      </c>
      <c r="V17" s="113">
        <f t="shared" si="1"/>
        <v>238</v>
      </c>
      <c r="W17" s="113">
        <f t="shared" si="1"/>
        <v>253.58100000000002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1841.9669999999999</v>
      </c>
      <c r="K18" s="115">
        <f>+SUMIF($F$24:$F$252,"Group",$K$24:$K$252)</f>
        <v>1841.9669999999999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193.51900000000001</v>
      </c>
      <c r="T18" s="116">
        <f t="shared" si="3"/>
        <v>1164.9059999999999</v>
      </c>
      <c r="U18" s="116">
        <f t="shared" si="3"/>
        <v>449.54199999999997</v>
      </c>
      <c r="V18" s="116">
        <f t="shared" si="3"/>
        <v>34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8068.5679999999984</v>
      </c>
      <c r="K19" s="117">
        <f>SUM(K17:K18)</f>
        <v>8068.5679999999984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2154.4410000000007</v>
      </c>
      <c r="T19" s="118">
        <f t="shared" si="5"/>
        <v>3518.5160000000001</v>
      </c>
      <c r="U19" s="118">
        <f t="shared" si="5"/>
        <v>1870.03</v>
      </c>
      <c r="V19" s="118">
        <f t="shared" si="5"/>
        <v>272</v>
      </c>
      <c r="W19" s="118">
        <f t="shared" si="5"/>
        <v>253.58100000000002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1189.627</v>
      </c>
      <c r="K24" s="121">
        <f t="shared" ref="K24" si="8">SUM(N24:Y24)</f>
        <v>1189.627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122.257-37.587</f>
        <v>84.67</v>
      </c>
      <c r="T24" s="26">
        <v>747.91099999999994</v>
      </c>
      <c r="U24" s="26">
        <v>357.04599999999999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9" si="10">+K25+L25</f>
        <v>25.460999999999999</v>
      </c>
      <c r="K25" s="121">
        <f t="shared" ref="K25:K89" si="11">SUM(N25:Y25)</f>
        <v>25.460999999999999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>
        <v>13.460999999999999</v>
      </c>
      <c r="T25" s="26"/>
      <c r="U25" s="26">
        <v>12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67.462000000000003</v>
      </c>
      <c r="K26" s="121">
        <f t="shared" si="11"/>
        <v>67.462000000000003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65.308-21.846</f>
        <v>43.462000000000003</v>
      </c>
      <c r="T26" s="26">
        <f>10+14</f>
        <v>24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193.07999999999998</v>
      </c>
      <c r="K27" s="121">
        <f t="shared" si="11"/>
        <v>193.07999999999998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36.801-36.6</f>
        <v>0.20100000000000051</v>
      </c>
      <c r="T27" s="26">
        <v>192.87899999999999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278</v>
      </c>
      <c r="F28" s="9" t="s">
        <v>10</v>
      </c>
      <c r="G28" s="9" t="s">
        <v>278</v>
      </c>
      <c r="H28" s="195"/>
      <c r="I28" s="195" t="s">
        <v>234</v>
      </c>
      <c r="J28" s="120">
        <f t="shared" si="10"/>
        <v>0.33000000000000007</v>
      </c>
      <c r="K28" s="121">
        <f t="shared" si="11"/>
        <v>0.33000000000000007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0.905-0.844-0.731+1</f>
        <v>0.33000000000000007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315</v>
      </c>
      <c r="F29" s="9" t="s">
        <v>10</v>
      </c>
      <c r="G29" s="9" t="s">
        <v>315</v>
      </c>
      <c r="H29" s="196"/>
      <c r="I29" s="195" t="s">
        <v>234</v>
      </c>
      <c r="J29" s="120">
        <f t="shared" si="10"/>
        <v>7.3639999999999999</v>
      </c>
      <c r="K29" s="121">
        <f t="shared" si="11"/>
        <v>7.3639999999999999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v>7.3639999999999999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338</v>
      </c>
      <c r="F30" s="9" t="s">
        <v>10</v>
      </c>
      <c r="G30" s="9" t="s">
        <v>339</v>
      </c>
      <c r="H30" s="196"/>
      <c r="I30" s="195" t="s">
        <v>234</v>
      </c>
      <c r="J30" s="120">
        <f t="shared" ref="J30" si="13">+K30+L30</f>
        <v>4</v>
      </c>
      <c r="K30" s="121">
        <f t="shared" ref="K30" si="14">SUM(N30:Y30)</f>
        <v>4</v>
      </c>
      <c r="L30" s="121">
        <f t="shared" ref="L30" si="15">SUM(AA30:AL30)</f>
        <v>0</v>
      </c>
      <c r="M30" s="25"/>
      <c r="N30" s="26"/>
      <c r="O30" s="26"/>
      <c r="P30" s="26"/>
      <c r="Q30" s="26"/>
      <c r="R30" s="26"/>
      <c r="S30" s="26"/>
      <c r="T30" s="26">
        <v>4</v>
      </c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352.24299999999999</v>
      </c>
      <c r="K31" s="121">
        <f t="shared" si="11"/>
        <v>352.24299999999999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f>80.838-38.711</f>
        <v>42.126999999999995</v>
      </c>
      <c r="T31" s="26">
        <v>196.11599999999999</v>
      </c>
      <c r="U31" s="26">
        <v>80</v>
      </c>
      <c r="V31" s="26">
        <v>34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238</v>
      </c>
      <c r="H32" s="197"/>
      <c r="I32" s="195" t="s">
        <v>234</v>
      </c>
      <c r="J32" s="120">
        <f t="shared" si="10"/>
        <v>0.90399999999999991</v>
      </c>
      <c r="K32" s="121">
        <f t="shared" si="11"/>
        <v>0.90399999999999991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>
        <v>0.90399999999999991</v>
      </c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207</v>
      </c>
      <c r="F33" s="9" t="s">
        <v>10</v>
      </c>
      <c r="G33" s="9" t="s">
        <v>239</v>
      </c>
      <c r="H33" s="197"/>
      <c r="I33" s="195" t="s">
        <v>234</v>
      </c>
      <c r="J33" s="120">
        <f t="shared" si="10"/>
        <v>1</v>
      </c>
      <c r="K33" s="121">
        <f t="shared" si="11"/>
        <v>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316</v>
      </c>
      <c r="F34" s="9" t="s">
        <v>10</v>
      </c>
      <c r="G34" s="9" t="s">
        <v>318</v>
      </c>
      <c r="H34" s="197"/>
      <c r="I34" s="195" t="s">
        <v>234</v>
      </c>
      <c r="J34" s="120">
        <f t="shared" si="10"/>
        <v>0.496</v>
      </c>
      <c r="K34" s="121">
        <f t="shared" si="11"/>
        <v>0.496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0.496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263</v>
      </c>
      <c r="H35" s="197"/>
      <c r="I35" s="195" t="s">
        <v>234</v>
      </c>
      <c r="J35" s="120">
        <f t="shared" si="10"/>
        <v>73.163000000000011</v>
      </c>
      <c r="K35" s="121">
        <f t="shared" si="11"/>
        <v>73.163000000000011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>
        <v>73.163000000000011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290</v>
      </c>
      <c r="F36" s="9" t="s">
        <v>40</v>
      </c>
      <c r="G36" s="9" t="s">
        <v>245</v>
      </c>
      <c r="H36" s="197"/>
      <c r="I36" s="195" t="s">
        <v>234</v>
      </c>
      <c r="J36" s="120">
        <f t="shared" si="10"/>
        <v>2762.4540000000002</v>
      </c>
      <c r="K36" s="121">
        <f t="shared" si="11"/>
        <v>2762.4540000000002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755.48</v>
      </c>
      <c r="T36" s="26">
        <v>1132.9740000000002</v>
      </c>
      <c r="U36" s="26">
        <f>829-67</f>
        <v>762</v>
      </c>
      <c r="V36" s="26">
        <v>45</v>
      </c>
      <c r="W36" s="26">
        <v>67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276</v>
      </c>
      <c r="F37" s="9" t="s">
        <v>40</v>
      </c>
      <c r="G37" s="9" t="s">
        <v>277</v>
      </c>
      <c r="H37" s="197"/>
      <c r="I37" s="195" t="s">
        <v>234</v>
      </c>
      <c r="J37" s="120">
        <f t="shared" si="10"/>
        <v>17</v>
      </c>
      <c r="K37" s="121">
        <f t="shared" si="11"/>
        <v>17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>
        <v>17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329</v>
      </c>
      <c r="F38" s="9" t="s">
        <v>40</v>
      </c>
      <c r="G38" s="9" t="s">
        <v>330</v>
      </c>
      <c r="H38" s="197"/>
      <c r="I38" s="195" t="s">
        <v>234</v>
      </c>
      <c r="J38" s="120">
        <f t="shared" si="10"/>
        <v>45.307000000000002</v>
      </c>
      <c r="K38" s="121">
        <f t="shared" si="11"/>
        <v>45.307000000000002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25.306999999999999</v>
      </c>
      <c r="U38" s="26">
        <v>20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256</v>
      </c>
      <c r="F39" s="9" t="s">
        <v>40</v>
      </c>
      <c r="G39" s="9" t="s">
        <v>257</v>
      </c>
      <c r="H39" s="197"/>
      <c r="I39" s="195" t="s">
        <v>234</v>
      </c>
      <c r="J39" s="120">
        <f t="shared" si="10"/>
        <v>197.488</v>
      </c>
      <c r="K39" s="121">
        <f t="shared" si="11"/>
        <v>197.488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f>86.488+26</f>
        <v>112.488</v>
      </c>
      <c r="T39" s="26">
        <f>111-26</f>
        <v>85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264</v>
      </c>
      <c r="F40" s="9" t="s">
        <v>40</v>
      </c>
      <c r="G40" s="9" t="s">
        <v>265</v>
      </c>
      <c r="H40" s="197"/>
      <c r="I40" s="195" t="s">
        <v>234</v>
      </c>
      <c r="J40" s="120">
        <f t="shared" si="10"/>
        <v>7.1799999999999926</v>
      </c>
      <c r="K40" s="121">
        <f t="shared" si="11"/>
        <v>7.1799999999999926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7.1799999999999926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258</v>
      </c>
      <c r="F41" s="9" t="s">
        <v>40</v>
      </c>
      <c r="G41" s="9" t="s">
        <v>259</v>
      </c>
      <c r="H41" s="197"/>
      <c r="I41" s="195" t="s">
        <v>234</v>
      </c>
      <c r="J41" s="120">
        <f t="shared" si="10"/>
        <v>59</v>
      </c>
      <c r="K41" s="121">
        <f t="shared" si="11"/>
        <v>59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59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310</v>
      </c>
      <c r="F42" s="9" t="s">
        <v>40</v>
      </c>
      <c r="G42" s="9" t="s">
        <v>311</v>
      </c>
      <c r="H42" s="197"/>
      <c r="I42" s="195" t="s">
        <v>234</v>
      </c>
      <c r="J42" s="120">
        <f t="shared" si="10"/>
        <v>7.734</v>
      </c>
      <c r="K42" s="121">
        <f t="shared" si="11"/>
        <v>7.734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7.734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335</v>
      </c>
      <c r="F43" s="9" t="s">
        <v>40</v>
      </c>
      <c r="G43" s="9" t="s">
        <v>335</v>
      </c>
      <c r="H43" s="197"/>
      <c r="I43" s="195" t="s">
        <v>234</v>
      </c>
      <c r="J43" s="120">
        <f t="shared" si="10"/>
        <v>103.97799999999999</v>
      </c>
      <c r="K43" s="121">
        <f t="shared" si="11"/>
        <v>103.97799999999999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v>103.97799999999999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8"/>
      <c r="I44" s="195" t="s">
        <v>247</v>
      </c>
      <c r="J44" s="120">
        <f t="shared" si="10"/>
        <v>989.36099999999999</v>
      </c>
      <c r="K44" s="121">
        <f t="shared" si="11"/>
        <v>989.36099999999999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>
        <v>265.95799999999997</v>
      </c>
      <c r="T44" s="26">
        <f>503.626-3</f>
        <v>500.62599999999998</v>
      </c>
      <c r="U44" s="26">
        <f>41.777+3+5</f>
        <v>49.777000000000001</v>
      </c>
      <c r="V44" s="26">
        <f>169-5+9</f>
        <v>173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324</v>
      </c>
      <c r="H45" s="198"/>
      <c r="I45" s="195" t="s">
        <v>247</v>
      </c>
      <c r="J45" s="120">
        <f t="shared" si="10"/>
        <v>330.851</v>
      </c>
      <c r="K45" s="121">
        <f t="shared" si="11"/>
        <v>330.851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>
        <v>154.851</v>
      </c>
      <c r="T45" s="26">
        <v>140</v>
      </c>
      <c r="U45" s="26"/>
      <c r="V45" s="26"/>
      <c r="W45" s="26">
        <v>36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254</v>
      </c>
      <c r="F46" s="9" t="s">
        <v>40</v>
      </c>
      <c r="G46" s="9" t="s">
        <v>255</v>
      </c>
      <c r="H46" s="198"/>
      <c r="I46" s="195" t="s">
        <v>247</v>
      </c>
      <c r="J46" s="120">
        <f t="shared" si="10"/>
        <v>106.89800000000001</v>
      </c>
      <c r="K46" s="121">
        <f t="shared" si="11"/>
        <v>106.89800000000001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>
        <f>122.263-76.365</f>
        <v>45.89800000000001</v>
      </c>
      <c r="T46" s="26"/>
      <c r="U46" s="26"/>
      <c r="V46" s="26"/>
      <c r="W46" s="26">
        <v>61</v>
      </c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320</v>
      </c>
      <c r="F47" s="9" t="s">
        <v>40</v>
      </c>
      <c r="G47" s="9" t="s">
        <v>268</v>
      </c>
      <c r="H47" s="195"/>
      <c r="I47" s="195" t="s">
        <v>247</v>
      </c>
      <c r="J47" s="120">
        <f t="shared" si="10"/>
        <v>24.597999999999999</v>
      </c>
      <c r="K47" s="121">
        <f t="shared" si="11"/>
        <v>24.597999999999999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22.471-3.512</f>
        <v>18.959</v>
      </c>
      <c r="U47" s="26">
        <v>5.6390000000000002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246</v>
      </c>
      <c r="F48" s="9" t="s">
        <v>40</v>
      </c>
      <c r="G48" s="9" t="s">
        <v>246</v>
      </c>
      <c r="H48" s="195"/>
      <c r="I48" s="195" t="s">
        <v>247</v>
      </c>
      <c r="J48" s="120">
        <f t="shared" si="10"/>
        <v>44.305999999999997</v>
      </c>
      <c r="K48" s="121">
        <f t="shared" si="11"/>
        <v>44.305999999999997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>
        <v>3.070999999999998</v>
      </c>
      <c r="T48" s="26"/>
      <c r="U48" s="26">
        <f>3+18.235+20</f>
        <v>41.234999999999999</v>
      </c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248</v>
      </c>
      <c r="F49" s="9" t="s">
        <v>40</v>
      </c>
      <c r="G49" s="9" t="s">
        <v>249</v>
      </c>
      <c r="H49" s="196"/>
      <c r="I49" s="195" t="s">
        <v>247</v>
      </c>
      <c r="J49" s="120">
        <f t="shared" si="10"/>
        <v>77.832999999999998</v>
      </c>
      <c r="K49" s="121">
        <f t="shared" si="11"/>
        <v>77.832999999999998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>
        <f>85.781-7.948</f>
        <v>77.832999999999998</v>
      </c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7"/>
      <c r="I50" s="195" t="s">
        <v>247</v>
      </c>
      <c r="J50" s="120">
        <f t="shared" si="10"/>
        <v>1.6779999999999999</v>
      </c>
      <c r="K50" s="121">
        <f t="shared" si="11"/>
        <v>1.6779999999999999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>
        <f>3.344-1.666</f>
        <v>1.6779999999999999</v>
      </c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252</v>
      </c>
      <c r="F51" s="9" t="s">
        <v>40</v>
      </c>
      <c r="G51" s="9" t="s">
        <v>253</v>
      </c>
      <c r="H51" s="197"/>
      <c r="I51" s="195" t="s">
        <v>247</v>
      </c>
      <c r="J51" s="120">
        <f t="shared" si="10"/>
        <v>118.23700000000001</v>
      </c>
      <c r="K51" s="121">
        <f t="shared" si="11"/>
        <v>118.23700000000001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>
        <f>72.965-0.728+8</f>
        <v>80.237000000000009</v>
      </c>
      <c r="T51" s="26">
        <v>18</v>
      </c>
      <c r="U51" s="26"/>
      <c r="V51" s="26">
        <v>20</v>
      </c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260</v>
      </c>
      <c r="F52" s="9" t="s">
        <v>40</v>
      </c>
      <c r="G52" s="9" t="s">
        <v>261</v>
      </c>
      <c r="H52" s="197"/>
      <c r="I52" s="195" t="s">
        <v>247</v>
      </c>
      <c r="J52" s="120">
        <f t="shared" si="10"/>
        <v>205.98099999999999</v>
      </c>
      <c r="K52" s="121">
        <f t="shared" si="11"/>
        <v>205.98099999999999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>
        <v>160.98099999999999</v>
      </c>
      <c r="T52" s="26">
        <f>29+16</f>
        <v>45</v>
      </c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5" t="s">
        <v>247</v>
      </c>
      <c r="J53" s="120">
        <f t="shared" si="10"/>
        <v>36.478000000000002</v>
      </c>
      <c r="K53" s="121">
        <f t="shared" si="11"/>
        <v>36.478000000000002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>
        <v>36.478000000000002</v>
      </c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270</v>
      </c>
      <c r="F54" s="9" t="s">
        <v>40</v>
      </c>
      <c r="G54" s="9" t="s">
        <v>270</v>
      </c>
      <c r="H54" s="197"/>
      <c r="I54" s="195" t="s">
        <v>247</v>
      </c>
      <c r="J54" s="120">
        <f t="shared" si="10"/>
        <v>1.8370000000000002</v>
      </c>
      <c r="K54" s="121">
        <f t="shared" si="11"/>
        <v>1.8370000000000002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f>3.994-2.157</f>
        <v>1.8370000000000002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294</v>
      </c>
      <c r="F55" s="9" t="s">
        <v>40</v>
      </c>
      <c r="G55" s="9" t="s">
        <v>294</v>
      </c>
      <c r="H55" s="197"/>
      <c r="I55" s="195" t="s">
        <v>247</v>
      </c>
      <c r="J55" s="120">
        <f t="shared" si="10"/>
        <v>1.738</v>
      </c>
      <c r="K55" s="121">
        <f t="shared" si="11"/>
        <v>1.738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>
        <v>1.738</v>
      </c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271</v>
      </c>
      <c r="F56" s="9" t="s">
        <v>40</v>
      </c>
      <c r="G56" s="9" t="s">
        <v>272</v>
      </c>
      <c r="H56" s="197"/>
      <c r="I56" s="195" t="s">
        <v>247</v>
      </c>
      <c r="J56" s="120">
        <f t="shared" si="10"/>
        <v>69.153999999999982</v>
      </c>
      <c r="K56" s="121">
        <f t="shared" si="11"/>
        <v>69.153999999999982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>
        <f>134.289-65.135</f>
        <v>69.153999999999982</v>
      </c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273</v>
      </c>
      <c r="F57" s="9" t="s">
        <v>40</v>
      </c>
      <c r="G57" s="9" t="s">
        <v>274</v>
      </c>
      <c r="H57" s="197"/>
      <c r="I57" s="195" t="s">
        <v>247</v>
      </c>
      <c r="J57" s="120">
        <f t="shared" si="10"/>
        <v>336.19900000000001</v>
      </c>
      <c r="K57" s="121">
        <f t="shared" si="11"/>
        <v>336.19900000000001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>
        <v>90</v>
      </c>
      <c r="T57" s="26">
        <f>101.618-90+204</f>
        <v>215.61799999999999</v>
      </c>
      <c r="U57" s="26"/>
      <c r="V57" s="26"/>
      <c r="W57" s="26">
        <v>30.581000000000003</v>
      </c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336</v>
      </c>
      <c r="F58" s="9" t="s">
        <v>40</v>
      </c>
      <c r="G58" s="9" t="s">
        <v>336</v>
      </c>
      <c r="H58" s="197"/>
      <c r="I58" s="195" t="s">
        <v>247</v>
      </c>
      <c r="J58" s="120">
        <f t="shared" si="10"/>
        <v>19.251999999999999</v>
      </c>
      <c r="K58" s="121">
        <f t="shared" si="11"/>
        <v>19.251999999999999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>
        <v>19.251999999999999</v>
      </c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297</v>
      </c>
      <c r="F59" s="9" t="s">
        <v>40</v>
      </c>
      <c r="G59" s="9" t="s">
        <v>297</v>
      </c>
      <c r="H59" s="197"/>
      <c r="I59" s="195" t="s">
        <v>340</v>
      </c>
      <c r="J59" s="120">
        <f t="shared" si="10"/>
        <v>48.896000000000001</v>
      </c>
      <c r="K59" s="121">
        <f t="shared" si="11"/>
        <v>48.896000000000001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>
        <v>48.896000000000001</v>
      </c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341</v>
      </c>
      <c r="F60" s="9" t="s">
        <v>40</v>
      </c>
      <c r="G60" s="9" t="s">
        <v>342</v>
      </c>
      <c r="H60" s="13"/>
      <c r="I60" s="195" t="s">
        <v>340</v>
      </c>
      <c r="J60" s="120">
        <f t="shared" si="10"/>
        <v>540</v>
      </c>
      <c r="K60" s="121">
        <f t="shared" si="11"/>
        <v>540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>
        <v>540</v>
      </c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95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95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zoomScale="90" zoomScaleNormal="90" workbookViewId="0">
      <selection activeCell="S32" sqref="S32:V3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0+65.798+187.646+1646.019+2738.581+197.926+1008.221+129.743+236.84+210.522+419.213+379.871-21.033-10.626+0+996.361+456.384+265.654+288.475-3.151+0+252.333+188.87+473.671+J10</f>
        <v>10454.242000000002</v>
      </c>
      <c r="I10" s="63"/>
      <c r="J10" s="162">
        <f>0+157.511+189.413</f>
        <v>346.92399999999998</v>
      </c>
      <c r="L10" s="162">
        <f>J10+S17</f>
        <v>1695.0380000000002</v>
      </c>
      <c r="N10" s="57"/>
      <c r="O10" s="173">
        <f>+H10+K17</f>
        <v>17166.43</v>
      </c>
      <c r="P10" s="174" cm="1">
        <f t="array" aca="1" ref="P10" ca="1">INDIRECT(ADDRESS(10,15,,,VLOOKUP($G$4,parameters!$G:$I,3,0)))</f>
        <v>16491.43</v>
      </c>
      <c r="Q10" s="186">
        <f ca="1">O10-P10</f>
        <v>675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0+68.362+73.603+302.502+1813.594+46.497+224.908+0.185+192.936+6.425+106.702+57.172+0+258.468+84.872+767.013-531.301+105.852+0+86.598+3.677+1441.496+J11</f>
        <v>5262.9119999999994</v>
      </c>
      <c r="I11" s="63"/>
      <c r="J11" s="18">
        <f>0+138.278+15.073</f>
        <v>153.351</v>
      </c>
      <c r="L11" s="18">
        <f>J11+S18</f>
        <v>278.76400000000001</v>
      </c>
      <c r="N11" s="57"/>
      <c r="O11" s="155">
        <f>+H11+K18</f>
        <v>7288.8059999999996</v>
      </c>
      <c r="P11" s="156" cm="1">
        <f t="array" aca="1" ref="P11" ca="1">INDIRECT(ADDRESS(11,15,,,VLOOKUP($G$4,parameters!$G:$I,3,0)))</f>
        <v>7089.8059999999996</v>
      </c>
      <c r="Q11" s="187">
        <f t="shared" ref="Q11:Q12" ca="1" si="0">O11-P11</f>
        <v>199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15717.154000000002</v>
      </c>
      <c r="I12" s="63"/>
      <c r="J12" s="128">
        <f>SUM(J10:J11)</f>
        <v>500.27499999999998</v>
      </c>
      <c r="K12" s="67"/>
      <c r="L12" s="128">
        <f>SUM(L10:L11)</f>
        <v>1973.8020000000001</v>
      </c>
      <c r="M12" s="67"/>
      <c r="N12" s="67"/>
      <c r="O12" s="157">
        <f>SUM(O10:O11)</f>
        <v>24455.236000000001</v>
      </c>
      <c r="P12" s="158">
        <f ca="1">SUM(P10:P11)</f>
        <v>23581.236000000001</v>
      </c>
      <c r="Q12" s="159">
        <f t="shared" ca="1" si="0"/>
        <v>874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6712.1880000000001</v>
      </c>
      <c r="K17" s="110">
        <f>+SUMIF($F$24:$F$250,"External",$K$24:$K$250)</f>
        <v>6712.1880000000001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1348.1140000000003</v>
      </c>
      <c r="T17" s="113">
        <f t="shared" si="1"/>
        <v>3156.3939999999998</v>
      </c>
      <c r="U17" s="113">
        <f t="shared" si="1"/>
        <v>1581.0989999999999</v>
      </c>
      <c r="V17" s="113">
        <f t="shared" si="1"/>
        <v>362</v>
      </c>
      <c r="W17" s="113">
        <f t="shared" si="1"/>
        <v>264.58100000000002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2025.8940000000002</v>
      </c>
      <c r="K18" s="115">
        <f>+SUMIF($F$24:$F$250,"Group",$K$24:$K$250)</f>
        <v>2025.8940000000002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125.41300000000001</v>
      </c>
      <c r="T18" s="116">
        <f t="shared" si="3"/>
        <v>1212.6089999999999</v>
      </c>
      <c r="U18" s="116">
        <f t="shared" si="3"/>
        <v>653.87199999999996</v>
      </c>
      <c r="V18" s="116">
        <f t="shared" si="3"/>
        <v>34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8738.0820000000003</v>
      </c>
      <c r="K19" s="117">
        <f>SUM(K17:K18)</f>
        <v>8738.0820000000003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1473.5270000000003</v>
      </c>
      <c r="T19" s="118">
        <f t="shared" si="5"/>
        <v>4369.0029999999997</v>
      </c>
      <c r="U19" s="118">
        <f t="shared" si="5"/>
        <v>2234.971</v>
      </c>
      <c r="V19" s="118">
        <f t="shared" si="5"/>
        <v>396</v>
      </c>
      <c r="W19" s="118">
        <f t="shared" si="5"/>
        <v>264.58100000000002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195" t="s">
        <v>234</v>
      </c>
      <c r="J24" s="120">
        <f t="shared" ref="J24" si="7">+K24+L24</f>
        <v>1183.2069999999999</v>
      </c>
      <c r="K24" s="121">
        <f t="shared" ref="K24" si="8">SUM(N24:Y24)</f>
        <v>1183.2069999999999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84.67-6.75</f>
        <v>77.92</v>
      </c>
      <c r="T24" s="26">
        <f>747.911-58</f>
        <v>689.91099999999994</v>
      </c>
      <c r="U24" s="26">
        <f>357.046+58+0.33</f>
        <v>415.37599999999998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93.460999999999999</v>
      </c>
      <c r="K25" s="121">
        <f t="shared" ref="K25:K87" si="11">SUM(N25:Y25)</f>
        <v>93.460999999999999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13.460999999999999</v>
      </c>
      <c r="U25" s="26">
        <f>12+68</f>
        <v>80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67.462000000000003</v>
      </c>
      <c r="K26" s="121">
        <f t="shared" si="11"/>
        <v>67.462000000000003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43.462-37</f>
        <v>6.4620000000000033</v>
      </c>
      <c r="T26" s="26">
        <f>24+37-15</f>
        <v>46</v>
      </c>
      <c r="U26" s="26">
        <v>15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192.75699999999998</v>
      </c>
      <c r="K27" s="121">
        <f t="shared" si="11"/>
        <v>192.75699999999998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192.879-8.323+0.201000000000001+8</f>
        <v>192.75699999999998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6"/>
      <c r="I28" s="195" t="s">
        <v>234</v>
      </c>
      <c r="J28" s="120">
        <f t="shared" si="10"/>
        <v>7.3639999999999999</v>
      </c>
      <c r="K28" s="121">
        <f t="shared" si="11"/>
        <v>7.3639999999999999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7.3639999999999999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7"/>
      <c r="I29" s="195" t="s">
        <v>234</v>
      </c>
      <c r="J29" s="120">
        <f t="shared" si="10"/>
        <v>85</v>
      </c>
      <c r="K29" s="121">
        <f t="shared" si="11"/>
        <v>85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4+23</f>
        <v>27</v>
      </c>
      <c r="U29" s="26">
        <v>58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346</v>
      </c>
      <c r="H30" s="197"/>
      <c r="I30" s="195" t="s">
        <v>234</v>
      </c>
      <c r="J30" s="120">
        <f t="shared" ref="J30" si="13">+K30+L30</f>
        <v>42</v>
      </c>
      <c r="K30" s="121">
        <f t="shared" ref="K30" si="14">SUM(N30:Y30)</f>
        <v>42</v>
      </c>
      <c r="L30" s="121">
        <f t="shared" ref="L30" si="15">SUM(AA30:AL30)</f>
        <v>0</v>
      </c>
      <c r="M30" s="25"/>
      <c r="N30" s="26"/>
      <c r="O30" s="26"/>
      <c r="P30" s="26"/>
      <c r="Q30" s="26"/>
      <c r="R30" s="26"/>
      <c r="S30" s="26"/>
      <c r="T30" s="26">
        <v>42</v>
      </c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352.24300000000005</v>
      </c>
      <c r="K31" s="121">
        <f t="shared" si="11"/>
        <v>352.24300000000005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f>42.127-3</f>
        <v>39.127000000000002</v>
      </c>
      <c r="T31" s="26">
        <f>196.116-2</f>
        <v>194.11600000000001</v>
      </c>
      <c r="U31" s="26">
        <f>80+3+2</f>
        <v>85</v>
      </c>
      <c r="V31" s="26">
        <v>34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144</v>
      </c>
      <c r="F32" s="9" t="s">
        <v>10</v>
      </c>
      <c r="G32" s="9" t="s">
        <v>238</v>
      </c>
      <c r="H32" s="197"/>
      <c r="I32" s="195" t="s">
        <v>234</v>
      </c>
      <c r="J32" s="120">
        <f t="shared" si="10"/>
        <v>0.90399999999999991</v>
      </c>
      <c r="K32" s="121">
        <f t="shared" si="11"/>
        <v>0.90399999999999991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>
        <v>0.90399999999999991</v>
      </c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207</v>
      </c>
      <c r="F33" s="9" t="s">
        <v>10</v>
      </c>
      <c r="G33" s="9" t="s">
        <v>239</v>
      </c>
      <c r="H33" s="197"/>
      <c r="I33" s="195" t="s">
        <v>234</v>
      </c>
      <c r="J33" s="120">
        <f t="shared" si="10"/>
        <v>1</v>
      </c>
      <c r="K33" s="121">
        <f t="shared" si="11"/>
        <v>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316</v>
      </c>
      <c r="F34" s="9" t="s">
        <v>10</v>
      </c>
      <c r="G34" s="9" t="s">
        <v>318</v>
      </c>
      <c r="H34" s="197"/>
      <c r="I34" s="195" t="s">
        <v>234</v>
      </c>
      <c r="J34" s="120">
        <f t="shared" si="10"/>
        <v>0.496</v>
      </c>
      <c r="K34" s="121">
        <f t="shared" si="11"/>
        <v>0.496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0.496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263</v>
      </c>
      <c r="H35" s="197"/>
      <c r="I35" s="195" t="s">
        <v>234</v>
      </c>
      <c r="J35" s="120">
        <f t="shared" si="10"/>
        <v>180.16300000000001</v>
      </c>
      <c r="K35" s="121">
        <f t="shared" si="11"/>
        <v>180.16300000000001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>
        <v>73.163000000000011</v>
      </c>
      <c r="T35" s="26">
        <v>3</v>
      </c>
      <c r="U35" s="26"/>
      <c r="V35" s="26">
        <v>104</v>
      </c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290</v>
      </c>
      <c r="F36" s="9" t="s">
        <v>40</v>
      </c>
      <c r="G36" s="9" t="s">
        <v>245</v>
      </c>
      <c r="H36" s="197"/>
      <c r="I36" s="195" t="s">
        <v>234</v>
      </c>
      <c r="J36" s="120">
        <f t="shared" si="10"/>
        <v>2752.0439999999999</v>
      </c>
      <c r="K36" s="121">
        <f t="shared" si="11"/>
        <v>2752.0439999999999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755.48-10.41-260</f>
        <v>485.07000000000005</v>
      </c>
      <c r="T36" s="26">
        <f>1132.974+260</f>
        <v>1392.9739999999999</v>
      </c>
      <c r="U36" s="26">
        <f>762+10</f>
        <v>772</v>
      </c>
      <c r="V36" s="26">
        <f>45+10</f>
        <v>55</v>
      </c>
      <c r="W36" s="26">
        <f>67-10-10</f>
        <v>47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276</v>
      </c>
      <c r="F37" s="9" t="s">
        <v>40</v>
      </c>
      <c r="G37" s="9" t="s">
        <v>277</v>
      </c>
      <c r="H37" s="197"/>
      <c r="I37" s="195" t="s">
        <v>234</v>
      </c>
      <c r="J37" s="120">
        <f t="shared" si="10"/>
        <v>17</v>
      </c>
      <c r="K37" s="121">
        <f t="shared" si="11"/>
        <v>17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17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329</v>
      </c>
      <c r="F38" s="9" t="s">
        <v>40</v>
      </c>
      <c r="G38" s="9" t="s">
        <v>330</v>
      </c>
      <c r="H38" s="197"/>
      <c r="I38" s="195" t="s">
        <v>234</v>
      </c>
      <c r="J38" s="120">
        <f t="shared" si="10"/>
        <v>49.307000000000002</v>
      </c>
      <c r="K38" s="121">
        <f t="shared" si="11"/>
        <v>49.307000000000002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f>25.307+4</f>
        <v>29.306999999999999</v>
      </c>
      <c r="U38" s="26">
        <v>20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256</v>
      </c>
      <c r="F39" s="9" t="s">
        <v>40</v>
      </c>
      <c r="G39" s="9" t="s">
        <v>257</v>
      </c>
      <c r="H39" s="197"/>
      <c r="I39" s="195" t="s">
        <v>234</v>
      </c>
      <c r="J39" s="120">
        <f t="shared" si="10"/>
        <v>84.784000000000006</v>
      </c>
      <c r="K39" s="121">
        <f t="shared" si="11"/>
        <v>84.784000000000006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85+112.488-112.704-24</f>
        <v>60.784000000000006</v>
      </c>
      <c r="U39" s="26">
        <v>24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264</v>
      </c>
      <c r="F40" s="9" t="s">
        <v>40</v>
      </c>
      <c r="G40" s="9" t="s">
        <v>265</v>
      </c>
      <c r="H40" s="197"/>
      <c r="I40" s="195" t="s">
        <v>234</v>
      </c>
      <c r="J40" s="120">
        <f t="shared" si="10"/>
        <v>52.179999999999993</v>
      </c>
      <c r="K40" s="121">
        <f t="shared" si="11"/>
        <v>52.179999999999993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1</v>
      </c>
      <c r="U40" s="26">
        <f>7.17999999999999-1+45</f>
        <v>51.179999999999993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258</v>
      </c>
      <c r="F41" s="9" t="s">
        <v>40</v>
      </c>
      <c r="G41" s="9" t="s">
        <v>259</v>
      </c>
      <c r="H41" s="197"/>
      <c r="I41" s="195" t="s">
        <v>234</v>
      </c>
      <c r="J41" s="120">
        <f t="shared" si="10"/>
        <v>59</v>
      </c>
      <c r="K41" s="121">
        <f t="shared" si="11"/>
        <v>59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59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310</v>
      </c>
      <c r="F42" s="9" t="s">
        <v>40</v>
      </c>
      <c r="G42" s="9" t="s">
        <v>311</v>
      </c>
      <c r="H42" s="197"/>
      <c r="I42" s="195" t="s">
        <v>234</v>
      </c>
      <c r="J42" s="120">
        <f t="shared" si="10"/>
        <v>7.734</v>
      </c>
      <c r="K42" s="121">
        <f t="shared" si="11"/>
        <v>7.734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7.734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335</v>
      </c>
      <c r="F43" s="9" t="s">
        <v>40</v>
      </c>
      <c r="G43" s="9" t="s">
        <v>335</v>
      </c>
      <c r="H43" s="198"/>
      <c r="I43" s="195" t="s">
        <v>234</v>
      </c>
      <c r="J43" s="120">
        <f t="shared" si="10"/>
        <v>103.97799999999999</v>
      </c>
      <c r="K43" s="121">
        <f t="shared" si="11"/>
        <v>103.97799999999999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v>103.97799999999999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250</v>
      </c>
      <c r="F44" s="9" t="s">
        <v>40</v>
      </c>
      <c r="G44" s="9" t="s">
        <v>251</v>
      </c>
      <c r="H44" s="198"/>
      <c r="I44" s="195" t="s">
        <v>247</v>
      </c>
      <c r="J44" s="120">
        <f t="shared" si="10"/>
        <v>989.3610000000001</v>
      </c>
      <c r="K44" s="121">
        <f t="shared" si="11"/>
        <v>989.3610000000001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>
        <f>265.958-34</f>
        <v>231.95800000000003</v>
      </c>
      <c r="T44" s="26">
        <f>500.626+34-68</f>
        <v>466.62599999999998</v>
      </c>
      <c r="U44" s="26">
        <f>49.777+33</f>
        <v>82.777000000000001</v>
      </c>
      <c r="V44" s="26">
        <f>173+10</f>
        <v>183</v>
      </c>
      <c r="W44" s="26">
        <f>68-33-10</f>
        <v>25</v>
      </c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324</v>
      </c>
      <c r="H45" s="198"/>
      <c r="I45" s="195" t="s">
        <v>247</v>
      </c>
      <c r="J45" s="120">
        <f t="shared" si="10"/>
        <v>330.851</v>
      </c>
      <c r="K45" s="121">
        <f t="shared" si="11"/>
        <v>330.851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>
        <v>154.851</v>
      </c>
      <c r="T45" s="26">
        <v>140</v>
      </c>
      <c r="U45" s="26"/>
      <c r="V45" s="26"/>
      <c r="W45" s="26">
        <v>36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254</v>
      </c>
      <c r="F46" s="9" t="s">
        <v>40</v>
      </c>
      <c r="G46" s="9" t="s">
        <v>255</v>
      </c>
      <c r="H46" s="195"/>
      <c r="I46" s="195" t="s">
        <v>247</v>
      </c>
      <c r="J46" s="120">
        <f t="shared" si="10"/>
        <v>106.386</v>
      </c>
      <c r="K46" s="121">
        <f t="shared" si="11"/>
        <v>106.386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>
        <f>45.898-0.512</f>
        <v>45.386000000000003</v>
      </c>
      <c r="T46" s="26">
        <f>61-45</f>
        <v>16</v>
      </c>
      <c r="U46" s="26">
        <v>45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320</v>
      </c>
      <c r="F47" s="9" t="s">
        <v>40</v>
      </c>
      <c r="G47" s="9" t="s">
        <v>268</v>
      </c>
      <c r="H47" s="195"/>
      <c r="I47" s="195" t="s">
        <v>247</v>
      </c>
      <c r="J47" s="120">
        <f t="shared" si="10"/>
        <v>24.597999999999999</v>
      </c>
      <c r="K47" s="121">
        <f t="shared" si="11"/>
        <v>24.597999999999999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18.959+3</f>
        <v>21.959</v>
      </c>
      <c r="U47" s="26">
        <f>5.639-3</f>
        <v>2.6390000000000002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341</v>
      </c>
      <c r="F48" s="9" t="s">
        <v>40</v>
      </c>
      <c r="G48" s="9" t="s">
        <v>341</v>
      </c>
      <c r="H48" s="197"/>
      <c r="I48" s="195" t="s">
        <v>247</v>
      </c>
      <c r="J48" s="120">
        <f t="shared" ref="J48" si="16">+K48+L48</f>
        <v>540</v>
      </c>
      <c r="K48" s="121">
        <f t="shared" ref="K48" si="17">SUM(N48:Y48)</f>
        <v>540</v>
      </c>
      <c r="L48" s="121">
        <f t="shared" ref="L48" si="18">SUM(AA48:AL48)</f>
        <v>0</v>
      </c>
      <c r="M48" s="17"/>
      <c r="N48" s="26"/>
      <c r="O48" s="26"/>
      <c r="P48" s="26"/>
      <c r="Q48" s="26"/>
      <c r="R48" s="26"/>
      <c r="S48" s="26"/>
      <c r="T48" s="26"/>
      <c r="U48" s="26">
        <v>540</v>
      </c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246</v>
      </c>
      <c r="F49" s="9" t="s">
        <v>40</v>
      </c>
      <c r="G49" s="9" t="s">
        <v>246</v>
      </c>
      <c r="H49" s="196"/>
      <c r="I49" s="195" t="s">
        <v>247</v>
      </c>
      <c r="J49" s="120">
        <f t="shared" si="10"/>
        <v>41.665999999999997</v>
      </c>
      <c r="K49" s="121">
        <f t="shared" si="11"/>
        <v>41.665999999999997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>
        <f>41.235+3.071-2.64</f>
        <v>41.665999999999997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248</v>
      </c>
      <c r="F50" s="9" t="s">
        <v>40</v>
      </c>
      <c r="G50" s="9" t="s">
        <v>249</v>
      </c>
      <c r="H50" s="197"/>
      <c r="I50" s="195" t="s">
        <v>247</v>
      </c>
      <c r="J50" s="120">
        <f t="shared" si="10"/>
        <v>66.332999999999998</v>
      </c>
      <c r="K50" s="121">
        <f t="shared" si="11"/>
        <v>66.332999999999998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>
        <f>77.833-11.5-61</f>
        <v>5.3329999999999984</v>
      </c>
      <c r="T50" s="26">
        <f>61-19</f>
        <v>42</v>
      </c>
      <c r="U50" s="26"/>
      <c r="V50" s="26"/>
      <c r="W50" s="26">
        <v>19</v>
      </c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195" t="s">
        <v>247</v>
      </c>
      <c r="J51" s="120">
        <f t="shared" si="10"/>
        <v>1.6779999999999999</v>
      </c>
      <c r="K51" s="121">
        <f t="shared" si="11"/>
        <v>1.6779999999999999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>
        <v>1.6779999999999999</v>
      </c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252</v>
      </c>
      <c r="F52" s="9" t="s">
        <v>40</v>
      </c>
      <c r="G52" s="9" t="s">
        <v>253</v>
      </c>
      <c r="H52" s="197"/>
      <c r="I52" s="195" t="s">
        <v>247</v>
      </c>
      <c r="J52" s="120">
        <f t="shared" si="10"/>
        <v>102.691</v>
      </c>
      <c r="K52" s="121">
        <f t="shared" si="11"/>
        <v>102.691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>
        <f>80.237-15.546</f>
        <v>64.691000000000003</v>
      </c>
      <c r="T52" s="26">
        <v>18</v>
      </c>
      <c r="U52" s="26"/>
      <c r="V52" s="26">
        <v>20</v>
      </c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260</v>
      </c>
      <c r="F53" s="9" t="s">
        <v>40</v>
      </c>
      <c r="G53" s="9" t="s">
        <v>261</v>
      </c>
      <c r="H53" s="197"/>
      <c r="I53" s="195" t="s">
        <v>247</v>
      </c>
      <c r="J53" s="120">
        <f t="shared" si="10"/>
        <v>205.804</v>
      </c>
      <c r="K53" s="121">
        <f t="shared" si="11"/>
        <v>205.804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>
        <f>160.981-0.177</f>
        <v>160.804</v>
      </c>
      <c r="T53" s="26">
        <v>4</v>
      </c>
      <c r="U53" s="26"/>
      <c r="V53" s="26"/>
      <c r="W53" s="26">
        <f>45-4</f>
        <v>41</v>
      </c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7"/>
      <c r="I54" s="195" t="s">
        <v>247</v>
      </c>
      <c r="J54" s="120">
        <f t="shared" si="10"/>
        <v>0.55400000000000205</v>
      </c>
      <c r="K54" s="121">
        <f t="shared" si="11"/>
        <v>0.55400000000000205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>
        <f>36.478-35.924</f>
        <v>0.55400000000000205</v>
      </c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270</v>
      </c>
      <c r="F55" s="9" t="s">
        <v>40</v>
      </c>
      <c r="G55" s="9" t="s">
        <v>270</v>
      </c>
      <c r="H55" s="197"/>
      <c r="I55" s="195" t="s">
        <v>247</v>
      </c>
      <c r="J55" s="120">
        <f t="shared" si="10"/>
        <v>21.837</v>
      </c>
      <c r="K55" s="121">
        <f t="shared" si="11"/>
        <v>21.837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>
        <v>20</v>
      </c>
      <c r="U55" s="26">
        <v>1.8370000000000002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294</v>
      </c>
      <c r="F56" s="9" t="s">
        <v>40</v>
      </c>
      <c r="G56" s="9" t="s">
        <v>294</v>
      </c>
      <c r="H56" s="197"/>
      <c r="I56" s="195" t="s">
        <v>247</v>
      </c>
      <c r="J56" s="120">
        <f t="shared" si="10"/>
        <v>1.738</v>
      </c>
      <c r="K56" s="121">
        <f t="shared" si="11"/>
        <v>1.738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>
        <v>1.738</v>
      </c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271</v>
      </c>
      <c r="F57" s="9" t="s">
        <v>40</v>
      </c>
      <c r="G57" s="9" t="s">
        <v>272</v>
      </c>
      <c r="H57" s="197"/>
      <c r="I57" s="195" t="s">
        <v>247</v>
      </c>
      <c r="J57" s="120">
        <f t="shared" si="10"/>
        <v>113.154</v>
      </c>
      <c r="K57" s="121">
        <f t="shared" si="11"/>
        <v>113.154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>
        <f>69.154+44</f>
        <v>113.154</v>
      </c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 t="s">
        <v>273</v>
      </c>
      <c r="F58" s="9" t="s">
        <v>40</v>
      </c>
      <c r="G58" s="9" t="s">
        <v>274</v>
      </c>
      <c r="H58" s="197"/>
      <c r="I58" s="195" t="s">
        <v>247</v>
      </c>
      <c r="J58" s="120">
        <f t="shared" si="10"/>
        <v>336.19900000000001</v>
      </c>
      <c r="K58" s="121">
        <f t="shared" si="11"/>
        <v>336.19900000000001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>
        <f>90-88</f>
        <v>2</v>
      </c>
      <c r="T58" s="26">
        <f>215.618+88-7</f>
        <v>296.61799999999999</v>
      </c>
      <c r="U58" s="26"/>
      <c r="V58" s="26"/>
      <c r="W58" s="26">
        <f>30.581+7</f>
        <v>37.581000000000003</v>
      </c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 t="s">
        <v>336</v>
      </c>
      <c r="F59" s="9" t="s">
        <v>40</v>
      </c>
      <c r="G59" s="9" t="s">
        <v>336</v>
      </c>
      <c r="H59" s="197"/>
      <c r="I59" s="195" t="s">
        <v>247</v>
      </c>
      <c r="J59" s="120">
        <f t="shared" si="10"/>
        <v>19.251999999999999</v>
      </c>
      <c r="K59" s="121">
        <f t="shared" si="11"/>
        <v>19.251999999999999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>
        <v>19.251999999999999</v>
      </c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 t="s">
        <v>297</v>
      </c>
      <c r="F60" s="9" t="s">
        <v>40</v>
      </c>
      <c r="G60" s="9" t="s">
        <v>297</v>
      </c>
      <c r="H60" s="197"/>
      <c r="I60" s="195" t="s">
        <v>247</v>
      </c>
      <c r="J60" s="120">
        <f t="shared" si="10"/>
        <v>48.896000000000001</v>
      </c>
      <c r="K60" s="121">
        <f t="shared" si="11"/>
        <v>48.896000000000001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>
        <v>48.896000000000001</v>
      </c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 t="s">
        <v>343</v>
      </c>
      <c r="F61" s="9" t="s">
        <v>40</v>
      </c>
      <c r="G61" s="9" t="s">
        <v>345</v>
      </c>
      <c r="H61" s="13"/>
      <c r="I61" s="195" t="s">
        <v>344</v>
      </c>
      <c r="J61" s="120">
        <f t="shared" si="10"/>
        <v>455</v>
      </c>
      <c r="K61" s="121">
        <f t="shared" si="11"/>
        <v>455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>
        <v>455</v>
      </c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9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9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9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9">+K88+L88</f>
        <v>0</v>
      </c>
      <c r="K88" s="121">
        <f t="shared" ref="K88:K151" si="20">SUM(N88:Y88)</f>
        <v>0</v>
      </c>
      <c r="L88" s="121">
        <f t="shared" ref="L88:L151" si="21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9"/>
        <v>0</v>
      </c>
      <c r="K89" s="121">
        <f t="shared" si="20"/>
        <v>0</v>
      </c>
      <c r="L89" s="121">
        <f t="shared" si="21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9"/>
        <v>0</v>
      </c>
      <c r="K90" s="121">
        <f t="shared" si="20"/>
        <v>0</v>
      </c>
      <c r="L90" s="121">
        <f t="shared" si="21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9"/>
        <v>0</v>
      </c>
      <c r="K91" s="121">
        <f t="shared" si="20"/>
        <v>0</v>
      </c>
      <c r="L91" s="121">
        <f t="shared" si="21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9"/>
        <v>0</v>
      </c>
      <c r="K92" s="121">
        <f t="shared" si="20"/>
        <v>0</v>
      </c>
      <c r="L92" s="121">
        <f t="shared" si="21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9"/>
        <v>0</v>
      </c>
      <c r="K93" s="121">
        <f t="shared" si="20"/>
        <v>0</v>
      </c>
      <c r="L93" s="121">
        <f t="shared" si="21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9"/>
        <v>0</v>
      </c>
      <c r="K94" s="121">
        <f t="shared" si="20"/>
        <v>0</v>
      </c>
      <c r="L94" s="121">
        <f t="shared" si="21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9"/>
        <v>0</v>
      </c>
      <c r="K95" s="121">
        <f t="shared" si="20"/>
        <v>0</v>
      </c>
      <c r="L95" s="121">
        <f t="shared" si="21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9"/>
        <v>0</v>
      </c>
      <c r="K96" s="121">
        <f t="shared" si="20"/>
        <v>0</v>
      </c>
      <c r="L96" s="121">
        <f t="shared" si="21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9"/>
        <v>0</v>
      </c>
      <c r="K97" s="121">
        <f t="shared" si="20"/>
        <v>0</v>
      </c>
      <c r="L97" s="121">
        <f t="shared" si="21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9"/>
        <v>0</v>
      </c>
      <c r="K98" s="121">
        <f t="shared" si="20"/>
        <v>0</v>
      </c>
      <c r="L98" s="121">
        <f t="shared" si="21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9"/>
        <v>0</v>
      </c>
      <c r="K99" s="121">
        <f t="shared" si="20"/>
        <v>0</v>
      </c>
      <c r="L99" s="121">
        <f t="shared" si="21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9"/>
        <v>0</v>
      </c>
      <c r="K100" s="121">
        <f t="shared" si="20"/>
        <v>0</v>
      </c>
      <c r="L100" s="121">
        <f t="shared" si="21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9"/>
        <v>0</v>
      </c>
      <c r="K101" s="121">
        <f t="shared" si="20"/>
        <v>0</v>
      </c>
      <c r="L101" s="121">
        <f t="shared" si="21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9"/>
        <v>0</v>
      </c>
      <c r="K102" s="121">
        <f t="shared" si="20"/>
        <v>0</v>
      </c>
      <c r="L102" s="121">
        <f t="shared" si="21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9"/>
        <v>0</v>
      </c>
      <c r="K103" s="121">
        <f t="shared" si="20"/>
        <v>0</v>
      </c>
      <c r="L103" s="121">
        <f t="shared" si="21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9"/>
        <v>0</v>
      </c>
      <c r="K104" s="121">
        <f t="shared" si="20"/>
        <v>0</v>
      </c>
      <c r="L104" s="121">
        <f t="shared" si="21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9"/>
        <v>0</v>
      </c>
      <c r="K105" s="121">
        <f t="shared" si="20"/>
        <v>0</v>
      </c>
      <c r="L105" s="121">
        <f t="shared" si="21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9"/>
        <v>0</v>
      </c>
      <c r="K106" s="121">
        <f t="shared" si="20"/>
        <v>0</v>
      </c>
      <c r="L106" s="121">
        <f t="shared" si="21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9"/>
        <v>0</v>
      </c>
      <c r="K107" s="121">
        <f t="shared" si="20"/>
        <v>0</v>
      </c>
      <c r="L107" s="121">
        <f t="shared" si="21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9"/>
        <v>0</v>
      </c>
      <c r="K108" s="121">
        <f t="shared" si="20"/>
        <v>0</v>
      </c>
      <c r="L108" s="121">
        <f t="shared" si="21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9"/>
        <v>0</v>
      </c>
      <c r="K109" s="121">
        <f t="shared" si="20"/>
        <v>0</v>
      </c>
      <c r="L109" s="121">
        <f t="shared" si="21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9"/>
        <v>0</v>
      </c>
      <c r="K110" s="121">
        <f t="shared" si="20"/>
        <v>0</v>
      </c>
      <c r="L110" s="121">
        <f t="shared" si="21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9"/>
        <v>0</v>
      </c>
      <c r="K111" s="121">
        <f t="shared" si="20"/>
        <v>0</v>
      </c>
      <c r="L111" s="121">
        <f t="shared" si="21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9"/>
        <v>0</v>
      </c>
      <c r="K112" s="121">
        <f t="shared" si="20"/>
        <v>0</v>
      </c>
      <c r="L112" s="121">
        <f t="shared" si="21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9"/>
        <v>0</v>
      </c>
      <c r="K113" s="121">
        <f t="shared" si="20"/>
        <v>0</v>
      </c>
      <c r="L113" s="121">
        <f t="shared" si="21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9"/>
        <v>0</v>
      </c>
      <c r="K114" s="121">
        <f t="shared" si="20"/>
        <v>0</v>
      </c>
      <c r="L114" s="121">
        <f t="shared" si="21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9"/>
        <v>0</v>
      </c>
      <c r="K115" s="121">
        <f t="shared" si="20"/>
        <v>0</v>
      </c>
      <c r="L115" s="121">
        <f t="shared" si="21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9"/>
        <v>0</v>
      </c>
      <c r="K116" s="121">
        <f t="shared" si="20"/>
        <v>0</v>
      </c>
      <c r="L116" s="121">
        <f t="shared" si="21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9"/>
        <v>0</v>
      </c>
      <c r="K117" s="121">
        <f t="shared" si="20"/>
        <v>0</v>
      </c>
      <c r="L117" s="121">
        <f t="shared" si="21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9"/>
        <v>0</v>
      </c>
      <c r="K118" s="121">
        <f t="shared" si="20"/>
        <v>0</v>
      </c>
      <c r="L118" s="121">
        <f t="shared" si="21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9"/>
        <v>0</v>
      </c>
      <c r="K119" s="121">
        <f t="shared" si="20"/>
        <v>0</v>
      </c>
      <c r="L119" s="121">
        <f t="shared" si="21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9"/>
        <v>0</v>
      </c>
      <c r="K120" s="121">
        <f t="shared" si="20"/>
        <v>0</v>
      </c>
      <c r="L120" s="121">
        <f t="shared" si="21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9"/>
        <v>0</v>
      </c>
      <c r="K121" s="121">
        <f t="shared" si="20"/>
        <v>0</v>
      </c>
      <c r="L121" s="121">
        <f t="shared" si="21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9"/>
        <v>0</v>
      </c>
      <c r="K122" s="121">
        <f t="shared" si="20"/>
        <v>0</v>
      </c>
      <c r="L122" s="121">
        <f t="shared" si="21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9"/>
        <v>0</v>
      </c>
      <c r="K123" s="121">
        <f t="shared" si="20"/>
        <v>0</v>
      </c>
      <c r="L123" s="121">
        <f t="shared" si="21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9"/>
        <v>0</v>
      </c>
      <c r="K124" s="121">
        <f t="shared" si="20"/>
        <v>0</v>
      </c>
      <c r="L124" s="121">
        <f t="shared" si="21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9"/>
        <v>0</v>
      </c>
      <c r="K125" s="121">
        <f t="shared" si="20"/>
        <v>0</v>
      </c>
      <c r="L125" s="121">
        <f t="shared" si="21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9"/>
        <v>0</v>
      </c>
      <c r="K126" s="121">
        <f t="shared" si="20"/>
        <v>0</v>
      </c>
      <c r="L126" s="121">
        <f t="shared" si="21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9"/>
        <v>0</v>
      </c>
      <c r="K127" s="121">
        <f t="shared" si="20"/>
        <v>0</v>
      </c>
      <c r="L127" s="121">
        <f t="shared" si="21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9"/>
        <v>0</v>
      </c>
      <c r="K128" s="121">
        <f t="shared" si="20"/>
        <v>0</v>
      </c>
      <c r="L128" s="121">
        <f t="shared" si="21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9"/>
        <v>0</v>
      </c>
      <c r="K129" s="121">
        <f t="shared" si="20"/>
        <v>0</v>
      </c>
      <c r="L129" s="121">
        <f t="shared" si="21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9"/>
        <v>0</v>
      </c>
      <c r="K130" s="121">
        <f t="shared" si="20"/>
        <v>0</v>
      </c>
      <c r="L130" s="121">
        <f t="shared" si="21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9"/>
        <v>0</v>
      </c>
      <c r="K131" s="121">
        <f t="shared" si="20"/>
        <v>0</v>
      </c>
      <c r="L131" s="121">
        <f t="shared" si="21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9"/>
        <v>0</v>
      </c>
      <c r="K132" s="121">
        <f t="shared" si="20"/>
        <v>0</v>
      </c>
      <c r="L132" s="121">
        <f t="shared" si="21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9"/>
        <v>0</v>
      </c>
      <c r="K133" s="121">
        <f t="shared" si="20"/>
        <v>0</v>
      </c>
      <c r="L133" s="121">
        <f t="shared" si="21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9"/>
        <v>0</v>
      </c>
      <c r="K134" s="121">
        <f t="shared" si="20"/>
        <v>0</v>
      </c>
      <c r="L134" s="121">
        <f t="shared" si="21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9"/>
        <v>0</v>
      </c>
      <c r="K135" s="121">
        <f t="shared" si="20"/>
        <v>0</v>
      </c>
      <c r="L135" s="121">
        <f t="shared" si="21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9"/>
        <v>0</v>
      </c>
      <c r="K136" s="121">
        <f t="shared" si="20"/>
        <v>0</v>
      </c>
      <c r="L136" s="121">
        <f t="shared" si="21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9"/>
        <v>0</v>
      </c>
      <c r="K137" s="121">
        <f t="shared" si="20"/>
        <v>0</v>
      </c>
      <c r="L137" s="121">
        <f t="shared" si="21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9"/>
        <v>0</v>
      </c>
      <c r="K138" s="121">
        <f t="shared" si="20"/>
        <v>0</v>
      </c>
      <c r="L138" s="121">
        <f t="shared" si="21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9"/>
        <v>0</v>
      </c>
      <c r="K139" s="121">
        <f t="shared" si="20"/>
        <v>0</v>
      </c>
      <c r="L139" s="121">
        <f t="shared" si="21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9"/>
        <v>0</v>
      </c>
      <c r="K140" s="121">
        <f t="shared" si="20"/>
        <v>0</v>
      </c>
      <c r="L140" s="121">
        <f t="shared" si="21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9"/>
        <v>0</v>
      </c>
      <c r="K141" s="121">
        <f t="shared" si="20"/>
        <v>0</v>
      </c>
      <c r="L141" s="121">
        <f t="shared" si="21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9"/>
        <v>0</v>
      </c>
      <c r="K142" s="121">
        <f t="shared" si="20"/>
        <v>0</v>
      </c>
      <c r="L142" s="121">
        <f t="shared" si="21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9"/>
        <v>0</v>
      </c>
      <c r="K143" s="121">
        <f t="shared" si="20"/>
        <v>0</v>
      </c>
      <c r="L143" s="121">
        <f t="shared" si="21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9"/>
        <v>0</v>
      </c>
      <c r="K144" s="121">
        <f t="shared" si="20"/>
        <v>0</v>
      </c>
      <c r="L144" s="121">
        <f t="shared" si="21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9"/>
        <v>0</v>
      </c>
      <c r="K145" s="121">
        <f t="shared" si="20"/>
        <v>0</v>
      </c>
      <c r="L145" s="121">
        <f t="shared" si="21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9"/>
        <v>0</v>
      </c>
      <c r="K146" s="121">
        <f t="shared" si="20"/>
        <v>0</v>
      </c>
      <c r="L146" s="121">
        <f t="shared" si="21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9"/>
        <v>0</v>
      </c>
      <c r="K147" s="121">
        <f t="shared" si="20"/>
        <v>0</v>
      </c>
      <c r="L147" s="121">
        <f t="shared" si="21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9"/>
        <v>0</v>
      </c>
      <c r="K148" s="121">
        <f t="shared" si="20"/>
        <v>0</v>
      </c>
      <c r="L148" s="121">
        <f t="shared" si="21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9"/>
        <v>0</v>
      </c>
      <c r="K149" s="121">
        <f t="shared" si="20"/>
        <v>0</v>
      </c>
      <c r="L149" s="121">
        <f t="shared" si="21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9"/>
        <v>0</v>
      </c>
      <c r="K150" s="121">
        <f t="shared" si="20"/>
        <v>0</v>
      </c>
      <c r="L150" s="121">
        <f t="shared" si="21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9"/>
        <v>0</v>
      </c>
      <c r="K151" s="121">
        <f t="shared" si="20"/>
        <v>0</v>
      </c>
      <c r="L151" s="121">
        <f t="shared" si="21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22">+K152+L152</f>
        <v>0</v>
      </c>
      <c r="K152" s="121">
        <f t="shared" ref="K152:K215" si="23">SUM(N152:Y152)</f>
        <v>0</v>
      </c>
      <c r="L152" s="121">
        <f t="shared" ref="L152:L215" si="24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22"/>
        <v>0</v>
      </c>
      <c r="K153" s="121">
        <f t="shared" si="23"/>
        <v>0</v>
      </c>
      <c r="L153" s="121">
        <f t="shared" si="24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22"/>
        <v>0</v>
      </c>
      <c r="K154" s="121">
        <f t="shared" si="23"/>
        <v>0</v>
      </c>
      <c r="L154" s="121">
        <f t="shared" si="24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22"/>
        <v>0</v>
      </c>
      <c r="K155" s="121">
        <f t="shared" si="23"/>
        <v>0</v>
      </c>
      <c r="L155" s="121">
        <f t="shared" si="24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22"/>
        <v>0</v>
      </c>
      <c r="K156" s="121">
        <f t="shared" si="23"/>
        <v>0</v>
      </c>
      <c r="L156" s="121">
        <f t="shared" si="24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22"/>
        <v>0</v>
      </c>
      <c r="K157" s="121">
        <f t="shared" si="23"/>
        <v>0</v>
      </c>
      <c r="L157" s="121">
        <f t="shared" si="24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22"/>
        <v>0</v>
      </c>
      <c r="K158" s="121">
        <f t="shared" si="23"/>
        <v>0</v>
      </c>
      <c r="L158" s="121">
        <f t="shared" si="24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22"/>
        <v>0</v>
      </c>
      <c r="K159" s="121">
        <f t="shared" si="23"/>
        <v>0</v>
      </c>
      <c r="L159" s="121">
        <f t="shared" si="24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22"/>
        <v>0</v>
      </c>
      <c r="K160" s="121">
        <f t="shared" si="23"/>
        <v>0</v>
      </c>
      <c r="L160" s="121">
        <f t="shared" si="24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22"/>
        <v>0</v>
      </c>
      <c r="K161" s="121">
        <f t="shared" si="23"/>
        <v>0</v>
      </c>
      <c r="L161" s="121">
        <f t="shared" si="24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22"/>
        <v>0</v>
      </c>
      <c r="K162" s="121">
        <f t="shared" si="23"/>
        <v>0</v>
      </c>
      <c r="L162" s="121">
        <f t="shared" si="24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22"/>
        <v>0</v>
      </c>
      <c r="K163" s="121">
        <f t="shared" si="23"/>
        <v>0</v>
      </c>
      <c r="L163" s="121">
        <f t="shared" si="24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22"/>
        <v>0</v>
      </c>
      <c r="K164" s="121">
        <f t="shared" si="23"/>
        <v>0</v>
      </c>
      <c r="L164" s="121">
        <f t="shared" si="24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22"/>
        <v>0</v>
      </c>
      <c r="K165" s="121">
        <f t="shared" si="23"/>
        <v>0</v>
      </c>
      <c r="L165" s="121">
        <f t="shared" si="24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22"/>
        <v>0</v>
      </c>
      <c r="K166" s="121">
        <f t="shared" si="23"/>
        <v>0</v>
      </c>
      <c r="L166" s="121">
        <f t="shared" si="24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22"/>
        <v>0</v>
      </c>
      <c r="K167" s="121">
        <f t="shared" si="23"/>
        <v>0</v>
      </c>
      <c r="L167" s="121">
        <f t="shared" si="24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22"/>
        <v>0</v>
      </c>
      <c r="K168" s="121">
        <f t="shared" si="23"/>
        <v>0</v>
      </c>
      <c r="L168" s="121">
        <f t="shared" si="24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22"/>
        <v>0</v>
      </c>
      <c r="K169" s="121">
        <f t="shared" si="23"/>
        <v>0</v>
      </c>
      <c r="L169" s="121">
        <f t="shared" si="24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22"/>
        <v>0</v>
      </c>
      <c r="K170" s="121">
        <f t="shared" si="23"/>
        <v>0</v>
      </c>
      <c r="L170" s="121">
        <f t="shared" si="24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22"/>
        <v>0</v>
      </c>
      <c r="K171" s="121">
        <f t="shared" si="23"/>
        <v>0</v>
      </c>
      <c r="L171" s="121">
        <f t="shared" si="24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22"/>
        <v>0</v>
      </c>
      <c r="K172" s="121">
        <f t="shared" si="23"/>
        <v>0</v>
      </c>
      <c r="L172" s="121">
        <f t="shared" si="24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22"/>
        <v>0</v>
      </c>
      <c r="K173" s="121">
        <f t="shared" si="23"/>
        <v>0</v>
      </c>
      <c r="L173" s="121">
        <f t="shared" si="24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22"/>
        <v>0</v>
      </c>
      <c r="K174" s="121">
        <f t="shared" si="23"/>
        <v>0</v>
      </c>
      <c r="L174" s="121">
        <f t="shared" si="24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22"/>
        <v>0</v>
      </c>
      <c r="K175" s="121">
        <f t="shared" si="23"/>
        <v>0</v>
      </c>
      <c r="L175" s="121">
        <f t="shared" si="24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22"/>
        <v>0</v>
      </c>
      <c r="K176" s="121">
        <f t="shared" si="23"/>
        <v>0</v>
      </c>
      <c r="L176" s="121">
        <f t="shared" si="24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22"/>
        <v>0</v>
      </c>
      <c r="K177" s="121">
        <f t="shared" si="23"/>
        <v>0</v>
      </c>
      <c r="L177" s="121">
        <f t="shared" si="24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22"/>
        <v>0</v>
      </c>
      <c r="K178" s="121">
        <f t="shared" si="23"/>
        <v>0</v>
      </c>
      <c r="L178" s="121">
        <f t="shared" si="24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22"/>
        <v>0</v>
      </c>
      <c r="K179" s="121">
        <f t="shared" si="23"/>
        <v>0</v>
      </c>
      <c r="L179" s="121">
        <f t="shared" si="24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22"/>
        <v>0</v>
      </c>
      <c r="K180" s="121">
        <f t="shared" si="23"/>
        <v>0</v>
      </c>
      <c r="L180" s="121">
        <f t="shared" si="24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22"/>
        <v>0</v>
      </c>
      <c r="K181" s="121">
        <f t="shared" si="23"/>
        <v>0</v>
      </c>
      <c r="L181" s="121">
        <f t="shared" si="24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22"/>
        <v>0</v>
      </c>
      <c r="K182" s="121">
        <f t="shared" si="23"/>
        <v>0</v>
      </c>
      <c r="L182" s="121">
        <f t="shared" si="24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22"/>
        <v>0</v>
      </c>
      <c r="K183" s="121">
        <f t="shared" si="23"/>
        <v>0</v>
      </c>
      <c r="L183" s="121">
        <f t="shared" si="24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22"/>
        <v>0</v>
      </c>
      <c r="K184" s="121">
        <f t="shared" si="23"/>
        <v>0</v>
      </c>
      <c r="L184" s="121">
        <f t="shared" si="24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22"/>
        <v>0</v>
      </c>
      <c r="K185" s="121">
        <f t="shared" si="23"/>
        <v>0</v>
      </c>
      <c r="L185" s="121">
        <f t="shared" si="24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22"/>
        <v>0</v>
      </c>
      <c r="K186" s="121">
        <f t="shared" si="23"/>
        <v>0</v>
      </c>
      <c r="L186" s="121">
        <f t="shared" si="24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22"/>
        <v>0</v>
      </c>
      <c r="K187" s="121">
        <f t="shared" si="23"/>
        <v>0</v>
      </c>
      <c r="L187" s="121">
        <f t="shared" si="24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22"/>
        <v>0</v>
      </c>
      <c r="K188" s="121">
        <f t="shared" si="23"/>
        <v>0</v>
      </c>
      <c r="L188" s="121">
        <f t="shared" si="24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22"/>
        <v>0</v>
      </c>
      <c r="K189" s="121">
        <f t="shared" si="23"/>
        <v>0</v>
      </c>
      <c r="L189" s="121">
        <f t="shared" si="24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22"/>
        <v>0</v>
      </c>
      <c r="K190" s="121">
        <f t="shared" si="23"/>
        <v>0</v>
      </c>
      <c r="L190" s="121">
        <f t="shared" si="24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22"/>
        <v>0</v>
      </c>
      <c r="K191" s="121">
        <f t="shared" si="23"/>
        <v>0</v>
      </c>
      <c r="L191" s="121">
        <f t="shared" si="24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22"/>
        <v>0</v>
      </c>
      <c r="K192" s="121">
        <f t="shared" si="23"/>
        <v>0</v>
      </c>
      <c r="L192" s="121">
        <f t="shared" si="24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22"/>
        <v>0</v>
      </c>
      <c r="K193" s="121">
        <f t="shared" si="23"/>
        <v>0</v>
      </c>
      <c r="L193" s="121">
        <f t="shared" si="24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22"/>
        <v>0</v>
      </c>
      <c r="K194" s="121">
        <f t="shared" si="23"/>
        <v>0</v>
      </c>
      <c r="L194" s="121">
        <f t="shared" si="24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22"/>
        <v>0</v>
      </c>
      <c r="K195" s="121">
        <f t="shared" si="23"/>
        <v>0</v>
      </c>
      <c r="L195" s="121">
        <f t="shared" si="24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22"/>
        <v>0</v>
      </c>
      <c r="K196" s="121">
        <f t="shared" si="23"/>
        <v>0</v>
      </c>
      <c r="L196" s="121">
        <f t="shared" si="24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22"/>
        <v>0</v>
      </c>
      <c r="K197" s="121">
        <f t="shared" si="23"/>
        <v>0</v>
      </c>
      <c r="L197" s="121">
        <f t="shared" si="24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22"/>
        <v>0</v>
      </c>
      <c r="K198" s="121">
        <f t="shared" si="23"/>
        <v>0</v>
      </c>
      <c r="L198" s="121">
        <f t="shared" si="24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22"/>
        <v>0</v>
      </c>
      <c r="K199" s="121">
        <f t="shared" si="23"/>
        <v>0</v>
      </c>
      <c r="L199" s="121">
        <f t="shared" si="24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22"/>
        <v>0</v>
      </c>
      <c r="K200" s="121">
        <f t="shared" si="23"/>
        <v>0</v>
      </c>
      <c r="L200" s="121">
        <f t="shared" si="24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22"/>
        <v>0</v>
      </c>
      <c r="K201" s="121">
        <f t="shared" si="23"/>
        <v>0</v>
      </c>
      <c r="L201" s="121">
        <f t="shared" si="24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22"/>
        <v>0</v>
      </c>
      <c r="K202" s="121">
        <f t="shared" si="23"/>
        <v>0</v>
      </c>
      <c r="L202" s="121">
        <f t="shared" si="24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22"/>
        <v>0</v>
      </c>
      <c r="K203" s="121">
        <f t="shared" si="23"/>
        <v>0</v>
      </c>
      <c r="L203" s="121">
        <f t="shared" si="24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22"/>
        <v>0</v>
      </c>
      <c r="K204" s="121">
        <f t="shared" si="23"/>
        <v>0</v>
      </c>
      <c r="L204" s="121">
        <f t="shared" si="24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22"/>
        <v>0</v>
      </c>
      <c r="K205" s="121">
        <f t="shared" si="23"/>
        <v>0</v>
      </c>
      <c r="L205" s="121">
        <f t="shared" si="24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22"/>
        <v>0</v>
      </c>
      <c r="K206" s="121">
        <f t="shared" si="23"/>
        <v>0</v>
      </c>
      <c r="L206" s="121">
        <f t="shared" si="24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22"/>
        <v>0</v>
      </c>
      <c r="K207" s="121">
        <f t="shared" si="23"/>
        <v>0</v>
      </c>
      <c r="L207" s="121">
        <f t="shared" si="24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22"/>
        <v>0</v>
      </c>
      <c r="K208" s="121">
        <f t="shared" si="23"/>
        <v>0</v>
      </c>
      <c r="L208" s="121">
        <f t="shared" si="24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22"/>
        <v>0</v>
      </c>
      <c r="K209" s="121">
        <f t="shared" si="23"/>
        <v>0</v>
      </c>
      <c r="L209" s="121">
        <f t="shared" si="24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22"/>
        <v>0</v>
      </c>
      <c r="K210" s="121">
        <f t="shared" si="23"/>
        <v>0</v>
      </c>
      <c r="L210" s="121">
        <f t="shared" si="24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22"/>
        <v>0</v>
      </c>
      <c r="K211" s="121">
        <f t="shared" si="23"/>
        <v>0</v>
      </c>
      <c r="L211" s="121">
        <f t="shared" si="24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22"/>
        <v>0</v>
      </c>
      <c r="K212" s="121">
        <f t="shared" si="23"/>
        <v>0</v>
      </c>
      <c r="L212" s="121">
        <f t="shared" si="24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22"/>
        <v>0</v>
      </c>
      <c r="K213" s="121">
        <f t="shared" si="23"/>
        <v>0</v>
      </c>
      <c r="L213" s="121">
        <f t="shared" si="24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22"/>
        <v>0</v>
      </c>
      <c r="K214" s="121">
        <f t="shared" si="23"/>
        <v>0</v>
      </c>
      <c r="L214" s="121">
        <f t="shared" si="24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22"/>
        <v>0</v>
      </c>
      <c r="K215" s="121">
        <f t="shared" si="23"/>
        <v>0</v>
      </c>
      <c r="L215" s="121">
        <f t="shared" si="24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5">+K216+L216</f>
        <v>0</v>
      </c>
      <c r="K216" s="121">
        <f t="shared" ref="K216:K251" si="26">SUM(N216:Y216)</f>
        <v>0</v>
      </c>
      <c r="L216" s="121">
        <f t="shared" ref="L216:L251" si="27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5"/>
        <v>0</v>
      </c>
      <c r="K217" s="121">
        <f t="shared" si="26"/>
        <v>0</v>
      </c>
      <c r="L217" s="121">
        <f t="shared" si="27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5"/>
        <v>0</v>
      </c>
      <c r="K218" s="121">
        <f t="shared" si="26"/>
        <v>0</v>
      </c>
      <c r="L218" s="121">
        <f t="shared" si="27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5"/>
        <v>0</v>
      </c>
      <c r="K219" s="121">
        <f t="shared" si="26"/>
        <v>0</v>
      </c>
      <c r="L219" s="121">
        <f t="shared" si="27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5"/>
        <v>0</v>
      </c>
      <c r="K220" s="121">
        <f t="shared" si="26"/>
        <v>0</v>
      </c>
      <c r="L220" s="121">
        <f t="shared" si="27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5"/>
        <v>0</v>
      </c>
      <c r="K221" s="121">
        <f t="shared" si="26"/>
        <v>0</v>
      </c>
      <c r="L221" s="121">
        <f t="shared" si="27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5"/>
        <v>0</v>
      </c>
      <c r="K222" s="121">
        <f t="shared" si="26"/>
        <v>0</v>
      </c>
      <c r="L222" s="121">
        <f t="shared" si="27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5"/>
        <v>0</v>
      </c>
      <c r="K223" s="121">
        <f t="shared" si="26"/>
        <v>0</v>
      </c>
      <c r="L223" s="121">
        <f t="shared" si="27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5"/>
        <v>0</v>
      </c>
      <c r="K224" s="121">
        <f t="shared" si="26"/>
        <v>0</v>
      </c>
      <c r="L224" s="121">
        <f t="shared" si="27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5"/>
        <v>0</v>
      </c>
      <c r="K225" s="121">
        <f t="shared" si="26"/>
        <v>0</v>
      </c>
      <c r="L225" s="121">
        <f t="shared" si="27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5"/>
        <v>0</v>
      </c>
      <c r="K226" s="121">
        <f t="shared" si="26"/>
        <v>0</v>
      </c>
      <c r="L226" s="121">
        <f t="shared" si="27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5"/>
        <v>0</v>
      </c>
      <c r="K227" s="121">
        <f t="shared" si="26"/>
        <v>0</v>
      </c>
      <c r="L227" s="121">
        <f t="shared" si="27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5"/>
        <v>0</v>
      </c>
      <c r="K228" s="121">
        <f t="shared" si="26"/>
        <v>0</v>
      </c>
      <c r="L228" s="121">
        <f t="shared" si="27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5"/>
        <v>0</v>
      </c>
      <c r="K229" s="121">
        <f t="shared" si="26"/>
        <v>0</v>
      </c>
      <c r="L229" s="121">
        <f t="shared" si="27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5"/>
        <v>0</v>
      </c>
      <c r="K230" s="121">
        <f t="shared" si="26"/>
        <v>0</v>
      </c>
      <c r="L230" s="121">
        <f t="shared" si="27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5"/>
        <v>0</v>
      </c>
      <c r="K231" s="121">
        <f t="shared" si="26"/>
        <v>0</v>
      </c>
      <c r="L231" s="121">
        <f t="shared" si="27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5"/>
        <v>0</v>
      </c>
      <c r="K232" s="121">
        <f t="shared" si="26"/>
        <v>0</v>
      </c>
      <c r="L232" s="121">
        <f t="shared" si="27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5"/>
        <v>0</v>
      </c>
      <c r="K233" s="121">
        <f t="shared" si="26"/>
        <v>0</v>
      </c>
      <c r="L233" s="121">
        <f t="shared" si="27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5"/>
        <v>0</v>
      </c>
      <c r="K234" s="121">
        <f t="shared" si="26"/>
        <v>0</v>
      </c>
      <c r="L234" s="121">
        <f t="shared" si="27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5"/>
        <v>0</v>
      </c>
      <c r="K235" s="121">
        <f t="shared" si="26"/>
        <v>0</v>
      </c>
      <c r="L235" s="121">
        <f t="shared" si="27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5"/>
        <v>0</v>
      </c>
      <c r="K236" s="121">
        <f t="shared" si="26"/>
        <v>0</v>
      </c>
      <c r="L236" s="121">
        <f t="shared" si="27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5"/>
        <v>0</v>
      </c>
      <c r="K237" s="121">
        <f t="shared" si="26"/>
        <v>0</v>
      </c>
      <c r="L237" s="121">
        <f t="shared" si="27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5"/>
        <v>0</v>
      </c>
      <c r="K238" s="121">
        <f t="shared" si="26"/>
        <v>0</v>
      </c>
      <c r="L238" s="121">
        <f t="shared" si="27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5"/>
        <v>0</v>
      </c>
      <c r="K239" s="121">
        <f t="shared" si="26"/>
        <v>0</v>
      </c>
      <c r="L239" s="121">
        <f t="shared" si="27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5"/>
        <v>0</v>
      </c>
      <c r="K240" s="121">
        <f t="shared" si="26"/>
        <v>0</v>
      </c>
      <c r="L240" s="121">
        <f t="shared" si="27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5"/>
        <v>0</v>
      </c>
      <c r="K241" s="121">
        <f t="shared" si="26"/>
        <v>0</v>
      </c>
      <c r="L241" s="121">
        <f t="shared" si="27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5"/>
        <v>0</v>
      </c>
      <c r="K242" s="121">
        <f t="shared" si="26"/>
        <v>0</v>
      </c>
      <c r="L242" s="121">
        <f t="shared" si="27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5"/>
        <v>0</v>
      </c>
      <c r="K243" s="121">
        <f t="shared" si="26"/>
        <v>0</v>
      </c>
      <c r="L243" s="121">
        <f t="shared" si="27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5"/>
        <v>0</v>
      </c>
      <c r="K244" s="121">
        <f t="shared" si="26"/>
        <v>0</v>
      </c>
      <c r="L244" s="121">
        <f t="shared" si="27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5"/>
        <v>0</v>
      </c>
      <c r="K245" s="121">
        <f t="shared" si="26"/>
        <v>0</v>
      </c>
      <c r="L245" s="121">
        <f t="shared" si="27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5"/>
        <v>0</v>
      </c>
      <c r="K246" s="121">
        <f t="shared" si="26"/>
        <v>0</v>
      </c>
      <c r="L246" s="121">
        <f t="shared" si="27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5"/>
        <v>0</v>
      </c>
      <c r="K247" s="121">
        <f t="shared" si="26"/>
        <v>0</v>
      </c>
      <c r="L247" s="121">
        <f t="shared" si="27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5"/>
        <v>0</v>
      </c>
      <c r="K248" s="121">
        <f t="shared" si="26"/>
        <v>0</v>
      </c>
      <c r="L248" s="121">
        <f t="shared" si="27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5"/>
        <v>0</v>
      </c>
      <c r="K249" s="121">
        <f t="shared" si="26"/>
        <v>0</v>
      </c>
      <c r="L249" s="121">
        <f t="shared" si="27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5"/>
        <v>0</v>
      </c>
      <c r="K250" s="121">
        <f t="shared" si="26"/>
        <v>0</v>
      </c>
      <c r="L250" s="121">
        <f t="shared" si="27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5"/>
        <v>0</v>
      </c>
      <c r="K251" s="121">
        <f t="shared" si="26"/>
        <v>0</v>
      </c>
      <c r="L251" s="121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45"/>
  <sheetViews>
    <sheetView showGridLines="0" topLeftCell="F5" zoomScale="80" zoomScaleNormal="80" workbookViewId="0">
      <selection activeCell="R51" sqref="R5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0+65.798+187.646+1646.019+2738.581+197.926+1008.221+129.743+236.84+210.522+419.213+379.871-21.033-10.626+0+996.361+456.384+265.654+288.475-3.151+0+252.333+188.87+473.671+J10</f>
        <v>12520.489000000003</v>
      </c>
      <c r="I10" s="63"/>
      <c r="J10" s="162">
        <f>0+157.511+189.413+2066.247</f>
        <v>2413.1709999999998</v>
      </c>
      <c r="L10" s="162">
        <f>J10+S17</f>
        <v>2413.1709999999998</v>
      </c>
      <c r="N10" s="57"/>
      <c r="O10" s="173">
        <f>+H10+K17</f>
        <v>17611.143000000004</v>
      </c>
      <c r="P10" s="174" cm="1">
        <f t="array" aca="1" ref="P10" ca="1">INDIRECT(ADDRESS(10,15,,,VLOOKUP($G$4,parameters!$G:$I,3,0)))</f>
        <v>17166.43</v>
      </c>
      <c r="Q10" s="186">
        <f ca="1">O10-P10</f>
        <v>444.71300000000338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0+68.362+73.603+302.502+1813.594+46.497+224.908+0.185+192.936+6.425+106.702+57.172+0+258.468+84.872+767.013-531.301+105.852+0+86.598+3.677+1441.496+J11</f>
        <v>5541.7219999999998</v>
      </c>
      <c r="I11" s="63"/>
      <c r="J11" s="18">
        <f>0+138.278+15.073+278.81</f>
        <v>432.161</v>
      </c>
      <c r="L11" s="18">
        <f>J11+S18</f>
        <v>432.161</v>
      </c>
      <c r="N11" s="57"/>
      <c r="O11" s="155">
        <f>+H11+K18</f>
        <v>7539.8059999999996</v>
      </c>
      <c r="P11" s="156" cm="1">
        <f t="array" aca="1" ref="P11" ca="1">INDIRECT(ADDRESS(11,15,,,VLOOKUP($G$4,parameters!$G:$I,3,0)))</f>
        <v>7288.8059999999996</v>
      </c>
      <c r="Q11" s="187">
        <f t="shared" ref="Q11:Q12" ca="1" si="0">O11-P11</f>
        <v>251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18062.211000000003</v>
      </c>
      <c r="I12" s="63"/>
      <c r="J12" s="128">
        <f>SUM(J10:J11)</f>
        <v>2845.3319999999999</v>
      </c>
      <c r="K12" s="67"/>
      <c r="L12" s="128">
        <f>SUM(L10:L11)</f>
        <v>2845.3319999999999</v>
      </c>
      <c r="M12" s="67"/>
      <c r="N12" s="67"/>
      <c r="O12" s="157">
        <f>SUM(O10:O11)</f>
        <v>25150.949000000004</v>
      </c>
      <c r="P12" s="158">
        <f ca="1">SUM(P10:P11)</f>
        <v>24455.236000000001</v>
      </c>
      <c r="Q12" s="159">
        <f t="shared" ca="1" si="0"/>
        <v>695.71300000000338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+SUMIF($F$24:$F$244,"External",$J$24:$J$244)</f>
        <v>5090.6539999999986</v>
      </c>
      <c r="K17" s="110">
        <f>+SUMIF($F$24:$F$244,"External",$K$24:$K$244)</f>
        <v>5090.6539999999986</v>
      </c>
      <c r="L17" s="111">
        <f>+SUMIF($F$24:$F$244,"External",$L$24:$L$244)</f>
        <v>0</v>
      </c>
      <c r="M17" s="112"/>
      <c r="N17" s="113">
        <f t="shared" ref="N17:Y17" si="1">+SUMIF($F$24:$F$244,"External",N$24:N$244)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2079.4049999999997</v>
      </c>
      <c r="U17" s="113">
        <f t="shared" si="1"/>
        <v>2467.5790000000006</v>
      </c>
      <c r="V17" s="113">
        <f t="shared" si="1"/>
        <v>409.93</v>
      </c>
      <c r="W17" s="113">
        <f t="shared" si="1"/>
        <v>133.74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+SUMIF($F$24:$F$244,"External",AA$24:AA$244)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+SUMIF($F$24:$F$244,"Group",$J$24:$J$244)</f>
        <v>1998.0840000000001</v>
      </c>
      <c r="K18" s="115">
        <f>+SUMIF($F$24:$F$244,"Group",$K$24:$K$244)</f>
        <v>1998.0840000000001</v>
      </c>
      <c r="L18" s="116">
        <f>SUMIF($F$24:$F$244,"Group",$L$24:$L$244)</f>
        <v>0</v>
      </c>
      <c r="M18" s="112"/>
      <c r="N18" s="116">
        <f t="shared" ref="N18:Y18" si="3">+SUMIF($F$24:$F$244,"Group",N$24:N$244)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1094.3379999999997</v>
      </c>
      <c r="U18" s="116">
        <f t="shared" si="3"/>
        <v>662.827</v>
      </c>
      <c r="V18" s="116">
        <f t="shared" si="3"/>
        <v>240.91899999999998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+SUMIF($F$24:$F$244,"Group",AA$24:AA$244)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7088.7379999999985</v>
      </c>
      <c r="K19" s="117">
        <f>SUM(K17:K18)</f>
        <v>7088.7379999999985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3173.7429999999995</v>
      </c>
      <c r="U19" s="118">
        <f t="shared" si="5"/>
        <v>3130.4060000000009</v>
      </c>
      <c r="V19" s="118">
        <f t="shared" si="5"/>
        <v>650.84899999999993</v>
      </c>
      <c r="W19" s="118">
        <f t="shared" si="5"/>
        <v>133.74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IF(SUM(J24:J244)=J19,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1193.7889999999998</v>
      </c>
      <c r="K24" s="121">
        <f t="shared" ref="K24" si="8">SUM(N24:Y24)</f>
        <v>1193.7889999999998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689.911-206.418+77.92-18+217-200</f>
        <v>560.4129999999999</v>
      </c>
      <c r="U24" s="26">
        <f>415.376+18</f>
        <v>433.37599999999998</v>
      </c>
      <c r="V24" s="26">
        <v>200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1" si="10">+K25+L25</f>
        <v>80.236999999999995</v>
      </c>
      <c r="K25" s="121">
        <f t="shared" ref="K25:K81" si="11">SUM(N25:Y25)</f>
        <v>80.236999999999995</v>
      </c>
      <c r="L25" s="121">
        <f t="shared" ref="L25:L81" si="12">SUM(AA25:AL25)</f>
        <v>0</v>
      </c>
      <c r="M25" s="25"/>
      <c r="N25" s="26"/>
      <c r="O25" s="26"/>
      <c r="P25" s="26"/>
      <c r="Q25" s="26"/>
      <c r="R25" s="26"/>
      <c r="S25" s="26"/>
      <c r="T25" s="26">
        <f>13.461-13.224+10</f>
        <v>10.237</v>
      </c>
      <c r="U25" s="26">
        <f>80-10</f>
        <v>70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59.238</v>
      </c>
      <c r="K26" s="121">
        <f t="shared" si="11"/>
        <v>59.238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6.462-8.224+46+3</f>
        <v>47.238</v>
      </c>
      <c r="U26" s="26">
        <f>15-3</f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192.714</v>
      </c>
      <c r="K27" s="121">
        <f t="shared" si="11"/>
        <v>192.714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192.757-0.043</f>
        <v>192.714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6.0149999999999997</v>
      </c>
      <c r="K28" s="121">
        <f t="shared" si="11"/>
        <v>6.0149999999999997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7.364-0.78-0.363-0.206</f>
        <v>6.0149999999999997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5" t="s">
        <v>234</v>
      </c>
      <c r="J29" s="120">
        <f t="shared" si="10"/>
        <v>85</v>
      </c>
      <c r="K29" s="121">
        <f t="shared" si="11"/>
        <v>85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v>27</v>
      </c>
      <c r="U29" s="26">
        <v>58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136</v>
      </c>
      <c r="H30" s="197"/>
      <c r="I30" s="195" t="s">
        <v>234</v>
      </c>
      <c r="J30" s="120">
        <f t="shared" si="10"/>
        <v>0.45100000000000051</v>
      </c>
      <c r="K30" s="121">
        <f t="shared" si="11"/>
        <v>0.45100000000000051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42-41.549</f>
        <v>0.45100000000000051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379.51200000000006</v>
      </c>
      <c r="K31" s="121">
        <f t="shared" si="11"/>
        <v>379.51200000000006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194.116+39.127-7.635+30</f>
        <v>255.60800000000003</v>
      </c>
      <c r="U31" s="26">
        <f>85+4</f>
        <v>89</v>
      </c>
      <c r="V31" s="26">
        <f>34+0.904</f>
        <v>34.904000000000003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1.1280000000000001</v>
      </c>
      <c r="K32" s="121">
        <f t="shared" si="11"/>
        <v>1.1280000000000001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f>1+0.496-0.368</f>
        <v>1.1280000000000001</v>
      </c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263</v>
      </c>
      <c r="H33" s="197"/>
      <c r="I33" s="195" t="s">
        <v>234</v>
      </c>
      <c r="J33" s="120">
        <f t="shared" si="10"/>
        <v>105.93</v>
      </c>
      <c r="K33" s="121">
        <f t="shared" si="11"/>
        <v>105.93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3</v>
      </c>
      <c r="U33" s="26"/>
      <c r="V33" s="26">
        <f>104+73.163-75.971+3-3+1.738</f>
        <v>102.93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290</v>
      </c>
      <c r="F34" s="9" t="s">
        <v>40</v>
      </c>
      <c r="G34" s="9" t="s">
        <v>245</v>
      </c>
      <c r="H34" s="197"/>
      <c r="I34" s="195" t="s">
        <v>234</v>
      </c>
      <c r="J34" s="120">
        <f t="shared" si="10"/>
        <v>2257.5559999999996</v>
      </c>
      <c r="K34" s="121">
        <f t="shared" si="11"/>
        <v>2257.5559999999996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1392.974+485.07-487.476-7.012-403-300</f>
        <v>680.55599999999981</v>
      </c>
      <c r="U34" s="26">
        <f>772+403-12+300</f>
        <v>1463</v>
      </c>
      <c r="V34" s="26">
        <f>55+12+47</f>
        <v>114</v>
      </c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329</v>
      </c>
      <c r="F35" s="9" t="s">
        <v>40</v>
      </c>
      <c r="G35" s="9" t="s">
        <v>330</v>
      </c>
      <c r="H35" s="197"/>
      <c r="I35" s="195" t="s">
        <v>234</v>
      </c>
      <c r="J35" s="120">
        <f t="shared" si="10"/>
        <v>49.307000000000002</v>
      </c>
      <c r="K35" s="121">
        <f t="shared" si="11"/>
        <v>49.307000000000002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>
        <v>29.306999999999999</v>
      </c>
      <c r="U35" s="26">
        <v>20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256</v>
      </c>
      <c r="F36" s="9" t="s">
        <v>40</v>
      </c>
      <c r="G36" s="9" t="s">
        <v>257</v>
      </c>
      <c r="H36" s="197"/>
      <c r="I36" s="195" t="s">
        <v>234</v>
      </c>
      <c r="J36" s="120">
        <f t="shared" si="10"/>
        <v>199.87799999999999</v>
      </c>
      <c r="K36" s="121">
        <f t="shared" si="11"/>
        <v>199.87799999999999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f>60.784-73.906+24+77</f>
        <v>87.877999999999986</v>
      </c>
      <c r="U36" s="26">
        <v>112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264</v>
      </c>
      <c r="F37" s="9" t="s">
        <v>40</v>
      </c>
      <c r="G37" s="9" t="s">
        <v>265</v>
      </c>
      <c r="H37" s="197"/>
      <c r="I37" s="195" t="s">
        <v>234</v>
      </c>
      <c r="J37" s="120">
        <f t="shared" si="10"/>
        <v>52.179999999999993</v>
      </c>
      <c r="K37" s="121">
        <f t="shared" si="11"/>
        <v>52.179999999999993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1</v>
      </c>
      <c r="U37" s="26">
        <v>51.179999999999993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258</v>
      </c>
      <c r="F38" s="9" t="s">
        <v>40</v>
      </c>
      <c r="G38" s="9" t="s">
        <v>259</v>
      </c>
      <c r="H38" s="197"/>
      <c r="I38" s="195" t="s">
        <v>234</v>
      </c>
      <c r="J38" s="120">
        <f t="shared" si="10"/>
        <v>59</v>
      </c>
      <c r="K38" s="121">
        <f t="shared" si="11"/>
        <v>59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59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310</v>
      </c>
      <c r="F39" s="9" t="s">
        <v>40</v>
      </c>
      <c r="G39" s="9" t="s">
        <v>311</v>
      </c>
      <c r="H39" s="197"/>
      <c r="I39" s="195" t="s">
        <v>234</v>
      </c>
      <c r="J39" s="120">
        <f t="shared" si="10"/>
        <v>7.734</v>
      </c>
      <c r="K39" s="121">
        <f t="shared" si="11"/>
        <v>7.734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7.734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250</v>
      </c>
      <c r="F40" s="9" t="s">
        <v>40</v>
      </c>
      <c r="G40" s="9" t="s">
        <v>251</v>
      </c>
      <c r="H40" s="198"/>
      <c r="I40" s="195" t="s">
        <v>247</v>
      </c>
      <c r="J40" s="120">
        <f t="shared" si="10"/>
        <v>442.21999999999986</v>
      </c>
      <c r="K40" s="121">
        <f t="shared" si="11"/>
        <v>442.21999999999986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f>231.958-1123.141+466.626+82.777+183+25+361</f>
        <v>227.21999999999986</v>
      </c>
      <c r="U40" s="26">
        <v>42</v>
      </c>
      <c r="V40" s="26">
        <v>173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323</v>
      </c>
      <c r="F41" s="9" t="s">
        <v>40</v>
      </c>
      <c r="G41" s="9" t="s">
        <v>324</v>
      </c>
      <c r="H41" s="198"/>
      <c r="I41" s="195" t="s">
        <v>247</v>
      </c>
      <c r="J41" s="120">
        <f t="shared" si="10"/>
        <v>125</v>
      </c>
      <c r="K41" s="121">
        <f t="shared" si="11"/>
        <v>125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125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254</v>
      </c>
      <c r="F42" s="9" t="s">
        <v>40</v>
      </c>
      <c r="G42" s="9" t="s">
        <v>255</v>
      </c>
      <c r="H42" s="195"/>
      <c r="I42" s="195" t="s">
        <v>247</v>
      </c>
      <c r="J42" s="120">
        <f t="shared" si="10"/>
        <v>93.963999999999999</v>
      </c>
      <c r="K42" s="121">
        <f t="shared" si="11"/>
        <v>93.963999999999999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f>45.386-11.395+16+37</f>
        <v>86.991</v>
      </c>
      <c r="U42" s="26"/>
      <c r="V42" s="26"/>
      <c r="W42" s="26">
        <f>45-37+17-18.027</f>
        <v>6.972999999999999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320</v>
      </c>
      <c r="F43" s="9" t="s">
        <v>40</v>
      </c>
      <c r="G43" s="9" t="s">
        <v>268</v>
      </c>
      <c r="H43" s="195"/>
      <c r="I43" s="195" t="s">
        <v>247</v>
      </c>
      <c r="J43" s="120">
        <f t="shared" si="10"/>
        <v>18.117000000000001</v>
      </c>
      <c r="K43" s="121">
        <f t="shared" si="11"/>
        <v>18.117000000000001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f>21.959-6.481+2.639</f>
        <v>18.117000000000001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341</v>
      </c>
      <c r="F44" s="9" t="s">
        <v>40</v>
      </c>
      <c r="G44" s="9" t="s">
        <v>341</v>
      </c>
      <c r="H44" s="196"/>
      <c r="I44" s="195" t="s">
        <v>247</v>
      </c>
      <c r="J44" s="120">
        <f t="shared" si="10"/>
        <v>540</v>
      </c>
      <c r="K44" s="121">
        <f t="shared" si="11"/>
        <v>540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v>540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246</v>
      </c>
      <c r="F45" s="9" t="s">
        <v>40</v>
      </c>
      <c r="G45" s="9" t="s">
        <v>246</v>
      </c>
      <c r="H45" s="197"/>
      <c r="I45" s="195" t="s">
        <v>247</v>
      </c>
      <c r="J45" s="120">
        <f t="shared" si="10"/>
        <v>41.665999999999997</v>
      </c>
      <c r="K45" s="121">
        <f t="shared" si="11"/>
        <v>41.665999999999997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41.665999999999997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248</v>
      </c>
      <c r="F46" s="9" t="s">
        <v>40</v>
      </c>
      <c r="G46" s="9" t="s">
        <v>249</v>
      </c>
      <c r="H46" s="197"/>
      <c r="I46" s="195" t="s">
        <v>247</v>
      </c>
      <c r="J46" s="120">
        <f t="shared" si="10"/>
        <v>40.633000000000003</v>
      </c>
      <c r="K46" s="121">
        <f t="shared" si="11"/>
        <v>40.633000000000003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f>42-25.7+5.333+19</f>
        <v>40.633000000000003</v>
      </c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252</v>
      </c>
      <c r="F47" s="9" t="s">
        <v>40</v>
      </c>
      <c r="G47" s="9" t="s">
        <v>253</v>
      </c>
      <c r="H47" s="197"/>
      <c r="I47" s="195" t="s">
        <v>247</v>
      </c>
      <c r="J47" s="120">
        <f t="shared" si="10"/>
        <v>100.797</v>
      </c>
      <c r="K47" s="121">
        <f t="shared" si="11"/>
        <v>100.797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64.691-1.808-0.086+18</f>
        <v>80.796999999999997</v>
      </c>
      <c r="U47" s="26"/>
      <c r="V47" s="26">
        <v>20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260</v>
      </c>
      <c r="F48" s="9" t="s">
        <v>40</v>
      </c>
      <c r="G48" s="9" t="s">
        <v>261</v>
      </c>
      <c r="H48" s="197"/>
      <c r="I48" s="195" t="s">
        <v>247</v>
      </c>
      <c r="J48" s="120">
        <f t="shared" si="10"/>
        <v>40.186000000000007</v>
      </c>
      <c r="K48" s="121">
        <f t="shared" si="11"/>
        <v>40.186000000000007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v>4</v>
      </c>
      <c r="U48" s="26"/>
      <c r="V48" s="26"/>
      <c r="W48" s="26">
        <f>41+160.804-165.618</f>
        <v>36.186000000000007</v>
      </c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266</v>
      </c>
      <c r="F49" s="9" t="s">
        <v>40</v>
      </c>
      <c r="G49" s="9" t="s">
        <v>266</v>
      </c>
      <c r="H49" s="197"/>
      <c r="I49" s="195" t="s">
        <v>247</v>
      </c>
      <c r="J49" s="120">
        <f t="shared" si="10"/>
        <v>0.55400000000000205</v>
      </c>
      <c r="K49" s="121">
        <f t="shared" si="11"/>
        <v>0.55400000000000205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>
        <v>0.55400000000000205</v>
      </c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270</v>
      </c>
      <c r="F50" s="9" t="s">
        <v>40</v>
      </c>
      <c r="G50" s="9" t="s">
        <v>270</v>
      </c>
      <c r="H50" s="197"/>
      <c r="I50" s="195" t="s">
        <v>247</v>
      </c>
      <c r="J50" s="120">
        <f t="shared" si="10"/>
        <v>21.837</v>
      </c>
      <c r="K50" s="121">
        <f t="shared" si="11"/>
        <v>21.837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>
        <v>20</v>
      </c>
      <c r="U50" s="26">
        <v>1.8370000000000002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271</v>
      </c>
      <c r="F51" s="9" t="s">
        <v>40</v>
      </c>
      <c r="G51" s="9" t="s">
        <v>272</v>
      </c>
      <c r="H51" s="197"/>
      <c r="I51" s="195" t="s">
        <v>247</v>
      </c>
      <c r="J51" s="120">
        <f t="shared" si="10"/>
        <v>54</v>
      </c>
      <c r="K51" s="121">
        <f t="shared" si="11"/>
        <v>54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>
        <v>42</v>
      </c>
      <c r="U51" s="26">
        <v>12</v>
      </c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273</v>
      </c>
      <c r="F52" s="9" t="s">
        <v>40</v>
      </c>
      <c r="G52" s="9" t="s">
        <v>274</v>
      </c>
      <c r="H52" s="197"/>
      <c r="I52" s="195" t="s">
        <v>247</v>
      </c>
      <c r="J52" s="120">
        <f t="shared" si="10"/>
        <v>336.19900000000001</v>
      </c>
      <c r="K52" s="121">
        <f t="shared" si="11"/>
        <v>336.19900000000001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>
        <f>296.618+2-4</f>
        <v>294.61799999999999</v>
      </c>
      <c r="U52" s="26">
        <f>4+6</f>
        <v>10</v>
      </c>
      <c r="V52" s="26"/>
      <c r="W52" s="26">
        <f>37.581-6</f>
        <v>31.581000000000003</v>
      </c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297</v>
      </c>
      <c r="F53" s="9" t="s">
        <v>40</v>
      </c>
      <c r="G53" s="9" t="s">
        <v>297</v>
      </c>
      <c r="H53" s="197"/>
      <c r="I53" s="195" t="s">
        <v>247</v>
      </c>
      <c r="J53" s="120">
        <f t="shared" si="10"/>
        <v>48.896000000000001</v>
      </c>
      <c r="K53" s="121">
        <f t="shared" si="11"/>
        <v>48.896000000000001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v>48.896000000000001</v>
      </c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343</v>
      </c>
      <c r="F54" s="9" t="s">
        <v>40</v>
      </c>
      <c r="G54" s="9" t="s">
        <v>347</v>
      </c>
      <c r="H54" s="197"/>
      <c r="I54" s="195" t="s">
        <v>234</v>
      </c>
      <c r="J54" s="120">
        <f t="shared" si="10"/>
        <v>455</v>
      </c>
      <c r="K54" s="121">
        <f t="shared" si="11"/>
        <v>455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>
        <v>455</v>
      </c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4"/>
      <c r="I56" s="14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15"/>
      <c r="F57" s="9"/>
      <c r="G57" s="8"/>
      <c r="H57" s="14"/>
      <c r="I57" s="14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1"/>
      <c r="I68" s="11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2"/>
      <c r="I69" s="12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ref="J82:J145" si="13">+K82+L82</f>
        <v>0</v>
      </c>
      <c r="K82" s="121">
        <f t="shared" ref="K82:K145" si="14">SUM(N82:Y82)</f>
        <v>0</v>
      </c>
      <c r="L82" s="121">
        <f t="shared" ref="L82:L145" si="15">SUM(AA82:AL82)</f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3"/>
        <v>0</v>
      </c>
      <c r="K83" s="121">
        <f t="shared" si="14"/>
        <v>0</v>
      </c>
      <c r="L83" s="121">
        <f t="shared" si="15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4"/>
      <c r="I84" s="14"/>
      <c r="J84" s="120">
        <f t="shared" si="13"/>
        <v>0</v>
      </c>
      <c r="K84" s="121">
        <f t="shared" si="14"/>
        <v>0</v>
      </c>
      <c r="L84" s="121">
        <f t="shared" si="15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15"/>
      <c r="F85" s="9"/>
      <c r="G85" s="8"/>
      <c r="H85" s="14"/>
      <c r="I85" s="14"/>
      <c r="J85" s="120">
        <f t="shared" si="13"/>
        <v>0</v>
      </c>
      <c r="K85" s="121">
        <f t="shared" si="14"/>
        <v>0</v>
      </c>
      <c r="L85" s="121">
        <f t="shared" si="15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3"/>
        <v>0</v>
      </c>
      <c r="K86" s="121">
        <f t="shared" si="14"/>
        <v>0</v>
      </c>
      <c r="L86" s="121">
        <f t="shared" si="15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1"/>
      <c r="I87" s="11"/>
      <c r="J87" s="120">
        <f t="shared" si="13"/>
        <v>0</v>
      </c>
      <c r="K87" s="121">
        <f t="shared" si="14"/>
        <v>0</v>
      </c>
      <c r="L87" s="121">
        <f t="shared" si="15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2"/>
      <c r="I88" s="12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4"/>
      <c r="I103" s="14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15"/>
      <c r="F104" s="9"/>
      <c r="G104" s="8"/>
      <c r="H104" s="14"/>
      <c r="I104" s="14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1"/>
      <c r="I116" s="11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2"/>
      <c r="I117" s="12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4"/>
      <c r="I132" s="14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15"/>
      <c r="F133" s="9"/>
      <c r="G133" s="8"/>
      <c r="H133" s="14"/>
      <c r="I133" s="14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1"/>
      <c r="I135" s="11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2"/>
      <c r="I136" s="12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ref="J146:J209" si="16">+K146+L146</f>
        <v>0</v>
      </c>
      <c r="K146" s="121">
        <f t="shared" ref="K146:K209" si="17">SUM(N146:Y146)</f>
        <v>0</v>
      </c>
      <c r="L146" s="121">
        <f t="shared" ref="L146:L209" si="18">SUM(AA146:AL146)</f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4"/>
      <c r="I151" s="14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15"/>
      <c r="F152" s="9"/>
      <c r="G152" s="8"/>
      <c r="H152" s="14"/>
      <c r="I152" s="14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1"/>
      <c r="I163" s="11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2"/>
      <c r="I164" s="12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4"/>
      <c r="I179" s="14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15"/>
      <c r="F180" s="9"/>
      <c r="G180" s="8"/>
      <c r="H180" s="14"/>
      <c r="I180" s="14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1"/>
      <c r="I182" s="11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2"/>
      <c r="I183" s="12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4"/>
      <c r="I198" s="14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15"/>
      <c r="F199" s="9"/>
      <c r="G199" s="8"/>
      <c r="H199" s="14"/>
      <c r="I199" s="14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ref="J210:J245" si="19">+K210+L210</f>
        <v>0</v>
      </c>
      <c r="K210" s="121">
        <f t="shared" ref="K210:K245" si="20">SUM(N210:Y210)</f>
        <v>0</v>
      </c>
      <c r="L210" s="121">
        <f t="shared" ref="L210:L245" si="21">SUM(AA210:AL210)</f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1"/>
      <c r="I211" s="11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2"/>
      <c r="I212" s="12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4"/>
      <c r="I228" s="14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15"/>
      <c r="F229" s="9"/>
      <c r="G229" s="8"/>
      <c r="H229" s="14"/>
      <c r="I229" s="14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6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 s="24" customFormat="1">
      <c r="E244" s="16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17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J245" s="120">
        <f t="shared" si="19"/>
        <v>0</v>
      </c>
      <c r="K245" s="121">
        <f t="shared" si="20"/>
        <v>0</v>
      </c>
      <c r="L245" s="121">
        <f t="shared" si="21"/>
        <v>0</v>
      </c>
    </row>
  </sheetData>
  <sheetProtection formatCells="0" formatColumns="0" formatRows="0" insertRows="0" deleteRows="0" autoFilter="0"/>
  <autoFilter ref="E23:AL390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4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G1" zoomScaleNormal="100" workbookViewId="0">
      <selection activeCell="R59" sqref="R5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0+65.798+187.646+1646.019+2738.581+197.926+1008.221+129.743+236.84+210.522+419.213+379.871-21.033-10.626+0+996.361+456.384+265.654+288.475-3.151+0+252.333+188.87+473.671+157.511+189.413+2066.247-149.105+J10</f>
        <v>12371.384000000004</v>
      </c>
      <c r="I10" s="63"/>
      <c r="J10" s="162">
        <f>0</f>
        <v>0</v>
      </c>
      <c r="L10" s="162">
        <f>J10+T17</f>
        <v>2220.7290000000003</v>
      </c>
      <c r="N10" s="57"/>
      <c r="O10" s="173">
        <f>+H10+K17</f>
        <v>17887.043000000005</v>
      </c>
      <c r="P10" s="174" cm="1">
        <f t="array" aca="1" ref="P10" ca="1">INDIRECT(ADDRESS(10,15,,,VLOOKUP($G$4,parameters!$G:$I,3,0)))</f>
        <v>17611.143000000004</v>
      </c>
      <c r="Q10" s="186">
        <f ca="1">O10-P10</f>
        <v>275.90000000000146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0+68.362+73.603+302.502+1813.594+46.497+224.908+0.185+192.936+6.425+106.702+57.172+0+258.468+84.872+767.013-531.301+105.852+0+86.598+3.677+1441.496+138.278+15.073+278.81+84.165+J11</f>
        <v>5625.8870000000006</v>
      </c>
      <c r="I11" s="63"/>
      <c r="J11" s="18">
        <f>0</f>
        <v>0</v>
      </c>
      <c r="L11" s="18">
        <f>J11+T18</f>
        <v>556.92500000000007</v>
      </c>
      <c r="N11" s="57"/>
      <c r="O11" s="155">
        <f>+H11+K18</f>
        <v>7658.8060000000005</v>
      </c>
      <c r="P11" s="156" cm="1">
        <f t="array" aca="1" ref="P11" ca="1">INDIRECT(ADDRESS(11,15,,,VLOOKUP($G$4,parameters!$G:$I,3,0)))</f>
        <v>7539.8059999999996</v>
      </c>
      <c r="Q11" s="187">
        <f t="shared" ref="Q11:Q12" ca="1" si="0">O11-P11</f>
        <v>119.00000000000091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17997.271000000004</v>
      </c>
      <c r="I12" s="63"/>
      <c r="J12" s="128">
        <f>SUM(J10:J11)</f>
        <v>0</v>
      </c>
      <c r="K12" s="67"/>
      <c r="L12" s="128">
        <f>SUM(L10:L11)</f>
        <v>2777.6540000000005</v>
      </c>
      <c r="M12" s="67"/>
      <c r="N12" s="67"/>
      <c r="O12" s="157">
        <f>SUM(O10:O11)</f>
        <v>25545.849000000006</v>
      </c>
      <c r="P12" s="158">
        <f ca="1">SUM(P10:P11)</f>
        <v>25150.949000000004</v>
      </c>
      <c r="Q12" s="159">
        <f t="shared" ca="1" si="0"/>
        <v>394.90000000000146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5515.6589999999997</v>
      </c>
      <c r="K17" s="110">
        <f>+SUMIF($F$24:$F$251,"External",$K$24:$K$251)</f>
        <v>5515.6589999999997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2220.7290000000003</v>
      </c>
      <c r="U17" s="113">
        <f t="shared" si="1"/>
        <v>2011.683</v>
      </c>
      <c r="V17" s="113">
        <f t="shared" si="1"/>
        <v>577.49</v>
      </c>
      <c r="W17" s="113">
        <f t="shared" si="1"/>
        <v>705.75700000000006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2032.9190000000001</v>
      </c>
      <c r="K18" s="115">
        <f>+SUMIF($F$24:$F$251,"Group",$K$24:$K$251)</f>
        <v>2032.9190000000001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556.92500000000007</v>
      </c>
      <c r="U18" s="116">
        <f t="shared" si="3"/>
        <v>692.827</v>
      </c>
      <c r="V18" s="116">
        <f t="shared" si="3"/>
        <v>777.15200000000004</v>
      </c>
      <c r="W18" s="116">
        <f t="shared" si="3"/>
        <v>6.0149999999999997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7548.5779999999995</v>
      </c>
      <c r="K19" s="117">
        <f>SUM(K17:K18)</f>
        <v>7548.5779999999995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2777.6540000000005</v>
      </c>
      <c r="U19" s="118">
        <f t="shared" si="5"/>
        <v>2704.51</v>
      </c>
      <c r="V19" s="118">
        <f t="shared" si="5"/>
        <v>1354.6420000000001</v>
      </c>
      <c r="W19" s="118">
        <f t="shared" si="5"/>
        <v>711.77200000000005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204" t="s">
        <v>234</v>
      </c>
      <c r="J24" s="120">
        <f t="shared" ref="J24" si="7">+K24+L24</f>
        <v>1128.624</v>
      </c>
      <c r="K24" s="121">
        <f t="shared" ref="K24" si="8">SUM(N24:Y24)</f>
        <v>1128.624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7</v>
      </c>
      <c r="U24" s="26">
        <f>433.376+19</f>
        <v>452.37599999999998</v>
      </c>
      <c r="V24" s="26">
        <f>560.413-84.165+200-7</f>
        <v>669.24800000000005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96.236999999999995</v>
      </c>
      <c r="K25" s="121">
        <f t="shared" ref="K25:K88" si="11">SUM(N25:Y25)</f>
        <v>96.236999999999995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10.237+6</f>
        <v>16.237000000000002</v>
      </c>
      <c r="U25" s="26">
        <f>70+10</f>
        <v>80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59.238</v>
      </c>
      <c r="K26" s="121">
        <f t="shared" si="11"/>
        <v>59.238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47.238-1</f>
        <v>46.238</v>
      </c>
      <c r="U26" s="26">
        <f>12+1</f>
        <v>13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192.714</v>
      </c>
      <c r="K27" s="121">
        <f t="shared" si="11"/>
        <v>192.714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192.714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6.0149999999999997</v>
      </c>
      <c r="K28" s="121">
        <f t="shared" si="11"/>
        <v>6.0149999999999997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6.0149999999999997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205" t="s">
        <v>234</v>
      </c>
      <c r="J29" s="120">
        <f t="shared" si="10"/>
        <v>95</v>
      </c>
      <c r="K29" s="121">
        <f t="shared" si="11"/>
        <v>95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27+10</f>
        <v>37</v>
      </c>
      <c r="U29" s="26">
        <v>58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136</v>
      </c>
      <c r="H30" s="197"/>
      <c r="I30" s="195" t="s">
        <v>234</v>
      </c>
      <c r="J30" s="120">
        <f t="shared" si="10"/>
        <v>0.45100000000000051</v>
      </c>
      <c r="K30" s="121">
        <f t="shared" si="11"/>
        <v>0.45100000000000051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0.45100000000000051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379.512</v>
      </c>
      <c r="K31" s="121">
        <f t="shared" si="11"/>
        <v>379.512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255.608+1</f>
        <v>256.608</v>
      </c>
      <c r="U31" s="26">
        <v>89</v>
      </c>
      <c r="V31" s="26">
        <f>34.904-1</f>
        <v>33.904000000000003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1.1280000000000001</v>
      </c>
      <c r="K32" s="121">
        <f t="shared" si="11"/>
        <v>1.1280000000000001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1.1280000000000001</v>
      </c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348</v>
      </c>
      <c r="F33" s="9" t="s">
        <v>10</v>
      </c>
      <c r="G33" s="9" t="s">
        <v>348</v>
      </c>
      <c r="H33" s="197"/>
      <c r="I33" s="195" t="s">
        <v>234</v>
      </c>
      <c r="J33" s="120">
        <f t="shared" ref="J33" si="13">+K33+L33</f>
        <v>74</v>
      </c>
      <c r="K33" s="121">
        <f t="shared" ref="K33" si="14">SUM(N33:Y33)</f>
        <v>74</v>
      </c>
      <c r="L33" s="121">
        <f t="shared" ref="L33" si="15">SUM(AA33:AL33)</f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74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116.93</v>
      </c>
      <c r="K34" s="121">
        <f t="shared" si="11"/>
        <v>116.93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v>3</v>
      </c>
      <c r="U34" s="26"/>
      <c r="V34" s="26">
        <f>102.93+11</f>
        <v>113.93</v>
      </c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2327.556</v>
      </c>
      <c r="K35" s="121">
        <f t="shared" si="11"/>
        <v>2327.556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>
        <f>680.556+318</f>
        <v>998.55600000000004</v>
      </c>
      <c r="U35" s="26">
        <f>1463-318+54</f>
        <v>1199</v>
      </c>
      <c r="V35" s="26">
        <f>114-54+70</f>
        <v>130</v>
      </c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329</v>
      </c>
      <c r="F36" s="9" t="s">
        <v>40</v>
      </c>
      <c r="G36" s="9" t="s">
        <v>330</v>
      </c>
      <c r="H36" s="197"/>
      <c r="I36" s="195" t="s">
        <v>234</v>
      </c>
      <c r="J36" s="120">
        <f t="shared" si="10"/>
        <v>49.307000000000002</v>
      </c>
      <c r="K36" s="121">
        <f t="shared" si="11"/>
        <v>49.307000000000002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f>29.307-12</f>
        <v>17.306999999999999</v>
      </c>
      <c r="U36" s="26">
        <f>20+12</f>
        <v>32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256</v>
      </c>
      <c r="F37" s="9" t="s">
        <v>40</v>
      </c>
      <c r="G37" s="9" t="s">
        <v>257</v>
      </c>
      <c r="H37" s="197"/>
      <c r="I37" s="195" t="s">
        <v>234</v>
      </c>
      <c r="J37" s="120">
        <f t="shared" si="10"/>
        <v>199.87799999999999</v>
      </c>
      <c r="K37" s="121">
        <f t="shared" si="11"/>
        <v>199.87799999999999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87.877999999999986</v>
      </c>
      <c r="U37" s="26">
        <v>112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264</v>
      </c>
      <c r="F38" s="9" t="s">
        <v>40</v>
      </c>
      <c r="G38" s="9" t="s">
        <v>265</v>
      </c>
      <c r="H38" s="197"/>
      <c r="I38" s="195" t="s">
        <v>234</v>
      </c>
      <c r="J38" s="120">
        <f t="shared" si="10"/>
        <v>150.00700000000001</v>
      </c>
      <c r="K38" s="121">
        <f t="shared" si="11"/>
        <v>150.00700000000001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f>1-0.733</f>
        <v>0.26700000000000002</v>
      </c>
      <c r="U38" s="26">
        <v>51.179999999999993</v>
      </c>
      <c r="V38" s="26">
        <v>98.56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258</v>
      </c>
      <c r="F39" s="9" t="s">
        <v>40</v>
      </c>
      <c r="G39" s="9" t="s">
        <v>259</v>
      </c>
      <c r="H39" s="197"/>
      <c r="I39" s="195" t="s">
        <v>234</v>
      </c>
      <c r="J39" s="120">
        <f t="shared" si="10"/>
        <v>59</v>
      </c>
      <c r="K39" s="121">
        <f t="shared" si="11"/>
        <v>59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59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310</v>
      </c>
      <c r="F40" s="9" t="s">
        <v>40</v>
      </c>
      <c r="G40" s="9" t="s">
        <v>311</v>
      </c>
      <c r="H40" s="197"/>
      <c r="I40" s="195" t="s">
        <v>234</v>
      </c>
      <c r="J40" s="120">
        <f t="shared" si="10"/>
        <v>7.734</v>
      </c>
      <c r="K40" s="121">
        <f t="shared" si="11"/>
        <v>7.734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7.734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250</v>
      </c>
      <c r="F41" s="9" t="s">
        <v>40</v>
      </c>
      <c r="G41" s="9" t="s">
        <v>251</v>
      </c>
      <c r="H41" s="197"/>
      <c r="I41" s="195" t="s">
        <v>247</v>
      </c>
      <c r="J41" s="120">
        <f t="shared" si="10"/>
        <v>592.02599999999995</v>
      </c>
      <c r="K41" s="121">
        <f t="shared" si="11"/>
        <v>592.02599999999995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43</v>
      </c>
      <c r="U41" s="26"/>
      <c r="V41" s="26">
        <f>173+42</f>
        <v>215</v>
      </c>
      <c r="W41" s="26">
        <f>205+227.22+149.252-205-43+0.554000000000002</f>
        <v>334.02599999999995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323</v>
      </c>
      <c r="F42" s="9" t="s">
        <v>40</v>
      </c>
      <c r="G42" s="9" t="s">
        <v>324</v>
      </c>
      <c r="H42" s="197"/>
      <c r="I42" s="195" t="s">
        <v>247</v>
      </c>
      <c r="J42" s="120">
        <f t="shared" si="10"/>
        <v>125</v>
      </c>
      <c r="K42" s="121">
        <f t="shared" si="11"/>
        <v>125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125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7"/>
      <c r="I43" s="195" t="s">
        <v>247</v>
      </c>
      <c r="J43" s="120">
        <f t="shared" si="10"/>
        <v>93.963999999999999</v>
      </c>
      <c r="K43" s="121">
        <f t="shared" si="11"/>
        <v>93.963999999999999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v>22</v>
      </c>
      <c r="U43" s="26"/>
      <c r="V43" s="26"/>
      <c r="W43" s="26">
        <f>86.991-22+6.973</f>
        <v>71.963999999999999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320</v>
      </c>
      <c r="F44" s="9" t="s">
        <v>40</v>
      </c>
      <c r="G44" s="9" t="s">
        <v>268</v>
      </c>
      <c r="H44" s="198"/>
      <c r="I44" s="195" t="s">
        <v>247</v>
      </c>
      <c r="J44" s="120">
        <f t="shared" si="10"/>
        <v>29.117000000000001</v>
      </c>
      <c r="K44" s="121">
        <f t="shared" si="11"/>
        <v>29.117000000000001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>
        <f>18.117+5</f>
        <v>23.117000000000001</v>
      </c>
      <c r="U44" s="26">
        <v>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341</v>
      </c>
      <c r="F45" s="9" t="s">
        <v>40</v>
      </c>
      <c r="G45" s="9" t="s">
        <v>341</v>
      </c>
      <c r="H45" s="198"/>
      <c r="I45" s="195" t="s">
        <v>247</v>
      </c>
      <c r="J45" s="120">
        <f t="shared" si="10"/>
        <v>540</v>
      </c>
      <c r="K45" s="121">
        <f t="shared" si="11"/>
        <v>540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>
        <v>540</v>
      </c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246</v>
      </c>
      <c r="F46" s="9" t="s">
        <v>40</v>
      </c>
      <c r="G46" s="9" t="s">
        <v>246</v>
      </c>
      <c r="H46" s="198"/>
      <c r="I46" s="195" t="s">
        <v>247</v>
      </c>
      <c r="J46" s="120">
        <f t="shared" si="10"/>
        <v>46.665999999999997</v>
      </c>
      <c r="K46" s="121">
        <f t="shared" si="11"/>
        <v>46.665999999999997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v>5</v>
      </c>
      <c r="U46" s="26">
        <v>41.665999999999997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248</v>
      </c>
      <c r="F47" s="9" t="s">
        <v>40</v>
      </c>
      <c r="G47" s="9" t="s">
        <v>249</v>
      </c>
      <c r="H47" s="195"/>
      <c r="I47" s="195" t="s">
        <v>247</v>
      </c>
      <c r="J47" s="120">
        <f t="shared" si="10"/>
        <v>109.63300000000001</v>
      </c>
      <c r="K47" s="121">
        <f t="shared" si="11"/>
        <v>109.63300000000001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40.633+20</f>
        <v>60.633000000000003</v>
      </c>
      <c r="U47" s="26">
        <v>49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252</v>
      </c>
      <c r="F48" s="9" t="s">
        <v>40</v>
      </c>
      <c r="G48" s="9" t="s">
        <v>253</v>
      </c>
      <c r="H48" s="195"/>
      <c r="I48" s="195" t="s">
        <v>247</v>
      </c>
      <c r="J48" s="120">
        <f t="shared" si="10"/>
        <v>112.723</v>
      </c>
      <c r="K48" s="121">
        <f t="shared" si="11"/>
        <v>112.723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f>80.797-0.074+12</f>
        <v>92.722999999999999</v>
      </c>
      <c r="U48" s="26"/>
      <c r="V48" s="26">
        <f>20-12+12</f>
        <v>20</v>
      </c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260</v>
      </c>
      <c r="F49" s="9" t="s">
        <v>40</v>
      </c>
      <c r="G49" s="9" t="s">
        <v>261</v>
      </c>
      <c r="H49" s="196"/>
      <c r="I49" s="195" t="s">
        <v>247</v>
      </c>
      <c r="J49" s="120">
        <f t="shared" si="10"/>
        <v>40.186</v>
      </c>
      <c r="K49" s="121">
        <f t="shared" si="11"/>
        <v>40.186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>
        <f>36.186+4</f>
        <v>40.186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270</v>
      </c>
      <c r="F50" s="9" t="s">
        <v>40</v>
      </c>
      <c r="G50" s="9" t="s">
        <v>270</v>
      </c>
      <c r="H50" s="197"/>
      <c r="I50" s="195" t="s">
        <v>247</v>
      </c>
      <c r="J50" s="120">
        <f t="shared" si="10"/>
        <v>21.837</v>
      </c>
      <c r="K50" s="121">
        <f t="shared" si="11"/>
        <v>21.837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>
        <v>20</v>
      </c>
      <c r="U50" s="26">
        <v>1.8370000000000002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271</v>
      </c>
      <c r="F51" s="9" t="s">
        <v>40</v>
      </c>
      <c r="G51" s="9" t="s">
        <v>272</v>
      </c>
      <c r="H51" s="197"/>
      <c r="I51" s="195" t="s">
        <v>247</v>
      </c>
      <c r="J51" s="120">
        <f t="shared" si="10"/>
        <v>54</v>
      </c>
      <c r="K51" s="121">
        <f t="shared" si="11"/>
        <v>54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>
        <f>42-32</f>
        <v>10</v>
      </c>
      <c r="U51" s="26"/>
      <c r="V51" s="26"/>
      <c r="W51" s="26">
        <f>12+32</f>
        <v>44</v>
      </c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273</v>
      </c>
      <c r="F52" s="9" t="s">
        <v>40</v>
      </c>
      <c r="G52" s="9" t="s">
        <v>274</v>
      </c>
      <c r="H52" s="197"/>
      <c r="I52" s="195" t="s">
        <v>247</v>
      </c>
      <c r="J52" s="120">
        <f t="shared" si="10"/>
        <v>336.19900000000001</v>
      </c>
      <c r="K52" s="121">
        <f t="shared" si="11"/>
        <v>336.19900000000001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>
        <f>294.618-54</f>
        <v>240.61799999999999</v>
      </c>
      <c r="U52" s="26">
        <f>10+54</f>
        <v>64</v>
      </c>
      <c r="V52" s="26"/>
      <c r="W52" s="26">
        <v>31.581000000000003</v>
      </c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297</v>
      </c>
      <c r="F53" s="9" t="s">
        <v>40</v>
      </c>
      <c r="G53" s="9" t="s">
        <v>297</v>
      </c>
      <c r="H53" s="197"/>
      <c r="I53" s="195" t="s">
        <v>247</v>
      </c>
      <c r="J53" s="120">
        <f t="shared" si="10"/>
        <v>48.896000000000001</v>
      </c>
      <c r="K53" s="121">
        <f t="shared" si="11"/>
        <v>48.896000000000001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>
        <v>48.896000000000001</v>
      </c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343</v>
      </c>
      <c r="F54" s="9" t="s">
        <v>40</v>
      </c>
      <c r="G54" s="9" t="s">
        <v>347</v>
      </c>
      <c r="H54" s="197"/>
      <c r="I54" s="195" t="s">
        <v>234</v>
      </c>
      <c r="J54" s="120">
        <f t="shared" si="10"/>
        <v>455</v>
      </c>
      <c r="K54" s="121">
        <f t="shared" si="11"/>
        <v>455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v>455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211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211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211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211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211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211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211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211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211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211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211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210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210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210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210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210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210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210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210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208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208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209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210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210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210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210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210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210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210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210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210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210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210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210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210"/>
      <c r="J89" s="120">
        <f t="shared" ref="J89:J152" si="16">+K89+L89</f>
        <v>0</v>
      </c>
      <c r="K89" s="121">
        <f t="shared" ref="K89:K152" si="17">SUM(N89:Y89)</f>
        <v>0</v>
      </c>
      <c r="L89" s="121">
        <f t="shared" ref="L89:L152" si="18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210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210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210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208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208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209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9">+K153+L153</f>
        <v>0</v>
      </c>
      <c r="K153" s="121">
        <f t="shared" ref="K153:K216" si="20">SUM(N153:Y153)</f>
        <v>0</v>
      </c>
      <c r="L153" s="121">
        <f t="shared" ref="L153:L216" si="21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22">+K217+L217</f>
        <v>0</v>
      </c>
      <c r="K217" s="121">
        <f t="shared" ref="K217:K252" si="23">SUM(N217:Y217)</f>
        <v>0</v>
      </c>
      <c r="L217" s="121">
        <f t="shared" ref="L217:L252" si="24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22"/>
        <v>0</v>
      </c>
      <c r="K252" s="121">
        <f t="shared" si="23"/>
        <v>0</v>
      </c>
      <c r="L252" s="121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A7" zoomScale="90" zoomScaleNormal="90" workbookViewId="0">
      <selection activeCell="H37" sqref="H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0+65.798+187.646+1646.019+2738.581+197.926+1008.221+129.743+236.84+210.522+419.213+379.871-21.033-10.626+0+996.361+456.384+265.654+288.475-3.151+0+252.333+188.87+473.671+157.511+189.413+2066.247-149.105+J10</f>
        <v>12698.869000000004</v>
      </c>
      <c r="I10" s="63"/>
      <c r="J10" s="162">
        <f>0+327.485</f>
        <v>327.48500000000001</v>
      </c>
      <c r="L10" s="162">
        <f>J10+T17</f>
        <v>2048.634</v>
      </c>
      <c r="N10" s="57"/>
      <c r="O10" s="173">
        <f>+H10+K17</f>
        <v>19148.043000000005</v>
      </c>
      <c r="P10" s="174" cm="1">
        <f t="array" aca="1" ref="P10" ca="1">INDIRECT(ADDRESS(10,15,,,VLOOKUP($G$4,parameters!$G:$I,3,0)))</f>
        <v>17887.043000000005</v>
      </c>
      <c r="Q10" s="186">
        <f ca="1">O10-P10</f>
        <v>1261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0+68.362+73.603+302.502+1813.594+46.497+224.908+0.185+192.936+6.425+106.702+57.172+0+258.468+84.872+767.013-531.301+105.852+0+86.598+3.677+1441.496+138.278+15.073+278.81+84.165+J11</f>
        <v>5740.7340000000004</v>
      </c>
      <c r="I11" s="63"/>
      <c r="J11" s="18">
        <f>0+114.847</f>
        <v>114.84699999999999</v>
      </c>
      <c r="L11" s="18">
        <f>J11+T18</f>
        <v>628.61900000000003</v>
      </c>
      <c r="N11" s="57"/>
      <c r="O11" s="155">
        <f>+H11+K18</f>
        <v>7706.8850000000002</v>
      </c>
      <c r="P11" s="156" cm="1">
        <f t="array" aca="1" ref="P11" ca="1">INDIRECT(ADDRESS(11,15,,,VLOOKUP($G$4,parameters!$G:$I,3,0)))</f>
        <v>7658.8060000000005</v>
      </c>
      <c r="Q11" s="187">
        <f t="shared" ref="Q11:Q12" ca="1" si="0">O11-P11</f>
        <v>48.078999999999724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18439.603000000003</v>
      </c>
      <c r="I12" s="63"/>
      <c r="J12" s="128">
        <f>SUM(J10:J11)</f>
        <v>442.33199999999999</v>
      </c>
      <c r="K12" s="67"/>
      <c r="L12" s="128">
        <f>SUM(L10:L11)</f>
        <v>2677.2530000000002</v>
      </c>
      <c r="M12" s="67"/>
      <c r="N12" s="67"/>
      <c r="O12" s="157">
        <f>SUM(O10:O11)</f>
        <v>26854.928000000007</v>
      </c>
      <c r="P12" s="158">
        <f ca="1">SUM(P10:P11)</f>
        <v>25545.849000000006</v>
      </c>
      <c r="Q12" s="159">
        <f t="shared" ca="1" si="0"/>
        <v>1309.0790000000015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6449.174</v>
      </c>
      <c r="K17" s="110">
        <f>+SUMIF($F$24:$F$251,"External",$K$24:$K$251)</f>
        <v>6449.174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1721.1490000000001</v>
      </c>
      <c r="U17" s="113">
        <f t="shared" si="1"/>
        <v>2542.683</v>
      </c>
      <c r="V17" s="113">
        <f t="shared" si="1"/>
        <v>1669.49</v>
      </c>
      <c r="W17" s="113">
        <f t="shared" si="1"/>
        <v>515.85199999999998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1966.1510000000001</v>
      </c>
      <c r="K18" s="115">
        <f>+SUMIF($F$24:$F$251,"Group",$K$24:$K$251)</f>
        <v>1966.1510000000001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513.77200000000005</v>
      </c>
      <c r="U18" s="116">
        <f t="shared" si="3"/>
        <v>907.29500000000007</v>
      </c>
      <c r="V18" s="116">
        <f t="shared" si="3"/>
        <v>528.15200000000004</v>
      </c>
      <c r="W18" s="116">
        <f t="shared" si="3"/>
        <v>16.932000000000002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8415.3250000000007</v>
      </c>
      <c r="K19" s="117">
        <f>SUM(K17:K18)</f>
        <v>8415.3250000000007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2234.9210000000003</v>
      </c>
      <c r="U19" s="118">
        <f t="shared" si="5"/>
        <v>3449.9780000000001</v>
      </c>
      <c r="V19" s="118">
        <f t="shared" si="5"/>
        <v>2197.6419999999998</v>
      </c>
      <c r="W19" s="118">
        <f t="shared" si="5"/>
        <v>532.78399999999999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1071.0920000000001</v>
      </c>
      <c r="K24" s="121">
        <f t="shared" ref="K24" si="8">SUM(N24:Y24)</f>
        <v>1071.0920000000001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7</v>
      </c>
      <c r="U24" s="26">
        <f>452.376-57.532-13+285</f>
        <v>666.84400000000005</v>
      </c>
      <c r="V24" s="26">
        <f>669.248-285</f>
        <v>384.24800000000005</v>
      </c>
      <c r="W24" s="26">
        <v>13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96.236999999999995</v>
      </c>
      <c r="K25" s="121">
        <f t="shared" ref="K25:K88" si="11">SUM(N25:Y25)</f>
        <v>96.236999999999995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16.237000000000002</v>
      </c>
      <c r="U25" s="26">
        <v>80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55.606999999999999</v>
      </c>
      <c r="K26" s="121">
        <f t="shared" si="11"/>
        <v>55.606999999999999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46.238-3.631</f>
        <v>42.606999999999999</v>
      </c>
      <c r="U26" s="26">
        <v>13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191.684</v>
      </c>
      <c r="K27" s="121">
        <f t="shared" si="11"/>
        <v>191.684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192.714-1.03</f>
        <v>191.684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3.9320000000000004</v>
      </c>
      <c r="K28" s="121">
        <f t="shared" si="11"/>
        <v>3.9320000000000004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f>6.015-0.714-0.13-1.239</f>
        <v>3.9320000000000004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5" t="s">
        <v>234</v>
      </c>
      <c r="J29" s="120">
        <f t="shared" si="10"/>
        <v>66.227000000000004</v>
      </c>
      <c r="K29" s="121">
        <f t="shared" si="11"/>
        <v>66.227000000000004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37-28.773</f>
        <v>8.2270000000000003</v>
      </c>
      <c r="U29" s="26">
        <v>58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136</v>
      </c>
      <c r="H30" s="197"/>
      <c r="I30" s="195" t="s">
        <v>234</v>
      </c>
      <c r="J30" s="120">
        <f t="shared" si="10"/>
        <v>0.45100000000000051</v>
      </c>
      <c r="K30" s="121">
        <f t="shared" si="11"/>
        <v>0.45100000000000051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0.45100000000000051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405.79300000000001</v>
      </c>
      <c r="K31" s="121">
        <f t="shared" si="11"/>
        <v>405.79300000000001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256.608-0.719-9</f>
        <v>246.88900000000001</v>
      </c>
      <c r="U31" s="26">
        <v>89</v>
      </c>
      <c r="V31" s="26">
        <f>33.904+9+27</f>
        <v>69.903999999999996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1.1280000000000001</v>
      </c>
      <c r="K32" s="121">
        <f t="shared" si="11"/>
        <v>1.1280000000000001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1.1280000000000001</v>
      </c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348</v>
      </c>
      <c r="F33" s="9" t="s">
        <v>10</v>
      </c>
      <c r="G33" s="9" t="s">
        <v>348</v>
      </c>
      <c r="H33" s="197"/>
      <c r="I33" s="195" t="s">
        <v>234</v>
      </c>
      <c r="J33" s="120">
        <f t="shared" si="10"/>
        <v>74</v>
      </c>
      <c r="K33" s="121">
        <f t="shared" si="11"/>
        <v>74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74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1252.93</v>
      </c>
      <c r="K34" s="121">
        <f t="shared" si="11"/>
        <v>1252.93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v>3</v>
      </c>
      <c r="U34" s="26"/>
      <c r="V34" s="26">
        <f>113.93+1136</f>
        <v>1249.93</v>
      </c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2031.6469999999999</v>
      </c>
      <c r="K35" s="121">
        <f t="shared" si="11"/>
        <v>2031.6469999999999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>
        <f>998.556-295.909-224</f>
        <v>478.64700000000005</v>
      </c>
      <c r="U35" s="26">
        <f>1199+224+46</f>
        <v>1469</v>
      </c>
      <c r="V35" s="26">
        <f>130-46</f>
        <v>84</v>
      </c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329</v>
      </c>
      <c r="F36" s="9" t="s">
        <v>40</v>
      </c>
      <c r="G36" s="9" t="s">
        <v>330</v>
      </c>
      <c r="H36" s="197"/>
      <c r="I36" s="195" t="s">
        <v>234</v>
      </c>
      <c r="J36" s="120">
        <f t="shared" si="10"/>
        <v>49.307000000000002</v>
      </c>
      <c r="K36" s="121">
        <f t="shared" si="11"/>
        <v>49.307000000000002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v>17.306999999999999</v>
      </c>
      <c r="U36" s="26">
        <v>32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256</v>
      </c>
      <c r="F37" s="9" t="s">
        <v>40</v>
      </c>
      <c r="G37" s="9" t="s">
        <v>257</v>
      </c>
      <c r="H37" s="197"/>
      <c r="I37" s="195" t="s">
        <v>234</v>
      </c>
      <c r="J37" s="120">
        <f t="shared" si="10"/>
        <v>187.542</v>
      </c>
      <c r="K37" s="121">
        <f t="shared" si="11"/>
        <v>187.542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f>87.878-12.336</f>
        <v>75.542000000000002</v>
      </c>
      <c r="U37" s="26">
        <v>112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264</v>
      </c>
      <c r="F38" s="9" t="s">
        <v>40</v>
      </c>
      <c r="G38" s="9" t="s">
        <v>265</v>
      </c>
      <c r="H38" s="197"/>
      <c r="I38" s="195" t="s">
        <v>234</v>
      </c>
      <c r="J38" s="120">
        <f t="shared" si="10"/>
        <v>149.58099999999999</v>
      </c>
      <c r="K38" s="121">
        <f t="shared" si="11"/>
        <v>149.58099999999999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f>0.267-0.426</f>
        <v>-0.15899999999999997</v>
      </c>
      <c r="U38" s="26">
        <v>51.179999999999993</v>
      </c>
      <c r="V38" s="26">
        <v>98.56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258</v>
      </c>
      <c r="F39" s="9" t="s">
        <v>40</v>
      </c>
      <c r="G39" s="9" t="s">
        <v>259</v>
      </c>
      <c r="H39" s="197"/>
      <c r="I39" s="195" t="s">
        <v>234</v>
      </c>
      <c r="J39" s="120">
        <f t="shared" si="10"/>
        <v>59</v>
      </c>
      <c r="K39" s="121">
        <f t="shared" si="11"/>
        <v>59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59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310</v>
      </c>
      <c r="F40" s="9" t="s">
        <v>40</v>
      </c>
      <c r="G40" s="9" t="s">
        <v>311</v>
      </c>
      <c r="H40" s="197"/>
      <c r="I40" s="195" t="s">
        <v>234</v>
      </c>
      <c r="J40" s="120">
        <f t="shared" si="10"/>
        <v>7.734</v>
      </c>
      <c r="K40" s="121">
        <f t="shared" si="11"/>
        <v>7.734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7.734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250</v>
      </c>
      <c r="F41" s="9" t="s">
        <v>40</v>
      </c>
      <c r="G41" s="9" t="s">
        <v>251</v>
      </c>
      <c r="H41" s="197"/>
      <c r="I41" s="195" t="s">
        <v>247</v>
      </c>
      <c r="J41" s="120">
        <f t="shared" si="10"/>
        <v>587.9670000000001</v>
      </c>
      <c r="K41" s="121">
        <f t="shared" si="11"/>
        <v>587.9670000000001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f>43-4.059</f>
        <v>38.941000000000003</v>
      </c>
      <c r="U41" s="26">
        <v>40</v>
      </c>
      <c r="V41" s="26">
        <v>215</v>
      </c>
      <c r="W41" s="26">
        <f>334.026-40</f>
        <v>294.02600000000001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323</v>
      </c>
      <c r="F42" s="9" t="s">
        <v>40</v>
      </c>
      <c r="G42" s="9" t="s">
        <v>324</v>
      </c>
      <c r="H42" s="197"/>
      <c r="I42" s="195" t="s">
        <v>247</v>
      </c>
      <c r="J42" s="120">
        <f t="shared" si="10"/>
        <v>117.059</v>
      </c>
      <c r="K42" s="121">
        <f t="shared" si="11"/>
        <v>117.059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65</v>
      </c>
      <c r="V42" s="26"/>
      <c r="W42" s="26">
        <f>125-7.941-65</f>
        <v>52.058999999999997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8"/>
      <c r="I43" s="195" t="s">
        <v>247</v>
      </c>
      <c r="J43" s="120">
        <f t="shared" si="10"/>
        <v>108.964</v>
      </c>
      <c r="K43" s="121">
        <f t="shared" si="11"/>
        <v>108.964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f>22+71.964+15</f>
        <v>108.964</v>
      </c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320</v>
      </c>
      <c r="F44" s="9" t="s">
        <v>40</v>
      </c>
      <c r="G44" s="9" t="s">
        <v>268</v>
      </c>
      <c r="H44" s="198"/>
      <c r="I44" s="195" t="s">
        <v>247</v>
      </c>
      <c r="J44" s="120">
        <f t="shared" si="10"/>
        <v>29.117000000000001</v>
      </c>
      <c r="K44" s="121">
        <f t="shared" si="11"/>
        <v>29.117000000000001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>
        <v>23.117000000000001</v>
      </c>
      <c r="U44" s="26">
        <v>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341</v>
      </c>
      <c r="F45" s="9" t="s">
        <v>40</v>
      </c>
      <c r="G45" s="9" t="s">
        <v>341</v>
      </c>
      <c r="H45" s="198"/>
      <c r="I45" s="195" t="s">
        <v>247</v>
      </c>
      <c r="J45" s="120">
        <f t="shared" si="10"/>
        <v>540</v>
      </c>
      <c r="K45" s="121">
        <f t="shared" si="11"/>
        <v>540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>
        <v>540</v>
      </c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246</v>
      </c>
      <c r="F46" s="9" t="s">
        <v>40</v>
      </c>
      <c r="G46" s="9" t="s">
        <v>246</v>
      </c>
      <c r="H46" s="195"/>
      <c r="I46" s="195" t="s">
        <v>247</v>
      </c>
      <c r="J46" s="120">
        <f t="shared" si="10"/>
        <v>46.665999999999997</v>
      </c>
      <c r="K46" s="121">
        <f t="shared" si="11"/>
        <v>46.665999999999997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v>5</v>
      </c>
      <c r="U46" s="26">
        <v>41.665999999999997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248</v>
      </c>
      <c r="F47" s="9" t="s">
        <v>40</v>
      </c>
      <c r="G47" s="9" t="s">
        <v>249</v>
      </c>
      <c r="H47" s="195"/>
      <c r="I47" s="195" t="s">
        <v>247</v>
      </c>
      <c r="J47" s="120">
        <f t="shared" si="10"/>
        <v>219.63300000000001</v>
      </c>
      <c r="K47" s="121">
        <f t="shared" si="11"/>
        <v>219.63300000000001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60.633-43</f>
        <v>17.633000000000003</v>
      </c>
      <c r="U47" s="26">
        <f>49+43+110</f>
        <v>202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252</v>
      </c>
      <c r="F48" s="9" t="s">
        <v>40</v>
      </c>
      <c r="G48" s="9" t="s">
        <v>253</v>
      </c>
      <c r="H48" s="196"/>
      <c r="I48" s="195" t="s">
        <v>247</v>
      </c>
      <c r="J48" s="120">
        <f t="shared" si="10"/>
        <v>112.15300000000001</v>
      </c>
      <c r="K48" s="121">
        <f t="shared" si="11"/>
        <v>112.15300000000001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f>92.723-0.57</f>
        <v>92.153000000000006</v>
      </c>
      <c r="U48" s="26"/>
      <c r="V48" s="26">
        <v>20</v>
      </c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260</v>
      </c>
      <c r="F49" s="9" t="s">
        <v>40</v>
      </c>
      <c r="G49" s="9" t="s">
        <v>261</v>
      </c>
      <c r="H49" s="197"/>
      <c r="I49" s="195" t="s">
        <v>247</v>
      </c>
      <c r="J49" s="120">
        <f t="shared" si="10"/>
        <v>40.186</v>
      </c>
      <c r="K49" s="121">
        <f t="shared" si="11"/>
        <v>40.186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>
        <v>40.186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270</v>
      </c>
      <c r="F50" s="9" t="s">
        <v>40</v>
      </c>
      <c r="G50" s="9" t="s">
        <v>270</v>
      </c>
      <c r="H50" s="197"/>
      <c r="I50" s="195" t="s">
        <v>247</v>
      </c>
      <c r="J50" s="120">
        <f t="shared" si="10"/>
        <v>15.593</v>
      </c>
      <c r="K50" s="121">
        <f t="shared" si="11"/>
        <v>15.593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>
        <f>20-6.244</f>
        <v>13.756</v>
      </c>
      <c r="U50" s="26">
        <v>1.8370000000000002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271</v>
      </c>
      <c r="F51" s="9" t="s">
        <v>40</v>
      </c>
      <c r="G51" s="9" t="s">
        <v>272</v>
      </c>
      <c r="H51" s="197"/>
      <c r="I51" s="195" t="s">
        <v>247</v>
      </c>
      <c r="J51" s="120">
        <f t="shared" si="10"/>
        <v>54</v>
      </c>
      <c r="K51" s="121">
        <f t="shared" si="11"/>
        <v>54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>
        <v>10</v>
      </c>
      <c r="U51" s="26"/>
      <c r="V51" s="26"/>
      <c r="W51" s="26">
        <v>44</v>
      </c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273</v>
      </c>
      <c r="F52" s="9" t="s">
        <v>40</v>
      </c>
      <c r="G52" s="9" t="s">
        <v>274</v>
      </c>
      <c r="H52" s="197"/>
      <c r="I52" s="195" t="s">
        <v>247</v>
      </c>
      <c r="J52" s="120">
        <f t="shared" si="10"/>
        <v>336.19900000000001</v>
      </c>
      <c r="K52" s="121">
        <f t="shared" si="11"/>
        <v>336.19900000000001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>
        <v>240.61799999999999</v>
      </c>
      <c r="U52" s="26">
        <f>64+3</f>
        <v>67</v>
      </c>
      <c r="V52" s="26">
        <v>2</v>
      </c>
      <c r="W52" s="26">
        <f>31.581-3-2</f>
        <v>26.581</v>
      </c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297</v>
      </c>
      <c r="F53" s="9" t="s">
        <v>40</v>
      </c>
      <c r="G53" s="9" t="s">
        <v>297</v>
      </c>
      <c r="H53" s="197"/>
      <c r="I53" s="195" t="s">
        <v>247</v>
      </c>
      <c r="J53" s="120">
        <f t="shared" si="10"/>
        <v>48.896000000000001</v>
      </c>
      <c r="K53" s="121">
        <f t="shared" si="11"/>
        <v>48.896000000000001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>
        <v>48.896000000000001</v>
      </c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343</v>
      </c>
      <c r="F54" s="9" t="s">
        <v>40</v>
      </c>
      <c r="G54" s="9" t="s">
        <v>347</v>
      </c>
      <c r="H54" s="197"/>
      <c r="I54" s="195" t="s">
        <v>234</v>
      </c>
      <c r="J54" s="120">
        <f t="shared" si="10"/>
        <v>455</v>
      </c>
      <c r="K54" s="121">
        <f t="shared" si="11"/>
        <v>455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v>455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7"/>
      <c r="I55" s="195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7"/>
      <c r="I56" s="197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7"/>
      <c r="I57" s="197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7"/>
      <c r="I58" s="197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7"/>
      <c r="I59" s="197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7"/>
      <c r="I60" s="197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7"/>
      <c r="I61" s="197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8"/>
      <c r="I62" s="198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8"/>
      <c r="I63" s="198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201"/>
      <c r="F64" s="9"/>
      <c r="G64" s="9"/>
      <c r="H64" s="198"/>
      <c r="I64" s="198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9"/>
      <c r="F65" s="9"/>
      <c r="G65" s="9"/>
      <c r="H65" s="197"/>
      <c r="I65" s="197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9"/>
      <c r="F66" s="9"/>
      <c r="G66" s="9"/>
      <c r="H66" s="197"/>
      <c r="I66" s="197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9"/>
      <c r="F67" s="9"/>
      <c r="G67" s="9"/>
      <c r="H67" s="197"/>
      <c r="I67" s="197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9"/>
      <c r="F68" s="9"/>
      <c r="G68" s="9"/>
      <c r="H68" s="197"/>
      <c r="I68" s="197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9"/>
      <c r="F69" s="9"/>
      <c r="G69" s="9"/>
      <c r="H69" s="197"/>
      <c r="I69" s="197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201"/>
      <c r="F70" s="9"/>
      <c r="G70" s="9"/>
      <c r="H70" s="197"/>
      <c r="I70" s="197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9"/>
      <c r="F71" s="9"/>
      <c r="G71" s="9"/>
      <c r="H71" s="197"/>
      <c r="I71" s="197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9"/>
      <c r="F72" s="9"/>
      <c r="G72" s="9"/>
      <c r="H72" s="197"/>
      <c r="I72" s="197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9"/>
      <c r="F73" s="9"/>
      <c r="G73" s="9"/>
      <c r="H73" s="197"/>
      <c r="I73" s="197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9"/>
      <c r="F74" s="9"/>
      <c r="G74" s="9"/>
      <c r="H74" s="195"/>
      <c r="I74" s="195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9"/>
      <c r="F75" s="9"/>
      <c r="G75" s="9"/>
      <c r="H75" s="195"/>
      <c r="I75" s="195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9"/>
      <c r="F76" s="9"/>
      <c r="G76" s="9"/>
      <c r="H76" s="196"/>
      <c r="I76" s="196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9"/>
      <c r="F77" s="9"/>
      <c r="G77" s="9"/>
      <c r="H77" s="197"/>
      <c r="I77" s="197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9"/>
      <c r="F78" s="9"/>
      <c r="G78" s="9"/>
      <c r="H78" s="197"/>
      <c r="I78" s="197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9"/>
      <c r="F79" s="9"/>
      <c r="G79" s="9"/>
      <c r="H79" s="197"/>
      <c r="I79" s="197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9"/>
      <c r="F80" s="9"/>
      <c r="G80" s="9"/>
      <c r="H80" s="197"/>
      <c r="I80" s="197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9"/>
      <c r="F81" s="9"/>
      <c r="G81" s="9"/>
      <c r="H81" s="197"/>
      <c r="I81" s="197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9"/>
      <c r="F82" s="9"/>
      <c r="G82" s="9"/>
      <c r="H82" s="197"/>
      <c r="I82" s="197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9"/>
      <c r="F83" s="9"/>
      <c r="G83" s="9"/>
      <c r="H83" s="197"/>
      <c r="I83" s="197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9"/>
      <c r="F84" s="9"/>
      <c r="G84" s="9"/>
      <c r="H84" s="197"/>
      <c r="I84" s="197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9"/>
      <c r="F85" s="9"/>
      <c r="G85" s="9"/>
      <c r="H85" s="197"/>
      <c r="I85" s="197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D18" zoomScale="85" zoomScaleNormal="85" workbookViewId="0">
      <selection activeCell="D35" sqref="A35:XFD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19" width="12.109375" style="58" hidden="1" customWidth="1"/>
    <col min="20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0+65.798+187.646+1646.019+2738.581+197.926+1008.221+129.743+236.84+210.522+419.213+379.871-21.033-10.626+0+996.361+456.384+265.654+288.475-3.151+0+252.333+188.87+473.671+157.511+189.413+2066.247-149.105+J10</f>
        <v>14096.702000000005</v>
      </c>
      <c r="I10" s="63"/>
      <c r="J10" s="162">
        <f>0+327.485+1397.833</f>
        <v>1725.3180000000002</v>
      </c>
      <c r="L10" s="162">
        <f>J10+T17</f>
        <v>2320.2130000000002</v>
      </c>
      <c r="N10" s="57"/>
      <c r="O10" s="173">
        <f>+H10+K17</f>
        <v>19663.043000000005</v>
      </c>
      <c r="P10" s="174" cm="1">
        <f t="array" aca="1" ref="P10" ca="1">INDIRECT(ADDRESS(10,15,,,VLOOKUP($G$4,parameters!$G:$I,3,0)))</f>
        <v>19148.043000000005</v>
      </c>
      <c r="Q10" s="186">
        <f ca="1">O10-P10</f>
        <v>515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0+68.362+73.603+302.502+1813.594+46.497+224.908+0.185+192.936+6.425+106.702+57.172+0+258.468+84.872+767.013-531.301+105.852+0+86.598+3.677+1441.496+138.278+15.073+278.81+84.165+J11</f>
        <v>6090.8120000000008</v>
      </c>
      <c r="I11" s="63"/>
      <c r="J11" s="18">
        <f>0+114.847+350.078</f>
        <v>464.92499999999995</v>
      </c>
      <c r="L11" s="18">
        <f>J11+T18</f>
        <v>699.54299999999989</v>
      </c>
      <c r="N11" s="57"/>
      <c r="O11" s="155">
        <f>+H11+K18</f>
        <v>7748.8850000000011</v>
      </c>
      <c r="P11" s="156" cm="1">
        <f t="array" aca="1" ref="P11" ca="1">INDIRECT(ADDRESS(11,15,,,VLOOKUP($G$4,parameters!$G:$I,3,0)))</f>
        <v>7706.8850000000002</v>
      </c>
      <c r="Q11" s="187">
        <f t="shared" ref="Q11:Q12" ca="1" si="0">O11-P11</f>
        <v>42.000000000000909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20187.514000000006</v>
      </c>
      <c r="I12" s="63"/>
      <c r="J12" s="128">
        <f>SUM(J10:J11)</f>
        <v>2190.2430000000004</v>
      </c>
      <c r="K12" s="67"/>
      <c r="L12" s="128">
        <f>SUM(L10:L11)</f>
        <v>3019.7560000000003</v>
      </c>
      <c r="M12" s="67"/>
      <c r="N12" s="67"/>
      <c r="O12" s="157">
        <f>SUM(O10:O11)</f>
        <v>27411.928000000007</v>
      </c>
      <c r="P12" s="158">
        <f ca="1">SUM(P10:P11)</f>
        <v>26854.928000000007</v>
      </c>
      <c r="Q12" s="159">
        <f t="shared" ca="1" si="0"/>
        <v>557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5566.3410000000003</v>
      </c>
      <c r="K17" s="110">
        <f>+SUMIF($F$24:$F$251,"External",$K$24:$K$251)</f>
        <v>5566.3410000000003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594.89499999999998</v>
      </c>
      <c r="U17" s="113">
        <f t="shared" si="1"/>
        <v>2420.9189999999999</v>
      </c>
      <c r="V17" s="113">
        <f t="shared" si="1"/>
        <v>1923.49</v>
      </c>
      <c r="W17" s="113">
        <f t="shared" si="1"/>
        <v>627.03700000000015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1658.0730000000001</v>
      </c>
      <c r="K18" s="115">
        <f>+SUMIF($F$24:$F$251,"Group",$K$24:$K$251)</f>
        <v>1658.0730000000001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234.61799999999999</v>
      </c>
      <c r="U18" s="116">
        <f t="shared" si="3"/>
        <v>1154.6190000000001</v>
      </c>
      <c r="V18" s="116">
        <f t="shared" si="3"/>
        <v>219.904</v>
      </c>
      <c r="W18" s="116">
        <f t="shared" si="3"/>
        <v>48.932000000000002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7224.4140000000007</v>
      </c>
      <c r="K19" s="117">
        <f>SUM(K17:K18)</f>
        <v>7224.4140000000007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829.51299999999992</v>
      </c>
      <c r="U19" s="118">
        <f t="shared" si="5"/>
        <v>3575.538</v>
      </c>
      <c r="V19" s="118">
        <f t="shared" si="5"/>
        <v>2143.3940000000002</v>
      </c>
      <c r="W19" s="118">
        <f t="shared" si="5"/>
        <v>675.96900000000016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840.02700000000004</v>
      </c>
      <c r="K24" s="121">
        <f t="shared" ref="K24" si="8">SUM(N24:Y24)</f>
        <v>840.02700000000004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7-231.065+270</f>
        <v>45.935000000000002</v>
      </c>
      <c r="U24" s="26">
        <f>666.844-270+384.248-8</f>
        <v>773.0920000000001</v>
      </c>
      <c r="V24" s="26">
        <v>8</v>
      </c>
      <c r="W24" s="26">
        <v>13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87.870999999999995</v>
      </c>
      <c r="K25" s="121">
        <f t="shared" ref="K25:K88" si="11">SUM(N25:Y25)</f>
        <v>87.870999999999995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16.237-7.683-0.683</f>
        <v>7.8709999999999987</v>
      </c>
      <c r="U25" s="26">
        <v>80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66.099999999999994</v>
      </c>
      <c r="K26" s="121">
        <f t="shared" si="11"/>
        <v>66.099999999999994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42.607-21.507+13</f>
        <v>34.099999999999994</v>
      </c>
      <c r="U26" s="26">
        <v>32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191.352</v>
      </c>
      <c r="K27" s="121">
        <f t="shared" si="11"/>
        <v>191.352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191.684-0.332</f>
        <v>191.352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3.9320000000000004</v>
      </c>
      <c r="K28" s="121">
        <f t="shared" si="11"/>
        <v>3.9320000000000004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3.9320000000000004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5" t="s">
        <v>234</v>
      </c>
      <c r="J29" s="120">
        <f t="shared" si="10"/>
        <v>66.474000000000004</v>
      </c>
      <c r="K29" s="121">
        <f t="shared" si="11"/>
        <v>66.474000000000004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8.227-9.753+58+10</f>
        <v>66.474000000000004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136</v>
      </c>
      <c r="H30" s="197"/>
      <c r="I30" s="195" t="s">
        <v>234</v>
      </c>
      <c r="J30" s="120">
        <f t="shared" si="10"/>
        <v>0.45100000000000051</v>
      </c>
      <c r="K30" s="121">
        <f t="shared" si="11"/>
        <v>0.45100000000000051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0.45100000000000051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327.61599999999999</v>
      </c>
      <c r="K31" s="121">
        <f t="shared" si="11"/>
        <v>327.61599999999999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246.889-78.177-22</f>
        <v>146.71199999999999</v>
      </c>
      <c r="U31" s="26">
        <f>89+22-100</f>
        <v>11</v>
      </c>
      <c r="V31" s="26">
        <f>69.904+100-32</f>
        <v>137.904</v>
      </c>
      <c r="W31" s="26">
        <v>32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0.24999999999999989</v>
      </c>
      <c r="K32" s="121">
        <f t="shared" si="11"/>
        <v>0.24999999999999989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1.128-0.878</f>
        <v>0.24999999999999989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348</v>
      </c>
      <c r="F33" s="9" t="s">
        <v>10</v>
      </c>
      <c r="G33" s="9" t="s">
        <v>348</v>
      </c>
      <c r="H33" s="197"/>
      <c r="I33" s="195" t="s">
        <v>234</v>
      </c>
      <c r="J33" s="120">
        <f t="shared" si="10"/>
        <v>74</v>
      </c>
      <c r="K33" s="121">
        <f t="shared" si="11"/>
        <v>74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74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1252.93</v>
      </c>
      <c r="K34" s="121">
        <f t="shared" si="11"/>
        <v>1252.93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v>3</v>
      </c>
      <c r="U34" s="26"/>
      <c r="V34" s="26">
        <v>1249.93</v>
      </c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1443.229</v>
      </c>
      <c r="K35" s="121">
        <f t="shared" si="11"/>
        <v>1443.229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478.647-472.148+1209</f>
        <v>1215.499</v>
      </c>
      <c r="V35" s="26">
        <f>84+260-139</f>
        <v>205</v>
      </c>
      <c r="W35" s="26">
        <f>139-73.477-35.143-7.65</f>
        <v>22.729999999999997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329</v>
      </c>
      <c r="F36" s="9" t="s">
        <v>40</v>
      </c>
      <c r="G36" s="9" t="s">
        <v>330</v>
      </c>
      <c r="H36" s="197"/>
      <c r="I36" s="195" t="s">
        <v>234</v>
      </c>
      <c r="J36" s="120">
        <f t="shared" si="10"/>
        <v>35.620999999999995</v>
      </c>
      <c r="K36" s="121">
        <f t="shared" si="11"/>
        <v>35.620999999999995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f>17.307-13.686</f>
        <v>3.6209999999999987</v>
      </c>
      <c r="U36" s="26">
        <v>32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256</v>
      </c>
      <c r="F37" s="9" t="s">
        <v>40</v>
      </c>
      <c r="G37" s="9" t="s">
        <v>257</v>
      </c>
      <c r="H37" s="197"/>
      <c r="I37" s="195" t="s">
        <v>234</v>
      </c>
      <c r="J37" s="120">
        <f t="shared" si="10"/>
        <v>127.69</v>
      </c>
      <c r="K37" s="121">
        <f t="shared" si="11"/>
        <v>127.69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f>75.542-59.852</f>
        <v>15.690000000000005</v>
      </c>
      <c r="U37" s="26">
        <v>112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264</v>
      </c>
      <c r="F38" s="9" t="s">
        <v>40</v>
      </c>
      <c r="G38" s="9" t="s">
        <v>265</v>
      </c>
      <c r="H38" s="197"/>
      <c r="I38" s="195" t="s">
        <v>234</v>
      </c>
      <c r="J38" s="120">
        <f t="shared" si="10"/>
        <v>173.58100000000002</v>
      </c>
      <c r="K38" s="121">
        <f t="shared" si="11"/>
        <v>173.58100000000002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f>51.18-0.159</f>
        <v>51.021000000000001</v>
      </c>
      <c r="V38" s="26">
        <f>98.56+24</f>
        <v>122.56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258</v>
      </c>
      <c r="F39" s="9" t="s">
        <v>40</v>
      </c>
      <c r="G39" s="9" t="s">
        <v>259</v>
      </c>
      <c r="H39" s="197"/>
      <c r="I39" s="195" t="s">
        <v>234</v>
      </c>
      <c r="J39" s="120">
        <f t="shared" si="10"/>
        <v>59</v>
      </c>
      <c r="K39" s="121">
        <f t="shared" si="11"/>
        <v>59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59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310</v>
      </c>
      <c r="F40" s="9" t="s">
        <v>40</v>
      </c>
      <c r="G40" s="9" t="s">
        <v>311</v>
      </c>
      <c r="H40" s="197"/>
      <c r="I40" s="195" t="s">
        <v>234</v>
      </c>
      <c r="J40" s="120">
        <f t="shared" si="10"/>
        <v>7.734</v>
      </c>
      <c r="K40" s="121">
        <f t="shared" si="11"/>
        <v>7.734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7.734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250</v>
      </c>
      <c r="F41" s="9" t="s">
        <v>40</v>
      </c>
      <c r="G41" s="9" t="s">
        <v>251</v>
      </c>
      <c r="H41" s="197"/>
      <c r="I41" s="195" t="s">
        <v>247</v>
      </c>
      <c r="J41" s="120">
        <f t="shared" si="10"/>
        <v>488.90600000000006</v>
      </c>
      <c r="K41" s="121">
        <f t="shared" si="11"/>
        <v>488.90600000000006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f>38.941+32</f>
        <v>70.941000000000003</v>
      </c>
      <c r="U41" s="26"/>
      <c r="V41" s="26"/>
      <c r="W41" s="26">
        <f>215-99.061+8+294.026</f>
        <v>417.96500000000003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323</v>
      </c>
      <c r="F42" s="9" t="s">
        <v>40</v>
      </c>
      <c r="G42" s="9" t="s">
        <v>324</v>
      </c>
      <c r="H42" s="197"/>
      <c r="I42" s="195" t="s">
        <v>247</v>
      </c>
      <c r="J42" s="120">
        <f t="shared" si="10"/>
        <v>111.57499999999999</v>
      </c>
      <c r="K42" s="121">
        <f t="shared" si="11"/>
        <v>111.57499999999999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f>65+30</f>
        <v>95</v>
      </c>
      <c r="U42" s="26"/>
      <c r="V42" s="26"/>
      <c r="W42" s="26">
        <f>52.059-5.484-30</f>
        <v>16.574999999999996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8"/>
      <c r="I43" s="195" t="s">
        <v>247</v>
      </c>
      <c r="J43" s="120">
        <f t="shared" si="10"/>
        <v>183.964</v>
      </c>
      <c r="K43" s="121">
        <f t="shared" si="11"/>
        <v>183.964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f>108.964-11</f>
        <v>97.963999999999999</v>
      </c>
      <c r="U43" s="26">
        <f>11+75</f>
        <v>86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320</v>
      </c>
      <c r="F44" s="9" t="s">
        <v>40</v>
      </c>
      <c r="G44" s="9" t="s">
        <v>268</v>
      </c>
      <c r="H44" s="198"/>
      <c r="I44" s="195" t="s">
        <v>247</v>
      </c>
      <c r="J44" s="120">
        <f t="shared" si="10"/>
        <v>29.117000000000001</v>
      </c>
      <c r="K44" s="121">
        <f t="shared" si="11"/>
        <v>29.117000000000001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>
        <v>23.117000000000001</v>
      </c>
      <c r="U44" s="26">
        <v>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341</v>
      </c>
      <c r="F45" s="9" t="s">
        <v>40</v>
      </c>
      <c r="G45" s="9" t="s">
        <v>341</v>
      </c>
      <c r="H45" s="198"/>
      <c r="I45" s="195" t="s">
        <v>247</v>
      </c>
      <c r="J45" s="120">
        <f t="shared" si="10"/>
        <v>2.3092638912203256E-14</v>
      </c>
      <c r="K45" s="121">
        <f t="shared" si="11"/>
        <v>2.3092638912203256E-14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>
        <f>540-547.65+7.65</f>
        <v>2.3092638912203256E-14</v>
      </c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246</v>
      </c>
      <c r="F46" s="9" t="s">
        <v>40</v>
      </c>
      <c r="G46" s="9" t="s">
        <v>246</v>
      </c>
      <c r="H46" s="195"/>
      <c r="I46" s="195" t="s">
        <v>247</v>
      </c>
      <c r="J46" s="120">
        <f t="shared" si="10"/>
        <v>60.665999999999997</v>
      </c>
      <c r="K46" s="121">
        <f t="shared" si="11"/>
        <v>60.665999999999997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v>5</v>
      </c>
      <c r="U46" s="26">
        <f>41.666+14</f>
        <v>55.665999999999997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248</v>
      </c>
      <c r="F47" s="9" t="s">
        <v>40</v>
      </c>
      <c r="G47" s="9" t="s">
        <v>249</v>
      </c>
      <c r="H47" s="195"/>
      <c r="I47" s="195" t="s">
        <v>247</v>
      </c>
      <c r="J47" s="120">
        <f t="shared" si="10"/>
        <v>240.94900000000001</v>
      </c>
      <c r="K47" s="121">
        <f t="shared" si="11"/>
        <v>240.94900000000001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>
        <f>17.633-0.684</f>
        <v>16.948999999999998</v>
      </c>
      <c r="U47" s="26">
        <f>202+6</f>
        <v>208</v>
      </c>
      <c r="V47" s="26">
        <v>16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252</v>
      </c>
      <c r="F48" s="9" t="s">
        <v>40</v>
      </c>
      <c r="G48" s="9" t="s">
        <v>253</v>
      </c>
      <c r="H48" s="196"/>
      <c r="I48" s="195" t="s">
        <v>247</v>
      </c>
      <c r="J48" s="120">
        <f t="shared" si="10"/>
        <v>70.993000000000009</v>
      </c>
      <c r="K48" s="121">
        <f t="shared" si="11"/>
        <v>70.993000000000009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f>92.153-4.056-37.104-2</f>
        <v>48.993000000000009</v>
      </c>
      <c r="U48" s="26">
        <f>20+2-6</f>
        <v>16</v>
      </c>
      <c r="V48" s="26">
        <v>6</v>
      </c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260</v>
      </c>
      <c r="F49" s="9" t="s">
        <v>40</v>
      </c>
      <c r="G49" s="9" t="s">
        <v>261</v>
      </c>
      <c r="H49" s="197"/>
      <c r="I49" s="195" t="s">
        <v>247</v>
      </c>
      <c r="J49" s="120">
        <f t="shared" si="10"/>
        <v>40.186</v>
      </c>
      <c r="K49" s="121">
        <f t="shared" si="11"/>
        <v>40.186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>
        <v>40.186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270</v>
      </c>
      <c r="F50" s="9" t="s">
        <v>40</v>
      </c>
      <c r="G50" s="9" t="s">
        <v>270</v>
      </c>
      <c r="H50" s="197"/>
      <c r="I50" s="195" t="s">
        <v>247</v>
      </c>
      <c r="J50" s="120">
        <f t="shared" si="10"/>
        <v>46.993000000000002</v>
      </c>
      <c r="K50" s="121">
        <f t="shared" si="11"/>
        <v>46.993000000000002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>
        <f>13.756-8.6</f>
        <v>5.1560000000000006</v>
      </c>
      <c r="U50" s="26">
        <f>1.837+40</f>
        <v>41.837000000000003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271</v>
      </c>
      <c r="F51" s="9" t="s">
        <v>40</v>
      </c>
      <c r="G51" s="9" t="s">
        <v>272</v>
      </c>
      <c r="H51" s="197"/>
      <c r="I51" s="195" t="s">
        <v>247</v>
      </c>
      <c r="J51" s="120">
        <f t="shared" si="10"/>
        <v>54</v>
      </c>
      <c r="K51" s="121">
        <f t="shared" si="11"/>
        <v>54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>
        <v>10</v>
      </c>
      <c r="U51" s="26"/>
      <c r="V51" s="26"/>
      <c r="W51" s="26">
        <v>44</v>
      </c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273</v>
      </c>
      <c r="F52" s="9" t="s">
        <v>40</v>
      </c>
      <c r="G52" s="9" t="s">
        <v>274</v>
      </c>
      <c r="H52" s="197"/>
      <c r="I52" s="195" t="s">
        <v>247</v>
      </c>
      <c r="J52" s="120">
        <f t="shared" si="10"/>
        <v>295.31100000000004</v>
      </c>
      <c r="K52" s="121">
        <f t="shared" si="11"/>
        <v>295.31100000000004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>
        <f>240.618-39.116-1.772-8</f>
        <v>191.73000000000002</v>
      </c>
      <c r="U52" s="26">
        <f>67+8</f>
        <v>75</v>
      </c>
      <c r="V52" s="26">
        <v>2</v>
      </c>
      <c r="W52" s="26">
        <v>26.581</v>
      </c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297</v>
      </c>
      <c r="F53" s="9" t="s">
        <v>40</v>
      </c>
      <c r="G53" s="9" t="s">
        <v>297</v>
      </c>
      <c r="H53" s="197"/>
      <c r="I53" s="195" t="s">
        <v>247</v>
      </c>
      <c r="J53" s="120">
        <f t="shared" si="10"/>
        <v>48.896000000000001</v>
      </c>
      <c r="K53" s="121">
        <f t="shared" si="11"/>
        <v>48.896000000000001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v>48.896000000000001</v>
      </c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343</v>
      </c>
      <c r="F54" s="9" t="s">
        <v>40</v>
      </c>
      <c r="G54" s="9" t="s">
        <v>347</v>
      </c>
      <c r="H54" s="197"/>
      <c r="I54" s="195" t="s">
        <v>234</v>
      </c>
      <c r="J54" s="120">
        <f t="shared" si="10"/>
        <v>455</v>
      </c>
      <c r="K54" s="121">
        <f t="shared" si="11"/>
        <v>455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v>455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269</v>
      </c>
      <c r="F55" s="9" t="s">
        <v>40</v>
      </c>
      <c r="G55" s="9" t="s">
        <v>269</v>
      </c>
      <c r="H55" s="13"/>
      <c r="I55" s="195" t="s">
        <v>247</v>
      </c>
      <c r="J55" s="120">
        <f t="shared" si="10"/>
        <v>12</v>
      </c>
      <c r="K55" s="121">
        <f t="shared" si="11"/>
        <v>12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>
        <v>12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266</v>
      </c>
      <c r="F56" s="9" t="s">
        <v>40</v>
      </c>
      <c r="G56" s="9" t="s">
        <v>266</v>
      </c>
      <c r="H56" s="13"/>
      <c r="I56" s="195" t="s">
        <v>247</v>
      </c>
      <c r="J56" s="120">
        <f t="shared" si="10"/>
        <v>6</v>
      </c>
      <c r="K56" s="121">
        <f t="shared" si="11"/>
        <v>6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>
        <v>6</v>
      </c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349</v>
      </c>
      <c r="F57" s="9" t="s">
        <v>40</v>
      </c>
      <c r="G57" s="9" t="s">
        <v>349</v>
      </c>
      <c r="H57" s="13"/>
      <c r="I57" s="195" t="s">
        <v>247</v>
      </c>
      <c r="J57" s="120">
        <f t="shared" si="10"/>
        <v>322</v>
      </c>
      <c r="K57" s="121">
        <f t="shared" si="11"/>
        <v>322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>
        <v>322</v>
      </c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95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95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1"/>
  <sheetViews>
    <sheetView showGridLines="0" topLeftCell="F1" zoomScale="80" zoomScaleNormal="80" workbookViewId="0">
      <selection activeCell="T17" sqref="T17:X1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0+65.798+187.646+1646.019+2738.581+197.926+1008.221+129.743+236.84+210.522+419.213+379.871-21.033-10.626+0+996.361+456.384+265.654+288.475-3.151+0+252.333+188.87+473.671+157.511+189.413+2066.247-149.105+J10</f>
        <v>14191.212000000003</v>
      </c>
      <c r="I10" s="63"/>
      <c r="J10" s="162">
        <f>0+327.485+1397.833+94.51</f>
        <v>1819.8280000000002</v>
      </c>
      <c r="L10" s="162">
        <f>J10+T17</f>
        <v>2004.4630000000002</v>
      </c>
      <c r="N10" s="57"/>
      <c r="O10" s="173">
        <f>+H10+K17</f>
        <v>19913.480000000003</v>
      </c>
      <c r="P10" s="174" cm="1">
        <f t="array" aca="1" ref="P10" ca="1">INDIRECT(ADDRESS(10,15,,,VLOOKUP($G$4,parameters!$G:$I,3,0)))</f>
        <v>19663.043000000005</v>
      </c>
      <c r="Q10" s="186">
        <f ca="1">O10-P10</f>
        <v>250.43699999999808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0+68.362+73.603+302.502+1813.594+46.497+224.908+0.185+192.936+6.425+106.702+57.172+0+258.468+84.872+767.013-531.301+105.852+0+86.598+3.677+1441.496+138.278+15.073+278.81+84.165+J11</f>
        <v>6173.3610000000008</v>
      </c>
      <c r="I11" s="63"/>
      <c r="J11" s="18">
        <f>0+114.847+350.078+82.549</f>
        <v>547.47399999999993</v>
      </c>
      <c r="L11" s="18">
        <f>J11+T18</f>
        <v>694.18599999999992</v>
      </c>
      <c r="N11" s="57"/>
      <c r="O11" s="155">
        <f>+H11+K18</f>
        <v>8146.8850000000002</v>
      </c>
      <c r="P11" s="156" cm="1">
        <f t="array" aca="1" ref="P11" ca="1">INDIRECT(ADDRESS(11,15,,,VLOOKUP($G$4,parameters!$G:$I,3,0)))</f>
        <v>7748.8850000000011</v>
      </c>
      <c r="Q11" s="187">
        <f t="shared" ref="Q11:Q12" ca="1" si="0">O11-P11</f>
        <v>397.99999999999909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20364.573000000004</v>
      </c>
      <c r="I12" s="63"/>
      <c r="J12" s="128">
        <f>SUM(J10:J11)</f>
        <v>2367.3020000000001</v>
      </c>
      <c r="K12" s="67"/>
      <c r="L12" s="128">
        <f>SUM(L10:L11)</f>
        <v>2698.6490000000003</v>
      </c>
      <c r="M12" s="67"/>
      <c r="N12" s="67"/>
      <c r="O12" s="157">
        <f>SUM(O10:O11)</f>
        <v>28060.365000000005</v>
      </c>
      <c r="P12" s="158">
        <f ca="1">SUM(P10:P11)</f>
        <v>27411.928000000007</v>
      </c>
      <c r="Q12" s="159">
        <f t="shared" ca="1" si="0"/>
        <v>648.43699999999808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5722.268</v>
      </c>
      <c r="K17" s="110">
        <f>+SUMIF($F$24:$F$250,"External",$K$24:$K$250)</f>
        <v>5722.268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184.63499999999999</v>
      </c>
      <c r="U17" s="113">
        <f t="shared" si="1"/>
        <v>3388.2440000000001</v>
      </c>
      <c r="V17" s="113">
        <f t="shared" si="1"/>
        <v>1973.9269999999999</v>
      </c>
      <c r="W17" s="113">
        <f t="shared" si="1"/>
        <v>126.15099999999998</v>
      </c>
      <c r="X17" s="113">
        <f t="shared" si="1"/>
        <v>49.310999999999993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1973.5239999999999</v>
      </c>
      <c r="K18" s="115">
        <f>+SUMIF($F$24:$F$250,"Group",$K$24:$K$250)</f>
        <v>1973.5239999999999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146.71199999999999</v>
      </c>
      <c r="U18" s="116">
        <f t="shared" si="3"/>
        <v>1064.6559999999999</v>
      </c>
      <c r="V18" s="116">
        <f t="shared" si="3"/>
        <v>695.904</v>
      </c>
      <c r="W18" s="116">
        <f t="shared" si="3"/>
        <v>34.252000000000002</v>
      </c>
      <c r="X18" s="116">
        <f t="shared" si="3"/>
        <v>32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7695.7919999999995</v>
      </c>
      <c r="K19" s="117">
        <f>SUM(K17:K18)</f>
        <v>7695.7919999999995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331.34699999999998</v>
      </c>
      <c r="U19" s="118">
        <f t="shared" si="5"/>
        <v>4452.8999999999996</v>
      </c>
      <c r="V19" s="118">
        <f t="shared" si="5"/>
        <v>2669.8310000000001</v>
      </c>
      <c r="W19" s="118">
        <f t="shared" si="5"/>
        <v>160.40299999999999</v>
      </c>
      <c r="X19" s="118">
        <f t="shared" si="5"/>
        <v>81.310999999999993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1150.723</v>
      </c>
      <c r="K24" s="121">
        <f t="shared" ref="K24" si="8">SUM(N24:Y24)</f>
        <v>1150.723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45.935-73.304+773.092</f>
        <v>745.72299999999996</v>
      </c>
      <c r="V24" s="26">
        <f>8+384</f>
        <v>392</v>
      </c>
      <c r="W24" s="26">
        <v>13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87.870999999999995</v>
      </c>
      <c r="K25" s="121">
        <f t="shared" ref="K25:K87" si="11">SUM(N25:Y25)</f>
        <v>87.870999999999995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7.871-3</f>
        <v>4.8710000000000004</v>
      </c>
      <c r="V25" s="26">
        <f>80-15</f>
        <v>65</v>
      </c>
      <c r="W25" s="26">
        <f>3+15</f>
        <v>18</v>
      </c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57.895000000000003</v>
      </c>
      <c r="K26" s="121">
        <f t="shared" si="11"/>
        <v>57.895000000000003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34.1-8.205+32-13</f>
        <v>44.895000000000003</v>
      </c>
      <c r="V26" s="26">
        <v>13</v>
      </c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190.99199999999999</v>
      </c>
      <c r="K27" s="121">
        <f t="shared" si="11"/>
        <v>190.99199999999999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191.352-0.36</f>
        <v>190.99199999999999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3.2519999999999998</v>
      </c>
      <c r="K28" s="121">
        <f t="shared" si="11"/>
        <v>3.2519999999999998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f>3.932-0.613-0.067</f>
        <v>3.2519999999999998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5" t="s">
        <v>234</v>
      </c>
      <c r="J29" s="120">
        <f t="shared" si="10"/>
        <v>80.474000000000004</v>
      </c>
      <c r="K29" s="121">
        <f t="shared" si="11"/>
        <v>80.474000000000004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66.474000000000004</v>
      </c>
      <c r="V29" s="26">
        <f>10+4</f>
        <v>14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136</v>
      </c>
      <c r="F30" s="9" t="s">
        <v>10</v>
      </c>
      <c r="G30" s="9" t="s">
        <v>306</v>
      </c>
      <c r="H30" s="197"/>
      <c r="I30" s="195" t="s">
        <v>234</v>
      </c>
      <c r="J30" s="120">
        <f t="shared" si="10"/>
        <v>0.45100000000000051</v>
      </c>
      <c r="K30" s="121">
        <f t="shared" si="11"/>
        <v>0.45100000000000051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0.45100000000000051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7"/>
      <c r="I31" s="195" t="s">
        <v>234</v>
      </c>
      <c r="J31" s="120">
        <f t="shared" si="10"/>
        <v>327.61599999999999</v>
      </c>
      <c r="K31" s="121">
        <f t="shared" si="11"/>
        <v>327.61599999999999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146.71199999999999</v>
      </c>
      <c r="U31" s="26">
        <v>11</v>
      </c>
      <c r="V31" s="26">
        <v>137.904</v>
      </c>
      <c r="W31" s="26"/>
      <c r="X31" s="26">
        <v>32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207</v>
      </c>
      <c r="F32" s="9" t="s">
        <v>10</v>
      </c>
      <c r="G32" s="9" t="s">
        <v>239</v>
      </c>
      <c r="H32" s="197"/>
      <c r="I32" s="195" t="s">
        <v>234</v>
      </c>
      <c r="J32" s="120">
        <f t="shared" si="10"/>
        <v>0.24999999999999989</v>
      </c>
      <c r="K32" s="121">
        <f t="shared" si="11"/>
        <v>0.24999999999999989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0.24999999999999989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348</v>
      </c>
      <c r="F33" s="9" t="s">
        <v>10</v>
      </c>
      <c r="G33" s="9" t="s">
        <v>348</v>
      </c>
      <c r="H33" s="197"/>
      <c r="I33" s="195" t="s">
        <v>234</v>
      </c>
      <c r="J33" s="120">
        <f t="shared" si="10"/>
        <v>74</v>
      </c>
      <c r="K33" s="121">
        <f t="shared" si="11"/>
        <v>74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74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1252.93</v>
      </c>
      <c r="K34" s="121">
        <f t="shared" si="11"/>
        <v>1252.93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v>3</v>
      </c>
      <c r="U34" s="26"/>
      <c r="V34" s="26">
        <v>1249.93</v>
      </c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1483.229</v>
      </c>
      <c r="K35" s="121">
        <f t="shared" si="11"/>
        <v>1483.229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1215.499+94</f>
        <v>1309.499</v>
      </c>
      <c r="V35" s="26">
        <f>205-94+40</f>
        <v>151</v>
      </c>
      <c r="W35" s="26"/>
      <c r="X35" s="26">
        <v>22.729999999999997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329</v>
      </c>
      <c r="F36" s="9" t="s">
        <v>40</v>
      </c>
      <c r="G36" s="9" t="s">
        <v>330</v>
      </c>
      <c r="H36" s="197"/>
      <c r="I36" s="195" t="s">
        <v>234</v>
      </c>
      <c r="J36" s="120">
        <f t="shared" si="10"/>
        <v>35.620999999999995</v>
      </c>
      <c r="K36" s="121">
        <f t="shared" si="11"/>
        <v>35.620999999999995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>
        <v>3.6209999999999987</v>
      </c>
      <c r="U36" s="26">
        <v>32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256</v>
      </c>
      <c r="F37" s="9" t="s">
        <v>40</v>
      </c>
      <c r="G37" s="9" t="s">
        <v>257</v>
      </c>
      <c r="H37" s="197"/>
      <c r="I37" s="195" t="s">
        <v>234</v>
      </c>
      <c r="J37" s="120">
        <f t="shared" si="10"/>
        <v>136.65</v>
      </c>
      <c r="K37" s="121">
        <f t="shared" si="11"/>
        <v>136.65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f>15.69-19.04+112+28</f>
        <v>136.65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264</v>
      </c>
      <c r="F38" s="9" t="s">
        <v>40</v>
      </c>
      <c r="G38" s="9" t="s">
        <v>265</v>
      </c>
      <c r="H38" s="197"/>
      <c r="I38" s="195" t="s">
        <v>234</v>
      </c>
      <c r="J38" s="120">
        <f t="shared" si="10"/>
        <v>173.58100000000002</v>
      </c>
      <c r="K38" s="121">
        <f t="shared" si="11"/>
        <v>173.58100000000002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51.021000000000001</v>
      </c>
      <c r="V38" s="26">
        <v>122.56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258</v>
      </c>
      <c r="F39" s="9" t="s">
        <v>40</v>
      </c>
      <c r="G39" s="9" t="s">
        <v>259</v>
      </c>
      <c r="H39" s="197"/>
      <c r="I39" s="195" t="s">
        <v>234</v>
      </c>
      <c r="J39" s="120">
        <f t="shared" si="10"/>
        <v>59</v>
      </c>
      <c r="K39" s="121">
        <f t="shared" si="11"/>
        <v>59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59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310</v>
      </c>
      <c r="F40" s="9" t="s">
        <v>40</v>
      </c>
      <c r="G40" s="9" t="s">
        <v>311</v>
      </c>
      <c r="H40" s="197"/>
      <c r="I40" s="195" t="s">
        <v>234</v>
      </c>
      <c r="J40" s="120">
        <f t="shared" si="10"/>
        <v>7.734</v>
      </c>
      <c r="K40" s="121">
        <f t="shared" si="11"/>
        <v>7.734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7.734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250</v>
      </c>
      <c r="F41" s="9" t="s">
        <v>40</v>
      </c>
      <c r="G41" s="9" t="s">
        <v>251</v>
      </c>
      <c r="H41" s="197"/>
      <c r="I41" s="195" t="s">
        <v>247</v>
      </c>
      <c r="J41" s="120">
        <f t="shared" si="10"/>
        <v>417.03699999999998</v>
      </c>
      <c r="K41" s="121">
        <f t="shared" si="11"/>
        <v>417.03699999999998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f>70.941-29.869</f>
        <v>41.072000000000003</v>
      </c>
      <c r="U41" s="26">
        <v>349</v>
      </c>
      <c r="V41" s="26"/>
      <c r="W41" s="26">
        <f>417.965-349-30-12</f>
        <v>26.964999999999975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323</v>
      </c>
      <c r="F42" s="9" t="s">
        <v>40</v>
      </c>
      <c r="G42" s="9" t="s">
        <v>324</v>
      </c>
      <c r="H42" s="197"/>
      <c r="I42" s="195" t="s">
        <v>247</v>
      </c>
      <c r="J42" s="120">
        <f t="shared" si="10"/>
        <v>163.553</v>
      </c>
      <c r="K42" s="121">
        <f t="shared" si="11"/>
        <v>163.553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f>95-44.022+12</f>
        <v>62.978000000000002</v>
      </c>
      <c r="U42" s="26">
        <f>16.575+54+30</f>
        <v>100.575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254</v>
      </c>
      <c r="F43" s="9" t="s">
        <v>40</v>
      </c>
      <c r="G43" s="9" t="s">
        <v>255</v>
      </c>
      <c r="H43" s="198"/>
      <c r="I43" s="195" t="s">
        <v>247</v>
      </c>
      <c r="J43" s="120">
        <f t="shared" si="10"/>
        <v>235.964</v>
      </c>
      <c r="K43" s="121">
        <f t="shared" si="11"/>
        <v>235.964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>
        <f>97.964-71</f>
        <v>26.963999999999999</v>
      </c>
      <c r="U43" s="26">
        <f>86+71+52</f>
        <v>209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320</v>
      </c>
      <c r="F44" s="9" t="s">
        <v>40</v>
      </c>
      <c r="G44" s="9" t="s">
        <v>268</v>
      </c>
      <c r="H44" s="198"/>
      <c r="I44" s="195" t="s">
        <v>247</v>
      </c>
      <c r="J44" s="120">
        <f t="shared" si="10"/>
        <v>29.117000000000001</v>
      </c>
      <c r="K44" s="121">
        <f t="shared" si="11"/>
        <v>29.117000000000001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>
        <v>23.117000000000001</v>
      </c>
      <c r="U44" s="26">
        <f>6</f>
        <v>6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341</v>
      </c>
      <c r="F45" s="9" t="s">
        <v>40</v>
      </c>
      <c r="G45" s="9" t="s">
        <v>341</v>
      </c>
      <c r="H45" s="198"/>
      <c r="I45" s="195" t="s">
        <v>247</v>
      </c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246</v>
      </c>
      <c r="F46" s="9" t="s">
        <v>40</v>
      </c>
      <c r="G46" s="9" t="s">
        <v>246</v>
      </c>
      <c r="H46" s="195"/>
      <c r="I46" s="195" t="s">
        <v>247</v>
      </c>
      <c r="J46" s="120">
        <f t="shared" si="10"/>
        <v>60.665999999999997</v>
      </c>
      <c r="K46" s="121">
        <f t="shared" si="11"/>
        <v>60.665999999999997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>
        <v>5</v>
      </c>
      <c r="U46" s="26">
        <v>55.665999999999997</v>
      </c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248</v>
      </c>
      <c r="F47" s="9" t="s">
        <v>40</v>
      </c>
      <c r="G47" s="9" t="s">
        <v>249</v>
      </c>
      <c r="H47" s="195"/>
      <c r="I47" s="195" t="s">
        <v>247</v>
      </c>
      <c r="J47" s="120">
        <f t="shared" si="10"/>
        <v>239.37</v>
      </c>
      <c r="K47" s="121">
        <f t="shared" si="11"/>
        <v>239.37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>
        <f>208+16.949-1.579</f>
        <v>223.37</v>
      </c>
      <c r="V47" s="26">
        <v>16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252</v>
      </c>
      <c r="F48" s="9" t="s">
        <v>40</v>
      </c>
      <c r="G48" s="9" t="s">
        <v>253</v>
      </c>
      <c r="H48" s="196"/>
      <c r="I48" s="195" t="s">
        <v>247</v>
      </c>
      <c r="J48" s="120">
        <f t="shared" si="10"/>
        <v>90.992999999999995</v>
      </c>
      <c r="K48" s="121">
        <f t="shared" si="11"/>
        <v>90.992999999999995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>
        <f>48.993-43</f>
        <v>5.9930000000000021</v>
      </c>
      <c r="U48" s="26">
        <f>16+43+6</f>
        <v>65</v>
      </c>
      <c r="V48" s="26">
        <v>20</v>
      </c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260</v>
      </c>
      <c r="F49" s="9" t="s">
        <v>40</v>
      </c>
      <c r="G49" s="9" t="s">
        <v>261</v>
      </c>
      <c r="H49" s="197"/>
      <c r="I49" s="195" t="s">
        <v>247</v>
      </c>
      <c r="J49" s="120">
        <f t="shared" si="10"/>
        <v>40.186</v>
      </c>
      <c r="K49" s="121">
        <f t="shared" si="11"/>
        <v>40.186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>
        <v>40.186</v>
      </c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270</v>
      </c>
      <c r="F50" s="9" t="s">
        <v>40</v>
      </c>
      <c r="G50" s="9" t="s">
        <v>270</v>
      </c>
      <c r="H50" s="197"/>
      <c r="I50" s="195" t="s">
        <v>247</v>
      </c>
      <c r="J50" s="120">
        <f t="shared" si="10"/>
        <v>46.993000000000002</v>
      </c>
      <c r="K50" s="121">
        <f t="shared" si="11"/>
        <v>46.993000000000002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>
        <v>5.1560000000000006</v>
      </c>
      <c r="U50" s="26">
        <v>41.837000000000003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273</v>
      </c>
      <c r="F51" s="9" t="s">
        <v>40</v>
      </c>
      <c r="G51" s="9" t="s">
        <v>274</v>
      </c>
      <c r="H51" s="197"/>
      <c r="I51" s="195" t="s">
        <v>247</v>
      </c>
      <c r="J51" s="120">
        <f t="shared" si="10"/>
        <v>295.31100000000004</v>
      </c>
      <c r="K51" s="121">
        <f t="shared" si="11"/>
        <v>295.31100000000004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>
        <f>75+191.73</f>
        <v>266.73</v>
      </c>
      <c r="V51" s="26">
        <v>2</v>
      </c>
      <c r="W51" s="26"/>
      <c r="X51" s="26">
        <v>26.581</v>
      </c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297</v>
      </c>
      <c r="F52" s="9" t="s">
        <v>40</v>
      </c>
      <c r="G52" s="9" t="s">
        <v>297</v>
      </c>
      <c r="H52" s="197"/>
      <c r="I52" s="195" t="s">
        <v>247</v>
      </c>
      <c r="J52" s="120">
        <f t="shared" si="10"/>
        <v>48.896000000000001</v>
      </c>
      <c r="K52" s="121">
        <f t="shared" si="11"/>
        <v>48.896000000000001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>
        <v>48.896000000000001</v>
      </c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343</v>
      </c>
      <c r="F53" s="9" t="s">
        <v>40</v>
      </c>
      <c r="G53" s="9" t="s">
        <v>347</v>
      </c>
      <c r="H53" s="197"/>
      <c r="I53" s="195" t="s">
        <v>234</v>
      </c>
      <c r="J53" s="120">
        <f t="shared" si="10"/>
        <v>455</v>
      </c>
      <c r="K53" s="121">
        <f t="shared" si="11"/>
        <v>455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v>455</v>
      </c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269</v>
      </c>
      <c r="F54" s="9" t="s">
        <v>40</v>
      </c>
      <c r="G54" s="9" t="s">
        <v>269</v>
      </c>
      <c r="H54" s="13"/>
      <c r="I54" s="195" t="s">
        <v>247</v>
      </c>
      <c r="J54" s="120">
        <f t="shared" si="10"/>
        <v>12</v>
      </c>
      <c r="K54" s="121">
        <f t="shared" si="11"/>
        <v>12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v>12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266</v>
      </c>
      <c r="F55" s="9" t="s">
        <v>40</v>
      </c>
      <c r="G55" s="9" t="s">
        <v>266</v>
      </c>
      <c r="H55" s="13"/>
      <c r="I55" s="195" t="s">
        <v>247</v>
      </c>
      <c r="J55" s="120">
        <f t="shared" si="10"/>
        <v>26</v>
      </c>
      <c r="K55" s="121">
        <f t="shared" si="11"/>
        <v>26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>
        <f>6+20</f>
        <v>26</v>
      </c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349</v>
      </c>
      <c r="F56" s="9" t="s">
        <v>40</v>
      </c>
      <c r="G56" s="9" t="s">
        <v>349</v>
      </c>
      <c r="H56" s="13"/>
      <c r="I56" s="195" t="s">
        <v>247</v>
      </c>
      <c r="J56" s="120">
        <f t="shared" si="10"/>
        <v>386</v>
      </c>
      <c r="K56" s="121">
        <f t="shared" si="11"/>
        <v>386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>
        <f>322+64</f>
        <v>386</v>
      </c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350</v>
      </c>
      <c r="F57" s="9" t="s">
        <v>40</v>
      </c>
      <c r="G57" s="9" t="s">
        <v>351</v>
      </c>
      <c r="H57" s="197"/>
      <c r="I57" s="195" t="s">
        <v>313</v>
      </c>
      <c r="J57" s="120">
        <f t="shared" si="10"/>
        <v>26.437000000000001</v>
      </c>
      <c r="K57" s="121">
        <f t="shared" si="11"/>
        <v>26.437000000000001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>
        <v>26.437000000000001</v>
      </c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1"/>
  <sheetViews>
    <sheetView showGridLines="0" topLeftCell="A4" zoomScale="70" zoomScaleNormal="70" workbookViewId="0">
      <selection activeCell="U24" sqref="U24:Y5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0+65.798+187.646+1646.019+2738.581+197.926+1008.221+129.743+236.84+210.522+419.213+379.871-21.033-10.626+0+996.361+456.384+265.654+288.475-3.151+0+252.333+188.87+473.671+157.511+189.413+2066.247-149.105+J10</f>
        <v>14432.907000000003</v>
      </c>
      <c r="I10" s="63"/>
      <c r="J10" s="162">
        <f>0+327.485+1397.833+94.51+241.695</f>
        <v>2061.5230000000001</v>
      </c>
      <c r="L10" s="162">
        <f>J10+T17</f>
        <v>2061.5230000000001</v>
      </c>
      <c r="N10" s="57"/>
      <c r="O10" s="173">
        <f>+H10+K17</f>
        <v>20862.322000000004</v>
      </c>
      <c r="P10" s="174" cm="1">
        <f t="array" aca="1" ref="P10" ca="1">INDIRECT(ADDRESS(10,15,,,VLOOKUP($G$4,parameters!$G:$I,3,0)))</f>
        <v>19913.480000000003</v>
      </c>
      <c r="Q10" s="186">
        <f ca="1">O10-P10</f>
        <v>948.84200000000055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0+68.362+73.603+302.502+1813.594+46.497+224.908+0.185+192.936+6.425+106.702+57.172+0+258.468+84.872+767.013-531.301+105.852+0+86.598+3.677+1441.496+138.278+15.073+278.81+84.165+J11</f>
        <v>6424.6270000000004</v>
      </c>
      <c r="I11" s="63"/>
      <c r="J11" s="18">
        <f>0+114.847+350.078+82.549+251.266</f>
        <v>798.7399999999999</v>
      </c>
      <c r="L11" s="18">
        <f>J11+T18</f>
        <v>798.7399999999999</v>
      </c>
      <c r="N11" s="57"/>
      <c r="O11" s="155">
        <f>+H11+K18</f>
        <v>8182.1180000000004</v>
      </c>
      <c r="P11" s="156" cm="1">
        <f t="array" aca="1" ref="P11" ca="1">INDIRECT(ADDRESS(11,15,,,VLOOKUP($G$4,parameters!$G:$I,3,0)))</f>
        <v>8146.8850000000002</v>
      </c>
      <c r="Q11" s="187">
        <f t="shared" ref="Q11:Q12" ca="1" si="0">O11-P11</f>
        <v>35.233000000000175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20857.534000000003</v>
      </c>
      <c r="I12" s="63"/>
      <c r="J12" s="128">
        <f>SUM(J10:J11)</f>
        <v>2860.2629999999999</v>
      </c>
      <c r="K12" s="67"/>
      <c r="L12" s="128">
        <f>SUM(L10:L11)</f>
        <v>2860.2629999999999</v>
      </c>
      <c r="M12" s="67"/>
      <c r="N12" s="67"/>
      <c r="O12" s="157">
        <f>SUM(O10:O11)</f>
        <v>29044.440000000002</v>
      </c>
      <c r="P12" s="158">
        <f ca="1">SUM(P10:P11)</f>
        <v>28060.365000000005</v>
      </c>
      <c r="Q12" s="159">
        <f t="shared" ca="1" si="0"/>
        <v>984.07499999999709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6429.4150000000009</v>
      </c>
      <c r="K17" s="110">
        <f>+SUMIF($F$24:$F$250,"External",$K$24:$K$250)</f>
        <v>6429.4150000000009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2033.2140000000004</v>
      </c>
      <c r="V17" s="113">
        <f t="shared" si="1"/>
        <v>2106.7040000000002</v>
      </c>
      <c r="W17" s="113">
        <f t="shared" si="1"/>
        <v>2092.1859999999997</v>
      </c>
      <c r="X17" s="113">
        <f t="shared" si="1"/>
        <v>197.31100000000001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1757.4909999999998</v>
      </c>
      <c r="K18" s="115">
        <f>+SUMIF($F$24:$F$250,"Group",$K$24:$K$250)</f>
        <v>1757.4909999999998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969.34500000000003</v>
      </c>
      <c r="V18" s="116">
        <f t="shared" si="3"/>
        <v>654.38299999999992</v>
      </c>
      <c r="W18" s="116">
        <f t="shared" si="3"/>
        <v>114</v>
      </c>
      <c r="X18" s="116">
        <f t="shared" si="3"/>
        <v>19.762999999999998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8186.9060000000009</v>
      </c>
      <c r="K19" s="117">
        <f>SUM(K17:K18)</f>
        <v>8186.9060000000009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3002.5590000000002</v>
      </c>
      <c r="V19" s="118">
        <f t="shared" si="5"/>
        <v>2761.087</v>
      </c>
      <c r="W19" s="118">
        <f t="shared" si="5"/>
        <v>2206.1859999999997</v>
      </c>
      <c r="X19" s="118">
        <f t="shared" si="5"/>
        <v>217.07400000000001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1066.049</v>
      </c>
      <c r="K24" s="121">
        <f t="shared" ref="K24" si="8">SUM(N24:Y24)</f>
        <v>1066.049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745.723-84.674-17-101</f>
        <v>543.04899999999998</v>
      </c>
      <c r="V24" s="26">
        <v>392</v>
      </c>
      <c r="W24" s="26">
        <f>13+101</f>
        <v>114</v>
      </c>
      <c r="X24" s="26">
        <v>17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98.870999999999995</v>
      </c>
      <c r="K25" s="121">
        <f t="shared" ref="K25:K87" si="11">SUM(N25:Y25)</f>
        <v>98.870999999999995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20</v>
      </c>
      <c r="V25" s="26">
        <f>4.871+65+18+4+7-20</f>
        <v>78.870999999999995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86.89500000000001</v>
      </c>
      <c r="K26" s="121">
        <f t="shared" si="11"/>
        <v>86.89500000000001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44.895-5+18+29</f>
        <v>86.89500000000001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189.67699999999999</v>
      </c>
      <c r="K27" s="121">
        <f t="shared" si="11"/>
        <v>189.67699999999999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190.992-1.315</f>
        <v>189.67699999999999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0.76299999999999968</v>
      </c>
      <c r="K28" s="121">
        <f t="shared" si="11"/>
        <v>0.76299999999999968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3.252-1.389-1.1</f>
        <v>0.76299999999999968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5" t="s">
        <v>234</v>
      </c>
      <c r="J29" s="120">
        <f t="shared" si="10"/>
        <v>80.474000000000004</v>
      </c>
      <c r="K29" s="121">
        <f t="shared" si="11"/>
        <v>80.474000000000004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66.474-9+10</f>
        <v>67.474000000000004</v>
      </c>
      <c r="V29" s="26">
        <f>14+9-10</f>
        <v>13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144</v>
      </c>
      <c r="F30" s="9" t="s">
        <v>10</v>
      </c>
      <c r="G30" s="9" t="s">
        <v>292</v>
      </c>
      <c r="H30" s="197"/>
      <c r="I30" s="195" t="s">
        <v>234</v>
      </c>
      <c r="J30" s="120">
        <f t="shared" si="10"/>
        <v>160.51199999999997</v>
      </c>
      <c r="K30" s="121">
        <f t="shared" si="11"/>
        <v>160.51199999999997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11+51</f>
        <v>62</v>
      </c>
      <c r="V30" s="26">
        <f>137.904+146.712-160.104-51+23</f>
        <v>96.511999999999972</v>
      </c>
      <c r="W30" s="26"/>
      <c r="X30" s="26">
        <f>32-23-7</f>
        <v>2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207</v>
      </c>
      <c r="F31" s="9" t="s">
        <v>10</v>
      </c>
      <c r="G31" s="9" t="s">
        <v>239</v>
      </c>
      <c r="H31" s="197"/>
      <c r="I31" s="195" t="s">
        <v>234</v>
      </c>
      <c r="J31" s="120">
        <f t="shared" si="10"/>
        <v>0.24999999999999989</v>
      </c>
      <c r="K31" s="121">
        <f t="shared" si="11"/>
        <v>0.24999999999999989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>
        <v>0.24999999999999989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348</v>
      </c>
      <c r="F32" s="9" t="s">
        <v>10</v>
      </c>
      <c r="G32" s="9" t="s">
        <v>348</v>
      </c>
      <c r="H32" s="197"/>
      <c r="I32" s="195" t="s">
        <v>234</v>
      </c>
      <c r="J32" s="120">
        <f t="shared" si="10"/>
        <v>74</v>
      </c>
      <c r="K32" s="121">
        <f t="shared" si="11"/>
        <v>74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f>74</f>
        <v>74</v>
      </c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263</v>
      </c>
      <c r="H33" s="197"/>
      <c r="I33" s="195" t="s">
        <v>234</v>
      </c>
      <c r="J33" s="120">
        <f t="shared" si="10"/>
        <v>1250.2080000000001</v>
      </c>
      <c r="K33" s="121">
        <f t="shared" si="11"/>
        <v>1250.2080000000001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f>1249.93+3-2.722-600</f>
        <v>650.20800000000008</v>
      </c>
      <c r="W33" s="26">
        <v>600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290</v>
      </c>
      <c r="F34" s="9" t="s">
        <v>40</v>
      </c>
      <c r="G34" s="9" t="s">
        <v>245</v>
      </c>
      <c r="H34" s="197"/>
      <c r="I34" s="195" t="s">
        <v>234</v>
      </c>
      <c r="J34" s="120">
        <f t="shared" si="10"/>
        <v>1506.229</v>
      </c>
      <c r="K34" s="121">
        <f t="shared" si="11"/>
        <v>1506.229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1309.499-17-550</f>
        <v>742.49900000000002</v>
      </c>
      <c r="W34" s="26">
        <f>151-101+550</f>
        <v>600</v>
      </c>
      <c r="X34" s="26">
        <f>22.73+17+101+23</f>
        <v>163.73000000000002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329</v>
      </c>
      <c r="F35" s="9" t="s">
        <v>40</v>
      </c>
      <c r="G35" s="9" t="s">
        <v>330</v>
      </c>
      <c r="H35" s="197"/>
      <c r="I35" s="195" t="s">
        <v>234</v>
      </c>
      <c r="J35" s="120">
        <f t="shared" si="10"/>
        <v>35.621000000000002</v>
      </c>
      <c r="K35" s="121">
        <f t="shared" si="11"/>
        <v>35.621000000000002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32+3.621</f>
        <v>35.621000000000002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256</v>
      </c>
      <c r="F36" s="9" t="s">
        <v>40</v>
      </c>
      <c r="G36" s="9" t="s">
        <v>257</v>
      </c>
      <c r="H36" s="197"/>
      <c r="I36" s="195" t="s">
        <v>234</v>
      </c>
      <c r="J36" s="120">
        <f t="shared" si="10"/>
        <v>100.355</v>
      </c>
      <c r="K36" s="121">
        <f t="shared" si="11"/>
        <v>100.355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136.65-36.295-9</f>
        <v>91.355000000000004</v>
      </c>
      <c r="V36" s="26">
        <v>9</v>
      </c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264</v>
      </c>
      <c r="F37" s="9" t="s">
        <v>40</v>
      </c>
      <c r="G37" s="9" t="s">
        <v>265</v>
      </c>
      <c r="H37" s="197"/>
      <c r="I37" s="195" t="s">
        <v>234</v>
      </c>
      <c r="J37" s="120">
        <f t="shared" si="10"/>
        <v>301.58100000000002</v>
      </c>
      <c r="K37" s="121">
        <f t="shared" si="11"/>
        <v>301.58100000000002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51.021000000000001</v>
      </c>
      <c r="V37" s="26">
        <f>122.56+37</f>
        <v>159.56</v>
      </c>
      <c r="W37" s="26">
        <v>91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258</v>
      </c>
      <c r="F38" s="9" t="s">
        <v>40</v>
      </c>
      <c r="G38" s="9" t="s">
        <v>259</v>
      </c>
      <c r="H38" s="197"/>
      <c r="I38" s="195" t="s">
        <v>234</v>
      </c>
      <c r="J38" s="120">
        <f t="shared" si="10"/>
        <v>59</v>
      </c>
      <c r="K38" s="121">
        <f t="shared" si="11"/>
        <v>59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59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310</v>
      </c>
      <c r="F39" s="9" t="s">
        <v>40</v>
      </c>
      <c r="G39" s="9" t="s">
        <v>311</v>
      </c>
      <c r="H39" s="197"/>
      <c r="I39" s="195" t="s">
        <v>234</v>
      </c>
      <c r="J39" s="120">
        <f t="shared" si="10"/>
        <v>7.734</v>
      </c>
      <c r="K39" s="121">
        <f t="shared" si="11"/>
        <v>7.734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7.734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250</v>
      </c>
      <c r="F40" s="9" t="s">
        <v>40</v>
      </c>
      <c r="G40" s="9" t="s">
        <v>251</v>
      </c>
      <c r="H40" s="197"/>
      <c r="I40" s="195" t="s">
        <v>247</v>
      </c>
      <c r="J40" s="120">
        <f t="shared" si="10"/>
        <v>756.37599999999998</v>
      </c>
      <c r="K40" s="121">
        <f t="shared" si="11"/>
        <v>756.37599999999998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f>349+41.072-2.661+26.965+74-200</f>
        <v>288.37599999999998</v>
      </c>
      <c r="V40" s="26">
        <v>268</v>
      </c>
      <c r="W40" s="26">
        <v>200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323</v>
      </c>
      <c r="F41" s="9" t="s">
        <v>40</v>
      </c>
      <c r="G41" s="9" t="s">
        <v>324</v>
      </c>
      <c r="H41" s="197"/>
      <c r="I41" s="195" t="s">
        <v>247</v>
      </c>
      <c r="J41" s="120">
        <f t="shared" si="10"/>
        <v>350.38099999999997</v>
      </c>
      <c r="K41" s="121">
        <f t="shared" si="11"/>
        <v>350.38099999999997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f>100.575+62.978-91.172+188</f>
        <v>260.38099999999997</v>
      </c>
      <c r="V41" s="26">
        <v>90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254</v>
      </c>
      <c r="F42" s="9" t="s">
        <v>40</v>
      </c>
      <c r="G42" s="9" t="s">
        <v>255</v>
      </c>
      <c r="H42" s="198"/>
      <c r="I42" s="195" t="s">
        <v>247</v>
      </c>
      <c r="J42" s="120">
        <f t="shared" si="10"/>
        <v>194.262</v>
      </c>
      <c r="K42" s="121">
        <f t="shared" si="11"/>
        <v>194.262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f>209+26.964-41.702-11</f>
        <v>183.262</v>
      </c>
      <c r="V42" s="26"/>
      <c r="W42" s="26"/>
      <c r="X42" s="26">
        <v>11</v>
      </c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320</v>
      </c>
      <c r="F43" s="9" t="s">
        <v>40</v>
      </c>
      <c r="G43" s="9" t="s">
        <v>268</v>
      </c>
      <c r="H43" s="198"/>
      <c r="I43" s="195" t="s">
        <v>247</v>
      </c>
      <c r="J43" s="120">
        <f t="shared" si="10"/>
        <v>29.166</v>
      </c>
      <c r="K43" s="121">
        <f t="shared" si="11"/>
        <v>29.166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f>6+23.117-1.951+2</f>
        <v>29.166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341</v>
      </c>
      <c r="F44" s="9" t="s">
        <v>40</v>
      </c>
      <c r="G44" s="9" t="s">
        <v>341</v>
      </c>
      <c r="H44" s="198"/>
      <c r="I44" s="195" t="s">
        <v>247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246</v>
      </c>
      <c r="F45" s="9" t="s">
        <v>40</v>
      </c>
      <c r="G45" s="9" t="s">
        <v>246</v>
      </c>
      <c r="H45" s="195"/>
      <c r="I45" s="195" t="s">
        <v>247</v>
      </c>
      <c r="J45" s="120">
        <f t="shared" si="10"/>
        <v>63.665999999999997</v>
      </c>
      <c r="K45" s="121">
        <f t="shared" si="11"/>
        <v>63.665999999999997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f>55.666+5+3</f>
        <v>63.665999999999997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248</v>
      </c>
      <c r="F46" s="9" t="s">
        <v>40</v>
      </c>
      <c r="G46" s="9" t="s">
        <v>249</v>
      </c>
      <c r="H46" s="195"/>
      <c r="I46" s="195" t="s">
        <v>247</v>
      </c>
      <c r="J46" s="120">
        <f t="shared" si="10"/>
        <v>262.37</v>
      </c>
      <c r="K46" s="121">
        <f t="shared" si="11"/>
        <v>262.37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>
        <f>223.37+16+6</f>
        <v>245.37</v>
      </c>
      <c r="V46" s="26">
        <v>17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252</v>
      </c>
      <c r="F47" s="9" t="s">
        <v>40</v>
      </c>
      <c r="G47" s="9" t="s">
        <v>253</v>
      </c>
      <c r="H47" s="196"/>
      <c r="I47" s="195" t="s">
        <v>247</v>
      </c>
      <c r="J47" s="120">
        <f t="shared" si="10"/>
        <v>77.170999999999992</v>
      </c>
      <c r="K47" s="121">
        <f t="shared" si="11"/>
        <v>77.170999999999992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>
        <f>65+5.993-0.997-12.825-12</f>
        <v>45.170999999999992</v>
      </c>
      <c r="V47" s="26">
        <f>20+12</f>
        <v>32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260</v>
      </c>
      <c r="F48" s="9" t="s">
        <v>40</v>
      </c>
      <c r="G48" s="9" t="s">
        <v>261</v>
      </c>
      <c r="H48" s="197"/>
      <c r="I48" s="195" t="s">
        <v>247</v>
      </c>
      <c r="J48" s="120">
        <f t="shared" si="10"/>
        <v>40.186</v>
      </c>
      <c r="K48" s="121">
        <f t="shared" si="11"/>
        <v>40.186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>
        <v>40.186</v>
      </c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270</v>
      </c>
      <c r="F49" s="9" t="s">
        <v>40</v>
      </c>
      <c r="G49" s="9" t="s">
        <v>270</v>
      </c>
      <c r="H49" s="197"/>
      <c r="I49" s="195" t="s">
        <v>247</v>
      </c>
      <c r="J49" s="120">
        <f t="shared" si="10"/>
        <v>45.837000000000003</v>
      </c>
      <c r="K49" s="121">
        <f t="shared" si="11"/>
        <v>45.837000000000003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>
        <f>41.837+4</f>
        <v>45.837000000000003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273</v>
      </c>
      <c r="F50" s="9" t="s">
        <v>40</v>
      </c>
      <c r="G50" s="9" t="s">
        <v>274</v>
      </c>
      <c r="H50" s="197"/>
      <c r="I50" s="195" t="s">
        <v>247</v>
      </c>
      <c r="J50" s="120">
        <f t="shared" si="10"/>
        <v>292.73100000000005</v>
      </c>
      <c r="K50" s="121">
        <f t="shared" si="11"/>
        <v>292.73100000000005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>
        <f>266.73-2.58-72</f>
        <v>192.15000000000003</v>
      </c>
      <c r="V50" s="26">
        <f>2+72+4</f>
        <v>78</v>
      </c>
      <c r="W50" s="26"/>
      <c r="X50" s="26">
        <f>26.581-4</f>
        <v>22.581</v>
      </c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297</v>
      </c>
      <c r="F51" s="9" t="s">
        <v>40</v>
      </c>
      <c r="G51" s="9" t="s">
        <v>297</v>
      </c>
      <c r="H51" s="197"/>
      <c r="I51" s="195" t="s">
        <v>247</v>
      </c>
      <c r="J51" s="120">
        <f t="shared" si="10"/>
        <v>1.1039999999999992</v>
      </c>
      <c r="K51" s="121">
        <f t="shared" si="11"/>
        <v>1.1039999999999992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>
        <f>48.896-47.792</f>
        <v>1.1039999999999992</v>
      </c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343</v>
      </c>
      <c r="F52" s="9" t="s">
        <v>40</v>
      </c>
      <c r="G52" s="9" t="s">
        <v>347</v>
      </c>
      <c r="H52" s="197"/>
      <c r="I52" s="195" t="s">
        <v>234</v>
      </c>
      <c r="J52" s="120">
        <f t="shared" si="10"/>
        <v>455</v>
      </c>
      <c r="K52" s="121">
        <f t="shared" si="11"/>
        <v>455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>
        <v>455</v>
      </c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269</v>
      </c>
      <c r="F53" s="9" t="s">
        <v>40</v>
      </c>
      <c r="G53" s="9" t="s">
        <v>269</v>
      </c>
      <c r="H53" s="13"/>
      <c r="I53" s="195" t="s">
        <v>247</v>
      </c>
      <c r="J53" s="120">
        <f t="shared" si="10"/>
        <v>128</v>
      </c>
      <c r="K53" s="121">
        <f t="shared" si="11"/>
        <v>128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v>12</v>
      </c>
      <c r="V53" s="26"/>
      <c r="W53" s="26">
        <v>116</v>
      </c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3"/>
      <c r="I54" s="195" t="s">
        <v>247</v>
      </c>
      <c r="J54" s="120">
        <f t="shared" si="10"/>
        <v>26</v>
      </c>
      <c r="K54" s="121">
        <f t="shared" si="11"/>
        <v>26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v>26</v>
      </c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349</v>
      </c>
      <c r="F55" s="9" t="s">
        <v>40</v>
      </c>
      <c r="G55" s="9" t="s">
        <v>349</v>
      </c>
      <c r="H55" s="13"/>
      <c r="I55" s="195" t="s">
        <v>247</v>
      </c>
      <c r="J55" s="120">
        <f t="shared" si="10"/>
        <v>386</v>
      </c>
      <c r="K55" s="121">
        <f t="shared" si="11"/>
        <v>386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>
        <v>386</v>
      </c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350</v>
      </c>
      <c r="F56" s="9" t="s">
        <v>40</v>
      </c>
      <c r="G56" s="9" t="s">
        <v>351</v>
      </c>
      <c r="H56" s="197"/>
      <c r="I56" s="195" t="s">
        <v>293</v>
      </c>
      <c r="J56" s="120">
        <f t="shared" si="10"/>
        <v>26.437000000000001</v>
      </c>
      <c r="K56" s="121">
        <f t="shared" si="11"/>
        <v>26.437000000000001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>
        <v>26.437000000000001</v>
      </c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202" t="s">
        <v>295</v>
      </c>
      <c r="J57" s="120">
        <f t="shared" si="10"/>
        <v>34</v>
      </c>
      <c r="K57" s="121">
        <f t="shared" si="11"/>
        <v>34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>
        <v>34</v>
      </c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G20" zoomScaleNormal="100" workbookViewId="0">
      <selection activeCell="U24" sqref="U24:Y5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0+65.798+187.646+1646.019+2738.581+197.926+1008.221+129.743+236.84+210.522+419.213+379.871-21.033-10.626+0+996.361+456.384+265.654+288.475-3.151+0+252.333+188.87+473.671+157.511+189.413+2066.247-149.105+0+327.485+1397.833+94.51+241.695+J10</f>
        <v>14619.146000000004</v>
      </c>
      <c r="I10" s="63"/>
      <c r="J10" s="162">
        <f>186.239</f>
        <v>186.239</v>
      </c>
      <c r="L10" s="162">
        <f>J10+U17</f>
        <v>2020.2140000000002</v>
      </c>
      <c r="N10" s="57"/>
      <c r="O10" s="173">
        <f>+H10+K17</f>
        <v>21471.887000000006</v>
      </c>
      <c r="P10" s="174" cm="1">
        <f t="array" aca="1" ref="P10" ca="1">INDIRECT(ADDRESS(10,15,,,VLOOKUP($G$4,parameters!$G:$I,3,0)))</f>
        <v>20862.322000000004</v>
      </c>
      <c r="Q10" s="186">
        <f ca="1">O10-P10</f>
        <v>609.56500000000233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0+68.362+73.603+302.502+1813.594+46.497+224.908+0.185+192.936+6.425+106.702+57.172+0+258.468+84.872+767.013-531.301+105.852+0+86.598+3.677+1441.496+138.278+15.073+278.81+84.165+0+114.847+350.078+82.549+251.266+J11</f>
        <v>6898.4539999999997</v>
      </c>
      <c r="I11" s="63"/>
      <c r="J11" s="18">
        <f>473.827</f>
        <v>473.827</v>
      </c>
      <c r="L11" s="18">
        <f>J11+U18</f>
        <v>1041.346</v>
      </c>
      <c r="N11" s="57"/>
      <c r="O11" s="155">
        <f>+H11+K18</f>
        <v>8221.1189999999988</v>
      </c>
      <c r="P11" s="156" cm="1">
        <f t="array" aca="1" ref="P11" ca="1">INDIRECT(ADDRESS(11,15,,,VLOOKUP($G$4,parameters!$G:$I,3,0)))</f>
        <v>8182.1180000000004</v>
      </c>
      <c r="Q11" s="187">
        <f t="shared" ref="Q11:Q12" ca="1" si="0">O11-P11</f>
        <v>39.000999999998385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21517.600000000006</v>
      </c>
      <c r="I12" s="63"/>
      <c r="J12" s="128">
        <f>SUM(J10:J11)</f>
        <v>660.06600000000003</v>
      </c>
      <c r="K12" s="67"/>
      <c r="L12" s="128">
        <f>SUM(L10:L11)</f>
        <v>3061.5600000000004</v>
      </c>
      <c r="M12" s="67"/>
      <c r="N12" s="67"/>
      <c r="O12" s="157">
        <f>SUM(O10:O11)</f>
        <v>29693.006000000005</v>
      </c>
      <c r="P12" s="158">
        <f ca="1">SUM(P10:P11)</f>
        <v>29044.440000000002</v>
      </c>
      <c r="Q12" s="159">
        <f t="shared" ca="1" si="0"/>
        <v>648.56600000000253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6852.7410000000018</v>
      </c>
      <c r="K17" s="110">
        <f>+SUMIF($F$24:$F$251,"External",$K$24:$K$251)</f>
        <v>6852.7410000000018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1833.9750000000001</v>
      </c>
      <c r="V17" s="113">
        <f t="shared" si="1"/>
        <v>2091.7039999999997</v>
      </c>
      <c r="W17" s="113">
        <f t="shared" si="1"/>
        <v>1445.1859999999999</v>
      </c>
      <c r="X17" s="113">
        <f t="shared" si="1"/>
        <v>1481.876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1322.665</v>
      </c>
      <c r="K18" s="115">
        <f>+SUMIF($F$24:$F$251,"Group",$K$24:$K$251)</f>
        <v>1322.665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567.51900000000001</v>
      </c>
      <c r="V18" s="116">
        <f t="shared" si="3"/>
        <v>619.51199999999994</v>
      </c>
      <c r="W18" s="116">
        <f t="shared" si="3"/>
        <v>21</v>
      </c>
      <c r="X18" s="116">
        <f t="shared" si="3"/>
        <v>114.634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8175.4060000000018</v>
      </c>
      <c r="K19" s="117">
        <f>SUM(K17:K18)</f>
        <v>8175.4060000000018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2401.4940000000001</v>
      </c>
      <c r="V19" s="118">
        <f t="shared" si="5"/>
        <v>2711.2159999999994</v>
      </c>
      <c r="W19" s="118">
        <f t="shared" si="5"/>
        <v>1466.1859999999999</v>
      </c>
      <c r="X19" s="118">
        <f t="shared" si="5"/>
        <v>1596.51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4" t="s">
        <v>78</v>
      </c>
      <c r="F24" s="204" t="s">
        <v>10</v>
      </c>
      <c r="G24" s="204" t="s">
        <v>78</v>
      </c>
      <c r="H24" s="204"/>
      <c r="I24" s="204" t="s">
        <v>234</v>
      </c>
      <c r="J24" s="120">
        <f t="shared" ref="J24" si="7">+K24+L24</f>
        <v>692.572</v>
      </c>
      <c r="K24" s="121">
        <f t="shared" ref="K24" si="8">SUM(N24:Y24)</f>
        <v>692.572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543.049-373.477</f>
        <v>169.572</v>
      </c>
      <c r="V24" s="26">
        <f>392+12</f>
        <v>404</v>
      </c>
      <c r="W24" s="26">
        <f>114-12+17-107</f>
        <v>12</v>
      </c>
      <c r="X24" s="26">
        <v>107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4" t="s">
        <v>105</v>
      </c>
      <c r="F25" s="204" t="s">
        <v>10</v>
      </c>
      <c r="G25" s="204" t="s">
        <v>105</v>
      </c>
      <c r="H25" s="195"/>
      <c r="I25" s="195" t="s">
        <v>234</v>
      </c>
      <c r="J25" s="120">
        <f t="shared" ref="J25:J88" si="10">+K25+L25</f>
        <v>93.415999999999997</v>
      </c>
      <c r="K25" s="121">
        <f t="shared" ref="K25:K88" si="11">SUM(N25:Y25)</f>
        <v>93.415999999999997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20-5.455+58+19-5</f>
        <v>86.545000000000002</v>
      </c>
      <c r="V25" s="26"/>
      <c r="W25" s="26"/>
      <c r="X25" s="26">
        <f>78.871-58-19+5</f>
        <v>6.8709999999999951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4" t="s">
        <v>235</v>
      </c>
      <c r="F26" s="204" t="s">
        <v>10</v>
      </c>
      <c r="G26" s="204" t="s">
        <v>235</v>
      </c>
      <c r="H26" s="195"/>
      <c r="I26" s="195" t="s">
        <v>234</v>
      </c>
      <c r="J26" s="120">
        <f t="shared" si="10"/>
        <v>54.180999999999997</v>
      </c>
      <c r="K26" s="121">
        <f t="shared" si="11"/>
        <v>54.180999999999997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86.895-32.714</f>
        <v>54.180999999999997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4" t="s">
        <v>275</v>
      </c>
      <c r="F27" s="204" t="s">
        <v>10</v>
      </c>
      <c r="G27" s="204" t="s">
        <v>275</v>
      </c>
      <c r="H27" s="195"/>
      <c r="I27" s="195" t="s">
        <v>234</v>
      </c>
      <c r="J27" s="120">
        <f t="shared" si="10"/>
        <v>189.67699999999999</v>
      </c>
      <c r="K27" s="121">
        <f t="shared" si="11"/>
        <v>189.67699999999999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189.67699999999999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4" t="s">
        <v>315</v>
      </c>
      <c r="F28" s="204" t="s">
        <v>10</v>
      </c>
      <c r="G28" s="204" t="s">
        <v>315</v>
      </c>
      <c r="H28" s="195"/>
      <c r="I28" s="195" t="s">
        <v>234</v>
      </c>
      <c r="J28" s="120">
        <f t="shared" si="10"/>
        <v>0.76299999999999968</v>
      </c>
      <c r="K28" s="121">
        <f t="shared" si="11"/>
        <v>0.76299999999999968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0.76299999999999968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4" t="s">
        <v>338</v>
      </c>
      <c r="F29" s="204" t="s">
        <v>10</v>
      </c>
      <c r="G29" s="204" t="s">
        <v>338</v>
      </c>
      <c r="H29" s="205"/>
      <c r="I29" s="205" t="s">
        <v>234</v>
      </c>
      <c r="J29" s="120">
        <f t="shared" si="10"/>
        <v>20.163999999999994</v>
      </c>
      <c r="K29" s="121">
        <f t="shared" si="11"/>
        <v>20.163999999999994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67.474-1.04-59.27</f>
        <v>7.1639999999999944</v>
      </c>
      <c r="V29" s="26">
        <v>13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4" t="s">
        <v>144</v>
      </c>
      <c r="F30" s="204" t="s">
        <v>10</v>
      </c>
      <c r="G30" s="204" t="s">
        <v>292</v>
      </c>
      <c r="H30" s="202"/>
      <c r="I30" s="206" t="s">
        <v>234</v>
      </c>
      <c r="J30" s="120">
        <f t="shared" si="10"/>
        <v>187.642</v>
      </c>
      <c r="K30" s="121">
        <f t="shared" si="11"/>
        <v>187.642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62-1.87</f>
        <v>60.13</v>
      </c>
      <c r="V30" s="26">
        <f>96.512+22</f>
        <v>118.512</v>
      </c>
      <c r="W30" s="26">
        <f>2+7</f>
        <v>9</v>
      </c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4" t="s">
        <v>207</v>
      </c>
      <c r="F31" s="204" t="s">
        <v>10</v>
      </c>
      <c r="G31" s="204" t="s">
        <v>239</v>
      </c>
      <c r="H31" s="202"/>
      <c r="I31" s="206" t="s">
        <v>234</v>
      </c>
      <c r="J31" s="120">
        <f t="shared" si="10"/>
        <v>0.24999999999999989</v>
      </c>
      <c r="K31" s="121">
        <f t="shared" si="11"/>
        <v>0.24999999999999989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0.24999999999999989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4" t="s">
        <v>348</v>
      </c>
      <c r="F32" s="204" t="s">
        <v>10</v>
      </c>
      <c r="G32" s="204" t="s">
        <v>348</v>
      </c>
      <c r="H32" s="202"/>
      <c r="I32" s="206" t="s">
        <v>234</v>
      </c>
      <c r="J32" s="120">
        <f t="shared" si="10"/>
        <v>84</v>
      </c>
      <c r="K32" s="121">
        <f t="shared" si="11"/>
        <v>84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f>74+10</f>
        <v>84</v>
      </c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4" t="s">
        <v>262</v>
      </c>
      <c r="F33" s="204" t="s">
        <v>40</v>
      </c>
      <c r="G33" s="204" t="s">
        <v>263</v>
      </c>
      <c r="H33" s="202"/>
      <c r="I33" s="206" t="s">
        <v>234</v>
      </c>
      <c r="J33" s="120">
        <f t="shared" si="10"/>
        <v>1786.7730000000001</v>
      </c>
      <c r="K33" s="121">
        <f t="shared" si="11"/>
        <v>1786.7730000000001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650.20800000000008</v>
      </c>
      <c r="W33" s="26">
        <v>600</v>
      </c>
      <c r="X33" s="26">
        <v>536.56500000000005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4" t="s">
        <v>290</v>
      </c>
      <c r="F34" s="204" t="s">
        <v>40</v>
      </c>
      <c r="G34" s="204" t="s">
        <v>245</v>
      </c>
      <c r="H34" s="202"/>
      <c r="I34" s="206" t="s">
        <v>234</v>
      </c>
      <c r="J34" s="120">
        <f t="shared" si="10"/>
        <v>1560.229</v>
      </c>
      <c r="K34" s="121">
        <f t="shared" si="11"/>
        <v>1560.229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742.49900000000002</v>
      </c>
      <c r="W34" s="26">
        <f>600+55</f>
        <v>655</v>
      </c>
      <c r="X34" s="26">
        <f>163.73-55+54</f>
        <v>162.72999999999999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4" t="s">
        <v>329</v>
      </c>
      <c r="F35" s="204" t="s">
        <v>40</v>
      </c>
      <c r="G35" s="204" t="s">
        <v>330</v>
      </c>
      <c r="H35" s="202"/>
      <c r="I35" s="206" t="s">
        <v>234</v>
      </c>
      <c r="J35" s="120">
        <f t="shared" si="10"/>
        <v>35.621000000000002</v>
      </c>
      <c r="K35" s="121">
        <f t="shared" si="11"/>
        <v>35.621000000000002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35.621000000000002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4" t="s">
        <v>256</v>
      </c>
      <c r="F36" s="204" t="s">
        <v>40</v>
      </c>
      <c r="G36" s="204" t="s">
        <v>257</v>
      </c>
      <c r="H36" s="202"/>
      <c r="I36" s="206" t="s">
        <v>234</v>
      </c>
      <c r="J36" s="120">
        <f t="shared" si="10"/>
        <v>84.808999999999997</v>
      </c>
      <c r="K36" s="121">
        <f t="shared" si="11"/>
        <v>84.808999999999997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91.355-15.546</f>
        <v>75.808999999999997</v>
      </c>
      <c r="V36" s="26">
        <v>9</v>
      </c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4" t="s">
        <v>264</v>
      </c>
      <c r="F37" s="204" t="s">
        <v>40</v>
      </c>
      <c r="G37" s="204" t="s">
        <v>265</v>
      </c>
      <c r="H37" s="202"/>
      <c r="I37" s="206" t="s">
        <v>234</v>
      </c>
      <c r="J37" s="120">
        <f t="shared" si="10"/>
        <v>301.58100000000002</v>
      </c>
      <c r="K37" s="121">
        <f t="shared" si="11"/>
        <v>301.58100000000002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51.021000000000001</v>
      </c>
      <c r="V37" s="26">
        <v>159.56</v>
      </c>
      <c r="W37" s="26">
        <v>91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4" t="s">
        <v>258</v>
      </c>
      <c r="F38" s="204" t="s">
        <v>40</v>
      </c>
      <c r="G38" s="204" t="s">
        <v>259</v>
      </c>
      <c r="H38" s="202"/>
      <c r="I38" s="206" t="s">
        <v>234</v>
      </c>
      <c r="J38" s="120">
        <f t="shared" si="10"/>
        <v>59</v>
      </c>
      <c r="K38" s="121">
        <f t="shared" si="11"/>
        <v>59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59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4" t="s">
        <v>310</v>
      </c>
      <c r="F39" s="204" t="s">
        <v>40</v>
      </c>
      <c r="G39" s="204" t="s">
        <v>311</v>
      </c>
      <c r="H39" s="202"/>
      <c r="I39" s="206" t="s">
        <v>234</v>
      </c>
      <c r="J39" s="120">
        <f t="shared" si="10"/>
        <v>7.734</v>
      </c>
      <c r="K39" s="121">
        <f t="shared" si="11"/>
        <v>7.734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7.734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4" t="s">
        <v>250</v>
      </c>
      <c r="F40" s="204" t="s">
        <v>40</v>
      </c>
      <c r="G40" s="204" t="s">
        <v>251</v>
      </c>
      <c r="H40" s="202"/>
      <c r="I40" s="206" t="s">
        <v>247</v>
      </c>
      <c r="J40" s="120">
        <f t="shared" si="10"/>
        <v>756.37599999999998</v>
      </c>
      <c r="K40" s="121">
        <f t="shared" si="11"/>
        <v>756.37599999999998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f>288.376+102</f>
        <v>390.37599999999998</v>
      </c>
      <c r="V40" s="26"/>
      <c r="W40" s="26"/>
      <c r="X40" s="26">
        <f>268-102+200</f>
        <v>366</v>
      </c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4" t="s">
        <v>323</v>
      </c>
      <c r="F41" s="204" t="s">
        <v>40</v>
      </c>
      <c r="G41" s="204" t="s">
        <v>324</v>
      </c>
      <c r="H41" s="202"/>
      <c r="I41" s="206" t="s">
        <v>247</v>
      </c>
      <c r="J41" s="120">
        <f t="shared" si="10"/>
        <v>350.38099999999997</v>
      </c>
      <c r="K41" s="121">
        <f t="shared" si="11"/>
        <v>350.38099999999997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f>260.381-96</f>
        <v>164.38099999999997</v>
      </c>
      <c r="V41" s="26"/>
      <c r="W41" s="26"/>
      <c r="X41" s="26">
        <f>96+90</f>
        <v>186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4" t="s">
        <v>254</v>
      </c>
      <c r="F42" s="204" t="s">
        <v>40</v>
      </c>
      <c r="G42" s="204" t="s">
        <v>255</v>
      </c>
      <c r="H42" s="202"/>
      <c r="I42" s="206" t="s">
        <v>247</v>
      </c>
      <c r="J42" s="120">
        <f t="shared" si="10"/>
        <v>25.140000000000015</v>
      </c>
      <c r="K42" s="121">
        <f t="shared" si="11"/>
        <v>25.140000000000015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f>183.262-23.904-145.218</f>
        <v>14.140000000000015</v>
      </c>
      <c r="V42" s="26"/>
      <c r="W42" s="26"/>
      <c r="X42" s="26">
        <v>11</v>
      </c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4" t="s">
        <v>320</v>
      </c>
      <c r="F43" s="204" t="s">
        <v>40</v>
      </c>
      <c r="G43" s="204" t="s">
        <v>268</v>
      </c>
      <c r="H43" s="212"/>
      <c r="I43" s="206" t="s">
        <v>247</v>
      </c>
      <c r="J43" s="120">
        <f t="shared" si="10"/>
        <v>29.166</v>
      </c>
      <c r="K43" s="121">
        <f t="shared" si="11"/>
        <v>29.166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29.166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4" t="s">
        <v>341</v>
      </c>
      <c r="F44" s="204" t="s">
        <v>40</v>
      </c>
      <c r="G44" s="204" t="s">
        <v>341</v>
      </c>
      <c r="H44" s="212"/>
      <c r="I44" s="206" t="s">
        <v>247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4" t="s">
        <v>246</v>
      </c>
      <c r="F45" s="204" t="s">
        <v>40</v>
      </c>
      <c r="G45" s="204" t="s">
        <v>246</v>
      </c>
      <c r="H45" s="212"/>
      <c r="I45" s="206" t="s">
        <v>247</v>
      </c>
      <c r="J45" s="120">
        <f t="shared" si="10"/>
        <v>63.665999999999997</v>
      </c>
      <c r="K45" s="121">
        <f t="shared" si="11"/>
        <v>63.665999999999997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63.665999999999997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248</v>
      </c>
      <c r="F46" s="204" t="s">
        <v>40</v>
      </c>
      <c r="G46" s="204" t="s">
        <v>249</v>
      </c>
      <c r="H46" s="195"/>
      <c r="I46" s="195" t="s">
        <v>247</v>
      </c>
      <c r="J46" s="120">
        <f t="shared" si="10"/>
        <v>262.37</v>
      </c>
      <c r="K46" s="121">
        <f t="shared" si="11"/>
        <v>262.37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>
        <v>245.37</v>
      </c>
      <c r="V46" s="26">
        <v>17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204" t="s">
        <v>252</v>
      </c>
      <c r="F47" s="204" t="s">
        <v>40</v>
      </c>
      <c r="G47" s="204" t="s">
        <v>253</v>
      </c>
      <c r="H47" s="195"/>
      <c r="I47" s="195" t="s">
        <v>247</v>
      </c>
      <c r="J47" s="120">
        <f t="shared" si="10"/>
        <v>76.433999999999997</v>
      </c>
      <c r="K47" s="121">
        <f t="shared" si="11"/>
        <v>76.433999999999997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>
        <f>45.171-0.737</f>
        <v>44.433999999999997</v>
      </c>
      <c r="V47" s="26">
        <f>32-6</f>
        <v>26</v>
      </c>
      <c r="W47" s="26"/>
      <c r="X47" s="26">
        <v>6</v>
      </c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204" t="s">
        <v>260</v>
      </c>
      <c r="F48" s="204" t="s">
        <v>40</v>
      </c>
      <c r="G48" s="204" t="s">
        <v>261</v>
      </c>
      <c r="H48" s="205"/>
      <c r="I48" s="205" t="s">
        <v>247</v>
      </c>
      <c r="J48" s="120">
        <f t="shared" si="10"/>
        <v>40.186</v>
      </c>
      <c r="K48" s="121">
        <f t="shared" si="11"/>
        <v>40.186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>
        <v>40.186</v>
      </c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204" t="s">
        <v>270</v>
      </c>
      <c r="F49" s="204" t="s">
        <v>40</v>
      </c>
      <c r="G49" s="204" t="s">
        <v>270</v>
      </c>
      <c r="H49" s="202"/>
      <c r="I49" s="206" t="s">
        <v>247</v>
      </c>
      <c r="J49" s="120">
        <f t="shared" si="10"/>
        <v>45.837000000000003</v>
      </c>
      <c r="K49" s="121">
        <f t="shared" si="11"/>
        <v>45.837000000000003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>
        <v>45.837000000000003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204" t="s">
        <v>273</v>
      </c>
      <c r="F50" s="204" t="s">
        <v>40</v>
      </c>
      <c r="G50" s="204" t="s">
        <v>274</v>
      </c>
      <c r="H50" s="202"/>
      <c r="I50" s="206" t="s">
        <v>247</v>
      </c>
      <c r="J50" s="120">
        <f t="shared" si="10"/>
        <v>311.73100000000005</v>
      </c>
      <c r="K50" s="121">
        <f t="shared" si="11"/>
        <v>311.73100000000005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>
        <v>192.15000000000003</v>
      </c>
      <c r="V50" s="26">
        <v>78</v>
      </c>
      <c r="W50" s="26"/>
      <c r="X50" s="26">
        <f>22.581+19</f>
        <v>41.581000000000003</v>
      </c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204" t="s">
        <v>297</v>
      </c>
      <c r="F51" s="204" t="s">
        <v>40</v>
      </c>
      <c r="G51" s="204" t="s">
        <v>297</v>
      </c>
      <c r="H51" s="202"/>
      <c r="I51" s="206" t="s">
        <v>247</v>
      </c>
      <c r="J51" s="120">
        <f t="shared" si="10"/>
        <v>1.1039999999999992</v>
      </c>
      <c r="K51" s="121">
        <f t="shared" si="11"/>
        <v>1.1039999999999992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>
        <v>1.1039999999999992</v>
      </c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204" t="s">
        <v>343</v>
      </c>
      <c r="F52" s="204" t="s">
        <v>40</v>
      </c>
      <c r="G52" s="204" t="s">
        <v>347</v>
      </c>
      <c r="H52" s="202"/>
      <c r="I52" s="206" t="s">
        <v>234</v>
      </c>
      <c r="J52" s="120">
        <f t="shared" si="10"/>
        <v>455</v>
      </c>
      <c r="K52" s="121">
        <f t="shared" si="11"/>
        <v>455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>
        <v>455</v>
      </c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204" t="s">
        <v>269</v>
      </c>
      <c r="F53" s="204" t="s">
        <v>40</v>
      </c>
      <c r="G53" s="204" t="s">
        <v>269</v>
      </c>
      <c r="H53" s="202"/>
      <c r="I53" s="206" t="s">
        <v>247</v>
      </c>
      <c r="J53" s="120">
        <f t="shared" si="10"/>
        <v>127.166</v>
      </c>
      <c r="K53" s="121">
        <f t="shared" si="11"/>
        <v>127.166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>
        <f>12-0.834</f>
        <v>11.166</v>
      </c>
      <c r="V53" s="26">
        <v>116</v>
      </c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204" t="s">
        <v>266</v>
      </c>
      <c r="F54" s="204" t="s">
        <v>40</v>
      </c>
      <c r="G54" s="204" t="s">
        <v>266</v>
      </c>
      <c r="H54" s="202"/>
      <c r="I54" s="206" t="s">
        <v>247</v>
      </c>
      <c r="J54" s="120">
        <f t="shared" si="10"/>
        <v>26</v>
      </c>
      <c r="K54" s="121">
        <f t="shared" si="11"/>
        <v>26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>
        <f>26-19</f>
        <v>7</v>
      </c>
      <c r="V54" s="26"/>
      <c r="W54" s="26"/>
      <c r="X54" s="26">
        <v>19</v>
      </c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204" t="s">
        <v>352</v>
      </c>
      <c r="F55" s="204" t="s">
        <v>40</v>
      </c>
      <c r="G55" s="204" t="s">
        <v>352</v>
      </c>
      <c r="H55" s="202"/>
      <c r="I55" s="206" t="s">
        <v>247</v>
      </c>
      <c r="J55" s="120">
        <f t="shared" si="10"/>
        <v>386</v>
      </c>
      <c r="K55" s="121">
        <f t="shared" si="11"/>
        <v>386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>
        <v>267</v>
      </c>
      <c r="W55" s="26"/>
      <c r="X55" s="26">
        <f>386-267</f>
        <v>119</v>
      </c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204" t="s">
        <v>353</v>
      </c>
      <c r="F56" s="204" t="s">
        <v>40</v>
      </c>
      <c r="G56" s="204" t="s">
        <v>354</v>
      </c>
      <c r="H56" s="202"/>
      <c r="I56" s="206" t="s">
        <v>234</v>
      </c>
      <c r="J56" s="120">
        <f t="shared" si="10"/>
        <v>26.437000000000001</v>
      </c>
      <c r="K56" s="121">
        <f t="shared" si="11"/>
        <v>26.437000000000001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>
        <v>26.437000000000001</v>
      </c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204" t="s">
        <v>294</v>
      </c>
      <c r="F57" s="204" t="s">
        <v>40</v>
      </c>
      <c r="G57" s="204" t="s">
        <v>294</v>
      </c>
      <c r="H57" s="202"/>
      <c r="I57" s="206" t="s">
        <v>247</v>
      </c>
      <c r="J57" s="120">
        <f t="shared" si="10"/>
        <v>34</v>
      </c>
      <c r="K57" s="121">
        <f t="shared" si="11"/>
        <v>34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v>34</v>
      </c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213"/>
      <c r="F58" s="204"/>
      <c r="G58" s="213"/>
      <c r="H58" s="214"/>
      <c r="I58" s="214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213"/>
      <c r="F59" s="204"/>
      <c r="G59" s="213"/>
      <c r="H59" s="214"/>
      <c r="I59" s="214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213"/>
      <c r="F60" s="204"/>
      <c r="G60" s="213"/>
      <c r="H60" s="214"/>
      <c r="I60" s="2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213"/>
      <c r="F61" s="204"/>
      <c r="G61" s="213"/>
      <c r="H61" s="214"/>
      <c r="I61" s="2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213"/>
      <c r="F62" s="204"/>
      <c r="G62" s="213"/>
      <c r="H62" s="215"/>
      <c r="I62" s="215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213"/>
      <c r="F63" s="204"/>
      <c r="G63" s="213"/>
      <c r="H63" s="215"/>
      <c r="I63" s="215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204"/>
      <c r="G64" s="213"/>
      <c r="H64" s="215"/>
      <c r="I64" s="215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topLeftCell="H1" zoomScaleNormal="100" workbookViewId="0">
      <selection activeCell="S30" sqref="S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0+65.798+187.646+1646.019+2738.581+197.926+1008.221+129.743+236.84+210.522+419.213+379.871-21.033-10.626+0+996.361+456.384+265.654+288.475-3.151+0+252.333+188.87+473.671+157.511+189.413+2066.247-149.105+0+327.485+1397.833+94.51+241.695+J10</f>
        <v>14722.509000000005</v>
      </c>
      <c r="I10" s="63"/>
      <c r="J10" s="162">
        <f>186.239+103.363</f>
        <v>289.60199999999998</v>
      </c>
      <c r="L10" s="162">
        <f>J10+U17</f>
        <v>2050.5080000000003</v>
      </c>
      <c r="N10" s="57"/>
      <c r="O10" s="173">
        <f>+H10+K17</f>
        <v>22355.486000000008</v>
      </c>
      <c r="P10" s="174" cm="1">
        <f t="array" aca="1" ref="P10" ca="1">INDIRECT(ADDRESS(10,15,,,VLOOKUP($G$4,parameters!$G:$I,3,0)))</f>
        <v>21471.887000000006</v>
      </c>
      <c r="Q10" s="186">
        <f ca="1">O10-P10</f>
        <v>883.59900000000198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0+68.362+73.603+302.502+1813.594+46.497+224.908+0.185+192.936+6.425+106.702+57.172+0+258.468+84.872+767.013-531.301+105.852+0+86.598+3.677+1441.496+138.278+15.073+278.81+84.165+0+114.847+350.078+82.549+251.266+J11</f>
        <v>6928.848</v>
      </c>
      <c r="I11" s="63"/>
      <c r="J11" s="18">
        <f>473.827+30.394</f>
        <v>504.221</v>
      </c>
      <c r="L11" s="18">
        <f>J11+U18</f>
        <v>1002.913</v>
      </c>
      <c r="N11" s="57"/>
      <c r="O11" s="155">
        <f>+H11+K18</f>
        <v>8391.4840000000004</v>
      </c>
      <c r="P11" s="156" cm="1">
        <f t="array" aca="1" ref="P11" ca="1">INDIRECT(ADDRESS(11,15,,,VLOOKUP($G$4,parameters!$G:$I,3,0)))</f>
        <v>8221.1189999999988</v>
      </c>
      <c r="Q11" s="187">
        <f t="shared" ref="Q11:Q12" ca="1" si="0">O11-P11</f>
        <v>170.3650000000016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21651.357000000004</v>
      </c>
      <c r="I12" s="63"/>
      <c r="J12" s="128">
        <f>SUM(J10:J11)</f>
        <v>793.82299999999998</v>
      </c>
      <c r="K12" s="67"/>
      <c r="L12" s="128">
        <f>SUM(L10:L11)</f>
        <v>3053.4210000000003</v>
      </c>
      <c r="M12" s="67"/>
      <c r="N12" s="67"/>
      <c r="O12" s="157">
        <f>SUM(O10:O11)</f>
        <v>30746.970000000008</v>
      </c>
      <c r="P12" s="158">
        <f ca="1">SUM(P10:P11)</f>
        <v>29693.006000000005</v>
      </c>
      <c r="Q12" s="159">
        <f t="shared" ca="1" si="0"/>
        <v>1053.9640000000036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7632.9770000000017</v>
      </c>
      <c r="K17" s="110">
        <f>+SUMIF($F$24:$F$251,"External",$K$24:$K$251)</f>
        <v>7632.9770000000017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1760.9060000000002</v>
      </c>
      <c r="V17" s="113">
        <f t="shared" si="1"/>
        <v>2185.1459999999997</v>
      </c>
      <c r="W17" s="113">
        <f t="shared" si="1"/>
        <v>1405</v>
      </c>
      <c r="X17" s="113">
        <f t="shared" si="1"/>
        <v>1189.1420000000001</v>
      </c>
      <c r="Y17" s="113">
        <f t="shared" si="1"/>
        <v>1092.7829999999999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1462.636</v>
      </c>
      <c r="K18" s="115">
        <f>+SUMIF($F$24:$F$251,"Group",$K$24:$K$251)</f>
        <v>1462.636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498.69200000000001</v>
      </c>
      <c r="V18" s="116">
        <f t="shared" si="3"/>
        <v>698.69299999999998</v>
      </c>
      <c r="W18" s="116">
        <f t="shared" si="3"/>
        <v>27.870999999999995</v>
      </c>
      <c r="X18" s="116">
        <f t="shared" si="3"/>
        <v>237.38000000000002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9095.6130000000012</v>
      </c>
      <c r="K19" s="117">
        <f>SUM(K17:K18)</f>
        <v>9095.6130000000012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2259.598</v>
      </c>
      <c r="V19" s="118">
        <f t="shared" si="5"/>
        <v>2883.8389999999999</v>
      </c>
      <c r="W19" s="118">
        <f t="shared" si="5"/>
        <v>1432.8710000000001</v>
      </c>
      <c r="X19" s="118">
        <f t="shared" si="5"/>
        <v>1426.5220000000002</v>
      </c>
      <c r="Y19" s="118">
        <f t="shared" si="5"/>
        <v>1092.7829999999999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738.92599999999993</v>
      </c>
      <c r="K24" s="121">
        <f t="shared" ref="K24" si="8">SUM(N24:Y24)</f>
        <v>738.92599999999993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169.572-25.646</f>
        <v>143.92599999999999</v>
      </c>
      <c r="V24" s="26">
        <f>404+31</f>
        <v>435</v>
      </c>
      <c r="W24" s="26">
        <v>12</v>
      </c>
      <c r="X24" s="26">
        <f>107-31+72</f>
        <v>148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8" si="10">+K25+L25</f>
        <v>182.03300000000002</v>
      </c>
      <c r="K25" s="121">
        <f t="shared" ref="K25:K88" si="11">SUM(N25:Y25)</f>
        <v>182.03300000000002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86.545000000000002</v>
      </c>
      <c r="V25" s="26"/>
      <c r="W25" s="26">
        <v>6.8709999999999951</v>
      </c>
      <c r="X25" s="26">
        <v>88.617000000000004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59.180999999999997</v>
      </c>
      <c r="K26" s="121">
        <f t="shared" si="11"/>
        <v>59.180999999999997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11</v>
      </c>
      <c r="V26" s="26">
        <f>54.181-11+5</f>
        <v>48.180999999999997</v>
      </c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189.67699999999999</v>
      </c>
      <c r="K27" s="121">
        <f t="shared" si="11"/>
        <v>189.67699999999999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189.67699999999999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315</v>
      </c>
      <c r="F28" s="9" t="s">
        <v>10</v>
      </c>
      <c r="G28" s="9" t="s">
        <v>315</v>
      </c>
      <c r="H28" s="195"/>
      <c r="I28" s="195" t="s">
        <v>234</v>
      </c>
      <c r="J28" s="120">
        <f t="shared" si="10"/>
        <v>0.76299999999999968</v>
      </c>
      <c r="K28" s="121">
        <f t="shared" si="11"/>
        <v>0.76299999999999968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0.76299999999999968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338</v>
      </c>
      <c r="F29" s="9" t="s">
        <v>10</v>
      </c>
      <c r="G29" s="9" t="s">
        <v>338</v>
      </c>
      <c r="H29" s="196"/>
      <c r="I29" s="196" t="s">
        <v>234</v>
      </c>
      <c r="J29" s="120">
        <f t="shared" si="10"/>
        <v>20.163999999999994</v>
      </c>
      <c r="K29" s="121">
        <f t="shared" si="11"/>
        <v>20.163999999999994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7.1639999999999944</v>
      </c>
      <c r="V29" s="26">
        <v>13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144</v>
      </c>
      <c r="F30" s="9" t="s">
        <v>10</v>
      </c>
      <c r="G30" s="9" t="s">
        <v>292</v>
      </c>
      <c r="H30" s="197"/>
      <c r="I30" s="195" t="s">
        <v>234</v>
      </c>
      <c r="J30" s="120">
        <f t="shared" si="10"/>
        <v>187.642</v>
      </c>
      <c r="K30" s="121">
        <f t="shared" si="11"/>
        <v>187.642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60.13</v>
      </c>
      <c r="V30" s="26">
        <v>118.512</v>
      </c>
      <c r="W30" s="26">
        <v>9</v>
      </c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207</v>
      </c>
      <c r="F31" s="9" t="s">
        <v>10</v>
      </c>
      <c r="G31" s="9" t="s">
        <v>239</v>
      </c>
      <c r="H31" s="197"/>
      <c r="I31" s="195" t="s">
        <v>234</v>
      </c>
      <c r="J31" s="120">
        <f t="shared" si="10"/>
        <v>0.25</v>
      </c>
      <c r="K31" s="121">
        <f t="shared" si="11"/>
        <v>0.25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0.25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348</v>
      </c>
      <c r="F32" s="9" t="s">
        <v>10</v>
      </c>
      <c r="G32" s="9" t="s">
        <v>348</v>
      </c>
      <c r="H32" s="197"/>
      <c r="I32" s="195" t="s">
        <v>234</v>
      </c>
      <c r="J32" s="120">
        <f t="shared" si="10"/>
        <v>84</v>
      </c>
      <c r="K32" s="121">
        <f t="shared" si="11"/>
        <v>84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84</v>
      </c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263</v>
      </c>
      <c r="H33" s="197"/>
      <c r="I33" s="195" t="s">
        <v>234</v>
      </c>
      <c r="J33" s="120">
        <f t="shared" si="10"/>
        <v>1815.7730000000001</v>
      </c>
      <c r="K33" s="121">
        <f t="shared" si="11"/>
        <v>1815.7730000000001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2</v>
      </c>
      <c r="V33" s="26">
        <v>650.20800000000008</v>
      </c>
      <c r="W33" s="26">
        <v>600</v>
      </c>
      <c r="X33" s="26">
        <v>536.56500000000005</v>
      </c>
      <c r="Y33" s="26">
        <v>27</v>
      </c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290</v>
      </c>
      <c r="F34" s="9" t="s">
        <v>40</v>
      </c>
      <c r="G34" s="9" t="s">
        <v>245</v>
      </c>
      <c r="H34" s="197"/>
      <c r="I34" s="195" t="s">
        <v>234</v>
      </c>
      <c r="J34" s="120">
        <f t="shared" si="10"/>
        <v>2451.828</v>
      </c>
      <c r="K34" s="121">
        <f t="shared" si="11"/>
        <v>2451.828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742.49900000000002</v>
      </c>
      <c r="W34" s="26">
        <v>655</v>
      </c>
      <c r="X34" s="26">
        <v>162.72999999999999</v>
      </c>
      <c r="Y34" s="26">
        <f>37.345+854.254</f>
        <v>891.59900000000005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329</v>
      </c>
      <c r="F35" s="9" t="s">
        <v>40</v>
      </c>
      <c r="G35" s="9" t="s">
        <v>330</v>
      </c>
      <c r="H35" s="197"/>
      <c r="I35" s="195" t="s">
        <v>234</v>
      </c>
      <c r="J35" s="120">
        <f t="shared" si="10"/>
        <v>0.32600000000000051</v>
      </c>
      <c r="K35" s="121">
        <f t="shared" si="11"/>
        <v>0.32600000000000051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35.621-35.295</f>
        <v>0.32600000000000051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256</v>
      </c>
      <c r="F36" s="9" t="s">
        <v>40</v>
      </c>
      <c r="G36" s="9" t="s">
        <v>257</v>
      </c>
      <c r="H36" s="197"/>
      <c r="I36" s="195" t="s">
        <v>234</v>
      </c>
      <c r="J36" s="120">
        <f t="shared" si="10"/>
        <v>84.808999999999997</v>
      </c>
      <c r="K36" s="121">
        <f t="shared" si="11"/>
        <v>84.808999999999997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75.808999999999997</v>
      </c>
      <c r="V36" s="26">
        <f>9-6</f>
        <v>3</v>
      </c>
      <c r="W36" s="26"/>
      <c r="X36" s="26">
        <v>6</v>
      </c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264</v>
      </c>
      <c r="F37" s="9" t="s">
        <v>40</v>
      </c>
      <c r="G37" s="9" t="s">
        <v>265</v>
      </c>
      <c r="H37" s="197"/>
      <c r="I37" s="195" t="s">
        <v>234</v>
      </c>
      <c r="J37" s="120">
        <f t="shared" si="10"/>
        <v>293.19100000000003</v>
      </c>
      <c r="K37" s="121">
        <f t="shared" si="11"/>
        <v>293.19100000000003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f>51.021-8.39</f>
        <v>42.631</v>
      </c>
      <c r="V37" s="26">
        <v>159.56</v>
      </c>
      <c r="W37" s="26">
        <v>91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258</v>
      </c>
      <c r="F38" s="9" t="s">
        <v>40</v>
      </c>
      <c r="G38" s="9" t="s">
        <v>259</v>
      </c>
      <c r="H38" s="197"/>
      <c r="I38" s="195" t="s">
        <v>234</v>
      </c>
      <c r="J38" s="120">
        <f t="shared" si="10"/>
        <v>59</v>
      </c>
      <c r="K38" s="121">
        <f t="shared" si="11"/>
        <v>59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59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310</v>
      </c>
      <c r="F39" s="9" t="s">
        <v>40</v>
      </c>
      <c r="G39" s="9" t="s">
        <v>311</v>
      </c>
      <c r="H39" s="197"/>
      <c r="I39" s="195" t="s">
        <v>234</v>
      </c>
      <c r="J39" s="120">
        <f t="shared" si="10"/>
        <v>7.734</v>
      </c>
      <c r="K39" s="121">
        <f t="shared" si="11"/>
        <v>7.734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7.734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250</v>
      </c>
      <c r="F40" s="9" t="s">
        <v>40</v>
      </c>
      <c r="G40" s="9" t="s">
        <v>251</v>
      </c>
      <c r="H40" s="197"/>
      <c r="I40" s="195" t="s">
        <v>247</v>
      </c>
      <c r="J40" s="120">
        <f t="shared" si="10"/>
        <v>756.37599999999998</v>
      </c>
      <c r="K40" s="121">
        <f t="shared" si="11"/>
        <v>756.37599999999998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390.37599999999998</v>
      </c>
      <c r="V40" s="26">
        <v>61</v>
      </c>
      <c r="W40" s="26"/>
      <c r="X40" s="26">
        <f>366-61</f>
        <v>305</v>
      </c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323</v>
      </c>
      <c r="F41" s="9" t="s">
        <v>40</v>
      </c>
      <c r="G41" s="9" t="s">
        <v>324</v>
      </c>
      <c r="H41" s="197"/>
      <c r="I41" s="195" t="s">
        <v>247</v>
      </c>
      <c r="J41" s="120">
        <f t="shared" si="10"/>
        <v>350.38099999999997</v>
      </c>
      <c r="K41" s="121">
        <f t="shared" si="11"/>
        <v>350.38099999999997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164.38099999999997</v>
      </c>
      <c r="V41" s="26">
        <v>42</v>
      </c>
      <c r="W41" s="26"/>
      <c r="X41" s="26">
        <f>186-42</f>
        <v>144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254</v>
      </c>
      <c r="F42" s="9" t="s">
        <v>40</v>
      </c>
      <c r="G42" s="9" t="s">
        <v>255</v>
      </c>
      <c r="H42" s="197"/>
      <c r="I42" s="195" t="s">
        <v>247</v>
      </c>
      <c r="J42" s="120">
        <f t="shared" si="10"/>
        <v>2.2800000000000011</v>
      </c>
      <c r="K42" s="121">
        <f t="shared" si="11"/>
        <v>2.2800000000000011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>
        <f>14.14-22.86+11</f>
        <v>2.2800000000000011</v>
      </c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320</v>
      </c>
      <c r="F43" s="9" t="s">
        <v>40</v>
      </c>
      <c r="G43" s="9" t="s">
        <v>268</v>
      </c>
      <c r="H43" s="198"/>
      <c r="I43" s="195" t="s">
        <v>247</v>
      </c>
      <c r="J43" s="120">
        <f t="shared" si="10"/>
        <v>29.166</v>
      </c>
      <c r="K43" s="121">
        <f t="shared" si="11"/>
        <v>29.166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29.166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341</v>
      </c>
      <c r="F44" s="9" t="s">
        <v>40</v>
      </c>
      <c r="G44" s="9" t="s">
        <v>341</v>
      </c>
      <c r="H44" s="198"/>
      <c r="I44" s="195" t="s">
        <v>247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1" t="s">
        <v>246</v>
      </c>
      <c r="F45" s="9" t="s">
        <v>40</v>
      </c>
      <c r="G45" s="9" t="s">
        <v>246</v>
      </c>
      <c r="H45" s="198"/>
      <c r="I45" s="195" t="s">
        <v>247</v>
      </c>
      <c r="J45" s="120">
        <f t="shared" si="10"/>
        <v>63.665999999999997</v>
      </c>
      <c r="K45" s="121">
        <f t="shared" si="11"/>
        <v>63.665999999999997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63.665999999999997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248</v>
      </c>
      <c r="F46" s="9" t="s">
        <v>40</v>
      </c>
      <c r="G46" s="9" t="s">
        <v>249</v>
      </c>
      <c r="H46" s="195"/>
      <c r="I46" s="195" t="s">
        <v>247</v>
      </c>
      <c r="J46" s="120">
        <f t="shared" si="10"/>
        <v>262.37</v>
      </c>
      <c r="K46" s="121">
        <f t="shared" si="11"/>
        <v>262.37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>
        <v>245.37</v>
      </c>
      <c r="V46" s="26">
        <v>17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252</v>
      </c>
      <c r="F47" s="9" t="s">
        <v>40</v>
      </c>
      <c r="G47" s="9" t="s">
        <v>253</v>
      </c>
      <c r="H47" s="195"/>
      <c r="I47" s="195" t="s">
        <v>247</v>
      </c>
      <c r="J47" s="120">
        <f t="shared" si="10"/>
        <v>71.355999999999995</v>
      </c>
      <c r="K47" s="121">
        <f t="shared" si="11"/>
        <v>71.355999999999995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>
        <f>44.434-5.078+13-7</f>
        <v>45.355999999999995</v>
      </c>
      <c r="V47" s="26">
        <f>26-13+6+7</f>
        <v>26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260</v>
      </c>
      <c r="F48" s="9" t="s">
        <v>40</v>
      </c>
      <c r="G48" s="9" t="s">
        <v>261</v>
      </c>
      <c r="H48" s="196"/>
      <c r="I48" s="195" t="s">
        <v>247</v>
      </c>
      <c r="J48" s="120">
        <f t="shared" si="10"/>
        <v>40.186</v>
      </c>
      <c r="K48" s="121">
        <f t="shared" si="11"/>
        <v>40.186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40.186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270</v>
      </c>
      <c r="F49" s="9" t="s">
        <v>40</v>
      </c>
      <c r="G49" s="9" t="s">
        <v>270</v>
      </c>
      <c r="H49" s="197"/>
      <c r="I49" s="195" t="s">
        <v>247</v>
      </c>
      <c r="J49" s="120">
        <f t="shared" si="10"/>
        <v>45.837000000000003</v>
      </c>
      <c r="K49" s="121">
        <f t="shared" si="11"/>
        <v>45.837000000000003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>
        <v>45.837000000000003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273</v>
      </c>
      <c r="F50" s="9" t="s">
        <v>40</v>
      </c>
      <c r="G50" s="9" t="s">
        <v>274</v>
      </c>
      <c r="H50" s="197"/>
      <c r="I50" s="195" t="s">
        <v>247</v>
      </c>
      <c r="J50" s="120">
        <f t="shared" si="10"/>
        <v>393.73100000000005</v>
      </c>
      <c r="K50" s="121">
        <f t="shared" si="11"/>
        <v>393.73100000000005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>
        <v>192.15000000000003</v>
      </c>
      <c r="V50" s="26">
        <v>78</v>
      </c>
      <c r="W50" s="26"/>
      <c r="X50" s="26">
        <v>23</v>
      </c>
      <c r="Y50" s="26">
        <f>41.581-23+75+7</f>
        <v>100.581</v>
      </c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297</v>
      </c>
      <c r="F51" s="9" t="s">
        <v>40</v>
      </c>
      <c r="G51" s="9" t="s">
        <v>297</v>
      </c>
      <c r="H51" s="197"/>
      <c r="I51" s="195" t="s">
        <v>247</v>
      </c>
      <c r="J51" s="120">
        <f t="shared" si="10"/>
        <v>1.1039999999999992</v>
      </c>
      <c r="K51" s="121">
        <f t="shared" si="11"/>
        <v>1.1039999999999992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>
        <v>1.1039999999999992</v>
      </c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343</v>
      </c>
      <c r="F52" s="9" t="s">
        <v>40</v>
      </c>
      <c r="G52" s="9" t="s">
        <v>347</v>
      </c>
      <c r="H52" s="197"/>
      <c r="I52" s="195" t="s">
        <v>234</v>
      </c>
      <c r="J52" s="120">
        <f t="shared" si="10"/>
        <v>455</v>
      </c>
      <c r="K52" s="121">
        <f t="shared" si="11"/>
        <v>455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>
        <v>455</v>
      </c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269</v>
      </c>
      <c r="F53" s="9" t="s">
        <v>40</v>
      </c>
      <c r="G53" s="9" t="s">
        <v>269</v>
      </c>
      <c r="H53" s="197"/>
      <c r="I53" s="195" t="s">
        <v>247</v>
      </c>
      <c r="J53" s="120">
        <f t="shared" si="10"/>
        <v>116.44199999999999</v>
      </c>
      <c r="K53" s="121">
        <f t="shared" si="11"/>
        <v>116.44199999999999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>
        <f>116+11.166-10.724</f>
        <v>116.44199999999999</v>
      </c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266</v>
      </c>
      <c r="F54" s="9" t="s">
        <v>40</v>
      </c>
      <c r="G54" s="9" t="s">
        <v>266</v>
      </c>
      <c r="H54" s="197"/>
      <c r="I54" s="195" t="s">
        <v>247</v>
      </c>
      <c r="J54" s="120">
        <f t="shared" si="10"/>
        <v>5.5670000000000002</v>
      </c>
      <c r="K54" s="121">
        <f t="shared" si="11"/>
        <v>5.5670000000000002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19+7-20.433</f>
        <v>5.5670000000000002</v>
      </c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352</v>
      </c>
      <c r="F55" s="9" t="s">
        <v>40</v>
      </c>
      <c r="G55" s="9" t="s">
        <v>352</v>
      </c>
      <c r="H55" s="197"/>
      <c r="I55" s="195" t="s">
        <v>247</v>
      </c>
      <c r="J55" s="120">
        <f t="shared" si="10"/>
        <v>267</v>
      </c>
      <c r="K55" s="121">
        <f t="shared" si="11"/>
        <v>267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>
        <v>267</v>
      </c>
      <c r="W55" s="26"/>
      <c r="X55" s="21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353</v>
      </c>
      <c r="F56" s="9" t="s">
        <v>40</v>
      </c>
      <c r="G56" s="9" t="s">
        <v>354</v>
      </c>
      <c r="H56" s="197"/>
      <c r="I56" s="195" t="s">
        <v>234</v>
      </c>
      <c r="J56" s="120">
        <f t="shared" si="10"/>
        <v>26.437000000000001</v>
      </c>
      <c r="K56" s="121">
        <f t="shared" si="11"/>
        <v>26.437000000000001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>
        <f>26.437-4</f>
        <v>22.437000000000001</v>
      </c>
      <c r="W56" s="26"/>
      <c r="X56" s="26">
        <v>4</v>
      </c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294</v>
      </c>
      <c r="F57" s="9" t="s">
        <v>40</v>
      </c>
      <c r="G57" s="9" t="s">
        <v>294</v>
      </c>
      <c r="H57" s="197"/>
      <c r="I57" s="195" t="s">
        <v>247</v>
      </c>
      <c r="J57" s="120">
        <f t="shared" si="10"/>
        <v>33.417000000000002</v>
      </c>
      <c r="K57" s="121">
        <f t="shared" si="11"/>
        <v>33.417000000000002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>
        <f>34-0.583</f>
        <v>33.417000000000002</v>
      </c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7"/>
      <c r="I58" s="195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7"/>
      <c r="I59" s="195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7"/>
      <c r="I60" s="195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7"/>
      <c r="I61" s="197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8"/>
      <c r="I62" s="198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8"/>
      <c r="I63" s="198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201"/>
      <c r="F64" s="9"/>
      <c r="G64" s="9"/>
      <c r="H64" s="198"/>
      <c r="I64" s="198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0"/>
  <sheetViews>
    <sheetView showGridLines="0" topLeftCell="F4" zoomScale="90" zoomScaleNormal="90" workbookViewId="0">
      <selection activeCell="U29" sqref="U29:X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0+65.798+187.646+1646.019+2738.581+197.926+1008.221+129.743+236.84+210.522+419.213+379.871-21.033-10.626+0+996.361+456.384+265.654+288.475-3.151+0+252.333+188.87+473.671+157.511+189.413+2066.247-149.105+0+327.485+1397.833+94.51+241.695+J10</f>
        <v>15352.088000000005</v>
      </c>
      <c r="I10" s="63"/>
      <c r="J10" s="162">
        <f>186.239+103.363+629.579</f>
        <v>919.18099999999993</v>
      </c>
      <c r="L10" s="162">
        <f>J10+U17</f>
        <v>1935.1779999999999</v>
      </c>
      <c r="N10" s="57"/>
      <c r="O10" s="173">
        <f>+H10+K17</f>
        <v>23654.452000000005</v>
      </c>
      <c r="P10" s="174" cm="1">
        <f t="array" aca="1" ref="P10" ca="1">INDIRECT(ADDRESS(10,15,,,VLOOKUP($G$4,parameters!$G:$I,3,0)))</f>
        <v>22355.486000000008</v>
      </c>
      <c r="Q10" s="186">
        <f ca="1">O10-P10</f>
        <v>1298.9659999999967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0+68.362+73.603+302.502+1813.594+46.497+224.908+0.185+192.936+6.425+106.702+57.172+0+258.468+84.872+767.013-531.301+105.852+0+86.598+3.677+1441.496+138.278+15.073+278.81+84.165+0+114.847+350.078+82.549+251.266+J11</f>
        <v>7439.360999999999</v>
      </c>
      <c r="I11" s="63"/>
      <c r="J11" s="18">
        <f>473.827+30.394+510.513</f>
        <v>1014.7339999999999</v>
      </c>
      <c r="L11" s="18">
        <f>J11+U18</f>
        <v>1099.8019999999999</v>
      </c>
      <c r="N11" s="57"/>
      <c r="O11" s="155">
        <f>+H11+K18</f>
        <v>8407.4839999999986</v>
      </c>
      <c r="P11" s="156" cm="1">
        <f t="array" aca="1" ref="P11" ca="1">INDIRECT(ADDRESS(11,15,,,VLOOKUP($G$4,parameters!$G:$I,3,0)))</f>
        <v>8391.4840000000004</v>
      </c>
      <c r="Q11" s="187">
        <f t="shared" ref="Q11:Q12" ca="1" si="0">O11-P11</f>
        <v>15.999999999998181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22791.449000000004</v>
      </c>
      <c r="I12" s="63"/>
      <c r="J12" s="128">
        <f>SUM(J10:J11)</f>
        <v>1933.915</v>
      </c>
      <c r="K12" s="67"/>
      <c r="L12" s="128">
        <f>SUM(L10:L11)</f>
        <v>3034.9799999999996</v>
      </c>
      <c r="M12" s="67"/>
      <c r="N12" s="67"/>
      <c r="O12" s="157">
        <f>SUM(O10:O11)</f>
        <v>32061.936000000002</v>
      </c>
      <c r="P12" s="158">
        <f ca="1">SUM(P10:P11)</f>
        <v>30746.970000000008</v>
      </c>
      <c r="Q12" s="159">
        <f t="shared" ca="1" si="0"/>
        <v>1314.9659999999931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8302.3640000000014</v>
      </c>
      <c r="K17" s="110">
        <f>+SUMIF($F$24:$F$249,"External",$K$24:$K$249)</f>
        <v>8302.3640000000014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1015.9970000000001</v>
      </c>
      <c r="V17" s="113">
        <f t="shared" si="1"/>
        <v>2409.9659999999999</v>
      </c>
      <c r="W17" s="113">
        <f t="shared" si="1"/>
        <v>1529.3789999999999</v>
      </c>
      <c r="X17" s="113">
        <f t="shared" si="1"/>
        <v>1175.2950000000001</v>
      </c>
      <c r="Y17" s="113">
        <f t="shared" si="1"/>
        <v>2171.7269999999999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968.12300000000005</v>
      </c>
      <c r="K18" s="115">
        <f>+SUMIF($F$24:$F$249,"Group",$K$24:$K$249)</f>
        <v>968.12300000000005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85.067999999999998</v>
      </c>
      <c r="V18" s="116">
        <f t="shared" si="3"/>
        <v>731.56700000000001</v>
      </c>
      <c r="W18" s="116">
        <f t="shared" si="3"/>
        <v>47.871000000000002</v>
      </c>
      <c r="X18" s="116">
        <f t="shared" si="3"/>
        <v>103.617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9270.487000000001</v>
      </c>
      <c r="K19" s="117">
        <f>SUM(K17:K18)</f>
        <v>9270.487000000001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1101.0650000000001</v>
      </c>
      <c r="V19" s="118">
        <f t="shared" si="5"/>
        <v>3141.5329999999999</v>
      </c>
      <c r="W19" s="118">
        <f t="shared" si="5"/>
        <v>1577.25</v>
      </c>
      <c r="X19" s="118">
        <f t="shared" si="5"/>
        <v>1278.912</v>
      </c>
      <c r="Y19" s="118">
        <f t="shared" si="5"/>
        <v>2171.7269999999999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435.75900000000001</v>
      </c>
      <c r="K24" s="121">
        <f t="shared" ref="K24" si="8">SUM(N24:Y24)</f>
        <v>435.75900000000001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143.926-300.145+435+148-0.813-2.109+0.763-0.275+0.25-0.838</f>
        <v>423.75900000000001</v>
      </c>
      <c r="W24" s="26">
        <v>12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6" si="10">+K25+L25</f>
        <v>188.03300000000002</v>
      </c>
      <c r="K25" s="121">
        <f t="shared" ref="K25:K86" si="11">SUM(N25:Y25)</f>
        <v>188.03300000000002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86.545-20+1</f>
        <v>67.545000000000002</v>
      </c>
      <c r="W25" s="26">
        <f>6.871+19</f>
        <v>25.871000000000002</v>
      </c>
      <c r="X25" s="26">
        <f>88.617+6</f>
        <v>94.617000000000004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9" t="s">
        <v>234</v>
      </c>
      <c r="J26" s="120">
        <f t="shared" si="10"/>
        <v>59.417999999999999</v>
      </c>
      <c r="K26" s="121">
        <f t="shared" si="11"/>
        <v>59.417999999999999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11-6.763</f>
        <v>4.2370000000000001</v>
      </c>
      <c r="V26" s="26">
        <f>48.181+7</f>
        <v>55.180999999999997</v>
      </c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9" t="s">
        <v>234</v>
      </c>
      <c r="J27" s="120">
        <f t="shared" si="10"/>
        <v>1.5699999999999932</v>
      </c>
      <c r="K27" s="121">
        <f t="shared" si="11"/>
        <v>1.5699999999999932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189.677-191.107+3-1</f>
        <v>0.56999999999999318</v>
      </c>
      <c r="W27" s="26">
        <v>1</v>
      </c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338</v>
      </c>
      <c r="F28" s="9" t="s">
        <v>10</v>
      </c>
      <c r="G28" s="9" t="s">
        <v>338</v>
      </c>
      <c r="H28" s="196"/>
      <c r="I28" s="9" t="s">
        <v>234</v>
      </c>
      <c r="J28" s="120">
        <f t="shared" si="10"/>
        <v>19.233999999999991</v>
      </c>
      <c r="K28" s="121">
        <f t="shared" si="11"/>
        <v>19.233999999999991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7.16399999999999-0.93</f>
        <v>6.2339999999999902</v>
      </c>
      <c r="V28" s="26">
        <v>4</v>
      </c>
      <c r="W28" s="26"/>
      <c r="X28" s="26">
        <f>13-4</f>
        <v>9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144</v>
      </c>
      <c r="F29" s="9" t="s">
        <v>10</v>
      </c>
      <c r="G29" s="9" t="s">
        <v>292</v>
      </c>
      <c r="H29" s="197"/>
      <c r="I29" s="9" t="s">
        <v>234</v>
      </c>
      <c r="J29" s="120">
        <f t="shared" si="10"/>
        <v>180.10900000000001</v>
      </c>
      <c r="K29" s="121">
        <f t="shared" si="11"/>
        <v>180.10900000000001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60.13-7.533+22</f>
        <v>74.597000000000008</v>
      </c>
      <c r="V29" s="26">
        <f>118.512-22</f>
        <v>96.512</v>
      </c>
      <c r="W29" s="26">
        <v>9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348</v>
      </c>
      <c r="F30" s="9" t="s">
        <v>10</v>
      </c>
      <c r="G30" s="9" t="s">
        <v>348</v>
      </c>
      <c r="H30" s="197"/>
      <c r="I30" s="9" t="s">
        <v>234</v>
      </c>
      <c r="J30" s="120">
        <f t="shared" si="10"/>
        <v>84</v>
      </c>
      <c r="K30" s="121">
        <f t="shared" si="11"/>
        <v>84</v>
      </c>
      <c r="L30" s="121">
        <f t="shared" si="12"/>
        <v>0</v>
      </c>
      <c r="M30" s="17"/>
      <c r="N30" s="26"/>
      <c r="O30" s="26"/>
      <c r="P30" s="26"/>
      <c r="Q30" s="26"/>
      <c r="R30" s="26"/>
      <c r="S30" s="26"/>
      <c r="T30" s="26"/>
      <c r="U30" s="26"/>
      <c r="V30" s="26">
        <v>84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262</v>
      </c>
      <c r="F31" s="9" t="s">
        <v>40</v>
      </c>
      <c r="G31" s="9" t="s">
        <v>263</v>
      </c>
      <c r="H31" s="197"/>
      <c r="I31" s="9" t="s">
        <v>234</v>
      </c>
      <c r="J31" s="120">
        <f t="shared" si="10"/>
        <v>1813.567</v>
      </c>
      <c r="K31" s="121">
        <f t="shared" si="11"/>
        <v>1813.567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f>2-2.206+650.208</f>
        <v>650.00199999999995</v>
      </c>
      <c r="W31" s="26">
        <v>600</v>
      </c>
      <c r="X31" s="26">
        <v>536.56500000000005</v>
      </c>
      <c r="Y31" s="26">
        <v>27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290</v>
      </c>
      <c r="F32" s="9" t="s">
        <v>40</v>
      </c>
      <c r="G32" s="9" t="s">
        <v>245</v>
      </c>
      <c r="H32" s="197"/>
      <c r="I32" s="9" t="s">
        <v>234</v>
      </c>
      <c r="J32" s="120">
        <f t="shared" si="10"/>
        <v>3522.3140000000003</v>
      </c>
      <c r="K32" s="121">
        <f t="shared" si="11"/>
        <v>3522.3140000000003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f>742.499-13.84+0.326000000000001</f>
        <v>728.98500000000001</v>
      </c>
      <c r="W32" s="26">
        <v>655</v>
      </c>
      <c r="X32" s="26">
        <v>162.72999999999999</v>
      </c>
      <c r="Y32" s="26">
        <f>891.599+1084</f>
        <v>1975.5990000000002</v>
      </c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329</v>
      </c>
      <c r="F33" s="9" t="s">
        <v>40</v>
      </c>
      <c r="G33" s="9" t="s">
        <v>330</v>
      </c>
      <c r="H33" s="197"/>
      <c r="I33" s="9" t="s">
        <v>234</v>
      </c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256</v>
      </c>
      <c r="F34" s="9" t="s">
        <v>40</v>
      </c>
      <c r="G34" s="9" t="s">
        <v>257</v>
      </c>
      <c r="H34" s="197"/>
      <c r="I34" s="9" t="s">
        <v>234</v>
      </c>
      <c r="J34" s="120">
        <f t="shared" si="10"/>
        <v>182.494</v>
      </c>
      <c r="K34" s="121">
        <f t="shared" si="11"/>
        <v>182.494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75.809-33.694-3+28</f>
        <v>67.114999999999995</v>
      </c>
      <c r="W34" s="26">
        <v>115.379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264</v>
      </c>
      <c r="F35" s="9" t="s">
        <v>40</v>
      </c>
      <c r="G35" s="9" t="s">
        <v>265</v>
      </c>
      <c r="H35" s="197"/>
      <c r="I35" s="9" t="s">
        <v>234</v>
      </c>
      <c r="J35" s="120">
        <f t="shared" si="10"/>
        <v>306.13800000000003</v>
      </c>
      <c r="K35" s="121">
        <f t="shared" si="11"/>
        <v>306.13800000000003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42.631-2.053+159.56+6</f>
        <v>206.13800000000001</v>
      </c>
      <c r="W35" s="26">
        <f>91-6+15</f>
        <v>100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258</v>
      </c>
      <c r="F36" s="9" t="s">
        <v>40</v>
      </c>
      <c r="G36" s="9" t="s">
        <v>259</v>
      </c>
      <c r="H36" s="197"/>
      <c r="I36" s="9" t="s">
        <v>234</v>
      </c>
      <c r="J36" s="120">
        <f t="shared" si="10"/>
        <v>59</v>
      </c>
      <c r="K36" s="121">
        <f t="shared" si="11"/>
        <v>59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59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310</v>
      </c>
      <c r="F37" s="9" t="s">
        <v>40</v>
      </c>
      <c r="G37" s="9" t="s">
        <v>311</v>
      </c>
      <c r="H37" s="197"/>
      <c r="I37" s="9" t="s">
        <v>234</v>
      </c>
      <c r="J37" s="120">
        <f t="shared" si="10"/>
        <v>7.734</v>
      </c>
      <c r="K37" s="121">
        <f t="shared" si="11"/>
        <v>7.734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7.734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250</v>
      </c>
      <c r="F38" s="9" t="s">
        <v>40</v>
      </c>
      <c r="G38" s="9" t="s">
        <v>251</v>
      </c>
      <c r="H38" s="197"/>
      <c r="I38" s="9" t="s">
        <v>247</v>
      </c>
      <c r="J38" s="120">
        <f t="shared" si="10"/>
        <v>735.72399999999993</v>
      </c>
      <c r="K38" s="121">
        <f t="shared" si="11"/>
        <v>735.72399999999993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f>390.376-12.814-7.838-100</f>
        <v>269.72399999999993</v>
      </c>
      <c r="V38" s="26">
        <f>61+100</f>
        <v>161</v>
      </c>
      <c r="W38" s="26"/>
      <c r="X38" s="26">
        <v>305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323</v>
      </c>
      <c r="F39" s="9" t="s">
        <v>40</v>
      </c>
      <c r="G39" s="9" t="s">
        <v>324</v>
      </c>
      <c r="H39" s="197"/>
      <c r="I39" s="9" t="s">
        <v>247</v>
      </c>
      <c r="J39" s="120">
        <f t="shared" si="10"/>
        <v>350.38099999999997</v>
      </c>
      <c r="K39" s="121">
        <f t="shared" si="11"/>
        <v>350.38099999999997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164.38099999999997</v>
      </c>
      <c r="V39" s="26">
        <v>42</v>
      </c>
      <c r="W39" s="26"/>
      <c r="X39" s="26">
        <v>144</v>
      </c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254</v>
      </c>
      <c r="F40" s="9" t="s">
        <v>40</v>
      </c>
      <c r="G40" s="9" t="s">
        <v>255</v>
      </c>
      <c r="H40" s="197"/>
      <c r="I40" s="9" t="s">
        <v>247</v>
      </c>
      <c r="J40" s="120">
        <f t="shared" si="10"/>
        <v>11.28</v>
      </c>
      <c r="K40" s="121">
        <f t="shared" si="11"/>
        <v>11.28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2.28+9</f>
        <v>11.28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320</v>
      </c>
      <c r="F41" s="9" t="s">
        <v>40</v>
      </c>
      <c r="G41" s="9" t="s">
        <v>268</v>
      </c>
      <c r="H41" s="198"/>
      <c r="I41" s="9" t="s">
        <v>247</v>
      </c>
      <c r="J41" s="120">
        <f t="shared" si="10"/>
        <v>10.701000000000001</v>
      </c>
      <c r="K41" s="121">
        <f t="shared" si="11"/>
        <v>10.701000000000001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f>29.166-18.465</f>
        <v>10.701000000000001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341</v>
      </c>
      <c r="F42" s="9" t="s">
        <v>40</v>
      </c>
      <c r="G42" s="9" t="s">
        <v>341</v>
      </c>
      <c r="H42" s="198"/>
      <c r="I42" s="9" t="s">
        <v>247</v>
      </c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4" t="s">
        <v>246</v>
      </c>
      <c r="F43" s="9" t="s">
        <v>40</v>
      </c>
      <c r="G43" s="9" t="s">
        <v>246</v>
      </c>
      <c r="H43" s="198"/>
      <c r="I43" s="9" t="s">
        <v>247</v>
      </c>
      <c r="J43" s="120">
        <f t="shared" si="10"/>
        <v>63.665999999999997</v>
      </c>
      <c r="K43" s="121">
        <f t="shared" si="11"/>
        <v>63.665999999999997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63.665999999999997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248</v>
      </c>
      <c r="F44" s="9" t="s">
        <v>40</v>
      </c>
      <c r="G44" s="9" t="s">
        <v>249</v>
      </c>
      <c r="H44" s="195"/>
      <c r="I44" s="9" t="s">
        <v>247</v>
      </c>
      <c r="J44" s="120">
        <f t="shared" si="10"/>
        <v>221.43900000000002</v>
      </c>
      <c r="K44" s="121">
        <f t="shared" si="11"/>
        <v>221.43900000000002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245.37-40.931</f>
        <v>204.43900000000002</v>
      </c>
      <c r="V44" s="26">
        <v>17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252</v>
      </c>
      <c r="F45" s="9" t="s">
        <v>40</v>
      </c>
      <c r="G45" s="9" t="s">
        <v>253</v>
      </c>
      <c r="H45" s="195"/>
      <c r="I45" s="9" t="s">
        <v>247</v>
      </c>
      <c r="J45" s="120">
        <f t="shared" si="10"/>
        <v>52.222000000000001</v>
      </c>
      <c r="K45" s="121">
        <f t="shared" si="11"/>
        <v>52.222000000000001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f>45.356-5.284-13.85</f>
        <v>26.222000000000001</v>
      </c>
      <c r="V45" s="26">
        <v>26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260</v>
      </c>
      <c r="F46" s="9" t="s">
        <v>40</v>
      </c>
      <c r="G46" s="9" t="s">
        <v>261</v>
      </c>
      <c r="H46" s="196"/>
      <c r="I46" s="9" t="s">
        <v>247</v>
      </c>
      <c r="J46" s="120">
        <f t="shared" si="10"/>
        <v>40.186</v>
      </c>
      <c r="K46" s="121">
        <f t="shared" si="11"/>
        <v>40.186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>
        <v>40.186</v>
      </c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 t="s">
        <v>270</v>
      </c>
      <c r="F47" s="9" t="s">
        <v>40</v>
      </c>
      <c r="G47" s="9" t="s">
        <v>270</v>
      </c>
      <c r="H47" s="197"/>
      <c r="I47" s="9" t="s">
        <v>247</v>
      </c>
      <c r="J47" s="120">
        <f t="shared" si="10"/>
        <v>45.071000000000005</v>
      </c>
      <c r="K47" s="121">
        <f t="shared" si="11"/>
        <v>45.071000000000005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>
        <f>45.837-0.766</f>
        <v>45.071000000000005</v>
      </c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 t="s">
        <v>273</v>
      </c>
      <c r="F48" s="9" t="s">
        <v>40</v>
      </c>
      <c r="G48" s="9" t="s">
        <v>274</v>
      </c>
      <c r="H48" s="197"/>
      <c r="I48" s="9" t="s">
        <v>247</v>
      </c>
      <c r="J48" s="120">
        <f t="shared" si="10"/>
        <v>393.73100000000005</v>
      </c>
      <c r="K48" s="121">
        <f t="shared" si="11"/>
        <v>393.73100000000005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>
        <v>192.15000000000003</v>
      </c>
      <c r="V48" s="26">
        <v>78</v>
      </c>
      <c r="W48" s="26"/>
      <c r="X48" s="26">
        <v>23</v>
      </c>
      <c r="Y48" s="26">
        <v>100.581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 t="s">
        <v>297</v>
      </c>
      <c r="F49" s="9" t="s">
        <v>40</v>
      </c>
      <c r="G49" s="9" t="s">
        <v>297</v>
      </c>
      <c r="H49" s="197"/>
      <c r="I49" s="9" t="s">
        <v>247</v>
      </c>
      <c r="J49" s="120">
        <f t="shared" si="10"/>
        <v>1.1039999999999992</v>
      </c>
      <c r="K49" s="121">
        <f t="shared" si="11"/>
        <v>1.1039999999999992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>
        <v>1.1039999999999992</v>
      </c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343</v>
      </c>
      <c r="F50" s="9" t="s">
        <v>40</v>
      </c>
      <c r="G50" s="9" t="s">
        <v>347</v>
      </c>
      <c r="H50" s="197"/>
      <c r="I50" s="9" t="s">
        <v>234</v>
      </c>
      <c r="J50" s="120">
        <f t="shared" si="10"/>
        <v>30.805000000000007</v>
      </c>
      <c r="K50" s="121">
        <f t="shared" si="11"/>
        <v>30.805000000000007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>
        <f>455-424.195</f>
        <v>30.805000000000007</v>
      </c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269</v>
      </c>
      <c r="F51" s="9" t="s">
        <v>40</v>
      </c>
      <c r="G51" s="9" t="s">
        <v>269</v>
      </c>
      <c r="H51" s="197"/>
      <c r="I51" s="9" t="s">
        <v>247</v>
      </c>
      <c r="J51" s="120">
        <f t="shared" si="10"/>
        <v>127.44199999999999</v>
      </c>
      <c r="K51" s="121">
        <f t="shared" si="11"/>
        <v>127.44199999999999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>
        <f>116.442+11</f>
        <v>127.44199999999999</v>
      </c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266</v>
      </c>
      <c r="F52" s="9" t="s">
        <v>40</v>
      </c>
      <c r="G52" s="9" t="s">
        <v>266</v>
      </c>
      <c r="H52" s="197"/>
      <c r="I52" s="9" t="s">
        <v>247</v>
      </c>
      <c r="J52" s="120">
        <f t="shared" si="10"/>
        <v>5.5670000000000002</v>
      </c>
      <c r="K52" s="121">
        <f t="shared" si="11"/>
        <v>5.5670000000000002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>
        <v>5.5670000000000002</v>
      </c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352</v>
      </c>
      <c r="F53" s="9" t="s">
        <v>40</v>
      </c>
      <c r="G53" s="9" t="s">
        <v>352</v>
      </c>
      <c r="H53" s="197"/>
      <c r="I53" s="9" t="s">
        <v>247</v>
      </c>
      <c r="J53" s="120">
        <f t="shared" si="10"/>
        <v>267</v>
      </c>
      <c r="K53" s="121">
        <f t="shared" si="11"/>
        <v>267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>
        <v>267</v>
      </c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353</v>
      </c>
      <c r="F54" s="9" t="s">
        <v>40</v>
      </c>
      <c r="G54" s="9" t="s">
        <v>354</v>
      </c>
      <c r="H54" s="197"/>
      <c r="I54" s="9" t="s">
        <v>234</v>
      </c>
      <c r="J54" s="120">
        <f t="shared" si="10"/>
        <v>26.437000000000001</v>
      </c>
      <c r="K54" s="121">
        <f t="shared" si="11"/>
        <v>26.437000000000001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>
        <v>22.437000000000001</v>
      </c>
      <c r="W54" s="26"/>
      <c r="X54" s="26">
        <v>4</v>
      </c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294</v>
      </c>
      <c r="F55" s="9" t="s">
        <v>40</v>
      </c>
      <c r="G55" s="9" t="s">
        <v>294</v>
      </c>
      <c r="H55" s="197"/>
      <c r="I55" s="9" t="s">
        <v>247</v>
      </c>
      <c r="J55" s="120">
        <f t="shared" si="10"/>
        <v>28.361000000000001</v>
      </c>
      <c r="K55" s="121">
        <f t="shared" si="11"/>
        <v>28.361000000000001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>
        <f>33.417-5.056</f>
        <v>28.361000000000001</v>
      </c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F14" zoomScale="90" zoomScaleNormal="90" workbookViewId="0">
      <selection activeCell="L39" sqref="L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0+65.798+187.646+1646.019+2738.581+197.926+1008.221+129.743+236.84+210.522+419.213+379.871-21.033-10.626+0+996.361+456.384+265.654+288.475-3.151+0+252.333+188.87+473.671+157.511+189.413+2066.247-149.105+0+327.485+1397.833+94.51+241.695+J10</f>
        <v>16483.858000000004</v>
      </c>
      <c r="I10" s="63"/>
      <c r="J10" s="162">
        <f>186.239+103.363+629.579+1131.77</f>
        <v>2050.951</v>
      </c>
      <c r="L10" s="162">
        <f>J10+U17</f>
        <v>2050.951</v>
      </c>
      <c r="N10" s="57"/>
      <c r="O10" s="173">
        <f>+H10+K17</f>
        <v>24185.747000000003</v>
      </c>
      <c r="P10" s="174" cm="1">
        <f t="array" aca="1" ref="P10" ca="1">INDIRECT(ADDRESS(10,15,,,VLOOKUP($G$4,parameters!$G:$I,3,0)))</f>
        <v>23654.452000000005</v>
      </c>
      <c r="Q10" s="186">
        <f ca="1">O10-P10</f>
        <v>531.29499999999825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0+68.362+73.603+302.502+1813.594+46.497+224.908+0.185+192.936+6.425+106.702+57.172+0+258.468+84.872+767.013-531.301+105.852+0+86.598+3.677+1441.496+138.278+15.073+278.81+84.165+0+114.847+350.078+82.549+251.266+J11</f>
        <v>7505.3679999999995</v>
      </c>
      <c r="I11" s="63"/>
      <c r="J11" s="18">
        <f>473.827+30.394+510.513+66.007</f>
        <v>1080.741</v>
      </c>
      <c r="L11" s="18">
        <f>J11+U18</f>
        <v>1080.741</v>
      </c>
      <c r="N11" s="57"/>
      <c r="O11" s="155">
        <f>+H11+K18</f>
        <v>8579.4210000000003</v>
      </c>
      <c r="P11" s="156" cm="1">
        <f t="array" aca="1" ref="P11" ca="1">INDIRECT(ADDRESS(11,15,,,VLOOKUP($G$4,parameters!$G:$I,3,0)))</f>
        <v>8407.4839999999986</v>
      </c>
      <c r="Q11" s="187">
        <f t="shared" ref="Q11:Q12" ca="1" si="0">O11-P11</f>
        <v>171.93700000000172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23989.226000000002</v>
      </c>
      <c r="I12" s="63"/>
      <c r="J12" s="128">
        <f>SUM(J10:J11)</f>
        <v>3131.692</v>
      </c>
      <c r="K12" s="67"/>
      <c r="L12" s="128">
        <f>SUM(L10:L11)</f>
        <v>3131.692</v>
      </c>
      <c r="M12" s="67"/>
      <c r="N12" s="67"/>
      <c r="O12" s="157">
        <f>SUM(O10:O11)</f>
        <v>32765.168000000005</v>
      </c>
      <c r="P12" s="158">
        <f ca="1">SUM(P10:P11)</f>
        <v>32061.936000000002</v>
      </c>
      <c r="Q12" s="159">
        <f t="shared" ca="1" si="0"/>
        <v>703.23200000000361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7701.8889999999992</v>
      </c>
      <c r="K17" s="110">
        <f>+SUMIF($F$24:$F$250,"External",$K$24:$K$250)</f>
        <v>7701.8889999999992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2109.1399999999994</v>
      </c>
      <c r="W17" s="113">
        <f t="shared" si="1"/>
        <v>1717.0839999999998</v>
      </c>
      <c r="X17" s="113">
        <f t="shared" si="1"/>
        <v>1512.3990000000001</v>
      </c>
      <c r="Y17" s="113">
        <f t="shared" si="1"/>
        <v>2363.2660000000001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1074.0530000000001</v>
      </c>
      <c r="K18" s="115">
        <f>+SUMIF($F$24:$F$250,"Group",$K$24:$K$250)</f>
        <v>1074.0530000000001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774.053</v>
      </c>
      <c r="W18" s="116">
        <f t="shared" si="3"/>
        <v>69.38300000000001</v>
      </c>
      <c r="X18" s="116">
        <f t="shared" si="3"/>
        <v>121.617</v>
      </c>
      <c r="Y18" s="116">
        <f t="shared" si="3"/>
        <v>109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8775.9419999999991</v>
      </c>
      <c r="K19" s="117">
        <f>SUM(K17:K18)</f>
        <v>8775.9419999999991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2883.1929999999993</v>
      </c>
      <c r="W19" s="118">
        <f t="shared" si="5"/>
        <v>1786.4669999999999</v>
      </c>
      <c r="X19" s="118">
        <f t="shared" si="5"/>
        <v>1634.0160000000001</v>
      </c>
      <c r="Y19" s="118">
        <f t="shared" si="5"/>
        <v>2472.2660000000001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443.75900000000001</v>
      </c>
      <c r="K24" s="121">
        <f t="shared" ref="K24" si="8">SUM(N24:Y24)</f>
        <v>443.75900000000001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423.759-7+15</f>
        <v>431.75900000000001</v>
      </c>
      <c r="W24" s="26"/>
      <c r="X24" s="26">
        <v>12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87" si="10">+K25+L25</f>
        <v>188.03300000000002</v>
      </c>
      <c r="K25" s="121">
        <f t="shared" ref="K25:K87" si="11">SUM(N25:Y25)</f>
        <v>188.03300000000002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67.545-2+2+2</f>
        <v>69.545000000000002</v>
      </c>
      <c r="W25" s="26">
        <v>25.871000000000002</v>
      </c>
      <c r="X25" s="26">
        <f>94.617+2-2-2</f>
        <v>92.617000000000004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58.942999999999998</v>
      </c>
      <c r="K26" s="121">
        <f t="shared" si="11"/>
        <v>58.942999999999998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4.237-0.377-0.098+55.181-2</f>
        <v>56.942999999999998</v>
      </c>
      <c r="W26" s="26">
        <v>2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26.569999999999993</v>
      </c>
      <c r="K27" s="121">
        <f t="shared" si="11"/>
        <v>26.569999999999993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0.569999999999993+1+10</f>
        <v>11.569999999999993</v>
      </c>
      <c r="W27" s="26">
        <v>15</v>
      </c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338</v>
      </c>
      <c r="F28" s="9" t="s">
        <v>10</v>
      </c>
      <c r="G28" s="9" t="s">
        <v>338</v>
      </c>
      <c r="H28" s="195"/>
      <c r="I28" s="195" t="s">
        <v>234</v>
      </c>
      <c r="J28" s="120">
        <f t="shared" si="10"/>
        <v>21.134999999999991</v>
      </c>
      <c r="K28" s="121">
        <f t="shared" si="11"/>
        <v>21.134999999999991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6.23399999999999-10.099+4+9+2</f>
        <v>11.134999999999991</v>
      </c>
      <c r="W28" s="26">
        <v>10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355</v>
      </c>
      <c r="F29" s="9" t="s">
        <v>10</v>
      </c>
      <c r="G29" s="9" t="s">
        <v>355</v>
      </c>
      <c r="H29" s="195"/>
      <c r="I29" s="195" t="s">
        <v>234</v>
      </c>
      <c r="J29" s="120">
        <f t="shared" ref="J29" si="13">+K29+L29</f>
        <v>7.1289999999999996</v>
      </c>
      <c r="K29" s="121">
        <f t="shared" ref="K29" si="14">SUM(N29:Y29)</f>
        <v>7.1289999999999996</v>
      </c>
      <c r="L29" s="121">
        <f t="shared" ref="L29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7.1289999999999996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356</v>
      </c>
      <c r="F30" s="9" t="s">
        <v>10</v>
      </c>
      <c r="G30" s="9" t="s">
        <v>356</v>
      </c>
      <c r="H30" s="195"/>
      <c r="I30" s="195" t="s">
        <v>234</v>
      </c>
      <c r="J30" s="120">
        <f t="shared" ref="J30" si="16">+K30+L30</f>
        <v>13</v>
      </c>
      <c r="K30" s="121">
        <f t="shared" ref="K30" si="17">SUM(N30:Y30)</f>
        <v>13</v>
      </c>
      <c r="L30" s="121">
        <f t="shared" ref="L30" si="18">SUM(AA30:AL30)</f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13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6"/>
      <c r="I31" s="195" t="s">
        <v>234</v>
      </c>
      <c r="J31" s="120">
        <f t="shared" si="10"/>
        <v>231.48400000000001</v>
      </c>
      <c r="K31" s="121">
        <f t="shared" si="11"/>
        <v>231.48400000000001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60.13-7.533+22-46.625+71</f>
        <v>98.972000000000008</v>
      </c>
      <c r="W31" s="26">
        <f>118.512-22-71-19</f>
        <v>6.5120000000000005</v>
      </c>
      <c r="X31" s="26">
        <f>9+19-11</f>
        <v>17</v>
      </c>
      <c r="Y31" s="26">
        <f>11+98</f>
        <v>109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348</v>
      </c>
      <c r="F32" s="9" t="s">
        <v>10</v>
      </c>
      <c r="G32" s="9" t="s">
        <v>348</v>
      </c>
      <c r="H32" s="197"/>
      <c r="I32" s="195" t="s">
        <v>234</v>
      </c>
      <c r="J32" s="120">
        <f t="shared" si="10"/>
        <v>84</v>
      </c>
      <c r="K32" s="121">
        <f t="shared" si="11"/>
        <v>84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f>84-10</f>
        <v>74</v>
      </c>
      <c r="W32" s="26">
        <v>10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263</v>
      </c>
      <c r="H33" s="197"/>
      <c r="I33" s="195" t="s">
        <v>234</v>
      </c>
      <c r="J33" s="120">
        <f t="shared" si="10"/>
        <v>1813.567</v>
      </c>
      <c r="K33" s="121">
        <f t="shared" si="11"/>
        <v>1813.567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/>
      <c r="V33" s="26">
        <f>650.002+200+4</f>
        <v>854.00199999999995</v>
      </c>
      <c r="W33" s="26">
        <f>600+7-200-4</f>
        <v>403</v>
      </c>
      <c r="X33" s="26">
        <f>536.565-7</f>
        <v>529.56500000000005</v>
      </c>
      <c r="Y33" s="26">
        <v>27</v>
      </c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290</v>
      </c>
      <c r="F34" s="9" t="s">
        <v>40</v>
      </c>
      <c r="G34" s="9" t="s">
        <v>245</v>
      </c>
      <c r="H34" s="197"/>
      <c r="I34" s="195" t="s">
        <v>234</v>
      </c>
      <c r="J34" s="120">
        <f t="shared" si="10"/>
        <v>3016.5680000000002</v>
      </c>
      <c r="K34" s="121">
        <f t="shared" si="11"/>
        <v>3016.5680000000002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728.985-3.89-501.856+70</f>
        <v>293.23900000000003</v>
      </c>
      <c r="W34" s="26">
        <f>655-70</f>
        <v>585</v>
      </c>
      <c r="X34" s="26">
        <f>162.73-12</f>
        <v>150.72999999999999</v>
      </c>
      <c r="Y34" s="26">
        <f>1975.599+12</f>
        <v>1987.5989999999999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256</v>
      </c>
      <c r="F35" s="9" t="s">
        <v>40</v>
      </c>
      <c r="G35" s="9" t="s">
        <v>257</v>
      </c>
      <c r="H35" s="197"/>
      <c r="I35" s="195" t="s">
        <v>234</v>
      </c>
      <c r="J35" s="120">
        <f t="shared" si="10"/>
        <v>190.49400000000003</v>
      </c>
      <c r="K35" s="121">
        <f t="shared" si="11"/>
        <v>190.49400000000003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67.115-32+8</f>
        <v>43.114999999999995</v>
      </c>
      <c r="W35" s="26">
        <f>115.379+32-22</f>
        <v>125.37900000000002</v>
      </c>
      <c r="X35" s="26"/>
      <c r="Y35" s="26">
        <v>22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264</v>
      </c>
      <c r="F36" s="9" t="s">
        <v>40</v>
      </c>
      <c r="G36" s="9" t="s">
        <v>265</v>
      </c>
      <c r="H36" s="197"/>
      <c r="I36" s="195" t="s">
        <v>234</v>
      </c>
      <c r="J36" s="120">
        <f t="shared" si="10"/>
        <v>306.13800000000003</v>
      </c>
      <c r="K36" s="121">
        <f t="shared" si="11"/>
        <v>306.13800000000003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206.138-139</f>
        <v>67.138000000000005</v>
      </c>
      <c r="W36" s="26">
        <f>10+100</f>
        <v>110</v>
      </c>
      <c r="X36" s="26">
        <v>35</v>
      </c>
      <c r="Y36" s="26">
        <f>139-35-10</f>
        <v>94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258</v>
      </c>
      <c r="F37" s="9" t="s">
        <v>40</v>
      </c>
      <c r="G37" s="9" t="s">
        <v>259</v>
      </c>
      <c r="H37" s="197"/>
      <c r="I37" s="195" t="s">
        <v>234</v>
      </c>
      <c r="J37" s="120">
        <f t="shared" si="10"/>
        <v>59</v>
      </c>
      <c r="K37" s="121">
        <f t="shared" si="11"/>
        <v>59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59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250</v>
      </c>
      <c r="F38" s="9" t="s">
        <v>40</v>
      </c>
      <c r="G38" s="9" t="s">
        <v>251</v>
      </c>
      <c r="H38" s="197"/>
      <c r="I38" s="195" t="s">
        <v>247</v>
      </c>
      <c r="J38" s="120">
        <f t="shared" si="10"/>
        <v>479.64099999999996</v>
      </c>
      <c r="K38" s="121">
        <f t="shared" si="11"/>
        <v>479.64099999999996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269.724-210.303-45.78+161-71</f>
        <v>103.64099999999999</v>
      </c>
      <c r="W38" s="26"/>
      <c r="X38" s="26">
        <f>71+305</f>
        <v>376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323</v>
      </c>
      <c r="F39" s="9" t="s">
        <v>40</v>
      </c>
      <c r="G39" s="9" t="s">
        <v>324</v>
      </c>
      <c r="H39" s="197"/>
      <c r="I39" s="195" t="s">
        <v>247</v>
      </c>
      <c r="J39" s="120">
        <f t="shared" si="10"/>
        <v>306.38099999999997</v>
      </c>
      <c r="K39" s="121">
        <f t="shared" si="11"/>
        <v>306.38099999999997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164.381-44+42-81</f>
        <v>81.381</v>
      </c>
      <c r="W39" s="26"/>
      <c r="X39" s="26">
        <f>81+144</f>
        <v>225</v>
      </c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254</v>
      </c>
      <c r="F40" s="9" t="s">
        <v>40</v>
      </c>
      <c r="G40" s="9" t="s">
        <v>255</v>
      </c>
      <c r="H40" s="197"/>
      <c r="I40" s="195" t="s">
        <v>247</v>
      </c>
      <c r="J40" s="120">
        <f t="shared" si="10"/>
        <v>261.101</v>
      </c>
      <c r="K40" s="121">
        <f t="shared" si="11"/>
        <v>261.101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11.28-62.179+312-135</f>
        <v>126.101</v>
      </c>
      <c r="W40" s="26">
        <v>135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320</v>
      </c>
      <c r="F41" s="9" t="s">
        <v>40</v>
      </c>
      <c r="G41" s="9" t="s">
        <v>268</v>
      </c>
      <c r="H41" s="197"/>
      <c r="I41" s="195" t="s">
        <v>247</v>
      </c>
      <c r="J41" s="120">
        <f t="shared" si="10"/>
        <v>183.005</v>
      </c>
      <c r="K41" s="121">
        <f t="shared" si="11"/>
        <v>183.005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f>10.701-5.505+16</f>
        <v>21.196000000000002</v>
      </c>
      <c r="W41" s="26">
        <f>57+20.705</f>
        <v>77.704999999999998</v>
      </c>
      <c r="X41" s="26">
        <f>83+1.104</f>
        <v>84.103999999999999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341</v>
      </c>
      <c r="F42" s="9" t="s">
        <v>40</v>
      </c>
      <c r="G42" s="9" t="s">
        <v>341</v>
      </c>
      <c r="H42" s="197"/>
      <c r="I42" s="195" t="s">
        <v>247</v>
      </c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4" t="s">
        <v>246</v>
      </c>
      <c r="F43" s="9" t="s">
        <v>40</v>
      </c>
      <c r="G43" s="9" t="s">
        <v>246</v>
      </c>
      <c r="H43" s="198"/>
      <c r="I43" s="195" t="s">
        <v>247</v>
      </c>
      <c r="J43" s="120">
        <f t="shared" si="10"/>
        <v>65.538999999999987</v>
      </c>
      <c r="K43" s="121">
        <f t="shared" si="11"/>
        <v>65.538999999999987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63.666-50.127+12</f>
        <v>25.538999999999994</v>
      </c>
      <c r="W43" s="26">
        <v>26</v>
      </c>
      <c r="X43" s="26">
        <v>14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4" t="s">
        <v>248</v>
      </c>
      <c r="F44" s="9" t="s">
        <v>40</v>
      </c>
      <c r="G44" s="9" t="s">
        <v>249</v>
      </c>
      <c r="H44" s="198"/>
      <c r="I44" s="195" t="s">
        <v>247</v>
      </c>
      <c r="J44" s="120">
        <f t="shared" si="10"/>
        <v>263.59199999999998</v>
      </c>
      <c r="K44" s="121">
        <f t="shared" si="11"/>
        <v>263.59199999999998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f>204.439-5.847+17</f>
        <v>215.59199999999998</v>
      </c>
      <c r="W44" s="26"/>
      <c r="X44" s="26">
        <v>35</v>
      </c>
      <c r="Y44" s="26">
        <v>13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4" t="s">
        <v>252</v>
      </c>
      <c r="F45" s="9" t="s">
        <v>40</v>
      </c>
      <c r="G45" s="9" t="s">
        <v>253</v>
      </c>
      <c r="H45" s="198"/>
      <c r="I45" s="195" t="s">
        <v>247</v>
      </c>
      <c r="J45" s="120">
        <f t="shared" si="10"/>
        <v>59.129000000000005</v>
      </c>
      <c r="K45" s="121">
        <f t="shared" si="11"/>
        <v>59.129000000000005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f>26.222-2.093+26+9</f>
        <v>59.129000000000005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260</v>
      </c>
      <c r="F46" s="9" t="s">
        <v>40</v>
      </c>
      <c r="G46" s="9" t="s">
        <v>261</v>
      </c>
      <c r="H46" s="195"/>
      <c r="I46" s="195" t="s">
        <v>247</v>
      </c>
      <c r="J46" s="120">
        <f t="shared" si="10"/>
        <v>40.186</v>
      </c>
      <c r="K46" s="121">
        <f t="shared" si="11"/>
        <v>40.186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>
        <v>40.186</v>
      </c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204" t="s">
        <v>270</v>
      </c>
      <c r="F47" s="9" t="s">
        <v>40</v>
      </c>
      <c r="G47" s="9" t="s">
        <v>270</v>
      </c>
      <c r="H47" s="195"/>
      <c r="I47" s="195" t="s">
        <v>247</v>
      </c>
      <c r="J47" s="120">
        <f t="shared" si="10"/>
        <v>45.071000000000005</v>
      </c>
      <c r="K47" s="121">
        <f t="shared" si="11"/>
        <v>45.071000000000005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>
        <v>45.071000000000005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204" t="s">
        <v>273</v>
      </c>
      <c r="F48" s="9" t="s">
        <v>40</v>
      </c>
      <c r="G48" s="9" t="s">
        <v>274</v>
      </c>
      <c r="H48" s="196"/>
      <c r="I48" s="195" t="s">
        <v>247</v>
      </c>
      <c r="J48" s="120">
        <f t="shared" si="10"/>
        <v>202.60399999999998</v>
      </c>
      <c r="K48" s="121">
        <f t="shared" si="11"/>
        <v>202.60399999999998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>
        <f>192.15-60.027-138.834+78-61+11</f>
        <v>21.288999999999987</v>
      </c>
      <c r="W48" s="26">
        <v>61</v>
      </c>
      <c r="X48" s="26"/>
      <c r="Y48" s="26">
        <f>100.581+23-11+7.734</f>
        <v>120.315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204" t="s">
        <v>343</v>
      </c>
      <c r="F49" s="9" t="s">
        <v>40</v>
      </c>
      <c r="G49" s="9" t="s">
        <v>347</v>
      </c>
      <c r="H49" s="197"/>
      <c r="I49" s="195" t="s">
        <v>234</v>
      </c>
      <c r="J49" s="120">
        <f t="shared" si="10"/>
        <v>30.805000000000007</v>
      </c>
      <c r="K49" s="121">
        <f t="shared" si="11"/>
        <v>30.805000000000007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30.805000000000007</v>
      </c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 t="s">
        <v>269</v>
      </c>
      <c r="F50" s="9" t="s">
        <v>40</v>
      </c>
      <c r="G50" s="9" t="s">
        <v>269</v>
      </c>
      <c r="H50" s="197"/>
      <c r="I50" s="195" t="s">
        <v>247</v>
      </c>
      <c r="J50" s="120">
        <f t="shared" si="10"/>
        <v>127.44199999999999</v>
      </c>
      <c r="K50" s="121">
        <f t="shared" si="11"/>
        <v>127.44199999999999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>
        <f>127.442-10</f>
        <v>117.44199999999999</v>
      </c>
      <c r="W50" s="26">
        <v>10</v>
      </c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 t="s">
        <v>266</v>
      </c>
      <c r="F51" s="9" t="s">
        <v>40</v>
      </c>
      <c r="G51" s="9" t="s">
        <v>266</v>
      </c>
      <c r="H51" s="197"/>
      <c r="I51" s="195" t="s">
        <v>247</v>
      </c>
      <c r="J51" s="120">
        <f t="shared" si="10"/>
        <v>12.827999999999999</v>
      </c>
      <c r="K51" s="121">
        <f t="shared" si="11"/>
        <v>12.827999999999999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>
        <f>5.567-1.239+8.5</f>
        <v>12.827999999999999</v>
      </c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352</v>
      </c>
      <c r="F52" s="9" t="s">
        <v>40</v>
      </c>
      <c r="G52" s="9" t="s">
        <v>352</v>
      </c>
      <c r="H52" s="197"/>
      <c r="I52" s="195" t="s">
        <v>247</v>
      </c>
      <c r="J52" s="120">
        <f t="shared" si="10"/>
        <v>184</v>
      </c>
      <c r="K52" s="121">
        <f t="shared" si="11"/>
        <v>184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>
        <f>267-83</f>
        <v>184</v>
      </c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353</v>
      </c>
      <c r="F53" s="9" t="s">
        <v>40</v>
      </c>
      <c r="G53" s="9" t="s">
        <v>354</v>
      </c>
      <c r="H53" s="197"/>
      <c r="I53" s="195" t="s">
        <v>234</v>
      </c>
      <c r="J53" s="120">
        <f t="shared" si="10"/>
        <v>26.437000000000001</v>
      </c>
      <c r="K53" s="121">
        <f t="shared" si="11"/>
        <v>26.437000000000001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>
        <v>22.437000000000001</v>
      </c>
      <c r="W53" s="26"/>
      <c r="X53" s="26">
        <v>4</v>
      </c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294</v>
      </c>
      <c r="F54" s="9" t="s">
        <v>40</v>
      </c>
      <c r="G54" s="9" t="s">
        <v>294</v>
      </c>
      <c r="H54" s="197"/>
      <c r="I54" s="195" t="s">
        <v>247</v>
      </c>
      <c r="J54" s="120">
        <f t="shared" si="10"/>
        <v>28.361000000000001</v>
      </c>
      <c r="K54" s="121">
        <f t="shared" si="11"/>
        <v>28.361000000000001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>
        <v>28.361000000000001</v>
      </c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9">+K88+L88</f>
        <v>0</v>
      </c>
      <c r="K88" s="121">
        <f t="shared" ref="K88:K151" si="20">SUM(N88:Y88)</f>
        <v>0</v>
      </c>
      <c r="L88" s="121">
        <f t="shared" ref="L88:L151" si="21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9"/>
        <v>0</v>
      </c>
      <c r="K89" s="121">
        <f t="shared" si="20"/>
        <v>0</v>
      </c>
      <c r="L89" s="121">
        <f t="shared" si="21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9"/>
        <v>0</v>
      </c>
      <c r="K90" s="121">
        <f t="shared" si="20"/>
        <v>0</v>
      </c>
      <c r="L90" s="121">
        <f t="shared" si="21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9"/>
        <v>0</v>
      </c>
      <c r="K91" s="121">
        <f t="shared" si="20"/>
        <v>0</v>
      </c>
      <c r="L91" s="121">
        <f t="shared" si="21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9"/>
        <v>0</v>
      </c>
      <c r="K92" s="121">
        <f t="shared" si="20"/>
        <v>0</v>
      </c>
      <c r="L92" s="121">
        <f t="shared" si="21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9"/>
        <v>0</v>
      </c>
      <c r="K93" s="121">
        <f t="shared" si="20"/>
        <v>0</v>
      </c>
      <c r="L93" s="121">
        <f t="shared" si="21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9"/>
        <v>0</v>
      </c>
      <c r="K94" s="121">
        <f t="shared" si="20"/>
        <v>0</v>
      </c>
      <c r="L94" s="121">
        <f t="shared" si="21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9"/>
        <v>0</v>
      </c>
      <c r="K95" s="121">
        <f t="shared" si="20"/>
        <v>0</v>
      </c>
      <c r="L95" s="121">
        <f t="shared" si="21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9"/>
        <v>0</v>
      </c>
      <c r="K96" s="121">
        <f t="shared" si="20"/>
        <v>0</v>
      </c>
      <c r="L96" s="121">
        <f t="shared" si="21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9"/>
        <v>0</v>
      </c>
      <c r="K97" s="121">
        <f t="shared" si="20"/>
        <v>0</v>
      </c>
      <c r="L97" s="121">
        <f t="shared" si="21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9"/>
        <v>0</v>
      </c>
      <c r="K98" s="121">
        <f t="shared" si="20"/>
        <v>0</v>
      </c>
      <c r="L98" s="121">
        <f t="shared" si="21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9"/>
        <v>0</v>
      </c>
      <c r="K99" s="121">
        <f t="shared" si="20"/>
        <v>0</v>
      </c>
      <c r="L99" s="121">
        <f t="shared" si="21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9"/>
        <v>0</v>
      </c>
      <c r="K100" s="121">
        <f t="shared" si="20"/>
        <v>0</v>
      </c>
      <c r="L100" s="121">
        <f t="shared" si="21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9"/>
        <v>0</v>
      </c>
      <c r="K101" s="121">
        <f t="shared" si="20"/>
        <v>0</v>
      </c>
      <c r="L101" s="121">
        <f t="shared" si="21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9"/>
        <v>0</v>
      </c>
      <c r="K102" s="121">
        <f t="shared" si="20"/>
        <v>0</v>
      </c>
      <c r="L102" s="121">
        <f t="shared" si="21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9"/>
        <v>0</v>
      </c>
      <c r="K103" s="121">
        <f t="shared" si="20"/>
        <v>0</v>
      </c>
      <c r="L103" s="121">
        <f t="shared" si="21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9"/>
        <v>0</v>
      </c>
      <c r="K104" s="121">
        <f t="shared" si="20"/>
        <v>0</v>
      </c>
      <c r="L104" s="121">
        <f t="shared" si="21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9"/>
        <v>0</v>
      </c>
      <c r="K105" s="121">
        <f t="shared" si="20"/>
        <v>0</v>
      </c>
      <c r="L105" s="121">
        <f t="shared" si="21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9"/>
        <v>0</v>
      </c>
      <c r="K106" s="121">
        <f t="shared" si="20"/>
        <v>0</v>
      </c>
      <c r="L106" s="121">
        <f t="shared" si="21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9"/>
        <v>0</v>
      </c>
      <c r="K107" s="121">
        <f t="shared" si="20"/>
        <v>0</v>
      </c>
      <c r="L107" s="121">
        <f t="shared" si="21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9"/>
        <v>0</v>
      </c>
      <c r="K108" s="121">
        <f t="shared" si="20"/>
        <v>0</v>
      </c>
      <c r="L108" s="121">
        <f t="shared" si="21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9"/>
        <v>0</v>
      </c>
      <c r="K109" s="121">
        <f t="shared" si="20"/>
        <v>0</v>
      </c>
      <c r="L109" s="121">
        <f t="shared" si="21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9"/>
        <v>0</v>
      </c>
      <c r="K110" s="121">
        <f t="shared" si="20"/>
        <v>0</v>
      </c>
      <c r="L110" s="121">
        <f t="shared" si="21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9"/>
        <v>0</v>
      </c>
      <c r="K111" s="121">
        <f t="shared" si="20"/>
        <v>0</v>
      </c>
      <c r="L111" s="121">
        <f t="shared" si="21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9"/>
        <v>0</v>
      </c>
      <c r="K112" s="121">
        <f t="shared" si="20"/>
        <v>0</v>
      </c>
      <c r="L112" s="121">
        <f t="shared" si="21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9"/>
        <v>0</v>
      </c>
      <c r="K113" s="121">
        <f t="shared" si="20"/>
        <v>0</v>
      </c>
      <c r="L113" s="121">
        <f t="shared" si="21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9"/>
        <v>0</v>
      </c>
      <c r="K114" s="121">
        <f t="shared" si="20"/>
        <v>0</v>
      </c>
      <c r="L114" s="121">
        <f t="shared" si="21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9"/>
        <v>0</v>
      </c>
      <c r="K115" s="121">
        <f t="shared" si="20"/>
        <v>0</v>
      </c>
      <c r="L115" s="121">
        <f t="shared" si="21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9"/>
        <v>0</v>
      </c>
      <c r="K116" s="121">
        <f t="shared" si="20"/>
        <v>0</v>
      </c>
      <c r="L116" s="121">
        <f t="shared" si="21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9"/>
        <v>0</v>
      </c>
      <c r="K117" s="121">
        <f t="shared" si="20"/>
        <v>0</v>
      </c>
      <c r="L117" s="121">
        <f t="shared" si="21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9"/>
        <v>0</v>
      </c>
      <c r="K118" s="121">
        <f t="shared" si="20"/>
        <v>0</v>
      </c>
      <c r="L118" s="121">
        <f t="shared" si="21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9"/>
        <v>0</v>
      </c>
      <c r="K119" s="121">
        <f t="shared" si="20"/>
        <v>0</v>
      </c>
      <c r="L119" s="121">
        <f t="shared" si="21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9"/>
        <v>0</v>
      </c>
      <c r="K120" s="121">
        <f t="shared" si="20"/>
        <v>0</v>
      </c>
      <c r="L120" s="121">
        <f t="shared" si="21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9"/>
        <v>0</v>
      </c>
      <c r="K121" s="121">
        <f t="shared" si="20"/>
        <v>0</v>
      </c>
      <c r="L121" s="121">
        <f t="shared" si="21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9"/>
        <v>0</v>
      </c>
      <c r="K122" s="121">
        <f t="shared" si="20"/>
        <v>0</v>
      </c>
      <c r="L122" s="121">
        <f t="shared" si="21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9"/>
        <v>0</v>
      </c>
      <c r="K123" s="121">
        <f t="shared" si="20"/>
        <v>0</v>
      </c>
      <c r="L123" s="121">
        <f t="shared" si="21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9"/>
        <v>0</v>
      </c>
      <c r="K124" s="121">
        <f t="shared" si="20"/>
        <v>0</v>
      </c>
      <c r="L124" s="121">
        <f t="shared" si="21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9"/>
        <v>0</v>
      </c>
      <c r="K125" s="121">
        <f t="shared" si="20"/>
        <v>0</v>
      </c>
      <c r="L125" s="121">
        <f t="shared" si="21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9"/>
        <v>0</v>
      </c>
      <c r="K126" s="121">
        <f t="shared" si="20"/>
        <v>0</v>
      </c>
      <c r="L126" s="121">
        <f t="shared" si="21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9"/>
        <v>0</v>
      </c>
      <c r="K127" s="121">
        <f t="shared" si="20"/>
        <v>0</v>
      </c>
      <c r="L127" s="121">
        <f t="shared" si="21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9"/>
        <v>0</v>
      </c>
      <c r="K128" s="121">
        <f t="shared" si="20"/>
        <v>0</v>
      </c>
      <c r="L128" s="121">
        <f t="shared" si="21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9"/>
        <v>0</v>
      </c>
      <c r="K129" s="121">
        <f t="shared" si="20"/>
        <v>0</v>
      </c>
      <c r="L129" s="121">
        <f t="shared" si="21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9"/>
        <v>0</v>
      </c>
      <c r="K130" s="121">
        <f t="shared" si="20"/>
        <v>0</v>
      </c>
      <c r="L130" s="121">
        <f t="shared" si="21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9"/>
        <v>0</v>
      </c>
      <c r="K131" s="121">
        <f t="shared" si="20"/>
        <v>0</v>
      </c>
      <c r="L131" s="121">
        <f t="shared" si="21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9"/>
        <v>0</v>
      </c>
      <c r="K132" s="121">
        <f t="shared" si="20"/>
        <v>0</v>
      </c>
      <c r="L132" s="121">
        <f t="shared" si="21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9"/>
        <v>0</v>
      </c>
      <c r="K133" s="121">
        <f t="shared" si="20"/>
        <v>0</v>
      </c>
      <c r="L133" s="121">
        <f t="shared" si="21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9"/>
        <v>0</v>
      </c>
      <c r="K134" s="121">
        <f t="shared" si="20"/>
        <v>0</v>
      </c>
      <c r="L134" s="121">
        <f t="shared" si="21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9"/>
        <v>0</v>
      </c>
      <c r="K135" s="121">
        <f t="shared" si="20"/>
        <v>0</v>
      </c>
      <c r="L135" s="121">
        <f t="shared" si="21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9"/>
        <v>0</v>
      </c>
      <c r="K136" s="121">
        <f t="shared" si="20"/>
        <v>0</v>
      </c>
      <c r="L136" s="121">
        <f t="shared" si="21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9"/>
        <v>0</v>
      </c>
      <c r="K137" s="121">
        <f t="shared" si="20"/>
        <v>0</v>
      </c>
      <c r="L137" s="121">
        <f t="shared" si="21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9"/>
        <v>0</v>
      </c>
      <c r="K138" s="121">
        <f t="shared" si="20"/>
        <v>0</v>
      </c>
      <c r="L138" s="121">
        <f t="shared" si="21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9"/>
        <v>0</v>
      </c>
      <c r="K139" s="121">
        <f t="shared" si="20"/>
        <v>0</v>
      </c>
      <c r="L139" s="121">
        <f t="shared" si="21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9"/>
        <v>0</v>
      </c>
      <c r="K140" s="121">
        <f t="shared" si="20"/>
        <v>0</v>
      </c>
      <c r="L140" s="121">
        <f t="shared" si="21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9"/>
        <v>0</v>
      </c>
      <c r="K141" s="121">
        <f t="shared" si="20"/>
        <v>0</v>
      </c>
      <c r="L141" s="121">
        <f t="shared" si="21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9"/>
        <v>0</v>
      </c>
      <c r="K142" s="121">
        <f t="shared" si="20"/>
        <v>0</v>
      </c>
      <c r="L142" s="121">
        <f t="shared" si="21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9"/>
        <v>0</v>
      </c>
      <c r="K143" s="121">
        <f t="shared" si="20"/>
        <v>0</v>
      </c>
      <c r="L143" s="121">
        <f t="shared" si="21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9"/>
        <v>0</v>
      </c>
      <c r="K144" s="121">
        <f t="shared" si="20"/>
        <v>0</v>
      </c>
      <c r="L144" s="121">
        <f t="shared" si="21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9"/>
        <v>0</v>
      </c>
      <c r="K145" s="121">
        <f t="shared" si="20"/>
        <v>0</v>
      </c>
      <c r="L145" s="121">
        <f t="shared" si="21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9"/>
        <v>0</v>
      </c>
      <c r="K146" s="121">
        <f t="shared" si="20"/>
        <v>0</v>
      </c>
      <c r="L146" s="121">
        <f t="shared" si="21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9"/>
        <v>0</v>
      </c>
      <c r="K147" s="121">
        <f t="shared" si="20"/>
        <v>0</v>
      </c>
      <c r="L147" s="121">
        <f t="shared" si="21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9"/>
        <v>0</v>
      </c>
      <c r="K148" s="121">
        <f t="shared" si="20"/>
        <v>0</v>
      </c>
      <c r="L148" s="121">
        <f t="shared" si="21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9"/>
        <v>0</v>
      </c>
      <c r="K149" s="121">
        <f t="shared" si="20"/>
        <v>0</v>
      </c>
      <c r="L149" s="121">
        <f t="shared" si="21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9"/>
        <v>0</v>
      </c>
      <c r="K150" s="121">
        <f t="shared" si="20"/>
        <v>0</v>
      </c>
      <c r="L150" s="121">
        <f t="shared" si="21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9"/>
        <v>0</v>
      </c>
      <c r="K151" s="121">
        <f t="shared" si="20"/>
        <v>0</v>
      </c>
      <c r="L151" s="121">
        <f t="shared" si="21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22">+K152+L152</f>
        <v>0</v>
      </c>
      <c r="K152" s="121">
        <f t="shared" ref="K152:K215" si="23">SUM(N152:Y152)</f>
        <v>0</v>
      </c>
      <c r="L152" s="121">
        <f t="shared" ref="L152:L215" si="24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22"/>
        <v>0</v>
      </c>
      <c r="K153" s="121">
        <f t="shared" si="23"/>
        <v>0</v>
      </c>
      <c r="L153" s="121">
        <f t="shared" si="24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22"/>
        <v>0</v>
      </c>
      <c r="K154" s="121">
        <f t="shared" si="23"/>
        <v>0</v>
      </c>
      <c r="L154" s="121">
        <f t="shared" si="24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22"/>
        <v>0</v>
      </c>
      <c r="K155" s="121">
        <f t="shared" si="23"/>
        <v>0</v>
      </c>
      <c r="L155" s="121">
        <f t="shared" si="24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22"/>
        <v>0</v>
      </c>
      <c r="K156" s="121">
        <f t="shared" si="23"/>
        <v>0</v>
      </c>
      <c r="L156" s="121">
        <f t="shared" si="24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22"/>
        <v>0</v>
      </c>
      <c r="K157" s="121">
        <f t="shared" si="23"/>
        <v>0</v>
      </c>
      <c r="L157" s="121">
        <f t="shared" si="24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22"/>
        <v>0</v>
      </c>
      <c r="K158" s="121">
        <f t="shared" si="23"/>
        <v>0</v>
      </c>
      <c r="L158" s="121">
        <f t="shared" si="24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22"/>
        <v>0</v>
      </c>
      <c r="K159" s="121">
        <f t="shared" si="23"/>
        <v>0</v>
      </c>
      <c r="L159" s="121">
        <f t="shared" si="24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22"/>
        <v>0</v>
      </c>
      <c r="K160" s="121">
        <f t="shared" si="23"/>
        <v>0</v>
      </c>
      <c r="L160" s="121">
        <f t="shared" si="24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22"/>
        <v>0</v>
      </c>
      <c r="K161" s="121">
        <f t="shared" si="23"/>
        <v>0</v>
      </c>
      <c r="L161" s="121">
        <f t="shared" si="24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22"/>
        <v>0</v>
      </c>
      <c r="K162" s="121">
        <f t="shared" si="23"/>
        <v>0</v>
      </c>
      <c r="L162" s="121">
        <f t="shared" si="24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22"/>
        <v>0</v>
      </c>
      <c r="K163" s="121">
        <f t="shared" si="23"/>
        <v>0</v>
      </c>
      <c r="L163" s="121">
        <f t="shared" si="24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22"/>
        <v>0</v>
      </c>
      <c r="K164" s="121">
        <f t="shared" si="23"/>
        <v>0</v>
      </c>
      <c r="L164" s="121">
        <f t="shared" si="24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22"/>
        <v>0</v>
      </c>
      <c r="K165" s="121">
        <f t="shared" si="23"/>
        <v>0</v>
      </c>
      <c r="L165" s="121">
        <f t="shared" si="24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22"/>
        <v>0</v>
      </c>
      <c r="K166" s="121">
        <f t="shared" si="23"/>
        <v>0</v>
      </c>
      <c r="L166" s="121">
        <f t="shared" si="24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22"/>
        <v>0</v>
      </c>
      <c r="K167" s="121">
        <f t="shared" si="23"/>
        <v>0</v>
      </c>
      <c r="L167" s="121">
        <f t="shared" si="24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22"/>
        <v>0</v>
      </c>
      <c r="K168" s="121">
        <f t="shared" si="23"/>
        <v>0</v>
      </c>
      <c r="L168" s="121">
        <f t="shared" si="24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22"/>
        <v>0</v>
      </c>
      <c r="K169" s="121">
        <f t="shared" si="23"/>
        <v>0</v>
      </c>
      <c r="L169" s="121">
        <f t="shared" si="24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22"/>
        <v>0</v>
      </c>
      <c r="K170" s="121">
        <f t="shared" si="23"/>
        <v>0</v>
      </c>
      <c r="L170" s="121">
        <f t="shared" si="24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22"/>
        <v>0</v>
      </c>
      <c r="K171" s="121">
        <f t="shared" si="23"/>
        <v>0</v>
      </c>
      <c r="L171" s="121">
        <f t="shared" si="24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22"/>
        <v>0</v>
      </c>
      <c r="K172" s="121">
        <f t="shared" si="23"/>
        <v>0</v>
      </c>
      <c r="L172" s="121">
        <f t="shared" si="24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22"/>
        <v>0</v>
      </c>
      <c r="K173" s="121">
        <f t="shared" si="23"/>
        <v>0</v>
      </c>
      <c r="L173" s="121">
        <f t="shared" si="24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22"/>
        <v>0</v>
      </c>
      <c r="K174" s="121">
        <f t="shared" si="23"/>
        <v>0</v>
      </c>
      <c r="L174" s="121">
        <f t="shared" si="24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22"/>
        <v>0</v>
      </c>
      <c r="K175" s="121">
        <f t="shared" si="23"/>
        <v>0</v>
      </c>
      <c r="L175" s="121">
        <f t="shared" si="24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22"/>
        <v>0</v>
      </c>
      <c r="K176" s="121">
        <f t="shared" si="23"/>
        <v>0</v>
      </c>
      <c r="L176" s="121">
        <f t="shared" si="24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22"/>
        <v>0</v>
      </c>
      <c r="K177" s="121">
        <f t="shared" si="23"/>
        <v>0</v>
      </c>
      <c r="L177" s="121">
        <f t="shared" si="24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22"/>
        <v>0</v>
      </c>
      <c r="K178" s="121">
        <f t="shared" si="23"/>
        <v>0</v>
      </c>
      <c r="L178" s="121">
        <f t="shared" si="24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22"/>
        <v>0</v>
      </c>
      <c r="K179" s="121">
        <f t="shared" si="23"/>
        <v>0</v>
      </c>
      <c r="L179" s="121">
        <f t="shared" si="24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22"/>
        <v>0</v>
      </c>
      <c r="K180" s="121">
        <f t="shared" si="23"/>
        <v>0</v>
      </c>
      <c r="L180" s="121">
        <f t="shared" si="24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22"/>
        <v>0</v>
      </c>
      <c r="K181" s="121">
        <f t="shared" si="23"/>
        <v>0</v>
      </c>
      <c r="L181" s="121">
        <f t="shared" si="24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22"/>
        <v>0</v>
      </c>
      <c r="K182" s="121">
        <f t="shared" si="23"/>
        <v>0</v>
      </c>
      <c r="L182" s="121">
        <f t="shared" si="24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22"/>
        <v>0</v>
      </c>
      <c r="K183" s="121">
        <f t="shared" si="23"/>
        <v>0</v>
      </c>
      <c r="L183" s="121">
        <f t="shared" si="24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22"/>
        <v>0</v>
      </c>
      <c r="K184" s="121">
        <f t="shared" si="23"/>
        <v>0</v>
      </c>
      <c r="L184" s="121">
        <f t="shared" si="24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22"/>
        <v>0</v>
      </c>
      <c r="K185" s="121">
        <f t="shared" si="23"/>
        <v>0</v>
      </c>
      <c r="L185" s="121">
        <f t="shared" si="24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22"/>
        <v>0</v>
      </c>
      <c r="K186" s="121">
        <f t="shared" si="23"/>
        <v>0</v>
      </c>
      <c r="L186" s="121">
        <f t="shared" si="24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22"/>
        <v>0</v>
      </c>
      <c r="K187" s="121">
        <f t="shared" si="23"/>
        <v>0</v>
      </c>
      <c r="L187" s="121">
        <f t="shared" si="24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22"/>
        <v>0</v>
      </c>
      <c r="K188" s="121">
        <f t="shared" si="23"/>
        <v>0</v>
      </c>
      <c r="L188" s="121">
        <f t="shared" si="24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22"/>
        <v>0</v>
      </c>
      <c r="K189" s="121">
        <f t="shared" si="23"/>
        <v>0</v>
      </c>
      <c r="L189" s="121">
        <f t="shared" si="24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22"/>
        <v>0</v>
      </c>
      <c r="K190" s="121">
        <f t="shared" si="23"/>
        <v>0</v>
      </c>
      <c r="L190" s="121">
        <f t="shared" si="24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22"/>
        <v>0</v>
      </c>
      <c r="K191" s="121">
        <f t="shared" si="23"/>
        <v>0</v>
      </c>
      <c r="L191" s="121">
        <f t="shared" si="24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22"/>
        <v>0</v>
      </c>
      <c r="K192" s="121">
        <f t="shared" si="23"/>
        <v>0</v>
      </c>
      <c r="L192" s="121">
        <f t="shared" si="24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22"/>
        <v>0</v>
      </c>
      <c r="K193" s="121">
        <f t="shared" si="23"/>
        <v>0</v>
      </c>
      <c r="L193" s="121">
        <f t="shared" si="24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22"/>
        <v>0</v>
      </c>
      <c r="K194" s="121">
        <f t="shared" si="23"/>
        <v>0</v>
      </c>
      <c r="L194" s="121">
        <f t="shared" si="24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22"/>
        <v>0</v>
      </c>
      <c r="K195" s="121">
        <f t="shared" si="23"/>
        <v>0</v>
      </c>
      <c r="L195" s="121">
        <f t="shared" si="24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22"/>
        <v>0</v>
      </c>
      <c r="K196" s="121">
        <f t="shared" si="23"/>
        <v>0</v>
      </c>
      <c r="L196" s="121">
        <f t="shared" si="24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22"/>
        <v>0</v>
      </c>
      <c r="K197" s="121">
        <f t="shared" si="23"/>
        <v>0</v>
      </c>
      <c r="L197" s="121">
        <f t="shared" si="24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22"/>
        <v>0</v>
      </c>
      <c r="K198" s="121">
        <f t="shared" si="23"/>
        <v>0</v>
      </c>
      <c r="L198" s="121">
        <f t="shared" si="24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22"/>
        <v>0</v>
      </c>
      <c r="K199" s="121">
        <f t="shared" si="23"/>
        <v>0</v>
      </c>
      <c r="L199" s="121">
        <f t="shared" si="24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22"/>
        <v>0</v>
      </c>
      <c r="K200" s="121">
        <f t="shared" si="23"/>
        <v>0</v>
      </c>
      <c r="L200" s="121">
        <f t="shared" si="24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22"/>
        <v>0</v>
      </c>
      <c r="K201" s="121">
        <f t="shared" si="23"/>
        <v>0</v>
      </c>
      <c r="L201" s="121">
        <f t="shared" si="24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22"/>
        <v>0</v>
      </c>
      <c r="K202" s="121">
        <f t="shared" si="23"/>
        <v>0</v>
      </c>
      <c r="L202" s="121">
        <f t="shared" si="24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22"/>
        <v>0</v>
      </c>
      <c r="K203" s="121">
        <f t="shared" si="23"/>
        <v>0</v>
      </c>
      <c r="L203" s="121">
        <f t="shared" si="24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22"/>
        <v>0</v>
      </c>
      <c r="K204" s="121">
        <f t="shared" si="23"/>
        <v>0</v>
      </c>
      <c r="L204" s="121">
        <f t="shared" si="24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22"/>
        <v>0</v>
      </c>
      <c r="K205" s="121">
        <f t="shared" si="23"/>
        <v>0</v>
      </c>
      <c r="L205" s="121">
        <f t="shared" si="24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22"/>
        <v>0</v>
      </c>
      <c r="K206" s="121">
        <f t="shared" si="23"/>
        <v>0</v>
      </c>
      <c r="L206" s="121">
        <f t="shared" si="24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22"/>
        <v>0</v>
      </c>
      <c r="K207" s="121">
        <f t="shared" si="23"/>
        <v>0</v>
      </c>
      <c r="L207" s="121">
        <f t="shared" si="24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22"/>
        <v>0</v>
      </c>
      <c r="K208" s="121">
        <f t="shared" si="23"/>
        <v>0</v>
      </c>
      <c r="L208" s="121">
        <f t="shared" si="24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22"/>
        <v>0</v>
      </c>
      <c r="K209" s="121">
        <f t="shared" si="23"/>
        <v>0</v>
      </c>
      <c r="L209" s="121">
        <f t="shared" si="24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22"/>
        <v>0</v>
      </c>
      <c r="K210" s="121">
        <f t="shared" si="23"/>
        <v>0</v>
      </c>
      <c r="L210" s="121">
        <f t="shared" si="24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22"/>
        <v>0</v>
      </c>
      <c r="K211" s="121">
        <f t="shared" si="23"/>
        <v>0</v>
      </c>
      <c r="L211" s="121">
        <f t="shared" si="24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22"/>
        <v>0</v>
      </c>
      <c r="K212" s="121">
        <f t="shared" si="23"/>
        <v>0</v>
      </c>
      <c r="L212" s="121">
        <f t="shared" si="24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22"/>
        <v>0</v>
      </c>
      <c r="K213" s="121">
        <f t="shared" si="23"/>
        <v>0</v>
      </c>
      <c r="L213" s="121">
        <f t="shared" si="24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22"/>
        <v>0</v>
      </c>
      <c r="K214" s="121">
        <f t="shared" si="23"/>
        <v>0</v>
      </c>
      <c r="L214" s="121">
        <f t="shared" si="24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22"/>
        <v>0</v>
      </c>
      <c r="K215" s="121">
        <f t="shared" si="23"/>
        <v>0</v>
      </c>
      <c r="L215" s="121">
        <f t="shared" si="24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5">+K216+L216</f>
        <v>0</v>
      </c>
      <c r="K216" s="121">
        <f t="shared" ref="K216:K251" si="26">SUM(N216:Y216)</f>
        <v>0</v>
      </c>
      <c r="L216" s="121">
        <f t="shared" ref="L216:L251" si="27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5"/>
        <v>0</v>
      </c>
      <c r="K217" s="121">
        <f t="shared" si="26"/>
        <v>0</v>
      </c>
      <c r="L217" s="121">
        <f t="shared" si="27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5"/>
        <v>0</v>
      </c>
      <c r="K218" s="121">
        <f t="shared" si="26"/>
        <v>0</v>
      </c>
      <c r="L218" s="121">
        <f t="shared" si="27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5"/>
        <v>0</v>
      </c>
      <c r="K219" s="121">
        <f t="shared" si="26"/>
        <v>0</v>
      </c>
      <c r="L219" s="121">
        <f t="shared" si="27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5"/>
        <v>0</v>
      </c>
      <c r="K220" s="121">
        <f t="shared" si="26"/>
        <v>0</v>
      </c>
      <c r="L220" s="121">
        <f t="shared" si="27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5"/>
        <v>0</v>
      </c>
      <c r="K221" s="121">
        <f t="shared" si="26"/>
        <v>0</v>
      </c>
      <c r="L221" s="121">
        <f t="shared" si="27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5"/>
        <v>0</v>
      </c>
      <c r="K222" s="121">
        <f t="shared" si="26"/>
        <v>0</v>
      </c>
      <c r="L222" s="121">
        <f t="shared" si="27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5"/>
        <v>0</v>
      </c>
      <c r="K223" s="121">
        <f t="shared" si="26"/>
        <v>0</v>
      </c>
      <c r="L223" s="121">
        <f t="shared" si="27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5"/>
        <v>0</v>
      </c>
      <c r="K224" s="121">
        <f t="shared" si="26"/>
        <v>0</v>
      </c>
      <c r="L224" s="121">
        <f t="shared" si="27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5"/>
        <v>0</v>
      </c>
      <c r="K225" s="121">
        <f t="shared" si="26"/>
        <v>0</v>
      </c>
      <c r="L225" s="121">
        <f t="shared" si="27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5"/>
        <v>0</v>
      </c>
      <c r="K226" s="121">
        <f t="shared" si="26"/>
        <v>0</v>
      </c>
      <c r="L226" s="121">
        <f t="shared" si="27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5"/>
        <v>0</v>
      </c>
      <c r="K227" s="121">
        <f t="shared" si="26"/>
        <v>0</v>
      </c>
      <c r="L227" s="121">
        <f t="shared" si="27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5"/>
        <v>0</v>
      </c>
      <c r="K228" s="121">
        <f t="shared" si="26"/>
        <v>0</v>
      </c>
      <c r="L228" s="121">
        <f t="shared" si="27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5"/>
        <v>0</v>
      </c>
      <c r="K229" s="121">
        <f t="shared" si="26"/>
        <v>0</v>
      </c>
      <c r="L229" s="121">
        <f t="shared" si="27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5"/>
        <v>0</v>
      </c>
      <c r="K230" s="121">
        <f t="shared" si="26"/>
        <v>0</v>
      </c>
      <c r="L230" s="121">
        <f t="shared" si="27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5"/>
        <v>0</v>
      </c>
      <c r="K231" s="121">
        <f t="shared" si="26"/>
        <v>0</v>
      </c>
      <c r="L231" s="121">
        <f t="shared" si="27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5"/>
        <v>0</v>
      </c>
      <c r="K232" s="121">
        <f t="shared" si="26"/>
        <v>0</v>
      </c>
      <c r="L232" s="121">
        <f t="shared" si="27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5"/>
        <v>0</v>
      </c>
      <c r="K233" s="121">
        <f t="shared" si="26"/>
        <v>0</v>
      </c>
      <c r="L233" s="121">
        <f t="shared" si="27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5"/>
        <v>0</v>
      </c>
      <c r="K234" s="121">
        <f t="shared" si="26"/>
        <v>0</v>
      </c>
      <c r="L234" s="121">
        <f t="shared" si="27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5"/>
        <v>0</v>
      </c>
      <c r="K235" s="121">
        <f t="shared" si="26"/>
        <v>0</v>
      </c>
      <c r="L235" s="121">
        <f t="shared" si="27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5"/>
        <v>0</v>
      </c>
      <c r="K236" s="121">
        <f t="shared" si="26"/>
        <v>0</v>
      </c>
      <c r="L236" s="121">
        <f t="shared" si="27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5"/>
        <v>0</v>
      </c>
      <c r="K237" s="121">
        <f t="shared" si="26"/>
        <v>0</v>
      </c>
      <c r="L237" s="121">
        <f t="shared" si="27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5"/>
        <v>0</v>
      </c>
      <c r="K238" s="121">
        <f t="shared" si="26"/>
        <v>0</v>
      </c>
      <c r="L238" s="121">
        <f t="shared" si="27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5"/>
        <v>0</v>
      </c>
      <c r="K239" s="121">
        <f t="shared" si="26"/>
        <v>0</v>
      </c>
      <c r="L239" s="121">
        <f t="shared" si="27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5"/>
        <v>0</v>
      </c>
      <c r="K240" s="121">
        <f t="shared" si="26"/>
        <v>0</v>
      </c>
      <c r="L240" s="121">
        <f t="shared" si="27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5"/>
        <v>0</v>
      </c>
      <c r="K241" s="121">
        <f t="shared" si="26"/>
        <v>0</v>
      </c>
      <c r="L241" s="121">
        <f t="shared" si="27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5"/>
        <v>0</v>
      </c>
      <c r="K242" s="121">
        <f t="shared" si="26"/>
        <v>0</v>
      </c>
      <c r="L242" s="121">
        <f t="shared" si="27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5"/>
        <v>0</v>
      </c>
      <c r="K243" s="121">
        <f t="shared" si="26"/>
        <v>0</v>
      </c>
      <c r="L243" s="121">
        <f t="shared" si="27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5"/>
        <v>0</v>
      </c>
      <c r="K244" s="121">
        <f t="shared" si="26"/>
        <v>0</v>
      </c>
      <c r="L244" s="121">
        <f t="shared" si="27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5"/>
        <v>0</v>
      </c>
      <c r="K245" s="121">
        <f t="shared" si="26"/>
        <v>0</v>
      </c>
      <c r="L245" s="121">
        <f t="shared" si="27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5"/>
        <v>0</v>
      </c>
      <c r="K246" s="121">
        <f t="shared" si="26"/>
        <v>0</v>
      </c>
      <c r="L246" s="121">
        <f t="shared" si="27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5"/>
        <v>0</v>
      </c>
      <c r="K247" s="121">
        <f t="shared" si="26"/>
        <v>0</v>
      </c>
      <c r="L247" s="121">
        <f t="shared" si="27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5"/>
        <v>0</v>
      </c>
      <c r="K248" s="121">
        <f t="shared" si="26"/>
        <v>0</v>
      </c>
      <c r="L248" s="121">
        <f t="shared" si="27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5"/>
        <v>0</v>
      </c>
      <c r="K249" s="121">
        <f t="shared" si="26"/>
        <v>0</v>
      </c>
      <c r="L249" s="121">
        <f t="shared" si="27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5"/>
        <v>0</v>
      </c>
      <c r="K250" s="121">
        <f t="shared" si="26"/>
        <v>0</v>
      </c>
      <c r="L250" s="121">
        <f t="shared" si="27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5"/>
        <v>0</v>
      </c>
      <c r="K251" s="121">
        <f t="shared" si="26"/>
        <v>0</v>
      </c>
      <c r="L251" s="121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4"/>
  <sheetViews>
    <sheetView showGridLines="0" tabSelected="1" topLeftCell="B1" zoomScale="80" zoomScaleNormal="80" workbookViewId="0">
      <selection activeCell="U37" sqref="U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16792.738000000005</v>
      </c>
      <c r="I10" s="63"/>
      <c r="J10" s="162">
        <f>308.88</f>
        <v>308.88</v>
      </c>
      <c r="L10" s="162">
        <f>J10+V17</f>
        <v>2111.2139999999999</v>
      </c>
      <c r="N10" s="57"/>
      <c r="O10" s="173">
        <f>+H10+K17</f>
        <v>24307.570000000007</v>
      </c>
      <c r="P10" s="174" cm="1">
        <f t="array" aca="1" ref="P10" ca="1">INDIRECT(ADDRESS(10,15,,,VLOOKUP($G$4,parameters!$G:$I,3,0)))</f>
        <v>24185.747000000003</v>
      </c>
      <c r="Q10" s="186">
        <f ca="1">O10-P10</f>
        <v>121.82300000000396</v>
      </c>
      <c r="R10" s="88"/>
    </row>
    <row r="11" spans="5:38" ht="20.399999999999999" customHeight="1">
      <c r="E11" s="89" t="s">
        <v>44</v>
      </c>
      <c r="F11" s="90"/>
      <c r="G11" s="91"/>
      <c r="H11" s="18">
        <f>0+68.362+73.603+302.502+1813.594+46.497+224.908+0.185+192.936+6.425+106.702+57.172+0+258.468+84.872+767.013-531.301+105.852+0+86.598+3.677+1441.496+138.278+15.073+278.81+84.165+0+114.847+350.078+82.549+251.266+473.827+30.394+510.513+66.007+J11</f>
        <v>7725.5849999999991</v>
      </c>
      <c r="I11" s="63"/>
      <c r="J11" s="18">
        <f>220.217</f>
        <v>220.21700000000001</v>
      </c>
      <c r="L11" s="18">
        <f>J11+V18</f>
        <v>719.43899999999996</v>
      </c>
      <c r="N11" s="57"/>
      <c r="O11" s="155">
        <f>+H11+K18</f>
        <v>8720.8739999999998</v>
      </c>
      <c r="P11" s="156" cm="1">
        <f t="array" aca="1" ref="P11" ca="1">INDIRECT(ADDRESS(11,15,,,VLOOKUP($G$4,parameters!$G:$I,3,0)))</f>
        <v>8579.4210000000003</v>
      </c>
      <c r="Q11" s="187">
        <f t="shared" ref="Q11:Q12" ca="1" si="0">O11-P11</f>
        <v>141.45299999999952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24518.323000000004</v>
      </c>
      <c r="I12" s="63"/>
      <c r="J12" s="128">
        <f>SUM(J10:J11)</f>
        <v>529.09699999999998</v>
      </c>
      <c r="K12" s="67"/>
      <c r="L12" s="128">
        <f>SUM(L10:L11)</f>
        <v>2830.6529999999998</v>
      </c>
      <c r="M12" s="67"/>
      <c r="N12" s="67"/>
      <c r="O12" s="157">
        <f>SUM(O10:O11)</f>
        <v>33028.444000000003</v>
      </c>
      <c r="P12" s="158">
        <f ca="1">SUM(P10:P11)</f>
        <v>32765.168000000005</v>
      </c>
      <c r="Q12" s="159">
        <f t="shared" ca="1" si="0"/>
        <v>263.27599999999802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+SUMIF($F$24:$F$253,"External",$J$24:$J$253)</f>
        <v>7724.8320000000003</v>
      </c>
      <c r="K17" s="110">
        <f>+SUMIF($F$24:$F$253,"External",$K$24:$K$253)</f>
        <v>7514.8320000000003</v>
      </c>
      <c r="L17" s="111">
        <f>+SUMIF($F$24:$F$253,"External",$L$24:$L$253)</f>
        <v>210</v>
      </c>
      <c r="M17" s="112"/>
      <c r="N17" s="113">
        <f t="shared" ref="N17:Y17" si="1">+SUMIF($F$24:$F$253,"External",N$24:N$253)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1802.3340000000001</v>
      </c>
      <c r="W17" s="113">
        <f t="shared" si="1"/>
        <v>2389.011</v>
      </c>
      <c r="X17" s="113">
        <f t="shared" si="1"/>
        <v>649.4380000000001</v>
      </c>
      <c r="Y17" s="113">
        <f t="shared" si="1"/>
        <v>2674.0489999999995</v>
      </c>
      <c r="Z17" s="114"/>
      <c r="AA17" s="113">
        <f t="shared" ref="AA17:AL17" si="2">+SUMIF($F$24:$F$253,"External",AA$24:AA$253)</f>
        <v>210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+SUMIF($F$24:$F$253,"Group",$J$24:$J$253)</f>
        <v>995.2890000000001</v>
      </c>
      <c r="K18" s="115">
        <f>+SUMIF($F$24:$F$253,"Group",$K$24:$K$253)</f>
        <v>995.2890000000001</v>
      </c>
      <c r="L18" s="116">
        <f>SUMIF($F$24:$F$253,"Group",$L$24:$L$253)</f>
        <v>0</v>
      </c>
      <c r="M18" s="112"/>
      <c r="N18" s="116">
        <f t="shared" ref="N18:Y18" si="3">+SUMIF($F$24:$F$253,"Group",N$24:N$253)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499.22199999999992</v>
      </c>
      <c r="W18" s="116">
        <f t="shared" si="3"/>
        <v>182.084</v>
      </c>
      <c r="X18" s="116">
        <f t="shared" si="3"/>
        <v>215.61700000000002</v>
      </c>
      <c r="Y18" s="116">
        <f t="shared" si="3"/>
        <v>98.366</v>
      </c>
      <c r="Z18" s="114"/>
      <c r="AA18" s="116">
        <f t="shared" ref="AA18:AL18" si="4">+SUMIF($F$24:$F$253,"Group",AA$24:AA$253)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8720.121000000001</v>
      </c>
      <c r="K19" s="117">
        <f>SUM(K17:K18)</f>
        <v>8510.121000000001</v>
      </c>
      <c r="L19" s="118">
        <f>SUM(L17:L18)</f>
        <v>210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2301.556</v>
      </c>
      <c r="W19" s="118">
        <f t="shared" si="5"/>
        <v>2571.0949999999998</v>
      </c>
      <c r="X19" s="118">
        <f t="shared" si="5"/>
        <v>865.05500000000006</v>
      </c>
      <c r="Y19" s="118">
        <f t="shared" si="5"/>
        <v>2772.4149999999995</v>
      </c>
      <c r="Z19" s="114"/>
      <c r="AA19" s="118">
        <f t="shared" ref="AA19:AL19" si="6">SUM(AA17:AA18)</f>
        <v>210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78</v>
      </c>
      <c r="F24" s="9" t="s">
        <v>10</v>
      </c>
      <c r="G24" s="9" t="s">
        <v>78</v>
      </c>
      <c r="H24" s="9"/>
      <c r="I24" s="9" t="s">
        <v>234</v>
      </c>
      <c r="J24" s="120">
        <f t="shared" ref="J24" si="7">+K24+L24</f>
        <v>509.35699999999997</v>
      </c>
      <c r="K24" s="121">
        <f t="shared" ref="K24" si="8">SUM(N24:Y24)</f>
        <v>509.35699999999997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423.759-7+15-18.768+8</f>
        <v>420.99099999999999</v>
      </c>
      <c r="W24" s="26">
        <f>12-8</f>
        <v>4</v>
      </c>
      <c r="X24" s="26"/>
      <c r="Y24" s="26">
        <v>84.366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105</v>
      </c>
      <c r="F25" s="9" t="s">
        <v>10</v>
      </c>
      <c r="G25" s="9" t="s">
        <v>105</v>
      </c>
      <c r="H25" s="195"/>
      <c r="I25" s="195" t="s">
        <v>234</v>
      </c>
      <c r="J25" s="120">
        <f t="shared" ref="J25:J90" si="10">+K25+L25</f>
        <v>126.551</v>
      </c>
      <c r="K25" s="121">
        <f t="shared" ref="K25:K90" si="11">SUM(N25:Y25)</f>
        <v>126.551</v>
      </c>
      <c r="L25" s="121">
        <f t="shared" ref="L25:L90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67.545-2+2+2-67.482-1</f>
        <v>1.0630000000000024</v>
      </c>
      <c r="W25" s="26">
        <f>25.871+1</f>
        <v>26.870999999999999</v>
      </c>
      <c r="X25" s="26">
        <f>94.617+2-2-2+6</f>
        <v>98.617000000000004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235</v>
      </c>
      <c r="F26" s="9" t="s">
        <v>10</v>
      </c>
      <c r="G26" s="9" t="s">
        <v>235</v>
      </c>
      <c r="H26" s="195"/>
      <c r="I26" s="195" t="s">
        <v>234</v>
      </c>
      <c r="J26" s="120">
        <f t="shared" si="10"/>
        <v>58.942999999999998</v>
      </c>
      <c r="K26" s="121">
        <f t="shared" si="11"/>
        <v>58.942999999999998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4.237-0.377-0.098+55.181-2-55</f>
        <v>1.9429999999999978</v>
      </c>
      <c r="W26" s="26">
        <f>2+55</f>
        <v>57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275</v>
      </c>
      <c r="F27" s="9" t="s">
        <v>10</v>
      </c>
      <c r="G27" s="9" t="s">
        <v>275</v>
      </c>
      <c r="H27" s="195"/>
      <c r="I27" s="195" t="s">
        <v>234</v>
      </c>
      <c r="J27" s="120">
        <f t="shared" si="10"/>
        <v>26.569999999999993</v>
      </c>
      <c r="K27" s="121">
        <f t="shared" si="11"/>
        <v>26.569999999999993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0.569999999999993+1+10</f>
        <v>11.569999999999993</v>
      </c>
      <c r="W27" s="26">
        <v>15</v>
      </c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338</v>
      </c>
      <c r="F28" s="9" t="s">
        <v>10</v>
      </c>
      <c r="G28" s="9" t="s">
        <v>338</v>
      </c>
      <c r="H28" s="195"/>
      <c r="I28" s="195" t="s">
        <v>234</v>
      </c>
      <c r="J28" s="120">
        <f t="shared" si="10"/>
        <v>16.67499999999999</v>
      </c>
      <c r="K28" s="121">
        <f t="shared" si="11"/>
        <v>16.67499999999999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f>6.23399999999999-10.099+4+9+2-4.46+10</f>
        <v>16.67499999999999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355</v>
      </c>
      <c r="F29" s="9" t="s">
        <v>10</v>
      </c>
      <c r="G29" s="9" t="s">
        <v>355</v>
      </c>
      <c r="H29" s="195"/>
      <c r="I29" s="195" t="s">
        <v>234</v>
      </c>
      <c r="J29" s="120">
        <f t="shared" si="10"/>
        <v>7.1289999999999996</v>
      </c>
      <c r="K29" s="121">
        <f t="shared" si="11"/>
        <v>7.1289999999999996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v>7.1289999999999996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356</v>
      </c>
      <c r="F30" s="9" t="s">
        <v>10</v>
      </c>
      <c r="G30" s="9" t="s">
        <v>356</v>
      </c>
      <c r="H30" s="195"/>
      <c r="I30" s="195" t="s">
        <v>234</v>
      </c>
      <c r="J30" s="120">
        <f t="shared" si="10"/>
        <v>13</v>
      </c>
      <c r="K30" s="121">
        <f t="shared" si="11"/>
        <v>13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13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144</v>
      </c>
      <c r="F31" s="9" t="s">
        <v>10</v>
      </c>
      <c r="G31" s="9" t="s">
        <v>292</v>
      </c>
      <c r="H31" s="196"/>
      <c r="I31" s="195" t="s">
        <v>234</v>
      </c>
      <c r="J31" s="120">
        <f t="shared" si="10"/>
        <v>224.21700000000001</v>
      </c>
      <c r="K31" s="121">
        <f t="shared" si="11"/>
        <v>224.21700000000001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60.13-7.533+22-46.625+71-51.267</f>
        <v>47.705000000000005</v>
      </c>
      <c r="W31" s="26">
        <f>118.512-22-71-19+39</f>
        <v>45.512</v>
      </c>
      <c r="X31" s="26">
        <f>9+19-11+100</f>
        <v>117</v>
      </c>
      <c r="Y31" s="26">
        <f>11+98-39-100+44</f>
        <v>14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348</v>
      </c>
      <c r="F32" s="9" t="s">
        <v>10</v>
      </c>
      <c r="G32" s="9" t="s">
        <v>348</v>
      </c>
      <c r="H32" s="197"/>
      <c r="I32" s="195" t="s">
        <v>234</v>
      </c>
      <c r="J32" s="120">
        <f t="shared" si="10"/>
        <v>9.8970000000000056</v>
      </c>
      <c r="K32" s="121">
        <f t="shared" si="11"/>
        <v>9.8970000000000056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f>84-10-74.103+10</f>
        <v>9.8970000000000056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136</v>
      </c>
      <c r="F33" s="9" t="s">
        <v>10</v>
      </c>
      <c r="G33" s="9" t="s">
        <v>136</v>
      </c>
      <c r="H33" s="197"/>
      <c r="I33" s="195" t="s">
        <v>234</v>
      </c>
      <c r="J33" s="120">
        <f t="shared" ref="J33" si="13">+K33+L33</f>
        <v>2.95</v>
      </c>
      <c r="K33" s="121">
        <f t="shared" ref="K33" si="14">SUM(N33:Y33)</f>
        <v>2.95</v>
      </c>
      <c r="L33" s="121">
        <f t="shared" ref="L33" si="15">SUM(AA33:AL33)</f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2.95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263</v>
      </c>
      <c r="H34" s="197"/>
      <c r="I34" s="195" t="s">
        <v>234</v>
      </c>
      <c r="J34" s="120">
        <f t="shared" si="10"/>
        <v>2023.567</v>
      </c>
      <c r="K34" s="121">
        <f t="shared" si="11"/>
        <v>1813.567</v>
      </c>
      <c r="L34" s="121">
        <f t="shared" si="12"/>
        <v>210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650.002+200+4</f>
        <v>854.00199999999995</v>
      </c>
      <c r="W34" s="26">
        <f>600+7-200-4+273</f>
        <v>676</v>
      </c>
      <c r="X34" s="26">
        <f>536.565-7-273</f>
        <v>256.56500000000005</v>
      </c>
      <c r="Y34" s="26">
        <f>27</f>
        <v>27</v>
      </c>
      <c r="AA34" s="26">
        <v>210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290</v>
      </c>
      <c r="F35" s="9" t="s">
        <v>40</v>
      </c>
      <c r="G35" s="9" t="s">
        <v>245</v>
      </c>
      <c r="H35" s="197"/>
      <c r="I35" s="195" t="s">
        <v>234</v>
      </c>
      <c r="J35" s="120">
        <f t="shared" si="10"/>
        <v>3016.5680000000002</v>
      </c>
      <c r="K35" s="121">
        <f t="shared" si="11"/>
        <v>3016.5680000000002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728.985-3.89-501.856+70</f>
        <v>293.23900000000003</v>
      </c>
      <c r="W35" s="26">
        <f>655-70</f>
        <v>585</v>
      </c>
      <c r="X35" s="26">
        <f>162.73-12</f>
        <v>150.72999999999999</v>
      </c>
      <c r="Y35" s="26">
        <f>1975.599+12</f>
        <v>1987.5989999999999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357</v>
      </c>
      <c r="F36" s="9" t="s">
        <v>40</v>
      </c>
      <c r="G36" s="9" t="s">
        <v>358</v>
      </c>
      <c r="H36" s="197"/>
      <c r="I36" s="195" t="s">
        <v>293</v>
      </c>
      <c r="J36" s="120">
        <f t="shared" ref="J36" si="16">+K36+L36</f>
        <v>7.7830000000000004</v>
      </c>
      <c r="K36" s="121">
        <f t="shared" ref="K36" si="17">SUM(N36:Y36)</f>
        <v>7.7830000000000004</v>
      </c>
      <c r="L36" s="121">
        <f t="shared" ref="L36" si="18">SUM(AA36:AL36)</f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>
        <v>7.7830000000000004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256</v>
      </c>
      <c r="F37" s="9" t="s">
        <v>40</v>
      </c>
      <c r="G37" s="9" t="s">
        <v>257</v>
      </c>
      <c r="H37" s="197"/>
      <c r="I37" s="195" t="s">
        <v>234</v>
      </c>
      <c r="J37" s="120">
        <f t="shared" si="10"/>
        <v>156.45600000000002</v>
      </c>
      <c r="K37" s="121">
        <f t="shared" si="11"/>
        <v>156.45600000000002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>
        <f>67.115-32+8-34.038</f>
        <v>9.0769999999999982</v>
      </c>
      <c r="W37" s="26">
        <f>115.379+32-22</f>
        <v>125.37900000000002</v>
      </c>
      <c r="X37" s="26"/>
      <c r="Y37" s="26">
        <v>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264</v>
      </c>
      <c r="F38" s="9" t="s">
        <v>40</v>
      </c>
      <c r="G38" s="9" t="s">
        <v>265</v>
      </c>
      <c r="H38" s="197"/>
      <c r="I38" s="195" t="s">
        <v>234</v>
      </c>
      <c r="J38" s="120">
        <f t="shared" si="10"/>
        <v>259.21000000000004</v>
      </c>
      <c r="K38" s="121">
        <f t="shared" si="11"/>
        <v>259.21000000000004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206.138-139-46.928</f>
        <v>20.210000000000008</v>
      </c>
      <c r="W38" s="26">
        <f>10+100</f>
        <v>110</v>
      </c>
      <c r="X38" s="26">
        <v>35</v>
      </c>
      <c r="Y38" s="26">
        <f>139-35-10</f>
        <v>94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258</v>
      </c>
      <c r="F39" s="9" t="s">
        <v>40</v>
      </c>
      <c r="G39" s="9" t="s">
        <v>259</v>
      </c>
      <c r="H39" s="197"/>
      <c r="I39" s="195" t="s">
        <v>234</v>
      </c>
      <c r="J39" s="120">
        <f t="shared" si="10"/>
        <v>59</v>
      </c>
      <c r="K39" s="121">
        <f t="shared" si="11"/>
        <v>59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59</v>
      </c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250</v>
      </c>
      <c r="F40" s="9" t="s">
        <v>40</v>
      </c>
      <c r="G40" s="9" t="s">
        <v>251</v>
      </c>
      <c r="H40" s="197"/>
      <c r="I40" s="195" t="s">
        <v>247</v>
      </c>
      <c r="J40" s="120">
        <f t="shared" si="10"/>
        <v>375.92700000000002</v>
      </c>
      <c r="K40" s="121">
        <f t="shared" si="11"/>
        <v>375.92700000000002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f>269.724-210.303-45.78+161-71-103.714+304</f>
        <v>303.92700000000002</v>
      </c>
      <c r="X40" s="26"/>
      <c r="Y40" s="26">
        <f>71+305-304</f>
        <v>72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323</v>
      </c>
      <c r="F41" s="9" t="s">
        <v>40</v>
      </c>
      <c r="G41" s="9" t="s">
        <v>324</v>
      </c>
      <c r="H41" s="197"/>
      <c r="I41" s="195" t="s">
        <v>247</v>
      </c>
      <c r="J41" s="120">
        <f t="shared" si="10"/>
        <v>306.38099999999997</v>
      </c>
      <c r="K41" s="121">
        <f t="shared" si="11"/>
        <v>306.38099999999997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f>164.381-44+42-81</f>
        <v>81.381</v>
      </c>
      <c r="W41" s="26"/>
      <c r="X41" s="26"/>
      <c r="Y41" s="26">
        <f>81+144</f>
        <v>225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254</v>
      </c>
      <c r="F42" s="9" t="s">
        <v>40</v>
      </c>
      <c r="G42" s="9" t="s">
        <v>255</v>
      </c>
      <c r="H42" s="197"/>
      <c r="I42" s="195" t="s">
        <v>247</v>
      </c>
      <c r="J42" s="120">
        <f t="shared" si="10"/>
        <v>264.93799999999999</v>
      </c>
      <c r="K42" s="121">
        <f>SUM(N42:X42)</f>
        <v>264.93799999999999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f>11.28-62.179+312-135-28.163</f>
        <v>97.938000000000002</v>
      </c>
      <c r="W42" s="26">
        <f>135+32</f>
        <v>167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320</v>
      </c>
      <c r="F43" s="9" t="s">
        <v>40</v>
      </c>
      <c r="G43" s="9" t="s">
        <v>268</v>
      </c>
      <c r="H43" s="197"/>
      <c r="I43" s="195" t="s">
        <v>247</v>
      </c>
      <c r="J43" s="120">
        <f t="shared" si="10"/>
        <v>188.005</v>
      </c>
      <c r="K43" s="121">
        <f t="shared" si="11"/>
        <v>188.005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10.701-5.505+16+2</f>
        <v>23.196000000000002</v>
      </c>
      <c r="W43" s="26">
        <f>57+20.705</f>
        <v>77.704999999999998</v>
      </c>
      <c r="X43" s="26">
        <f>83+1.104-2-1</f>
        <v>81.103999999999999</v>
      </c>
      <c r="Y43" s="26">
        <f>1+5</f>
        <v>6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341</v>
      </c>
      <c r="F44" s="9" t="s">
        <v>40</v>
      </c>
      <c r="G44" s="9" t="s">
        <v>341</v>
      </c>
      <c r="H44" s="197"/>
      <c r="I44" s="195" t="s">
        <v>247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204" t="s">
        <v>246</v>
      </c>
      <c r="F45" s="9" t="s">
        <v>40</v>
      </c>
      <c r="G45" s="9" t="s">
        <v>246</v>
      </c>
      <c r="H45" s="198"/>
      <c r="I45" s="195" t="s">
        <v>247</v>
      </c>
      <c r="J45" s="120">
        <f t="shared" si="10"/>
        <v>65.538999999999987</v>
      </c>
      <c r="K45" s="121">
        <f t="shared" si="11"/>
        <v>65.538999999999987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f>63.666-50.127+12</f>
        <v>25.538999999999994</v>
      </c>
      <c r="W45" s="26">
        <v>26</v>
      </c>
      <c r="X45" s="26">
        <v>14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204" t="s">
        <v>248</v>
      </c>
      <c r="F46" s="9" t="s">
        <v>40</v>
      </c>
      <c r="G46" s="9" t="s">
        <v>249</v>
      </c>
      <c r="H46" s="198"/>
      <c r="I46" s="195" t="s">
        <v>247</v>
      </c>
      <c r="J46" s="120">
        <f t="shared" si="10"/>
        <v>227.637</v>
      </c>
      <c r="K46" s="121">
        <f t="shared" si="11"/>
        <v>227.637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204.439-5.847+17-35.955</f>
        <v>179.637</v>
      </c>
      <c r="W46" s="26"/>
      <c r="X46" s="26">
        <v>35</v>
      </c>
      <c r="Y46" s="26">
        <v>13</v>
      </c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204" t="s">
        <v>252</v>
      </c>
      <c r="F47" s="9" t="s">
        <v>40</v>
      </c>
      <c r="G47" s="9" t="s">
        <v>253</v>
      </c>
      <c r="H47" s="198"/>
      <c r="I47" s="195" t="s">
        <v>247</v>
      </c>
      <c r="J47" s="120">
        <f t="shared" si="10"/>
        <v>35.601000000000006</v>
      </c>
      <c r="K47" s="121">
        <f t="shared" si="11"/>
        <v>35.601000000000006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>
        <f>26.222-2.093+26+9-17.893-5.635</f>
        <v>35.601000000000006</v>
      </c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204" t="s">
        <v>260</v>
      </c>
      <c r="F48" s="9" t="s">
        <v>40</v>
      </c>
      <c r="G48" s="9" t="s">
        <v>261</v>
      </c>
      <c r="H48" s="195"/>
      <c r="I48" s="195" t="s">
        <v>247</v>
      </c>
      <c r="J48" s="120">
        <f t="shared" si="10"/>
        <v>40.186</v>
      </c>
      <c r="K48" s="121">
        <f t="shared" si="11"/>
        <v>40.186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40.186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204" t="s">
        <v>270</v>
      </c>
      <c r="F49" s="9" t="s">
        <v>40</v>
      </c>
      <c r="G49" s="9" t="s">
        <v>270</v>
      </c>
      <c r="H49" s="195"/>
      <c r="I49" s="195" t="s">
        <v>247</v>
      </c>
      <c r="J49" s="120">
        <f t="shared" si="10"/>
        <v>8.5180000000000007</v>
      </c>
      <c r="K49" s="121">
        <f t="shared" si="11"/>
        <v>8.5180000000000007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>
        <f>45.071-36.553</f>
        <v>8.5180000000000007</v>
      </c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204" t="s">
        <v>273</v>
      </c>
      <c r="F50" s="9" t="s">
        <v>40</v>
      </c>
      <c r="G50" s="9" t="s">
        <v>274</v>
      </c>
      <c r="H50" s="196"/>
      <c r="I50" s="195" t="s">
        <v>247</v>
      </c>
      <c r="J50" s="120">
        <f t="shared" si="10"/>
        <v>202.60399999999998</v>
      </c>
      <c r="K50" s="121">
        <f t="shared" si="11"/>
        <v>202.60399999999998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>
        <f>192.15-60.027-138.834+78-61+11</f>
        <v>21.288999999999987</v>
      </c>
      <c r="W50" s="26">
        <v>61</v>
      </c>
      <c r="X50" s="26"/>
      <c r="Y50" s="26">
        <f>100.581+23-11+7.734</f>
        <v>120.315</v>
      </c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204" t="s">
        <v>343</v>
      </c>
      <c r="F51" s="9" t="s">
        <v>40</v>
      </c>
      <c r="G51" s="9" t="s">
        <v>347</v>
      </c>
      <c r="H51" s="197"/>
      <c r="I51" s="195" t="s">
        <v>234</v>
      </c>
      <c r="J51" s="120">
        <f t="shared" si="10"/>
        <v>30.805000000000007</v>
      </c>
      <c r="K51" s="121">
        <f t="shared" si="11"/>
        <v>30.805000000000007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>
        <v>30.805000000000007</v>
      </c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 t="s">
        <v>269</v>
      </c>
      <c r="F52" s="9" t="s">
        <v>40</v>
      </c>
      <c r="G52" s="9" t="s">
        <v>269</v>
      </c>
      <c r="H52" s="197"/>
      <c r="I52" s="195" t="s">
        <v>247</v>
      </c>
      <c r="J52" s="120">
        <f t="shared" si="10"/>
        <v>141.48099999999999</v>
      </c>
      <c r="K52" s="121">
        <f t="shared" si="11"/>
        <v>141.48099999999999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>
        <f>127.442-10</f>
        <v>117.44199999999999</v>
      </c>
      <c r="W52" s="26">
        <v>10</v>
      </c>
      <c r="X52" s="26">
        <v>14.039</v>
      </c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 t="s">
        <v>266</v>
      </c>
      <c r="F53" s="9" t="s">
        <v>40</v>
      </c>
      <c r="G53" s="9" t="s">
        <v>266</v>
      </c>
      <c r="H53" s="197"/>
      <c r="I53" s="195" t="s">
        <v>247</v>
      </c>
      <c r="J53" s="120">
        <f t="shared" si="10"/>
        <v>12.827999999999999</v>
      </c>
      <c r="K53" s="121">
        <f t="shared" si="11"/>
        <v>12.827999999999999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>
        <f>5.567-1.239+8.5</f>
        <v>12.827999999999999</v>
      </c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 t="s">
        <v>352</v>
      </c>
      <c r="F54" s="9" t="s">
        <v>40</v>
      </c>
      <c r="G54" s="9" t="s">
        <v>352</v>
      </c>
      <c r="H54" s="197"/>
      <c r="I54" s="195" t="s">
        <v>247</v>
      </c>
      <c r="J54" s="120">
        <f t="shared" si="10"/>
        <v>184</v>
      </c>
      <c r="K54" s="121">
        <f t="shared" si="11"/>
        <v>184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>
        <f>267-83</f>
        <v>184</v>
      </c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 t="s">
        <v>353</v>
      </c>
      <c r="F55" s="9" t="s">
        <v>40</v>
      </c>
      <c r="G55" s="9" t="s">
        <v>354</v>
      </c>
      <c r="H55" s="197"/>
      <c r="I55" s="195" t="s">
        <v>234</v>
      </c>
      <c r="J55" s="120">
        <f t="shared" si="10"/>
        <v>26.437000000000001</v>
      </c>
      <c r="K55" s="121">
        <f t="shared" si="11"/>
        <v>26.437000000000001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>
        <v>22.437000000000001</v>
      </c>
      <c r="W55" s="26"/>
      <c r="X55" s="26">
        <v>4</v>
      </c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 t="s">
        <v>294</v>
      </c>
      <c r="F56" s="9" t="s">
        <v>40</v>
      </c>
      <c r="G56" s="9" t="s">
        <v>294</v>
      </c>
      <c r="H56" s="197"/>
      <c r="I56" s="195" t="s">
        <v>247</v>
      </c>
      <c r="J56" s="120">
        <f t="shared" si="10"/>
        <v>28.361000000000001</v>
      </c>
      <c r="K56" s="121">
        <f t="shared" si="11"/>
        <v>28.361000000000001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>
        <v>28.361000000000001</v>
      </c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 t="s">
        <v>360</v>
      </c>
      <c r="F57" s="9" t="s">
        <v>40</v>
      </c>
      <c r="G57" s="9" t="s">
        <v>359</v>
      </c>
      <c r="H57" s="13"/>
      <c r="I57" s="195" t="s">
        <v>247</v>
      </c>
      <c r="J57" s="120">
        <f t="shared" si="10"/>
        <v>63</v>
      </c>
      <c r="K57" s="121">
        <f t="shared" si="11"/>
        <v>63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>
        <v>63</v>
      </c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15"/>
      <c r="F66" s="9"/>
      <c r="G66" s="8"/>
      <c r="H66" s="14"/>
      <c r="I66" s="14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15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1"/>
      <c r="I77" s="11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2"/>
      <c r="I78" s="12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0"/>
        <v>0</v>
      </c>
      <c r="K90" s="121">
        <f t="shared" si="11"/>
        <v>0</v>
      </c>
      <c r="L90" s="121">
        <f t="shared" si="12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ref="J91:J154" si="19">+K91+L91</f>
        <v>0</v>
      </c>
      <c r="K91" s="121">
        <f t="shared" ref="K91:K154" si="20">SUM(N91:Y91)</f>
        <v>0</v>
      </c>
      <c r="L91" s="121">
        <f t="shared" ref="L91:L154" si="21">SUM(AA91:AL91)</f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9"/>
        <v>0</v>
      </c>
      <c r="K92" s="121">
        <f t="shared" si="20"/>
        <v>0</v>
      </c>
      <c r="L92" s="121">
        <f t="shared" si="21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4"/>
      <c r="I93" s="14"/>
      <c r="J93" s="120">
        <f t="shared" si="19"/>
        <v>0</v>
      </c>
      <c r="K93" s="121">
        <f t="shared" si="20"/>
        <v>0</v>
      </c>
      <c r="L93" s="121">
        <f t="shared" si="21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15"/>
      <c r="F94" s="9"/>
      <c r="G94" s="8"/>
      <c r="H94" s="14"/>
      <c r="I94" s="14"/>
      <c r="J94" s="120">
        <f t="shared" si="19"/>
        <v>0</v>
      </c>
      <c r="K94" s="121">
        <f t="shared" si="20"/>
        <v>0</v>
      </c>
      <c r="L94" s="121">
        <f t="shared" si="21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9"/>
        <v>0</v>
      </c>
      <c r="K95" s="121">
        <f t="shared" si="20"/>
        <v>0</v>
      </c>
      <c r="L95" s="121">
        <f t="shared" si="21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1"/>
      <c r="I96" s="11"/>
      <c r="J96" s="120">
        <f t="shared" si="19"/>
        <v>0</v>
      </c>
      <c r="K96" s="121">
        <f t="shared" si="20"/>
        <v>0</v>
      </c>
      <c r="L96" s="121">
        <f t="shared" si="21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2"/>
      <c r="I97" s="12"/>
      <c r="J97" s="120">
        <f t="shared" si="19"/>
        <v>0</v>
      </c>
      <c r="K97" s="121">
        <f t="shared" si="20"/>
        <v>0</v>
      </c>
      <c r="L97" s="121">
        <f t="shared" si="21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9"/>
        <v>0</v>
      </c>
      <c r="K98" s="121">
        <f t="shared" si="20"/>
        <v>0</v>
      </c>
      <c r="L98" s="121">
        <f t="shared" si="21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9"/>
        <v>0</v>
      </c>
      <c r="K99" s="121">
        <f t="shared" si="20"/>
        <v>0</v>
      </c>
      <c r="L99" s="121">
        <f t="shared" si="21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9"/>
        <v>0</v>
      </c>
      <c r="K100" s="121">
        <f t="shared" si="20"/>
        <v>0</v>
      </c>
      <c r="L100" s="121">
        <f t="shared" si="21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9"/>
        <v>0</v>
      </c>
      <c r="K101" s="121">
        <f t="shared" si="20"/>
        <v>0</v>
      </c>
      <c r="L101" s="121">
        <f t="shared" si="21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9"/>
        <v>0</v>
      </c>
      <c r="K102" s="121">
        <f t="shared" si="20"/>
        <v>0</v>
      </c>
      <c r="L102" s="121">
        <f t="shared" si="21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9"/>
        <v>0</v>
      </c>
      <c r="K103" s="121">
        <f t="shared" si="20"/>
        <v>0</v>
      </c>
      <c r="L103" s="121">
        <f t="shared" si="21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9"/>
        <v>0</v>
      </c>
      <c r="K104" s="121">
        <f t="shared" si="20"/>
        <v>0</v>
      </c>
      <c r="L104" s="121">
        <f t="shared" si="21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9"/>
        <v>0</v>
      </c>
      <c r="K105" s="121">
        <f t="shared" si="20"/>
        <v>0</v>
      </c>
      <c r="L105" s="121">
        <f t="shared" si="21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9"/>
        <v>0</v>
      </c>
      <c r="K106" s="121">
        <f t="shared" si="20"/>
        <v>0</v>
      </c>
      <c r="L106" s="121">
        <f t="shared" si="21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9"/>
        <v>0</v>
      </c>
      <c r="K107" s="121">
        <f t="shared" si="20"/>
        <v>0</v>
      </c>
      <c r="L107" s="121">
        <f t="shared" si="21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9"/>
        <v>0</v>
      </c>
      <c r="K108" s="121">
        <f t="shared" si="20"/>
        <v>0</v>
      </c>
      <c r="L108" s="121">
        <f t="shared" si="21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9"/>
        <v>0</v>
      </c>
      <c r="K109" s="121">
        <f t="shared" si="20"/>
        <v>0</v>
      </c>
      <c r="L109" s="121">
        <f t="shared" si="21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9"/>
        <v>0</v>
      </c>
      <c r="K110" s="121">
        <f t="shared" si="20"/>
        <v>0</v>
      </c>
      <c r="L110" s="121">
        <f t="shared" si="21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9"/>
        <v>0</v>
      </c>
      <c r="K111" s="121">
        <f t="shared" si="20"/>
        <v>0</v>
      </c>
      <c r="L111" s="121">
        <f t="shared" si="21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4"/>
      <c r="I112" s="14"/>
      <c r="J112" s="120">
        <f t="shared" si="19"/>
        <v>0</v>
      </c>
      <c r="K112" s="121">
        <f t="shared" si="20"/>
        <v>0</v>
      </c>
      <c r="L112" s="121">
        <f t="shared" si="21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15"/>
      <c r="F113" s="9"/>
      <c r="G113" s="8"/>
      <c r="H113" s="14"/>
      <c r="I113" s="14"/>
      <c r="J113" s="120">
        <f t="shared" si="19"/>
        <v>0</v>
      </c>
      <c r="K113" s="121">
        <f t="shared" si="20"/>
        <v>0</v>
      </c>
      <c r="L113" s="121">
        <f t="shared" si="21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9"/>
        <v>0</v>
      </c>
      <c r="K114" s="121">
        <f t="shared" si="20"/>
        <v>0</v>
      </c>
      <c r="L114" s="121">
        <f t="shared" si="21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9"/>
        <v>0</v>
      </c>
      <c r="K115" s="121">
        <f t="shared" si="20"/>
        <v>0</v>
      </c>
      <c r="L115" s="121">
        <f t="shared" si="21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9"/>
        <v>0</v>
      </c>
      <c r="K116" s="121">
        <f t="shared" si="20"/>
        <v>0</v>
      </c>
      <c r="L116" s="121">
        <f t="shared" si="21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9"/>
        <v>0</v>
      </c>
      <c r="K117" s="121">
        <f t="shared" si="20"/>
        <v>0</v>
      </c>
      <c r="L117" s="121">
        <f t="shared" si="21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9"/>
        <v>0</v>
      </c>
      <c r="K118" s="121">
        <f t="shared" si="20"/>
        <v>0</v>
      </c>
      <c r="L118" s="121">
        <f t="shared" si="21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15"/>
      <c r="F119" s="9"/>
      <c r="G119" s="8"/>
      <c r="H119" s="13"/>
      <c r="I119" s="13"/>
      <c r="J119" s="120">
        <f t="shared" si="19"/>
        <v>0</v>
      </c>
      <c r="K119" s="121">
        <f t="shared" si="20"/>
        <v>0</v>
      </c>
      <c r="L119" s="121">
        <f t="shared" si="21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9"/>
        <v>0</v>
      </c>
      <c r="K120" s="121">
        <f t="shared" si="20"/>
        <v>0</v>
      </c>
      <c r="L120" s="121">
        <f t="shared" si="21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9"/>
        <v>0</v>
      </c>
      <c r="K121" s="121">
        <f t="shared" si="20"/>
        <v>0</v>
      </c>
      <c r="L121" s="121">
        <f t="shared" si="21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9"/>
        <v>0</v>
      </c>
      <c r="K122" s="121">
        <f t="shared" si="20"/>
        <v>0</v>
      </c>
      <c r="L122" s="121">
        <f t="shared" si="21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9"/>
        <v>0</v>
      </c>
      <c r="K123" s="121">
        <f t="shared" si="20"/>
        <v>0</v>
      </c>
      <c r="L123" s="121">
        <f t="shared" si="21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9"/>
        <v>0</v>
      </c>
      <c r="K124" s="121">
        <f t="shared" si="20"/>
        <v>0</v>
      </c>
      <c r="L124" s="121">
        <f t="shared" si="21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1"/>
      <c r="I125" s="11"/>
      <c r="J125" s="120">
        <f t="shared" si="19"/>
        <v>0</v>
      </c>
      <c r="K125" s="121">
        <f t="shared" si="20"/>
        <v>0</v>
      </c>
      <c r="L125" s="121">
        <f t="shared" si="21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2"/>
      <c r="I126" s="12"/>
      <c r="J126" s="120">
        <f t="shared" si="19"/>
        <v>0</v>
      </c>
      <c r="K126" s="121">
        <f t="shared" si="20"/>
        <v>0</v>
      </c>
      <c r="L126" s="121">
        <f t="shared" si="21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9"/>
        <v>0</v>
      </c>
      <c r="K127" s="121">
        <f t="shared" si="20"/>
        <v>0</v>
      </c>
      <c r="L127" s="121">
        <f t="shared" si="21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9"/>
        <v>0</v>
      </c>
      <c r="K128" s="121">
        <f t="shared" si="20"/>
        <v>0</v>
      </c>
      <c r="L128" s="121">
        <f t="shared" si="21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9"/>
        <v>0</v>
      </c>
      <c r="K129" s="121">
        <f t="shared" si="20"/>
        <v>0</v>
      </c>
      <c r="L129" s="121">
        <f t="shared" si="21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9"/>
        <v>0</v>
      </c>
      <c r="K130" s="121">
        <f t="shared" si="20"/>
        <v>0</v>
      </c>
      <c r="L130" s="121">
        <f t="shared" si="21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9"/>
        <v>0</v>
      </c>
      <c r="K131" s="121">
        <f t="shared" si="20"/>
        <v>0</v>
      </c>
      <c r="L131" s="121">
        <f t="shared" si="21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9"/>
        <v>0</v>
      </c>
      <c r="K132" s="121">
        <f t="shared" si="20"/>
        <v>0</v>
      </c>
      <c r="L132" s="121">
        <f t="shared" si="21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9"/>
        <v>0</v>
      </c>
      <c r="K133" s="121">
        <f t="shared" si="20"/>
        <v>0</v>
      </c>
      <c r="L133" s="121">
        <f t="shared" si="21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9"/>
        <v>0</v>
      </c>
      <c r="K134" s="121">
        <f t="shared" si="20"/>
        <v>0</v>
      </c>
      <c r="L134" s="121">
        <f t="shared" si="21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9"/>
        <v>0</v>
      </c>
      <c r="K135" s="121">
        <f t="shared" si="20"/>
        <v>0</v>
      </c>
      <c r="L135" s="121">
        <f t="shared" si="21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9"/>
        <v>0</v>
      </c>
      <c r="K136" s="121">
        <f t="shared" si="20"/>
        <v>0</v>
      </c>
      <c r="L136" s="121">
        <f t="shared" si="21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9"/>
        <v>0</v>
      </c>
      <c r="K137" s="121">
        <f t="shared" si="20"/>
        <v>0</v>
      </c>
      <c r="L137" s="121">
        <f t="shared" si="21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9"/>
        <v>0</v>
      </c>
      <c r="K138" s="121">
        <f t="shared" si="20"/>
        <v>0</v>
      </c>
      <c r="L138" s="121">
        <f t="shared" si="21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9"/>
        <v>0</v>
      </c>
      <c r="K139" s="121">
        <f t="shared" si="20"/>
        <v>0</v>
      </c>
      <c r="L139" s="121">
        <f t="shared" si="21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9"/>
        <v>0</v>
      </c>
      <c r="K140" s="121">
        <f t="shared" si="20"/>
        <v>0</v>
      </c>
      <c r="L140" s="121">
        <f t="shared" si="21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4"/>
      <c r="I141" s="14"/>
      <c r="J141" s="120">
        <f t="shared" si="19"/>
        <v>0</v>
      </c>
      <c r="K141" s="121">
        <f t="shared" si="20"/>
        <v>0</v>
      </c>
      <c r="L141" s="121">
        <f t="shared" si="21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15"/>
      <c r="F142" s="9"/>
      <c r="G142" s="8"/>
      <c r="H142" s="14"/>
      <c r="I142" s="14"/>
      <c r="J142" s="120">
        <f t="shared" si="19"/>
        <v>0</v>
      </c>
      <c r="K142" s="121">
        <f t="shared" si="20"/>
        <v>0</v>
      </c>
      <c r="L142" s="121">
        <f t="shared" si="21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9"/>
        <v>0</v>
      </c>
      <c r="K143" s="121">
        <f t="shared" si="20"/>
        <v>0</v>
      </c>
      <c r="L143" s="121">
        <f t="shared" si="21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1"/>
      <c r="I144" s="11"/>
      <c r="J144" s="120">
        <f t="shared" si="19"/>
        <v>0</v>
      </c>
      <c r="K144" s="121">
        <f t="shared" si="20"/>
        <v>0</v>
      </c>
      <c r="L144" s="121">
        <f t="shared" si="21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2"/>
      <c r="I145" s="12"/>
      <c r="J145" s="120">
        <f t="shared" si="19"/>
        <v>0</v>
      </c>
      <c r="K145" s="121">
        <f t="shared" si="20"/>
        <v>0</v>
      </c>
      <c r="L145" s="121">
        <f t="shared" si="21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9"/>
        <v>0</v>
      </c>
      <c r="K146" s="121">
        <f t="shared" si="20"/>
        <v>0</v>
      </c>
      <c r="L146" s="121">
        <f t="shared" si="21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9"/>
        <v>0</v>
      </c>
      <c r="K147" s="121">
        <f t="shared" si="20"/>
        <v>0</v>
      </c>
      <c r="L147" s="121">
        <f t="shared" si="21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9"/>
        <v>0</v>
      </c>
      <c r="K148" s="121">
        <f t="shared" si="20"/>
        <v>0</v>
      </c>
      <c r="L148" s="121">
        <f t="shared" si="21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9"/>
        <v>0</v>
      </c>
      <c r="K149" s="121">
        <f t="shared" si="20"/>
        <v>0</v>
      </c>
      <c r="L149" s="121">
        <f t="shared" si="21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9"/>
        <v>0</v>
      </c>
      <c r="K150" s="121">
        <f t="shared" si="20"/>
        <v>0</v>
      </c>
      <c r="L150" s="121">
        <f t="shared" si="21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9"/>
        <v>0</v>
      </c>
      <c r="K151" s="121">
        <f t="shared" si="20"/>
        <v>0</v>
      </c>
      <c r="L151" s="121">
        <f t="shared" si="21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9"/>
        <v>0</v>
      </c>
      <c r="K152" s="121">
        <f t="shared" si="20"/>
        <v>0</v>
      </c>
      <c r="L152" s="121">
        <f t="shared" si="21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ref="J155:J218" si="22">+K155+L155</f>
        <v>0</v>
      </c>
      <c r="K155" s="121">
        <f t="shared" ref="K155:K218" si="23">SUM(N155:Y155)</f>
        <v>0</v>
      </c>
      <c r="L155" s="121">
        <f t="shared" ref="L155:L218" si="24">SUM(AA155:AL155)</f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22"/>
        <v>0</v>
      </c>
      <c r="K156" s="121">
        <f t="shared" si="23"/>
        <v>0</v>
      </c>
      <c r="L156" s="121">
        <f t="shared" si="24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22"/>
        <v>0</v>
      </c>
      <c r="K157" s="121">
        <f t="shared" si="23"/>
        <v>0</v>
      </c>
      <c r="L157" s="121">
        <f t="shared" si="24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22"/>
        <v>0</v>
      </c>
      <c r="K158" s="121">
        <f t="shared" si="23"/>
        <v>0</v>
      </c>
      <c r="L158" s="121">
        <f t="shared" si="24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22"/>
        <v>0</v>
      </c>
      <c r="K159" s="121">
        <f t="shared" si="23"/>
        <v>0</v>
      </c>
      <c r="L159" s="121">
        <f t="shared" si="24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4"/>
      <c r="I160" s="14"/>
      <c r="J160" s="120">
        <f t="shared" si="22"/>
        <v>0</v>
      </c>
      <c r="K160" s="121">
        <f t="shared" si="23"/>
        <v>0</v>
      </c>
      <c r="L160" s="121">
        <f t="shared" si="24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15"/>
      <c r="F161" s="9"/>
      <c r="G161" s="8"/>
      <c r="H161" s="14"/>
      <c r="I161" s="14"/>
      <c r="J161" s="120">
        <f t="shared" si="22"/>
        <v>0</v>
      </c>
      <c r="K161" s="121">
        <f t="shared" si="23"/>
        <v>0</v>
      </c>
      <c r="L161" s="121">
        <f t="shared" si="24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22"/>
        <v>0</v>
      </c>
      <c r="K162" s="121">
        <f t="shared" si="23"/>
        <v>0</v>
      </c>
      <c r="L162" s="121">
        <f t="shared" si="24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22"/>
        <v>0</v>
      </c>
      <c r="K163" s="121">
        <f t="shared" si="23"/>
        <v>0</v>
      </c>
      <c r="L163" s="121">
        <f t="shared" si="24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22"/>
        <v>0</v>
      </c>
      <c r="K164" s="121">
        <f t="shared" si="23"/>
        <v>0</v>
      </c>
      <c r="L164" s="121">
        <f t="shared" si="24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22"/>
        <v>0</v>
      </c>
      <c r="K165" s="121">
        <f t="shared" si="23"/>
        <v>0</v>
      </c>
      <c r="L165" s="121">
        <f t="shared" si="24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22"/>
        <v>0</v>
      </c>
      <c r="K166" s="121">
        <f t="shared" si="23"/>
        <v>0</v>
      </c>
      <c r="L166" s="121">
        <f t="shared" si="24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15"/>
      <c r="F167" s="9"/>
      <c r="G167" s="8"/>
      <c r="H167" s="13"/>
      <c r="I167" s="13"/>
      <c r="J167" s="120">
        <f t="shared" si="22"/>
        <v>0</v>
      </c>
      <c r="K167" s="121">
        <f t="shared" si="23"/>
        <v>0</v>
      </c>
      <c r="L167" s="121">
        <f t="shared" si="24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22"/>
        <v>0</v>
      </c>
      <c r="K168" s="121">
        <f t="shared" si="23"/>
        <v>0</v>
      </c>
      <c r="L168" s="121">
        <f t="shared" si="24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22"/>
        <v>0</v>
      </c>
      <c r="K169" s="121">
        <f t="shared" si="23"/>
        <v>0</v>
      </c>
      <c r="L169" s="121">
        <f t="shared" si="24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22"/>
        <v>0</v>
      </c>
      <c r="K170" s="121">
        <f t="shared" si="23"/>
        <v>0</v>
      </c>
      <c r="L170" s="121">
        <f t="shared" si="24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22"/>
        <v>0</v>
      </c>
      <c r="K171" s="121">
        <f t="shared" si="23"/>
        <v>0</v>
      </c>
      <c r="L171" s="121">
        <f t="shared" si="24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1"/>
      <c r="I172" s="11"/>
      <c r="J172" s="120">
        <f t="shared" si="22"/>
        <v>0</v>
      </c>
      <c r="K172" s="121">
        <f t="shared" si="23"/>
        <v>0</v>
      </c>
      <c r="L172" s="121">
        <f t="shared" si="24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2"/>
      <c r="I173" s="12"/>
      <c r="J173" s="120">
        <f t="shared" si="22"/>
        <v>0</v>
      </c>
      <c r="K173" s="121">
        <f t="shared" si="23"/>
        <v>0</v>
      </c>
      <c r="L173" s="121">
        <f t="shared" si="24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22"/>
        <v>0</v>
      </c>
      <c r="K174" s="121">
        <f t="shared" si="23"/>
        <v>0</v>
      </c>
      <c r="L174" s="121">
        <f t="shared" si="24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22"/>
        <v>0</v>
      </c>
      <c r="K175" s="121">
        <f t="shared" si="23"/>
        <v>0</v>
      </c>
      <c r="L175" s="121">
        <f t="shared" si="24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22"/>
        <v>0</v>
      </c>
      <c r="K176" s="121">
        <f t="shared" si="23"/>
        <v>0</v>
      </c>
      <c r="L176" s="121">
        <f t="shared" si="24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22"/>
        <v>0</v>
      </c>
      <c r="K177" s="121">
        <f t="shared" si="23"/>
        <v>0</v>
      </c>
      <c r="L177" s="121">
        <f t="shared" si="24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22"/>
        <v>0</v>
      </c>
      <c r="K178" s="121">
        <f t="shared" si="23"/>
        <v>0</v>
      </c>
      <c r="L178" s="121">
        <f t="shared" si="24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22"/>
        <v>0</v>
      </c>
      <c r="K179" s="121">
        <f t="shared" si="23"/>
        <v>0</v>
      </c>
      <c r="L179" s="121">
        <f t="shared" si="24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22"/>
        <v>0</v>
      </c>
      <c r="K180" s="121">
        <f t="shared" si="23"/>
        <v>0</v>
      </c>
      <c r="L180" s="121">
        <f t="shared" si="24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22"/>
        <v>0</v>
      </c>
      <c r="K181" s="121">
        <f t="shared" si="23"/>
        <v>0</v>
      </c>
      <c r="L181" s="121">
        <f t="shared" si="24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22"/>
        <v>0</v>
      </c>
      <c r="K182" s="121">
        <f t="shared" si="23"/>
        <v>0</v>
      </c>
      <c r="L182" s="121">
        <f t="shared" si="24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22"/>
        <v>0</v>
      </c>
      <c r="K183" s="121">
        <f t="shared" si="23"/>
        <v>0</v>
      </c>
      <c r="L183" s="121">
        <f t="shared" si="24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22"/>
        <v>0</v>
      </c>
      <c r="K184" s="121">
        <f t="shared" si="23"/>
        <v>0</v>
      </c>
      <c r="L184" s="121">
        <f t="shared" si="24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22"/>
        <v>0</v>
      </c>
      <c r="K185" s="121">
        <f t="shared" si="23"/>
        <v>0</v>
      </c>
      <c r="L185" s="121">
        <f t="shared" si="24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22"/>
        <v>0</v>
      </c>
      <c r="K186" s="121">
        <f t="shared" si="23"/>
        <v>0</v>
      </c>
      <c r="L186" s="121">
        <f t="shared" si="24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22"/>
        <v>0</v>
      </c>
      <c r="K187" s="121">
        <f t="shared" si="23"/>
        <v>0</v>
      </c>
      <c r="L187" s="121">
        <f t="shared" si="24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4"/>
      <c r="I188" s="14"/>
      <c r="J188" s="120">
        <f t="shared" si="22"/>
        <v>0</v>
      </c>
      <c r="K188" s="121">
        <f t="shared" si="23"/>
        <v>0</v>
      </c>
      <c r="L188" s="121">
        <f t="shared" si="24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15"/>
      <c r="F189" s="9"/>
      <c r="G189" s="8"/>
      <c r="H189" s="14"/>
      <c r="I189" s="14"/>
      <c r="J189" s="120">
        <f t="shared" si="22"/>
        <v>0</v>
      </c>
      <c r="K189" s="121">
        <f t="shared" si="23"/>
        <v>0</v>
      </c>
      <c r="L189" s="121">
        <f t="shared" si="24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22"/>
        <v>0</v>
      </c>
      <c r="K190" s="121">
        <f t="shared" si="23"/>
        <v>0</v>
      </c>
      <c r="L190" s="121">
        <f t="shared" si="24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1"/>
      <c r="I191" s="11"/>
      <c r="J191" s="120">
        <f t="shared" si="22"/>
        <v>0</v>
      </c>
      <c r="K191" s="121">
        <f t="shared" si="23"/>
        <v>0</v>
      </c>
      <c r="L191" s="121">
        <f t="shared" si="24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2"/>
      <c r="I192" s="12"/>
      <c r="J192" s="120">
        <f t="shared" si="22"/>
        <v>0</v>
      </c>
      <c r="K192" s="121">
        <f t="shared" si="23"/>
        <v>0</v>
      </c>
      <c r="L192" s="121">
        <f t="shared" si="24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22"/>
        <v>0</v>
      </c>
      <c r="K193" s="121">
        <f t="shared" si="23"/>
        <v>0</v>
      </c>
      <c r="L193" s="121">
        <f t="shared" si="24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22"/>
        <v>0</v>
      </c>
      <c r="K194" s="121">
        <f t="shared" si="23"/>
        <v>0</v>
      </c>
      <c r="L194" s="121">
        <f t="shared" si="24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22"/>
        <v>0</v>
      </c>
      <c r="K195" s="121">
        <f t="shared" si="23"/>
        <v>0</v>
      </c>
      <c r="L195" s="121">
        <f t="shared" si="24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22"/>
        <v>0</v>
      </c>
      <c r="K196" s="121">
        <f t="shared" si="23"/>
        <v>0</v>
      </c>
      <c r="L196" s="121">
        <f t="shared" si="24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22"/>
        <v>0</v>
      </c>
      <c r="K197" s="121">
        <f t="shared" si="23"/>
        <v>0</v>
      </c>
      <c r="L197" s="121">
        <f t="shared" si="24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22"/>
        <v>0</v>
      </c>
      <c r="K198" s="121">
        <f t="shared" si="23"/>
        <v>0</v>
      </c>
      <c r="L198" s="121">
        <f t="shared" si="24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22"/>
        <v>0</v>
      </c>
      <c r="K199" s="121">
        <f t="shared" si="23"/>
        <v>0</v>
      </c>
      <c r="L199" s="121">
        <f t="shared" si="24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22"/>
        <v>0</v>
      </c>
      <c r="K200" s="121">
        <f t="shared" si="23"/>
        <v>0</v>
      </c>
      <c r="L200" s="121">
        <f t="shared" si="24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22"/>
        <v>0</v>
      </c>
      <c r="K201" s="121">
        <f t="shared" si="23"/>
        <v>0</v>
      </c>
      <c r="L201" s="121">
        <f t="shared" si="24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22"/>
        <v>0</v>
      </c>
      <c r="K202" s="121">
        <f t="shared" si="23"/>
        <v>0</v>
      </c>
      <c r="L202" s="121">
        <f t="shared" si="24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22"/>
        <v>0</v>
      </c>
      <c r="K203" s="121">
        <f t="shared" si="23"/>
        <v>0</v>
      </c>
      <c r="L203" s="121">
        <f t="shared" si="24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22"/>
        <v>0</v>
      </c>
      <c r="K204" s="121">
        <f t="shared" si="23"/>
        <v>0</v>
      </c>
      <c r="L204" s="121">
        <f t="shared" si="24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22"/>
        <v>0</v>
      </c>
      <c r="K205" s="121">
        <f t="shared" si="23"/>
        <v>0</v>
      </c>
      <c r="L205" s="121">
        <f t="shared" si="24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22"/>
        <v>0</v>
      </c>
      <c r="K206" s="121">
        <f t="shared" si="23"/>
        <v>0</v>
      </c>
      <c r="L206" s="121">
        <f t="shared" si="24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4"/>
      <c r="I207" s="14"/>
      <c r="J207" s="120">
        <f t="shared" si="22"/>
        <v>0</v>
      </c>
      <c r="K207" s="121">
        <f t="shared" si="23"/>
        <v>0</v>
      </c>
      <c r="L207" s="121">
        <f t="shared" si="24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15"/>
      <c r="F208" s="9"/>
      <c r="G208" s="8"/>
      <c r="H208" s="14"/>
      <c r="I208" s="14"/>
      <c r="J208" s="120">
        <f t="shared" si="22"/>
        <v>0</v>
      </c>
      <c r="K208" s="121">
        <f t="shared" si="23"/>
        <v>0</v>
      </c>
      <c r="L208" s="121">
        <f t="shared" si="24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22"/>
        <v>0</v>
      </c>
      <c r="K209" s="121">
        <f t="shared" si="23"/>
        <v>0</v>
      </c>
      <c r="L209" s="121">
        <f t="shared" si="24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22"/>
        <v>0</v>
      </c>
      <c r="K210" s="121">
        <f t="shared" si="23"/>
        <v>0</v>
      </c>
      <c r="L210" s="121">
        <f t="shared" si="24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22"/>
        <v>0</v>
      </c>
      <c r="K211" s="121">
        <f t="shared" si="23"/>
        <v>0</v>
      </c>
      <c r="L211" s="121">
        <f t="shared" si="24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22"/>
        <v>0</v>
      </c>
      <c r="K212" s="121">
        <f t="shared" si="23"/>
        <v>0</v>
      </c>
      <c r="L212" s="121">
        <f t="shared" si="24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22"/>
        <v>0</v>
      </c>
      <c r="K213" s="121">
        <f t="shared" si="23"/>
        <v>0</v>
      </c>
      <c r="L213" s="121">
        <f t="shared" si="24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15"/>
      <c r="F214" s="9"/>
      <c r="G214" s="8"/>
      <c r="H214" s="13"/>
      <c r="I214" s="13"/>
      <c r="J214" s="120">
        <f t="shared" si="22"/>
        <v>0</v>
      </c>
      <c r="K214" s="121">
        <f t="shared" si="23"/>
        <v>0</v>
      </c>
      <c r="L214" s="121">
        <f t="shared" si="24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22"/>
        <v>0</v>
      </c>
      <c r="K215" s="121">
        <f t="shared" si="23"/>
        <v>0</v>
      </c>
      <c r="L215" s="121">
        <f t="shared" si="24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22"/>
        <v>0</v>
      </c>
      <c r="K216" s="121">
        <f t="shared" si="23"/>
        <v>0</v>
      </c>
      <c r="L216" s="121">
        <f t="shared" si="24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ref="J219:J254" si="25">+K219+L219</f>
        <v>0</v>
      </c>
      <c r="K219" s="121">
        <f t="shared" ref="K219:K254" si="26">SUM(N219:Y219)</f>
        <v>0</v>
      </c>
      <c r="L219" s="121">
        <f t="shared" ref="L219:L254" si="27">SUM(AA219:AL219)</f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1"/>
      <c r="I220" s="11"/>
      <c r="J220" s="120">
        <f t="shared" si="25"/>
        <v>0</v>
      </c>
      <c r="K220" s="121">
        <f t="shared" si="26"/>
        <v>0</v>
      </c>
      <c r="L220" s="121">
        <f t="shared" si="27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2"/>
      <c r="I221" s="12"/>
      <c r="J221" s="120">
        <f t="shared" si="25"/>
        <v>0</v>
      </c>
      <c r="K221" s="121">
        <f t="shared" si="26"/>
        <v>0</v>
      </c>
      <c r="L221" s="121">
        <f t="shared" si="27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5"/>
        <v>0</v>
      </c>
      <c r="K222" s="121">
        <f t="shared" si="26"/>
        <v>0</v>
      </c>
      <c r="L222" s="121">
        <f t="shared" si="27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5"/>
        <v>0</v>
      </c>
      <c r="K223" s="121">
        <f t="shared" si="26"/>
        <v>0</v>
      </c>
      <c r="L223" s="121">
        <f t="shared" si="27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5"/>
        <v>0</v>
      </c>
      <c r="K224" s="121">
        <f t="shared" si="26"/>
        <v>0</v>
      </c>
      <c r="L224" s="121">
        <f t="shared" si="27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5"/>
        <v>0</v>
      </c>
      <c r="K225" s="121">
        <f t="shared" si="26"/>
        <v>0</v>
      </c>
      <c r="L225" s="121">
        <f t="shared" si="27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5"/>
        <v>0</v>
      </c>
      <c r="K226" s="121">
        <f t="shared" si="26"/>
        <v>0</v>
      </c>
      <c r="L226" s="121">
        <f t="shared" si="27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5"/>
        <v>0</v>
      </c>
      <c r="K227" s="121">
        <f t="shared" si="26"/>
        <v>0</v>
      </c>
      <c r="L227" s="121">
        <f t="shared" si="27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5"/>
        <v>0</v>
      </c>
      <c r="K228" s="121">
        <f t="shared" si="26"/>
        <v>0</v>
      </c>
      <c r="L228" s="121">
        <f t="shared" si="27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5"/>
        <v>0</v>
      </c>
      <c r="K229" s="121">
        <f t="shared" si="26"/>
        <v>0</v>
      </c>
      <c r="L229" s="121">
        <f t="shared" si="27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5"/>
        <v>0</v>
      </c>
      <c r="K230" s="121">
        <f t="shared" si="26"/>
        <v>0</v>
      </c>
      <c r="L230" s="121">
        <f t="shared" si="27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5"/>
        <v>0</v>
      </c>
      <c r="K231" s="121">
        <f t="shared" si="26"/>
        <v>0</v>
      </c>
      <c r="L231" s="121">
        <f t="shared" si="27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5"/>
        <v>0</v>
      </c>
      <c r="K232" s="121">
        <f t="shared" si="26"/>
        <v>0</v>
      </c>
      <c r="L232" s="121">
        <f t="shared" si="27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5"/>
        <v>0</v>
      </c>
      <c r="K233" s="121">
        <f t="shared" si="26"/>
        <v>0</v>
      </c>
      <c r="L233" s="121">
        <f t="shared" si="27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5"/>
        <v>0</v>
      </c>
      <c r="K234" s="121">
        <f t="shared" si="26"/>
        <v>0</v>
      </c>
      <c r="L234" s="121">
        <f t="shared" si="27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25"/>
        <v>0</v>
      </c>
      <c r="K235" s="121">
        <f t="shared" si="26"/>
        <v>0</v>
      </c>
      <c r="L235" s="121">
        <f t="shared" si="27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5"/>
        <v>0</v>
      </c>
      <c r="K236" s="121">
        <f t="shared" si="26"/>
        <v>0</v>
      </c>
      <c r="L236" s="121">
        <f t="shared" si="27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4"/>
      <c r="I237" s="14"/>
      <c r="J237" s="120">
        <f t="shared" si="25"/>
        <v>0</v>
      </c>
      <c r="K237" s="121">
        <f t="shared" si="26"/>
        <v>0</v>
      </c>
      <c r="L237" s="121">
        <f t="shared" si="27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15"/>
      <c r="F238" s="9"/>
      <c r="G238" s="8"/>
      <c r="H238" s="14"/>
      <c r="I238" s="14"/>
      <c r="J238" s="120">
        <f t="shared" si="25"/>
        <v>0</v>
      </c>
      <c r="K238" s="121">
        <f t="shared" si="26"/>
        <v>0</v>
      </c>
      <c r="L238" s="121">
        <f t="shared" si="27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5"/>
        <v>0</v>
      </c>
      <c r="K239" s="121">
        <f t="shared" si="26"/>
        <v>0</v>
      </c>
      <c r="L239" s="121">
        <f t="shared" si="27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5"/>
        <v>0</v>
      </c>
      <c r="K240" s="121">
        <f t="shared" si="26"/>
        <v>0</v>
      </c>
      <c r="L240" s="121">
        <f t="shared" si="27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5"/>
        <v>0</v>
      </c>
      <c r="K241" s="121">
        <f t="shared" si="26"/>
        <v>0</v>
      </c>
      <c r="L241" s="121">
        <f t="shared" si="27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5"/>
        <v>0</v>
      </c>
      <c r="K242" s="121">
        <f t="shared" si="26"/>
        <v>0</v>
      </c>
      <c r="L242" s="121">
        <f t="shared" si="27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5"/>
        <v>0</v>
      </c>
      <c r="K243" s="121">
        <f t="shared" si="26"/>
        <v>0</v>
      </c>
      <c r="L243" s="121">
        <f t="shared" si="27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15"/>
      <c r="F244" s="9"/>
      <c r="G244" s="8"/>
      <c r="H244" s="13"/>
      <c r="I244" s="13"/>
      <c r="J244" s="120">
        <f t="shared" si="25"/>
        <v>0</v>
      </c>
      <c r="K244" s="121">
        <f t="shared" si="26"/>
        <v>0</v>
      </c>
      <c r="L244" s="121">
        <f t="shared" si="27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5"/>
        <v>0</v>
      </c>
      <c r="K245" s="121">
        <f t="shared" si="26"/>
        <v>0</v>
      </c>
      <c r="L245" s="121">
        <f t="shared" si="27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5"/>
        <v>0</v>
      </c>
      <c r="K246" s="121">
        <f t="shared" si="26"/>
        <v>0</v>
      </c>
      <c r="L246" s="121">
        <f t="shared" si="27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5"/>
        <v>0</v>
      </c>
      <c r="K247" s="121">
        <f t="shared" si="26"/>
        <v>0</v>
      </c>
      <c r="L247" s="121">
        <f t="shared" si="27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8"/>
      <c r="F248" s="9"/>
      <c r="G248" s="8"/>
      <c r="H248" s="13"/>
      <c r="I248" s="13"/>
      <c r="J248" s="120">
        <f t="shared" si="25"/>
        <v>0</v>
      </c>
      <c r="K248" s="121">
        <f t="shared" si="26"/>
        <v>0</v>
      </c>
      <c r="L248" s="121">
        <f t="shared" si="27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5"/>
        <v>0</v>
      </c>
      <c r="K249" s="121">
        <f t="shared" si="26"/>
        <v>0</v>
      </c>
      <c r="L249" s="121">
        <f t="shared" si="27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5"/>
        <v>0</v>
      </c>
      <c r="K250" s="121">
        <f t="shared" si="26"/>
        <v>0</v>
      </c>
      <c r="L250" s="121">
        <f t="shared" si="27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5"/>
        <v>0</v>
      </c>
      <c r="K251" s="121">
        <f t="shared" si="26"/>
        <v>0</v>
      </c>
      <c r="L251" s="121">
        <f t="shared" si="27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E252" s="16"/>
      <c r="F252" s="9"/>
      <c r="G252" s="8"/>
      <c r="H252" s="13"/>
      <c r="I252" s="13"/>
      <c r="J252" s="120">
        <f t="shared" si="25"/>
        <v>0</v>
      </c>
      <c r="K252" s="121">
        <f t="shared" si="26"/>
        <v>0</v>
      </c>
      <c r="L252" s="121">
        <f t="shared" si="27"/>
        <v>0</v>
      </c>
      <c r="M252" s="17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 s="24" customFormat="1">
      <c r="E253" s="16"/>
      <c r="F253" s="9"/>
      <c r="G253" s="8"/>
      <c r="H253" s="13"/>
      <c r="I253" s="13"/>
      <c r="J253" s="120">
        <f t="shared" si="25"/>
        <v>0</v>
      </c>
      <c r="K253" s="121">
        <f t="shared" si="26"/>
        <v>0</v>
      </c>
      <c r="L253" s="121">
        <f t="shared" si="27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17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spans="5:38">
      <c r="J254" s="120">
        <f t="shared" si="25"/>
        <v>0</v>
      </c>
      <c r="K254" s="121">
        <f t="shared" si="26"/>
        <v>0</v>
      </c>
      <c r="L254" s="121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24307.570000000007</v>
      </c>
      <c r="Q10" s="186">
        <f ca="1">O10-P10</f>
        <v>-24307.570000000007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8720.8739999999998</v>
      </c>
      <c r="Q11" s="187">
        <f t="shared" ref="Q11:Q12" ca="1" si="0">O11-P11</f>
        <v>-8720.8739999999998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33028.444000000003</v>
      </c>
      <c r="Q12" s="159">
        <f t="shared" ca="1" si="0"/>
        <v>-33028.444000000003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DE HONG KONG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19" t="s">
        <v>9</v>
      </c>
      <c r="J4" s="21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2026-09-04T09:27:30Z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