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iamcorp-my.sharepoint.com/personal/rekha_patil_diaminter_com/Documents/2026-27/MIS/2026/Weekly Dashboard/Week 41/"/>
    </mc:Choice>
  </mc:AlternateContent>
  <xr:revisionPtr revIDLastSave="1215" documentId="14_{5E2B3B6B-BC20-43D7-991E-12EC45CBEE3F}" xr6:coauthVersionLast="47" xr6:coauthVersionMax="47" xr10:uidLastSave="{8F11E3CD-6CB6-48E8-A100-F42D043E76D2}"/>
  <bookViews>
    <workbookView xWindow="-120" yWindow="-120" windowWidth="20730" windowHeight="11040" tabRatio="810" firstSheet="37" activeTab="45" xr2:uid="{00000000-000D-0000-FFFF-FFFF00000000}"/>
  </bookViews>
  <sheets>
    <sheet name="read me" sheetId="59" r:id="rId1"/>
    <sheet name="parameters" sheetId="72" r:id="rId2"/>
    <sheet name="analysis week" sheetId="156" r:id="rId3"/>
    <sheet name="DB analysis orders" sheetId="157" state="hidden" r:id="rId4"/>
    <sheet name="Synth" sheetId="64" state="hidden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'W1'!$E$23:$AL$365</definedName>
    <definedName name="_xlnm._FilterDatabase" localSheetId="14" hidden="1">'W10'!$E$23:$AL$213</definedName>
    <definedName name="_xlnm._FilterDatabase" localSheetId="15" hidden="1">'W11'!$E$23:$AL$234</definedName>
    <definedName name="_xlnm._FilterDatabase" localSheetId="16" hidden="1">'W12'!$E$23:$AL$218</definedName>
    <definedName name="_xlnm._FilterDatabase" localSheetId="17" hidden="1">'W13'!$E$23:$AL$241</definedName>
    <definedName name="_xlnm._FilterDatabase" localSheetId="18" hidden="1">'W14'!$E$23:$AL$240</definedName>
    <definedName name="_xlnm._FilterDatabase" localSheetId="19" hidden="1">'W15'!$E$23:$AL$225</definedName>
    <definedName name="_xlnm._FilterDatabase" localSheetId="20" hidden="1">'W16'!$E$23:$AL$235</definedName>
    <definedName name="_xlnm._FilterDatabase" localSheetId="21" hidden="1">'W17'!$E$23:$L$91</definedName>
    <definedName name="_xlnm._FilterDatabase" localSheetId="22" hidden="1">'W18'!$E$23:$AL$232</definedName>
    <definedName name="_xlnm._FilterDatabase" localSheetId="23" hidden="1">'W19'!$E$23:$AL$245</definedName>
    <definedName name="_xlnm._FilterDatabase" localSheetId="6" hidden="1">'W2'!$E$23:$AL$391</definedName>
    <definedName name="_xlnm._FilterDatabase" localSheetId="24" hidden="1">'W20'!$E$23:$AL$94</definedName>
    <definedName name="_xlnm._FilterDatabase" localSheetId="25" hidden="1">'W21'!$E$23:$AL$398</definedName>
    <definedName name="_xlnm._FilterDatabase" localSheetId="26" hidden="1">'W22'!$E$23:$AL$241</definedName>
    <definedName name="_xlnm._FilterDatabase" localSheetId="27" hidden="1">'W23'!$E$23:$AL$238</definedName>
    <definedName name="_xlnm._FilterDatabase" localSheetId="28" hidden="1">'W24'!$E$23:$AL$238</definedName>
    <definedName name="_xlnm._FilterDatabase" localSheetId="29" hidden="1">'W25'!$E$23:$AL$396</definedName>
    <definedName name="_xlnm._FilterDatabase" localSheetId="30" hidden="1">'W26'!$E$23:$AL$244</definedName>
    <definedName name="_xlnm._FilterDatabase" localSheetId="31" hidden="1">'W27'!$E$23:$AL$231</definedName>
    <definedName name="_xlnm._FilterDatabase" localSheetId="32" hidden="1">'W28'!$E$23:$AL$233</definedName>
    <definedName name="_xlnm._FilterDatabase" localSheetId="33" hidden="1">'W29'!$E$23:$AL$227</definedName>
    <definedName name="_xlnm._FilterDatabase" localSheetId="7" hidden="1">'W3'!$E$23:$AL$390</definedName>
    <definedName name="_xlnm._FilterDatabase" localSheetId="34" hidden="1">'W30'!$E$23:$AL$234</definedName>
    <definedName name="_xlnm._FilterDatabase" localSheetId="35" hidden="1">'W31'!$E$23:$AL$241</definedName>
    <definedName name="_xlnm._FilterDatabase" localSheetId="36" hidden="1">'W32'!$E$23:$AL$242</definedName>
    <definedName name="_xlnm._FilterDatabase" localSheetId="37" hidden="1">'W33'!$E$23:$AL$240</definedName>
    <definedName name="_xlnm._FilterDatabase" localSheetId="38" hidden="1">'W34'!$E$23:$AL$234</definedName>
    <definedName name="_xlnm._FilterDatabase" localSheetId="39" hidden="1">'W35'!$E$23:$AL$232</definedName>
    <definedName name="_xlnm._FilterDatabase" localSheetId="40" hidden="1">'W36'!$E$23:$AL$254</definedName>
    <definedName name="_xlnm._FilterDatabase" localSheetId="41" hidden="1">'W37'!$E$23:$AL$252</definedName>
    <definedName name="_xlnm._FilterDatabase" localSheetId="42" hidden="1">'W38'!$E$23:$AL$257</definedName>
    <definedName name="_xlnm._FilterDatabase" localSheetId="43" hidden="1">'W39'!$E$23:$AL$248</definedName>
    <definedName name="_xlnm._FilterDatabase" localSheetId="8" hidden="1">'W4'!$E$23:$AL$398</definedName>
    <definedName name="_xlnm._FilterDatabase" localSheetId="44" hidden="1">'W40'!$E$23:$AL$251</definedName>
    <definedName name="_xlnm._FilterDatabase" localSheetId="45" hidden="1">'W41'!$E$23:$AL$260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'W5'!$E$23:$AL$201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'W6'!$E$23:$AL$63</definedName>
    <definedName name="_xlnm._FilterDatabase" localSheetId="11" hidden="1">'W7'!$E$23:$AL$187</definedName>
    <definedName name="_xlnm._FilterDatabase" localSheetId="12" hidden="1">'W8'!$E$23:$AL$407</definedName>
    <definedName name="_xlnm._FilterDatabase" localSheetId="13" hidden="1">'W9'!$E$23:$AL$217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'W1'!$E$4:$Q$30</definedName>
    <definedName name="_xlnm.Print_Area" localSheetId="14">'W10'!$E$1:$X$51</definedName>
    <definedName name="_xlnm.Print_Area" localSheetId="15">'W11'!$E$1:$X$63</definedName>
    <definedName name="_xlnm.Print_Area" localSheetId="16">'W12'!$E$1:$X$49</definedName>
    <definedName name="_xlnm.Print_Area" localSheetId="17">'W13'!$E$1:$X$59</definedName>
    <definedName name="_xlnm.Print_Area" localSheetId="18">'W14'!$E$1:$X$48</definedName>
    <definedName name="_xlnm.Print_Area" localSheetId="19">'W15'!$E$1:$X$62</definedName>
    <definedName name="_xlnm.Print_Area" localSheetId="20">'W16'!$E$1:$X$60</definedName>
    <definedName name="_xlnm.Print_Area" localSheetId="21">'W17'!$E$1:$X$62</definedName>
    <definedName name="_xlnm.Print_Area" localSheetId="22">'W18'!$E$1:$X$62</definedName>
    <definedName name="_xlnm.Print_Area" localSheetId="23">'W19'!$E$1:$X$63</definedName>
    <definedName name="_xlnm.Print_Area" localSheetId="6">'W2'!$E$1:$X$60</definedName>
    <definedName name="_xlnm.Print_Area" localSheetId="24">'W20'!$E$1:$X$63</definedName>
    <definedName name="_xlnm.Print_Area" localSheetId="25">'W21'!$E$1:$X$61</definedName>
    <definedName name="_xlnm.Print_Area" localSheetId="26">'W22'!$E$1:$X$61</definedName>
    <definedName name="_xlnm.Print_Area" localSheetId="27">'W23'!$E$1:$X$62</definedName>
    <definedName name="_xlnm.Print_Area" localSheetId="28">'W24'!$E$1:$X$62</definedName>
    <definedName name="_xlnm.Print_Area" localSheetId="29">'W25'!$E$1:$X$60</definedName>
    <definedName name="_xlnm.Print_Area" localSheetId="30">'W26'!$E$1:$X$60</definedName>
    <definedName name="_xlnm.Print_Area" localSheetId="31">'W27'!$E$1:$X$63</definedName>
    <definedName name="_xlnm.Print_Area" localSheetId="32">'W28'!$E$1:$X$60</definedName>
    <definedName name="_xlnm.Print_Area" localSheetId="33">'W29'!$E$1:$X$55</definedName>
    <definedName name="_xlnm.Print_Area" localSheetId="7">'W3'!$E$1:$X$61</definedName>
    <definedName name="_xlnm.Print_Area" localSheetId="34">'W30'!$E$1:$X$60</definedName>
    <definedName name="_xlnm.Print_Area" localSheetId="35">'W31'!$E$1:$X$63</definedName>
    <definedName name="_xlnm.Print_Area" localSheetId="36">'W32'!$E$1:$X$59</definedName>
    <definedName name="_xlnm.Print_Area" localSheetId="37">'W33'!$E$1:$X$63</definedName>
    <definedName name="_xlnm.Print_Area" localSheetId="38">'W34'!$E$1:$X$52</definedName>
    <definedName name="_xlnm.Print_Area" localSheetId="39">'W35'!$E$1:$X$54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'W4'!$E$1:$X$60</definedName>
    <definedName name="_xlnm.Print_Area" localSheetId="44">'W40'!$E$1:$X$62</definedName>
    <definedName name="_xlnm.Print_Area" localSheetId="45">'W41'!$E$1:$X$61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'W5'!$E$1:$X$52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'W6'!$E$1:$X$52</definedName>
    <definedName name="_xlnm.Print_Area" localSheetId="11">'W7'!$E$1:$X$60</definedName>
    <definedName name="_xlnm.Print_Area" localSheetId="12">'W8'!$E$1:$X$54</definedName>
    <definedName name="_xlnm.Print_Area" localSheetId="13">'W9'!$E$1:$X$52</definedName>
    <definedName name="SOCIETE">parameters!$A$8:$A$55</definedName>
  </definedNames>
  <calcPr calcId="191029"/>
  <pivotCaches>
    <pivotCache cacheId="116" r:id="rId5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44" l="1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J83" i="144" s="1"/>
  <c r="K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 s="1"/>
  <c r="L76" i="144"/>
  <c r="K76" i="144"/>
  <c r="J76" i="144"/>
  <c r="L75" i="144"/>
  <c r="K75" i="144"/>
  <c r="J75" i="144" s="1"/>
  <c r="H10" i="143"/>
  <c r="H138" i="144"/>
  <c r="G143" i="144" s="1"/>
  <c r="G121" i="144"/>
  <c r="L114" i="144"/>
  <c r="K114" i="144"/>
  <c r="L113" i="144"/>
  <c r="K113" i="144"/>
  <c r="J113" i="144" s="1"/>
  <c r="L112" i="144"/>
  <c r="K112" i="144"/>
  <c r="J112" i="144" s="1"/>
  <c r="L111" i="144"/>
  <c r="K111" i="144"/>
  <c r="L110" i="144"/>
  <c r="K110" i="144"/>
  <c r="L109" i="144"/>
  <c r="K109" i="144"/>
  <c r="J109" i="144" s="1"/>
  <c r="L108" i="144"/>
  <c r="K108" i="144"/>
  <c r="L107" i="144"/>
  <c r="K107" i="144"/>
  <c r="J107" i="144" s="1"/>
  <c r="L106" i="144"/>
  <c r="K106" i="144"/>
  <c r="J106" i="144" s="1"/>
  <c r="L105" i="144"/>
  <c r="K105" i="144"/>
  <c r="J105" i="144" s="1"/>
  <c r="L104" i="144"/>
  <c r="K104" i="144"/>
  <c r="J104" i="144" s="1"/>
  <c r="L103" i="144"/>
  <c r="K103" i="144"/>
  <c r="J103" i="144" s="1"/>
  <c r="L102" i="144"/>
  <c r="K102" i="144"/>
  <c r="L101" i="144"/>
  <c r="K101" i="144"/>
  <c r="J101" i="144" s="1"/>
  <c r="L100" i="144"/>
  <c r="K100" i="144"/>
  <c r="L99" i="144"/>
  <c r="K99" i="144"/>
  <c r="J99" i="144" s="1"/>
  <c r="L98" i="144"/>
  <c r="K98" i="144"/>
  <c r="J98" i="144" s="1"/>
  <c r="L97" i="144"/>
  <c r="K97" i="144"/>
  <c r="J97" i="144" s="1"/>
  <c r="L96" i="144"/>
  <c r="K96" i="144"/>
  <c r="J96" i="144" s="1"/>
  <c r="L95" i="144"/>
  <c r="K95" i="144"/>
  <c r="J95" i="144" s="1"/>
  <c r="L94" i="144"/>
  <c r="K94" i="144"/>
  <c r="J94" i="144" s="1"/>
  <c r="L93" i="144"/>
  <c r="K93" i="144"/>
  <c r="J93" i="144" s="1"/>
  <c r="L92" i="144"/>
  <c r="K92" i="144"/>
  <c r="J92" i="144" s="1"/>
  <c r="J12" i="144"/>
  <c r="G144" i="144" s="1"/>
  <c r="H11" i="144"/>
  <c r="I12" i="142"/>
  <c r="G137" i="143"/>
  <c r="W17" i="143"/>
  <c r="J12" i="143"/>
  <c r="H11" i="143"/>
  <c r="G136" i="143"/>
  <c r="G138" i="143" s="1"/>
  <c r="G135" i="143"/>
  <c r="H130" i="143"/>
  <c r="G112" i="143"/>
  <c r="H125" i="142"/>
  <c r="G129" i="142" s="1"/>
  <c r="G128" i="142"/>
  <c r="G108" i="142"/>
  <c r="L101" i="142"/>
  <c r="K101" i="142"/>
  <c r="J101" i="142" s="1"/>
  <c r="L100" i="142"/>
  <c r="K100" i="142"/>
  <c r="L99" i="142"/>
  <c r="K99" i="142"/>
  <c r="L98" i="142"/>
  <c r="K98" i="142"/>
  <c r="L97" i="142"/>
  <c r="K97" i="142"/>
  <c r="J97" i="142" s="1"/>
  <c r="L96" i="142"/>
  <c r="K96" i="142"/>
  <c r="L95" i="142"/>
  <c r="K95" i="142"/>
  <c r="J95" i="142" s="1"/>
  <c r="L94" i="142"/>
  <c r="K94" i="142"/>
  <c r="J94" i="142" s="1"/>
  <c r="L93" i="142"/>
  <c r="K93" i="142"/>
  <c r="L92" i="142"/>
  <c r="K92" i="142"/>
  <c r="L91" i="142"/>
  <c r="K91" i="142"/>
  <c r="J91" i="142" s="1"/>
  <c r="L90" i="142"/>
  <c r="K90" i="142"/>
  <c r="L89" i="142"/>
  <c r="K89" i="142"/>
  <c r="L88" i="142"/>
  <c r="K88" i="142"/>
  <c r="L87" i="142"/>
  <c r="K87" i="142"/>
  <c r="J87" i="142" s="1"/>
  <c r="L86" i="142"/>
  <c r="K86" i="142"/>
  <c r="J86" i="142" s="1"/>
  <c r="L85" i="142"/>
  <c r="K85" i="142"/>
  <c r="J85" i="142" s="1"/>
  <c r="L84" i="142"/>
  <c r="K84" i="142"/>
  <c r="L83" i="142"/>
  <c r="K83" i="142"/>
  <c r="L82" i="142"/>
  <c r="K82" i="142"/>
  <c r="J82" i="142" s="1"/>
  <c r="L81" i="142"/>
  <c r="K81" i="142"/>
  <c r="L80" i="142"/>
  <c r="K80" i="142"/>
  <c r="L79" i="142"/>
  <c r="K79" i="142"/>
  <c r="J79" i="142" s="1"/>
  <c r="L78" i="142"/>
  <c r="K78" i="142"/>
  <c r="J78" i="142" s="1"/>
  <c r="L77" i="142"/>
  <c r="K77" i="142"/>
  <c r="J77" i="142" s="1"/>
  <c r="L76" i="142"/>
  <c r="K76" i="142"/>
  <c r="J10" i="142"/>
  <c r="H10" i="142" s="1"/>
  <c r="H11" i="142"/>
  <c r="H131" i="141"/>
  <c r="G134" i="141" s="1"/>
  <c r="G133" i="141"/>
  <c r="G115" i="141"/>
  <c r="J10" i="141"/>
  <c r="H10" i="141" s="1"/>
  <c r="L109" i="141"/>
  <c r="K109" i="141"/>
  <c r="L108" i="141"/>
  <c r="K108" i="141"/>
  <c r="J108" i="141" s="1"/>
  <c r="L107" i="141"/>
  <c r="K107" i="141"/>
  <c r="J107" i="141" s="1"/>
  <c r="L106" i="141"/>
  <c r="K106" i="141"/>
  <c r="L105" i="141"/>
  <c r="K105" i="141"/>
  <c r="J105" i="141" s="1"/>
  <c r="L104" i="141"/>
  <c r="K104" i="141"/>
  <c r="L103" i="141"/>
  <c r="K103" i="141"/>
  <c r="L102" i="141"/>
  <c r="K102" i="141"/>
  <c r="L101" i="141"/>
  <c r="K101" i="141"/>
  <c r="L100" i="141"/>
  <c r="K100" i="141"/>
  <c r="L99" i="141"/>
  <c r="K99" i="141"/>
  <c r="L98" i="141"/>
  <c r="K98" i="141"/>
  <c r="J98" i="141" s="1"/>
  <c r="L97" i="141"/>
  <c r="K97" i="141"/>
  <c r="L96" i="141"/>
  <c r="K96" i="141"/>
  <c r="J96" i="141" s="1"/>
  <c r="L95" i="141"/>
  <c r="K95" i="141"/>
  <c r="L94" i="141"/>
  <c r="K94" i="141"/>
  <c r="J94" i="141" s="1"/>
  <c r="L93" i="141"/>
  <c r="K93" i="141"/>
  <c r="L92" i="141"/>
  <c r="K92" i="141"/>
  <c r="J92" i="141" s="1"/>
  <c r="L91" i="141"/>
  <c r="K91" i="141"/>
  <c r="J91" i="141" s="1"/>
  <c r="L90" i="141"/>
  <c r="K90" i="141"/>
  <c r="L89" i="141"/>
  <c r="K89" i="141"/>
  <c r="J89" i="141"/>
  <c r="L88" i="141"/>
  <c r="K88" i="141"/>
  <c r="L87" i="141"/>
  <c r="K87" i="141"/>
  <c r="L86" i="141"/>
  <c r="J86" i="141" s="1"/>
  <c r="K86" i="141"/>
  <c r="L85" i="141"/>
  <c r="K85" i="141"/>
  <c r="L84" i="141"/>
  <c r="K84" i="141"/>
  <c r="J84" i="141" s="1"/>
  <c r="L83" i="141"/>
  <c r="K83" i="141"/>
  <c r="L82" i="141"/>
  <c r="K82" i="141"/>
  <c r="J82" i="141"/>
  <c r="H11" i="141"/>
  <c r="J12" i="140"/>
  <c r="J100" i="144" l="1"/>
  <c r="J111" i="144"/>
  <c r="J102" i="144"/>
  <c r="J108" i="144"/>
  <c r="J114" i="144"/>
  <c r="J110" i="144"/>
  <c r="H12" i="144"/>
  <c r="H12" i="143"/>
  <c r="J76" i="142"/>
  <c r="J92" i="142"/>
  <c r="H12" i="142"/>
  <c r="J83" i="142"/>
  <c r="J80" i="142"/>
  <c r="J84" i="142"/>
  <c r="J88" i="142"/>
  <c r="J96" i="142"/>
  <c r="J100" i="142"/>
  <c r="J90" i="142"/>
  <c r="J99" i="142"/>
  <c r="G131" i="142"/>
  <c r="J93" i="142"/>
  <c r="J81" i="142"/>
  <c r="J98" i="142"/>
  <c r="J89" i="142"/>
  <c r="J101" i="141"/>
  <c r="J88" i="141"/>
  <c r="J99" i="141"/>
  <c r="J90" i="141"/>
  <c r="J102" i="141"/>
  <c r="G136" i="141"/>
  <c r="J93" i="141"/>
  <c r="J100" i="141"/>
  <c r="J106" i="141"/>
  <c r="J83" i="141"/>
  <c r="J97" i="141"/>
  <c r="J104" i="141"/>
  <c r="J85" i="141"/>
  <c r="J95" i="141"/>
  <c r="J109" i="141"/>
  <c r="J87" i="141"/>
  <c r="J103" i="141"/>
  <c r="H12" i="141"/>
  <c r="H119" i="140"/>
  <c r="H121" i="140"/>
  <c r="G129" i="140"/>
  <c r="G112" i="140"/>
  <c r="H126" i="140" l="1"/>
  <c r="G130" i="140" s="1"/>
  <c r="G132" i="140" s="1"/>
  <c r="H10" i="140"/>
  <c r="H11" i="140"/>
  <c r="G120" i="139"/>
  <c r="L114" i="139"/>
  <c r="K114" i="139"/>
  <c r="L113" i="139"/>
  <c r="K113" i="139"/>
  <c r="L112" i="139"/>
  <c r="K112" i="139"/>
  <c r="L111" i="139"/>
  <c r="K111" i="139"/>
  <c r="L110" i="139"/>
  <c r="K110" i="139"/>
  <c r="L109" i="139"/>
  <c r="K109" i="139"/>
  <c r="L108" i="139"/>
  <c r="K108" i="139"/>
  <c r="L107" i="139"/>
  <c r="K107" i="139"/>
  <c r="L106" i="139"/>
  <c r="K106" i="139"/>
  <c r="L105" i="139"/>
  <c r="K105" i="139"/>
  <c r="L104" i="139"/>
  <c r="K104" i="139"/>
  <c r="L103" i="139"/>
  <c r="K103" i="139"/>
  <c r="L102" i="139"/>
  <c r="K102" i="139"/>
  <c r="L101" i="139"/>
  <c r="K101" i="139"/>
  <c r="L100" i="139"/>
  <c r="K100" i="139"/>
  <c r="L99" i="139"/>
  <c r="K99" i="139"/>
  <c r="L98" i="139"/>
  <c r="K98" i="139"/>
  <c r="L97" i="139"/>
  <c r="K97" i="139"/>
  <c r="L96" i="139"/>
  <c r="K96" i="139"/>
  <c r="L95" i="139"/>
  <c r="K95" i="139"/>
  <c r="L94" i="139"/>
  <c r="K94" i="139"/>
  <c r="L93" i="139"/>
  <c r="K93" i="139"/>
  <c r="L92" i="139"/>
  <c r="K92" i="139"/>
  <c r="L91" i="139"/>
  <c r="K91" i="139"/>
  <c r="L90" i="139"/>
  <c r="K90" i="139"/>
  <c r="L89" i="139"/>
  <c r="K89" i="139"/>
  <c r="L88" i="139"/>
  <c r="K88" i="139"/>
  <c r="K79" i="139"/>
  <c r="L79" i="139"/>
  <c r="K80" i="139"/>
  <c r="L80" i="139"/>
  <c r="K81" i="139"/>
  <c r="L81" i="139"/>
  <c r="K82" i="139"/>
  <c r="L82" i="139"/>
  <c r="K83" i="139"/>
  <c r="L83" i="139"/>
  <c r="K84" i="139"/>
  <c r="L84" i="139"/>
  <c r="K85" i="139"/>
  <c r="L85" i="139"/>
  <c r="H134" i="139"/>
  <c r="H10" i="139"/>
  <c r="L73" i="138"/>
  <c r="K73" i="138"/>
  <c r="J73" i="138" s="1"/>
  <c r="L72" i="138"/>
  <c r="K72" i="138"/>
  <c r="J72" i="138" s="1"/>
  <c r="L71" i="138"/>
  <c r="K71" i="138"/>
  <c r="J71" i="138" s="1"/>
  <c r="L78" i="139"/>
  <c r="K78" i="139"/>
  <c r="L77" i="139"/>
  <c r="K77" i="139"/>
  <c r="H11" i="139"/>
  <c r="H105" i="138"/>
  <c r="H102" i="138"/>
  <c r="W48" i="138"/>
  <c r="V48" i="138"/>
  <c r="W47" i="138"/>
  <c r="V47" i="138"/>
  <c r="W39" i="138"/>
  <c r="W42" i="138"/>
  <c r="H98" i="138"/>
  <c r="H110" i="138"/>
  <c r="H103" i="138"/>
  <c r="J10" i="138"/>
  <c r="J90" i="139" l="1"/>
  <c r="J108" i="139"/>
  <c r="J105" i="139"/>
  <c r="J92" i="139"/>
  <c r="J89" i="139"/>
  <c r="J101" i="139"/>
  <c r="J103" i="139"/>
  <c r="J98" i="139"/>
  <c r="J88" i="139"/>
  <c r="J96" i="139"/>
  <c r="J91" i="139"/>
  <c r="J114" i="139"/>
  <c r="J95" i="139"/>
  <c r="J99" i="139"/>
  <c r="J106" i="139"/>
  <c r="J97" i="139"/>
  <c r="J109" i="139"/>
  <c r="J113" i="139"/>
  <c r="J100" i="139"/>
  <c r="J107" i="139"/>
  <c r="J93" i="139"/>
  <c r="J104" i="139"/>
  <c r="J111" i="139"/>
  <c r="J102" i="139"/>
  <c r="J112" i="139"/>
  <c r="J94" i="139"/>
  <c r="J110" i="139"/>
  <c r="J81" i="139"/>
  <c r="J79" i="139"/>
  <c r="J85" i="139"/>
  <c r="J83" i="139"/>
  <c r="J82" i="139"/>
  <c r="J84" i="139"/>
  <c r="J80" i="139"/>
  <c r="J78" i="139"/>
  <c r="G142" i="139"/>
  <c r="J77" i="139"/>
  <c r="G137" i="139"/>
  <c r="H112" i="138"/>
  <c r="H10" i="138" l="1"/>
  <c r="G92" i="138"/>
  <c r="L86" i="138"/>
  <c r="K86" i="138"/>
  <c r="L85" i="138"/>
  <c r="K85" i="138"/>
  <c r="L84" i="138"/>
  <c r="K84" i="138"/>
  <c r="L83" i="138"/>
  <c r="K83" i="138"/>
  <c r="L82" i="138"/>
  <c r="K82" i="138"/>
  <c r="L81" i="138"/>
  <c r="K81" i="138"/>
  <c r="L80" i="138"/>
  <c r="K80" i="138"/>
  <c r="L79" i="138"/>
  <c r="K79" i="138"/>
  <c r="L78" i="138"/>
  <c r="K78" i="138"/>
  <c r="L77" i="138"/>
  <c r="K77" i="138"/>
  <c r="L76" i="138"/>
  <c r="K76" i="138"/>
  <c r="L75" i="138"/>
  <c r="K75" i="138"/>
  <c r="H11" i="138"/>
  <c r="H108" i="137"/>
  <c r="H104" i="137"/>
  <c r="H114" i="137" s="1"/>
  <c r="J84" i="138" l="1"/>
  <c r="G115" i="138"/>
  <c r="J86" i="138"/>
  <c r="J81" i="138"/>
  <c r="J82" i="138"/>
  <c r="J77" i="138"/>
  <c r="J76" i="138"/>
  <c r="J80" i="138"/>
  <c r="J83" i="138"/>
  <c r="J85" i="138"/>
  <c r="J75" i="138"/>
  <c r="J78" i="138"/>
  <c r="J79" i="138"/>
  <c r="J10" i="137"/>
  <c r="G119" i="137" l="1"/>
  <c r="G94" i="137"/>
  <c r="L85" i="137"/>
  <c r="K85" i="137"/>
  <c r="L84" i="137"/>
  <c r="K84" i="137"/>
  <c r="L83" i="137"/>
  <c r="K83" i="137"/>
  <c r="L82" i="137"/>
  <c r="K82" i="137"/>
  <c r="L81" i="137"/>
  <c r="K81" i="137"/>
  <c r="L80" i="137"/>
  <c r="K80" i="137"/>
  <c r="L79" i="137"/>
  <c r="K79" i="137"/>
  <c r="L78" i="137"/>
  <c r="K78" i="137"/>
  <c r="L77" i="137"/>
  <c r="K77" i="137"/>
  <c r="L76" i="137"/>
  <c r="K76" i="137"/>
  <c r="L75" i="137"/>
  <c r="K75" i="137"/>
  <c r="L74" i="137"/>
  <c r="K74" i="137"/>
  <c r="H10" i="137"/>
  <c r="H11" i="137"/>
  <c r="X80" i="136"/>
  <c r="J85" i="137" l="1"/>
  <c r="J75" i="137"/>
  <c r="J83" i="137"/>
  <c r="J82" i="137"/>
  <c r="J78" i="137"/>
  <c r="J74" i="137"/>
  <c r="J81" i="137"/>
  <c r="J79" i="137"/>
  <c r="J80" i="137"/>
  <c r="J76" i="137"/>
  <c r="J84" i="137"/>
  <c r="J77" i="137"/>
  <c r="H114" i="136"/>
  <c r="G118" i="136" s="1"/>
  <c r="G100" i="136"/>
  <c r="L93" i="136"/>
  <c r="K93" i="136"/>
  <c r="L92" i="136"/>
  <c r="K92" i="136"/>
  <c r="L91" i="136"/>
  <c r="K91" i="136"/>
  <c r="L90" i="136"/>
  <c r="K90" i="136"/>
  <c r="L89" i="136"/>
  <c r="K89" i="136"/>
  <c r="L88" i="136"/>
  <c r="K88" i="136"/>
  <c r="J88" i="136" s="1"/>
  <c r="L87" i="136"/>
  <c r="K87" i="136"/>
  <c r="J87" i="136" s="1"/>
  <c r="L86" i="136"/>
  <c r="K86" i="136"/>
  <c r="L85" i="136"/>
  <c r="K85" i="136"/>
  <c r="L84" i="136"/>
  <c r="K84" i="136"/>
  <c r="J84" i="136" s="1"/>
  <c r="L83" i="136"/>
  <c r="K83" i="136"/>
  <c r="J83" i="136" s="1"/>
  <c r="L82" i="136"/>
  <c r="K82" i="136"/>
  <c r="H11" i="136"/>
  <c r="H10" i="136"/>
  <c r="U75" i="134"/>
  <c r="U45" i="134"/>
  <c r="U44" i="134"/>
  <c r="U42" i="134"/>
  <c r="U40" i="134"/>
  <c r="U37" i="134"/>
  <c r="G119" i="135"/>
  <c r="G102" i="135"/>
  <c r="J12" i="135"/>
  <c r="J91" i="136" l="1"/>
  <c r="J82" i="136"/>
  <c r="J86" i="136"/>
  <c r="J85" i="136"/>
  <c r="J92" i="136"/>
  <c r="J89" i="136"/>
  <c r="J90" i="136"/>
  <c r="J93" i="136"/>
  <c r="L97" i="135"/>
  <c r="U17" i="135"/>
  <c r="L10" i="135" s="1"/>
  <c r="K97" i="135"/>
  <c r="J97" i="135" l="1"/>
  <c r="H10" i="135"/>
  <c r="H11" i="135"/>
  <c r="H114" i="135"/>
  <c r="G118" i="135" s="1"/>
  <c r="L93" i="135" l="1"/>
  <c r="K93" i="135"/>
  <c r="L92" i="135"/>
  <c r="K92" i="135"/>
  <c r="L91" i="135"/>
  <c r="K91" i="135"/>
  <c r="L90" i="135"/>
  <c r="K90" i="135"/>
  <c r="L89" i="135"/>
  <c r="K89" i="135"/>
  <c r="L88" i="135"/>
  <c r="K88" i="135"/>
  <c r="J88" i="135" s="1"/>
  <c r="L87" i="135"/>
  <c r="K87" i="135"/>
  <c r="L86" i="135"/>
  <c r="K86" i="135"/>
  <c r="J86" i="135" s="1"/>
  <c r="U85" i="134"/>
  <c r="J10" i="134"/>
  <c r="G6" i="134"/>
  <c r="J87" i="135" l="1"/>
  <c r="J92" i="135"/>
  <c r="J91" i="135"/>
  <c r="J89" i="135"/>
  <c r="J93" i="135"/>
  <c r="J90" i="135"/>
  <c r="S18" i="134"/>
  <c r="H113" i="134" l="1"/>
  <c r="G117" i="134" s="1"/>
  <c r="G101" i="134"/>
  <c r="L90" i="134" l="1"/>
  <c r="K90" i="134"/>
  <c r="L89" i="134"/>
  <c r="K89" i="134"/>
  <c r="L88" i="134"/>
  <c r="K88" i="134"/>
  <c r="L87" i="134"/>
  <c r="K87" i="134"/>
  <c r="L86" i="134"/>
  <c r="K86" i="134"/>
  <c r="K85" i="134"/>
  <c r="L85" i="134"/>
  <c r="L84" i="134"/>
  <c r="K84" i="134"/>
  <c r="H11" i="134"/>
  <c r="H10" i="134"/>
  <c r="V73" i="133"/>
  <c r="J86" i="134" l="1"/>
  <c r="J88" i="134"/>
  <c r="J90" i="134"/>
  <c r="J84" i="134"/>
  <c r="J87" i="134"/>
  <c r="J85" i="134"/>
  <c r="J89" i="134"/>
  <c r="U83" i="133"/>
  <c r="T83" i="133"/>
  <c r="V53" i="133"/>
  <c r="V52" i="133"/>
  <c r="V49" i="133"/>
  <c r="T54" i="133"/>
  <c r="U41" i="133"/>
  <c r="U39" i="133"/>
  <c r="U42" i="133"/>
  <c r="U35" i="133"/>
  <c r="H107" i="133" l="1"/>
  <c r="G111" i="133" s="1"/>
  <c r="G95" i="133"/>
  <c r="J10" i="133"/>
  <c r="H10" i="133" s="1"/>
  <c r="L89" i="133"/>
  <c r="K89" i="133"/>
  <c r="L88" i="133"/>
  <c r="K88" i="133"/>
  <c r="L87" i="133"/>
  <c r="K87" i="133"/>
  <c r="L86" i="133"/>
  <c r="K86" i="133"/>
  <c r="L85" i="133"/>
  <c r="K85" i="133"/>
  <c r="L84" i="133"/>
  <c r="K84" i="133"/>
  <c r="K83" i="133"/>
  <c r="L83" i="133"/>
  <c r="L82" i="133"/>
  <c r="K82" i="133"/>
  <c r="H11" i="133"/>
  <c r="U48" i="132"/>
  <c r="J82" i="133" l="1"/>
  <c r="J83" i="133"/>
  <c r="J84" i="133"/>
  <c r="J89" i="133"/>
  <c r="J88" i="133"/>
  <c r="J85" i="133"/>
  <c r="J86" i="133"/>
  <c r="J87" i="133"/>
  <c r="J10" i="132"/>
  <c r="H98" i="132"/>
  <c r="K80" i="132"/>
  <c r="K79" i="132"/>
  <c r="K78" i="132"/>
  <c r="K77" i="132"/>
  <c r="K76" i="132"/>
  <c r="K74" i="132"/>
  <c r="L73" i="132" l="1"/>
  <c r="K73" i="132"/>
  <c r="L72" i="132"/>
  <c r="K72" i="132"/>
  <c r="L71" i="132"/>
  <c r="K71" i="132"/>
  <c r="L70" i="132"/>
  <c r="K70" i="132"/>
  <c r="L69" i="132"/>
  <c r="K69" i="132"/>
  <c r="L68" i="132"/>
  <c r="K68" i="132"/>
  <c r="L67" i="132"/>
  <c r="K67" i="132"/>
  <c r="J71" i="132" l="1"/>
  <c r="J68" i="132"/>
  <c r="J69" i="132"/>
  <c r="J70" i="132"/>
  <c r="J72" i="132"/>
  <c r="J73" i="132"/>
  <c r="J67" i="132"/>
  <c r="H11" i="132"/>
  <c r="H10" i="132"/>
  <c r="H100" i="132"/>
  <c r="G108" i="132" s="1"/>
  <c r="G88" i="132"/>
  <c r="L80" i="132"/>
  <c r="L79" i="132"/>
  <c r="L78" i="132"/>
  <c r="L77" i="132"/>
  <c r="L76" i="132"/>
  <c r="J76" i="132" s="1"/>
  <c r="T75" i="132"/>
  <c r="K75" i="132" s="1"/>
  <c r="L75" i="132"/>
  <c r="L74" i="132"/>
  <c r="J74" i="132" s="1"/>
  <c r="J79" i="132" l="1"/>
  <c r="J75" i="132"/>
  <c r="J77" i="132"/>
  <c r="J78" i="132"/>
  <c r="J80" i="132"/>
  <c r="J10" i="131" l="1"/>
  <c r="L76" i="131"/>
  <c r="K76" i="131"/>
  <c r="L75" i="131"/>
  <c r="K75" i="131"/>
  <c r="L74" i="131"/>
  <c r="K74" i="131"/>
  <c r="L73" i="131"/>
  <c r="K73" i="131"/>
  <c r="K24" i="131"/>
  <c r="L24" i="131"/>
  <c r="K25" i="131"/>
  <c r="L25" i="131"/>
  <c r="K26" i="131"/>
  <c r="L26" i="131"/>
  <c r="K27" i="131"/>
  <c r="L27" i="131"/>
  <c r="K28" i="131"/>
  <c r="L28" i="131"/>
  <c r="K29" i="131"/>
  <c r="L29" i="131"/>
  <c r="K30" i="131"/>
  <c r="L30" i="131"/>
  <c r="K31" i="131"/>
  <c r="L31" i="131"/>
  <c r="K32" i="131"/>
  <c r="L32" i="131"/>
  <c r="K33" i="131"/>
  <c r="L33" i="131"/>
  <c r="K34" i="131"/>
  <c r="L34" i="131"/>
  <c r="K35" i="131"/>
  <c r="L35" i="131"/>
  <c r="K36" i="131"/>
  <c r="L36" i="131"/>
  <c r="K37" i="131"/>
  <c r="L37" i="131"/>
  <c r="K38" i="131"/>
  <c r="L38" i="131"/>
  <c r="K39" i="131"/>
  <c r="L39" i="131"/>
  <c r="K40" i="131"/>
  <c r="L40" i="131"/>
  <c r="K41" i="131"/>
  <c r="L41" i="131"/>
  <c r="K42" i="131"/>
  <c r="L42" i="131"/>
  <c r="K43" i="131"/>
  <c r="L43" i="131"/>
  <c r="K44" i="131"/>
  <c r="L44" i="131"/>
  <c r="K45" i="131"/>
  <c r="L45" i="131"/>
  <c r="K46" i="131"/>
  <c r="L46" i="131"/>
  <c r="K47" i="131"/>
  <c r="L47" i="131"/>
  <c r="K48" i="131"/>
  <c r="L48" i="131"/>
  <c r="K49" i="131"/>
  <c r="L49" i="131"/>
  <c r="K50" i="131"/>
  <c r="L50" i="131"/>
  <c r="K51" i="131"/>
  <c r="L51" i="131"/>
  <c r="K52" i="131"/>
  <c r="L52" i="131"/>
  <c r="K53" i="131"/>
  <c r="L53" i="131"/>
  <c r="K54" i="131"/>
  <c r="L54" i="131"/>
  <c r="K55" i="131"/>
  <c r="L55" i="131"/>
  <c r="K56" i="131"/>
  <c r="L56" i="131"/>
  <c r="K57" i="131"/>
  <c r="L57" i="131"/>
  <c r="K58" i="131"/>
  <c r="L58" i="131"/>
  <c r="K59" i="131"/>
  <c r="L59" i="131"/>
  <c r="K60" i="131"/>
  <c r="L60" i="131"/>
  <c r="K61" i="131"/>
  <c r="L61" i="131"/>
  <c r="K62" i="131"/>
  <c r="L62" i="131"/>
  <c r="K63" i="131"/>
  <c r="L63" i="131"/>
  <c r="K64" i="131"/>
  <c r="L64" i="131"/>
  <c r="K65" i="131"/>
  <c r="L65" i="131"/>
  <c r="K66" i="131"/>
  <c r="L66" i="131"/>
  <c r="K67" i="131"/>
  <c r="L67" i="131"/>
  <c r="K68" i="131"/>
  <c r="L68" i="131"/>
  <c r="K69" i="131"/>
  <c r="L69" i="131"/>
  <c r="K70" i="131"/>
  <c r="L70" i="131"/>
  <c r="K71" i="131"/>
  <c r="L71" i="131"/>
  <c r="K72" i="131"/>
  <c r="L72" i="131"/>
  <c r="J74" i="131" l="1"/>
  <c r="J76" i="131"/>
  <c r="J69" i="131"/>
  <c r="J61" i="131"/>
  <c r="J49" i="131"/>
  <c r="J45" i="131"/>
  <c r="J37" i="131"/>
  <c r="J65" i="131"/>
  <c r="J57" i="131"/>
  <c r="J53" i="131"/>
  <c r="J41" i="131"/>
  <c r="J29" i="131"/>
  <c r="J55" i="131"/>
  <c r="J71" i="131"/>
  <c r="J63" i="131"/>
  <c r="J51" i="131"/>
  <c r="J43" i="131"/>
  <c r="J27" i="131"/>
  <c r="J67" i="131"/>
  <c r="J59" i="131"/>
  <c r="J47" i="131"/>
  <c r="J35" i="131"/>
  <c r="J39" i="131"/>
  <c r="J31" i="131"/>
  <c r="J25" i="131"/>
  <c r="J72" i="131"/>
  <c r="J68" i="131"/>
  <c r="J64" i="131"/>
  <c r="J60" i="131"/>
  <c r="J56" i="131"/>
  <c r="J52" i="131"/>
  <c r="J48" i="131"/>
  <c r="J40" i="131"/>
  <c r="J32" i="131"/>
  <c r="J24" i="131"/>
  <c r="J70" i="131"/>
  <c r="J66" i="131"/>
  <c r="J62" i="131"/>
  <c r="J58" i="131"/>
  <c r="J54" i="131"/>
  <c r="J50" i="131"/>
  <c r="J46" i="131"/>
  <c r="J42" i="131"/>
  <c r="J38" i="131"/>
  <c r="J30" i="131"/>
  <c r="J26" i="131"/>
  <c r="J75" i="131"/>
  <c r="J44" i="131"/>
  <c r="J73" i="131"/>
  <c r="J36" i="131"/>
  <c r="J34" i="131"/>
  <c r="J33" i="131"/>
  <c r="J28" i="131"/>
  <c r="H107" i="131"/>
  <c r="G118" i="131" s="1"/>
  <c r="G95" i="131"/>
  <c r="L88" i="131"/>
  <c r="K88" i="131"/>
  <c r="L87" i="131"/>
  <c r="K87" i="131"/>
  <c r="L86" i="131"/>
  <c r="K86" i="131"/>
  <c r="L85" i="131"/>
  <c r="K85" i="131"/>
  <c r="L84" i="131"/>
  <c r="K84" i="131"/>
  <c r="T83" i="131"/>
  <c r="K83" i="131" s="1"/>
  <c r="L83" i="131"/>
  <c r="L82" i="131"/>
  <c r="K82" i="131"/>
  <c r="H11" i="131"/>
  <c r="H10" i="131"/>
  <c r="G98" i="129"/>
  <c r="J88" i="131" l="1"/>
  <c r="J85" i="131"/>
  <c r="J87" i="131"/>
  <c r="J83" i="131"/>
  <c r="J82" i="131"/>
  <c r="J86" i="131"/>
  <c r="J84" i="131"/>
  <c r="G97" i="129"/>
  <c r="G99" i="129" s="1"/>
  <c r="L89" i="129"/>
  <c r="K89" i="129"/>
  <c r="L88" i="129"/>
  <c r="K88" i="129"/>
  <c r="J88" i="129" s="1"/>
  <c r="L87" i="129"/>
  <c r="K87" i="129"/>
  <c r="J87" i="129" s="1"/>
  <c r="L86" i="129"/>
  <c r="K86" i="129"/>
  <c r="L85" i="129"/>
  <c r="K85" i="129"/>
  <c r="J85" i="129" s="1"/>
  <c r="T84" i="129"/>
  <c r="K84" i="129" s="1"/>
  <c r="L84" i="129"/>
  <c r="L83" i="129"/>
  <c r="K83" i="129"/>
  <c r="J89" i="129" l="1"/>
  <c r="J86" i="129"/>
  <c r="J83" i="129"/>
  <c r="J84" i="129"/>
  <c r="H111" i="130" l="1"/>
  <c r="J107" i="126"/>
  <c r="J10" i="130"/>
  <c r="H10" i="130" s="1"/>
  <c r="I10" i="130" s="1"/>
  <c r="T79" i="130" l="1"/>
  <c r="V37" i="129" l="1"/>
  <c r="T42" i="129" l="1"/>
  <c r="S36" i="129"/>
  <c r="S35" i="129"/>
  <c r="S38" i="129"/>
  <c r="H11" i="130" l="1"/>
  <c r="H104" i="130"/>
  <c r="G112" i="130" s="1"/>
  <c r="G91" i="130"/>
  <c r="L82" i="130"/>
  <c r="K82" i="130"/>
  <c r="L81" i="130"/>
  <c r="K81" i="130"/>
  <c r="L80" i="130"/>
  <c r="K80" i="130"/>
  <c r="K79" i="130"/>
  <c r="L79" i="130"/>
  <c r="L78" i="130"/>
  <c r="K78" i="130"/>
  <c r="L77" i="130"/>
  <c r="K77" i="130"/>
  <c r="L76" i="130"/>
  <c r="K76" i="130"/>
  <c r="J10" i="129"/>
  <c r="H112" i="130" s="1"/>
  <c r="H116" i="130" s="1"/>
  <c r="H115" i="129"/>
  <c r="S17" i="129"/>
  <c r="H114" i="130" l="1"/>
  <c r="J82" i="130"/>
  <c r="J79" i="130"/>
  <c r="J76" i="130"/>
  <c r="J78" i="130"/>
  <c r="J80" i="130"/>
  <c r="J77" i="130"/>
  <c r="J81" i="130"/>
  <c r="L10" i="129"/>
  <c r="J10" i="128" l="1"/>
  <c r="G118" i="129" l="1"/>
  <c r="L82" i="129"/>
  <c r="K82" i="129"/>
  <c r="L81" i="129"/>
  <c r="K81" i="129"/>
  <c r="H11" i="129"/>
  <c r="H10" i="129"/>
  <c r="J81" i="129" l="1"/>
  <c r="J82" i="129"/>
  <c r="H11" i="128"/>
  <c r="H10" i="128"/>
  <c r="H106" i="128"/>
  <c r="G109" i="128" s="1"/>
  <c r="G97" i="128"/>
  <c r="L91" i="128"/>
  <c r="K91" i="128"/>
  <c r="J91" i="128"/>
  <c r="L90" i="128"/>
  <c r="K90" i="128"/>
  <c r="J90" i="128" s="1"/>
  <c r="L89" i="128"/>
  <c r="K89" i="128"/>
  <c r="J89" i="128" s="1"/>
  <c r="L88" i="128"/>
  <c r="K88" i="128"/>
  <c r="J88" i="128" s="1"/>
  <c r="L87" i="128"/>
  <c r="K87" i="128"/>
  <c r="L86" i="128"/>
  <c r="K86" i="128"/>
  <c r="L85" i="128"/>
  <c r="K85" i="128"/>
  <c r="L84" i="128"/>
  <c r="K84" i="128"/>
  <c r="J84" i="128"/>
  <c r="L83" i="128"/>
  <c r="K83" i="128"/>
  <c r="J10" i="127"/>
  <c r="J86" i="128" l="1"/>
  <c r="J83" i="128"/>
  <c r="J85" i="128"/>
  <c r="J87" i="128"/>
  <c r="H11" i="127"/>
  <c r="H107" i="127"/>
  <c r="G110" i="127" s="1"/>
  <c r="G100" i="127"/>
  <c r="T44" i="126"/>
  <c r="H113" i="126"/>
  <c r="S39" i="126"/>
  <c r="H10" i="126"/>
  <c r="H11" i="126"/>
  <c r="G104" i="126"/>
  <c r="I107" i="126" s="1"/>
  <c r="L97" i="126"/>
  <c r="K97" i="126"/>
  <c r="L96" i="126"/>
  <c r="K96" i="126"/>
  <c r="L95" i="126"/>
  <c r="K95" i="126"/>
  <c r="L94" i="126"/>
  <c r="K94" i="126"/>
  <c r="K93" i="126"/>
  <c r="L93" i="126"/>
  <c r="L92" i="126"/>
  <c r="K92" i="126"/>
  <c r="J10" i="125"/>
  <c r="H10" i="127" l="1"/>
  <c r="J95" i="126"/>
  <c r="G117" i="126"/>
  <c r="J92" i="126"/>
  <c r="J96" i="126"/>
  <c r="J97" i="126"/>
  <c r="J94" i="126"/>
  <c r="J93" i="126"/>
  <c r="S89" i="125"/>
  <c r="H10" i="125"/>
  <c r="H11" i="125"/>
  <c r="H118" i="125"/>
  <c r="G122" i="125" s="1"/>
  <c r="G101" i="125"/>
  <c r="K13" i="124"/>
  <c r="S17" i="124"/>
  <c r="J10" i="124"/>
  <c r="H112" i="124"/>
  <c r="G117" i="124" s="1"/>
  <c r="H10" i="124" l="1"/>
  <c r="G97" i="124" l="1"/>
  <c r="H11" i="124"/>
  <c r="J10" i="123"/>
  <c r="H10" i="123" s="1"/>
  <c r="L92" i="124" l="1"/>
  <c r="K92" i="124"/>
  <c r="L91" i="124"/>
  <c r="K91" i="124"/>
  <c r="L90" i="124"/>
  <c r="K90" i="124"/>
  <c r="L89" i="124"/>
  <c r="K89" i="124"/>
  <c r="L88" i="124"/>
  <c r="K88" i="124"/>
  <c r="L87" i="124"/>
  <c r="K87" i="124"/>
  <c r="L86" i="124"/>
  <c r="K86" i="124"/>
  <c r="J90" i="124" l="1"/>
  <c r="J87" i="124"/>
  <c r="J88" i="124"/>
  <c r="J89" i="124"/>
  <c r="J92" i="124"/>
  <c r="J91" i="124"/>
  <c r="J86" i="124"/>
  <c r="H113" i="123"/>
  <c r="G99" i="123" l="1"/>
  <c r="Y18" i="123" l="1"/>
  <c r="X18" i="123"/>
  <c r="W18" i="123"/>
  <c r="V18" i="123"/>
  <c r="U18" i="123"/>
  <c r="T18" i="123"/>
  <c r="S18" i="123"/>
  <c r="Y17" i="123"/>
  <c r="X17" i="123"/>
  <c r="W17" i="123"/>
  <c r="V17" i="123"/>
  <c r="U17" i="123"/>
  <c r="T17" i="123"/>
  <c r="S17" i="123"/>
  <c r="R18" i="123"/>
  <c r="R17" i="123"/>
  <c r="L94" i="123"/>
  <c r="K94" i="123"/>
  <c r="L93" i="123"/>
  <c r="K93" i="123"/>
  <c r="L92" i="123"/>
  <c r="K92" i="123"/>
  <c r="L91" i="123"/>
  <c r="K91" i="123"/>
  <c r="L90" i="123"/>
  <c r="K90" i="123"/>
  <c r="L89" i="123"/>
  <c r="K89" i="123"/>
  <c r="L88" i="123"/>
  <c r="K88" i="123"/>
  <c r="G116" i="123"/>
  <c r="J89" i="123" l="1"/>
  <c r="J93" i="123"/>
  <c r="J94" i="123"/>
  <c r="J88" i="123"/>
  <c r="J92" i="123"/>
  <c r="J90" i="123"/>
  <c r="J91" i="123"/>
  <c r="H11" i="123" l="1"/>
  <c r="H10" i="122"/>
  <c r="H113" i="122"/>
  <c r="G104" i="122"/>
  <c r="H11" i="122" l="1"/>
  <c r="H101" i="121" l="1"/>
  <c r="L73" i="121"/>
  <c r="K73" i="121"/>
  <c r="J73" i="121" l="1"/>
  <c r="H105" i="121"/>
  <c r="G118" i="121" s="1"/>
  <c r="G95" i="121"/>
  <c r="J10" i="121"/>
  <c r="H10" i="121" s="1"/>
  <c r="H11" i="121"/>
  <c r="L54" i="120"/>
  <c r="K54" i="120"/>
  <c r="H111" i="120"/>
  <c r="H118" i="120" s="1"/>
  <c r="G97" i="120"/>
  <c r="L91" i="120"/>
  <c r="K91" i="120"/>
  <c r="L90" i="120"/>
  <c r="K90" i="120"/>
  <c r="L89" i="120"/>
  <c r="K89" i="120"/>
  <c r="L88" i="120"/>
  <c r="K88" i="120"/>
  <c r="L87" i="120"/>
  <c r="K87" i="120"/>
  <c r="L85" i="120"/>
  <c r="K85" i="120"/>
  <c r="L84" i="120"/>
  <c r="K84" i="120"/>
  <c r="L83" i="120"/>
  <c r="K83" i="120"/>
  <c r="L82" i="120"/>
  <c r="K82" i="120"/>
  <c r="L81" i="120"/>
  <c r="K81" i="120"/>
  <c r="H10" i="119"/>
  <c r="H113" i="119"/>
  <c r="H11" i="119"/>
  <c r="H107" i="119"/>
  <c r="H111" i="119" s="1"/>
  <c r="G95" i="119"/>
  <c r="J84" i="120" l="1"/>
  <c r="J82" i="120"/>
  <c r="J54" i="120"/>
  <c r="J85" i="120"/>
  <c r="J87" i="120"/>
  <c r="J90" i="120"/>
  <c r="J81" i="120"/>
  <c r="J88" i="120"/>
  <c r="J89" i="120"/>
  <c r="J91" i="120"/>
  <c r="J83" i="120"/>
  <c r="H11" i="120"/>
  <c r="H10" i="120"/>
  <c r="H97" i="118"/>
  <c r="H100" i="118" s="1"/>
  <c r="G85" i="118"/>
  <c r="J12" i="118"/>
  <c r="J10" i="118"/>
  <c r="H11" i="118"/>
  <c r="H10" i="118"/>
  <c r="S62" i="117"/>
  <c r="T62" i="117"/>
  <c r="T29" i="117"/>
  <c r="S29" i="117"/>
  <c r="T69" i="117"/>
  <c r="S69" i="117"/>
  <c r="H97" i="117"/>
  <c r="P9" i="117"/>
  <c r="J12" i="117"/>
  <c r="H103" i="117" s="1"/>
  <c r="H10" i="117"/>
  <c r="H11" i="117"/>
  <c r="H11" i="113"/>
  <c r="H101" i="118" l="1"/>
  <c r="H12" i="118"/>
  <c r="H12" i="117"/>
  <c r="L41" i="117" l="1"/>
  <c r="K41" i="117"/>
  <c r="J41" i="117" l="1"/>
  <c r="H102" i="117"/>
  <c r="G85" i="117" l="1"/>
  <c r="H102" i="116" l="1"/>
  <c r="H11" i="116"/>
  <c r="H10" i="116"/>
  <c r="L88" i="116"/>
  <c r="K88" i="116"/>
  <c r="L87" i="116"/>
  <c r="K87" i="116"/>
  <c r="L86" i="116"/>
  <c r="K86" i="116"/>
  <c r="J86" i="116" s="1"/>
  <c r="L85" i="116"/>
  <c r="K85" i="116"/>
  <c r="L84" i="116"/>
  <c r="K84" i="116"/>
  <c r="J84" i="116" s="1"/>
  <c r="H91" i="115"/>
  <c r="J85" i="116" l="1"/>
  <c r="J88" i="116"/>
  <c r="J87" i="116"/>
  <c r="H11" i="115"/>
  <c r="H10" i="115"/>
  <c r="J12" i="115"/>
  <c r="H96" i="115"/>
  <c r="L78" i="115"/>
  <c r="K78" i="115"/>
  <c r="L77" i="115"/>
  <c r="K77" i="115"/>
  <c r="L76" i="115"/>
  <c r="K76" i="115"/>
  <c r="L75" i="115"/>
  <c r="K75" i="115"/>
  <c r="L74" i="115"/>
  <c r="K74" i="115"/>
  <c r="L86" i="114"/>
  <c r="L85" i="114"/>
  <c r="L84" i="114"/>
  <c r="L83" i="114"/>
  <c r="L82" i="114"/>
  <c r="K86" i="114"/>
  <c r="J86" i="114" s="1"/>
  <c r="K85" i="114"/>
  <c r="K84" i="114"/>
  <c r="K83" i="114"/>
  <c r="K82" i="114"/>
  <c r="J84" i="114" l="1"/>
  <c r="H12" i="115"/>
  <c r="J76" i="115"/>
  <c r="J75" i="115"/>
  <c r="J78" i="115"/>
  <c r="J74" i="115"/>
  <c r="J77" i="115"/>
  <c r="J85" i="114"/>
  <c r="J82" i="114"/>
  <c r="H114" i="114" s="1"/>
  <c r="J83" i="114"/>
  <c r="H107" i="114" l="1"/>
  <c r="H112" i="114" s="1"/>
  <c r="H11" i="114"/>
  <c r="H10" i="114"/>
  <c r="J12" i="113" l="1"/>
  <c r="H101" i="113" s="1"/>
  <c r="H10" i="113"/>
  <c r="G71" i="112" l="1"/>
  <c r="H96" i="113"/>
  <c r="H100" i="113" s="1"/>
  <c r="H95" i="112" l="1"/>
  <c r="H99" i="112" s="1"/>
  <c r="H11" i="112"/>
  <c r="H10" i="112"/>
  <c r="H273" i="111"/>
  <c r="H277" i="111" s="1"/>
  <c r="G258" i="111"/>
  <c r="H11" i="111"/>
  <c r="H10" i="111"/>
  <c r="H11" i="110"/>
  <c r="H10" i="110"/>
  <c r="K64" i="110"/>
  <c r="J64" i="110"/>
  <c r="H82" i="110"/>
  <c r="H86" i="110" s="1"/>
  <c r="G77" i="110"/>
  <c r="G76" i="109" l="1"/>
  <c r="H11" i="109"/>
  <c r="H10" i="109"/>
  <c r="U18" i="109"/>
  <c r="T18" i="109"/>
  <c r="S18" i="109"/>
  <c r="R18" i="109"/>
  <c r="Q18" i="109"/>
  <c r="U17" i="109"/>
  <c r="T17" i="109"/>
  <c r="S17" i="109"/>
  <c r="R17" i="109"/>
  <c r="Q17" i="109"/>
  <c r="P17" i="109"/>
  <c r="P18" i="109"/>
  <c r="N18" i="109"/>
  <c r="N17" i="109"/>
  <c r="O18" i="109"/>
  <c r="O17" i="109"/>
  <c r="L70" i="109"/>
  <c r="K70" i="109"/>
  <c r="J70" i="109" s="1"/>
  <c r="L69" i="109"/>
  <c r="K69" i="109"/>
  <c r="J69" i="109" s="1"/>
  <c r="L68" i="109"/>
  <c r="K68" i="109"/>
  <c r="J68" i="109" s="1"/>
  <c r="L67" i="109"/>
  <c r="K67" i="109"/>
  <c r="J67" i="109" s="1"/>
  <c r="L66" i="109"/>
  <c r="K66" i="109"/>
  <c r="J66" i="109" s="1"/>
  <c r="L65" i="109"/>
  <c r="K65" i="109"/>
  <c r="L64" i="109"/>
  <c r="K64" i="109"/>
  <c r="J64" i="109"/>
  <c r="H90" i="109"/>
  <c r="J65" i="109" l="1"/>
  <c r="L24" i="109" l="1"/>
  <c r="J12" i="109" l="1"/>
  <c r="H87" i="110" s="1"/>
  <c r="H80" i="108" l="1"/>
  <c r="H10" i="108"/>
  <c r="J10" i="108"/>
  <c r="J12" i="108" s="1"/>
  <c r="H76" i="108"/>
  <c r="G68" i="108"/>
  <c r="H10" i="107"/>
  <c r="J10" i="107"/>
  <c r="H272" i="107" l="1"/>
  <c r="H276" i="107" s="1"/>
  <c r="G258" i="107"/>
  <c r="J12" i="106"/>
  <c r="H12" i="106"/>
  <c r="H275" i="106"/>
  <c r="H271" i="106"/>
  <c r="G258" i="106" l="1"/>
  <c r="H282" i="105"/>
  <c r="N18" i="105" l="1"/>
  <c r="G258" i="105" l="1"/>
  <c r="H11" i="105"/>
  <c r="H10" i="105"/>
  <c r="J10" i="56"/>
  <c r="H11" i="56" l="1"/>
  <c r="H10" i="56"/>
  <c r="G2" i="56" l="1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C2" i="156"/>
  <c r="L252" i="105"/>
  <c r="K252" i="105"/>
  <c r="J252" i="105" s="1"/>
  <c r="L251" i="105"/>
  <c r="K251" i="105"/>
  <c r="L250" i="105"/>
  <c r="J250" i="105" s="1"/>
  <c r="K250" i="105"/>
  <c r="L249" i="105"/>
  <c r="K249" i="105"/>
  <c r="L248" i="105"/>
  <c r="K248" i="105"/>
  <c r="L247" i="105"/>
  <c r="K247" i="105"/>
  <c r="L246" i="105"/>
  <c r="K246" i="105"/>
  <c r="L245" i="105"/>
  <c r="K245" i="105"/>
  <c r="L244" i="105"/>
  <c r="K244" i="105"/>
  <c r="L243" i="105"/>
  <c r="K243" i="105"/>
  <c r="L242" i="105"/>
  <c r="K242" i="105"/>
  <c r="L241" i="105"/>
  <c r="K241" i="105"/>
  <c r="L240" i="105"/>
  <c r="K240" i="105"/>
  <c r="L239" i="105"/>
  <c r="K239" i="105"/>
  <c r="L238" i="105"/>
  <c r="K238" i="105"/>
  <c r="L237" i="105"/>
  <c r="K237" i="105"/>
  <c r="L236" i="105"/>
  <c r="K236" i="105"/>
  <c r="L235" i="105"/>
  <c r="K235" i="105"/>
  <c r="L234" i="105"/>
  <c r="K234" i="105"/>
  <c r="L233" i="105"/>
  <c r="K233" i="105"/>
  <c r="L232" i="105"/>
  <c r="K232" i="105"/>
  <c r="L231" i="105"/>
  <c r="K231" i="105"/>
  <c r="L230" i="105"/>
  <c r="K230" i="105"/>
  <c r="L229" i="105"/>
  <c r="K229" i="105"/>
  <c r="L228" i="105"/>
  <c r="K228" i="105"/>
  <c r="L227" i="105"/>
  <c r="K227" i="105"/>
  <c r="L226" i="105"/>
  <c r="K226" i="105"/>
  <c r="L225" i="105"/>
  <c r="K225" i="105"/>
  <c r="L224" i="105"/>
  <c r="K224" i="105"/>
  <c r="L223" i="105"/>
  <c r="K223" i="105"/>
  <c r="L222" i="105"/>
  <c r="K222" i="105"/>
  <c r="L221" i="105"/>
  <c r="K221" i="105"/>
  <c r="L220" i="105"/>
  <c r="K220" i="105"/>
  <c r="L219" i="105"/>
  <c r="K219" i="105"/>
  <c r="L218" i="105"/>
  <c r="K218" i="105"/>
  <c r="L217" i="105"/>
  <c r="K217" i="105"/>
  <c r="L216" i="105"/>
  <c r="K216" i="105"/>
  <c r="L215" i="105"/>
  <c r="K215" i="105"/>
  <c r="L214" i="105"/>
  <c r="K214" i="105"/>
  <c r="L213" i="105"/>
  <c r="K213" i="105"/>
  <c r="L212" i="105"/>
  <c r="K212" i="105"/>
  <c r="L211" i="105"/>
  <c r="K211" i="105"/>
  <c r="L210" i="105"/>
  <c r="K210" i="105"/>
  <c r="L209" i="105"/>
  <c r="K209" i="105"/>
  <c r="L208" i="105"/>
  <c r="K208" i="105"/>
  <c r="L207" i="105"/>
  <c r="K207" i="105"/>
  <c r="L206" i="105"/>
  <c r="K206" i="105"/>
  <c r="L205" i="105"/>
  <c r="K205" i="105"/>
  <c r="L204" i="105"/>
  <c r="K204" i="105"/>
  <c r="L203" i="105"/>
  <c r="K203" i="105"/>
  <c r="L202" i="105"/>
  <c r="K202" i="105"/>
  <c r="L201" i="105"/>
  <c r="K201" i="105"/>
  <c r="L200" i="105"/>
  <c r="K200" i="105"/>
  <c r="L199" i="105"/>
  <c r="K199" i="105"/>
  <c r="L198" i="105"/>
  <c r="K198" i="105"/>
  <c r="L197" i="105"/>
  <c r="K197" i="105"/>
  <c r="L196" i="105"/>
  <c r="K196" i="105"/>
  <c r="L195" i="105"/>
  <c r="K195" i="105"/>
  <c r="J195" i="105" s="1"/>
  <c r="L194" i="105"/>
  <c r="K194" i="105"/>
  <c r="L193" i="105"/>
  <c r="K193" i="105"/>
  <c r="L192" i="105"/>
  <c r="K192" i="105"/>
  <c r="L191" i="105"/>
  <c r="K191" i="105"/>
  <c r="J191" i="105" s="1"/>
  <c r="L190" i="105"/>
  <c r="K190" i="105"/>
  <c r="L189" i="105"/>
  <c r="K189" i="105"/>
  <c r="L188" i="105"/>
  <c r="K188" i="105"/>
  <c r="L187" i="105"/>
  <c r="K187" i="105"/>
  <c r="J187" i="105" s="1"/>
  <c r="L186" i="105"/>
  <c r="K186" i="105"/>
  <c r="L185" i="105"/>
  <c r="K185" i="105"/>
  <c r="L184" i="105"/>
  <c r="K184" i="105"/>
  <c r="L183" i="105"/>
  <c r="K183" i="105"/>
  <c r="L182" i="105"/>
  <c r="K182" i="105"/>
  <c r="L181" i="105"/>
  <c r="K181" i="105"/>
  <c r="L180" i="105"/>
  <c r="K180" i="105"/>
  <c r="L179" i="105"/>
  <c r="K179" i="105"/>
  <c r="J179" i="105" s="1"/>
  <c r="L178" i="105"/>
  <c r="K178" i="105"/>
  <c r="L177" i="105"/>
  <c r="K177" i="105"/>
  <c r="L176" i="105"/>
  <c r="K176" i="105"/>
  <c r="L175" i="105"/>
  <c r="K175" i="105"/>
  <c r="J175" i="105" s="1"/>
  <c r="L174" i="105"/>
  <c r="K174" i="105"/>
  <c r="L173" i="105"/>
  <c r="K173" i="105"/>
  <c r="L172" i="105"/>
  <c r="K172" i="105"/>
  <c r="L171" i="105"/>
  <c r="K171" i="105"/>
  <c r="J171" i="105" s="1"/>
  <c r="L170" i="105"/>
  <c r="K170" i="105"/>
  <c r="L169" i="105"/>
  <c r="K169" i="105"/>
  <c r="L168" i="105"/>
  <c r="K168" i="105"/>
  <c r="L167" i="105"/>
  <c r="K167" i="105"/>
  <c r="L166" i="105"/>
  <c r="K166" i="105"/>
  <c r="L165" i="105"/>
  <c r="K165" i="105"/>
  <c r="L164" i="105"/>
  <c r="K164" i="105"/>
  <c r="L163" i="105"/>
  <c r="K163" i="105"/>
  <c r="L162" i="105"/>
  <c r="K162" i="105"/>
  <c r="L161" i="105"/>
  <c r="K161" i="105"/>
  <c r="L160" i="105"/>
  <c r="K160" i="105"/>
  <c r="L159" i="105"/>
  <c r="K159" i="105"/>
  <c r="J159" i="105" s="1"/>
  <c r="L158" i="105"/>
  <c r="K158" i="105"/>
  <c r="L157" i="105"/>
  <c r="K157" i="105"/>
  <c r="L156" i="105"/>
  <c r="K156" i="105"/>
  <c r="L155" i="105"/>
  <c r="K155" i="105"/>
  <c r="J155" i="105" s="1"/>
  <c r="L154" i="105"/>
  <c r="K154" i="105"/>
  <c r="L153" i="105"/>
  <c r="K153" i="105"/>
  <c r="L152" i="105"/>
  <c r="K152" i="105"/>
  <c r="L151" i="105"/>
  <c r="K151" i="105"/>
  <c r="L150" i="105"/>
  <c r="K150" i="105"/>
  <c r="L149" i="105"/>
  <c r="K149" i="105"/>
  <c r="L148" i="105"/>
  <c r="K148" i="105"/>
  <c r="L147" i="105"/>
  <c r="K147" i="105"/>
  <c r="J147" i="105" s="1"/>
  <c r="L146" i="105"/>
  <c r="K146" i="105"/>
  <c r="L145" i="105"/>
  <c r="K145" i="105"/>
  <c r="L144" i="105"/>
  <c r="K144" i="105"/>
  <c r="L143" i="105"/>
  <c r="K143" i="105"/>
  <c r="L142" i="105"/>
  <c r="K142" i="105"/>
  <c r="L141" i="105"/>
  <c r="K141" i="105"/>
  <c r="L140" i="105"/>
  <c r="K140" i="105"/>
  <c r="L139" i="105"/>
  <c r="K139" i="105"/>
  <c r="L138" i="105"/>
  <c r="K138" i="105"/>
  <c r="L137" i="105"/>
  <c r="K137" i="105"/>
  <c r="L136" i="105"/>
  <c r="K136" i="105"/>
  <c r="L135" i="105"/>
  <c r="K135" i="105"/>
  <c r="L134" i="105"/>
  <c r="K134" i="105"/>
  <c r="L133" i="105"/>
  <c r="K133" i="105"/>
  <c r="L132" i="105"/>
  <c r="K132" i="105"/>
  <c r="L131" i="105"/>
  <c r="K131" i="105"/>
  <c r="L130" i="105"/>
  <c r="K130" i="105"/>
  <c r="L129" i="105"/>
  <c r="K129" i="105"/>
  <c r="L128" i="105"/>
  <c r="K128" i="105"/>
  <c r="L127" i="105"/>
  <c r="K127" i="105"/>
  <c r="J127" i="105" s="1"/>
  <c r="L126" i="105"/>
  <c r="K126" i="105"/>
  <c r="L125" i="105"/>
  <c r="K125" i="105"/>
  <c r="L124" i="105"/>
  <c r="K124" i="105"/>
  <c r="L123" i="105"/>
  <c r="K123" i="105"/>
  <c r="L122" i="105"/>
  <c r="K122" i="105"/>
  <c r="L121" i="105"/>
  <c r="K121" i="105"/>
  <c r="L120" i="105"/>
  <c r="K120" i="105"/>
  <c r="L119" i="105"/>
  <c r="K119" i="105"/>
  <c r="L118" i="105"/>
  <c r="K118" i="105"/>
  <c r="L117" i="105"/>
  <c r="K117" i="105"/>
  <c r="L116" i="105"/>
  <c r="K116" i="105"/>
  <c r="L115" i="105"/>
  <c r="K115" i="105"/>
  <c r="L114" i="105"/>
  <c r="K114" i="105"/>
  <c r="L113" i="105"/>
  <c r="K113" i="105"/>
  <c r="L112" i="105"/>
  <c r="K112" i="105"/>
  <c r="L111" i="105"/>
  <c r="K111" i="105"/>
  <c r="L110" i="105"/>
  <c r="K110" i="105"/>
  <c r="L109" i="105"/>
  <c r="K109" i="105"/>
  <c r="L108" i="105"/>
  <c r="K108" i="105"/>
  <c r="L107" i="105"/>
  <c r="K107" i="105"/>
  <c r="L106" i="105"/>
  <c r="K106" i="105"/>
  <c r="L105" i="105"/>
  <c r="K105" i="105"/>
  <c r="L104" i="105"/>
  <c r="K104" i="105"/>
  <c r="L103" i="105"/>
  <c r="K103" i="105"/>
  <c r="L102" i="105"/>
  <c r="K102" i="105"/>
  <c r="L101" i="105"/>
  <c r="K101" i="105"/>
  <c r="L100" i="105"/>
  <c r="K100" i="105"/>
  <c r="L99" i="105"/>
  <c r="K99" i="105"/>
  <c r="L98" i="105"/>
  <c r="K98" i="105"/>
  <c r="L97" i="105"/>
  <c r="K97" i="105"/>
  <c r="L96" i="105"/>
  <c r="K96" i="105"/>
  <c r="L95" i="105"/>
  <c r="K95" i="105"/>
  <c r="L94" i="105"/>
  <c r="K94" i="105"/>
  <c r="L93" i="105"/>
  <c r="K93" i="105"/>
  <c r="L92" i="105"/>
  <c r="K92" i="105"/>
  <c r="L91" i="105"/>
  <c r="K91" i="105"/>
  <c r="L90" i="105"/>
  <c r="K90" i="105"/>
  <c r="L89" i="105"/>
  <c r="K89" i="105"/>
  <c r="L88" i="105"/>
  <c r="K88" i="105"/>
  <c r="L87" i="105"/>
  <c r="K87" i="105"/>
  <c r="L86" i="105"/>
  <c r="K86" i="105"/>
  <c r="L85" i="105"/>
  <c r="K85" i="105"/>
  <c r="L84" i="105"/>
  <c r="K84" i="105"/>
  <c r="L83" i="105"/>
  <c r="K83" i="105"/>
  <c r="L82" i="105"/>
  <c r="K82" i="105"/>
  <c r="L81" i="105"/>
  <c r="K81" i="105"/>
  <c r="L80" i="105"/>
  <c r="K80" i="105"/>
  <c r="J80" i="105" s="1"/>
  <c r="L79" i="105"/>
  <c r="K79" i="105"/>
  <c r="L78" i="105"/>
  <c r="K78" i="105"/>
  <c r="L77" i="105"/>
  <c r="K77" i="105"/>
  <c r="L76" i="105"/>
  <c r="K76" i="105"/>
  <c r="J76" i="105" s="1"/>
  <c r="L75" i="105"/>
  <c r="K75" i="105"/>
  <c r="L74" i="105"/>
  <c r="K74" i="105"/>
  <c r="L73" i="105"/>
  <c r="K73" i="105"/>
  <c r="L72" i="105"/>
  <c r="K72" i="105"/>
  <c r="L71" i="105"/>
  <c r="K71" i="105"/>
  <c r="L70" i="105"/>
  <c r="K70" i="105"/>
  <c r="L69" i="105"/>
  <c r="K69" i="105"/>
  <c r="L68" i="105"/>
  <c r="K68" i="105"/>
  <c r="J68" i="105" s="1"/>
  <c r="L67" i="105"/>
  <c r="K67" i="105"/>
  <c r="L66" i="105"/>
  <c r="K66" i="105"/>
  <c r="L65" i="105"/>
  <c r="K65" i="105"/>
  <c r="L64" i="105"/>
  <c r="K64" i="105"/>
  <c r="L63" i="105"/>
  <c r="K63" i="105"/>
  <c r="L62" i="105"/>
  <c r="K62" i="105"/>
  <c r="L61" i="105"/>
  <c r="K61" i="105"/>
  <c r="L60" i="105"/>
  <c r="K60" i="105"/>
  <c r="J60" i="105" s="1"/>
  <c r="L59" i="105"/>
  <c r="K59" i="105"/>
  <c r="L58" i="105"/>
  <c r="K58" i="105"/>
  <c r="L57" i="105"/>
  <c r="K57" i="105"/>
  <c r="L56" i="105"/>
  <c r="K56" i="105"/>
  <c r="J56" i="105" s="1"/>
  <c r="L55" i="105"/>
  <c r="K55" i="105"/>
  <c r="L54" i="105"/>
  <c r="K54" i="105"/>
  <c r="L53" i="105"/>
  <c r="K53" i="105"/>
  <c r="L52" i="105"/>
  <c r="K52" i="105"/>
  <c r="L51" i="105"/>
  <c r="K51" i="105"/>
  <c r="L50" i="105"/>
  <c r="K50" i="105"/>
  <c r="L49" i="105"/>
  <c r="K49" i="105"/>
  <c r="L48" i="105"/>
  <c r="K48" i="105"/>
  <c r="L47" i="105"/>
  <c r="K47" i="105"/>
  <c r="L46" i="105"/>
  <c r="K46" i="105"/>
  <c r="L45" i="105"/>
  <c r="K45" i="105"/>
  <c r="L44" i="105"/>
  <c r="K44" i="105"/>
  <c r="L43" i="105"/>
  <c r="K43" i="105"/>
  <c r="L42" i="105"/>
  <c r="K42" i="105"/>
  <c r="L41" i="105"/>
  <c r="K41" i="105"/>
  <c r="L40" i="105"/>
  <c r="K40" i="105"/>
  <c r="L39" i="105"/>
  <c r="K39" i="105"/>
  <c r="L38" i="105"/>
  <c r="K38" i="105"/>
  <c r="L37" i="105"/>
  <c r="K37" i="105"/>
  <c r="L36" i="105"/>
  <c r="K36" i="105"/>
  <c r="L35" i="105"/>
  <c r="K35" i="105"/>
  <c r="L34" i="105"/>
  <c r="K34" i="105"/>
  <c r="L33" i="105"/>
  <c r="K33" i="105"/>
  <c r="L32" i="105"/>
  <c r="K32" i="105"/>
  <c r="L31" i="105"/>
  <c r="K31" i="105"/>
  <c r="L30" i="105"/>
  <c r="K30" i="105"/>
  <c r="L29" i="105"/>
  <c r="K29" i="105"/>
  <c r="L28" i="105"/>
  <c r="K28" i="105"/>
  <c r="L27" i="105"/>
  <c r="K27" i="105"/>
  <c r="L26" i="105"/>
  <c r="K26" i="105"/>
  <c r="L25" i="105"/>
  <c r="K25" i="105"/>
  <c r="L252" i="106"/>
  <c r="K252" i="106"/>
  <c r="L251" i="106"/>
  <c r="K251" i="106"/>
  <c r="L250" i="106"/>
  <c r="K250" i="106"/>
  <c r="L249" i="106"/>
  <c r="K249" i="106"/>
  <c r="L248" i="106"/>
  <c r="K248" i="106"/>
  <c r="L247" i="106"/>
  <c r="K247" i="106"/>
  <c r="L246" i="106"/>
  <c r="K246" i="106"/>
  <c r="L245" i="106"/>
  <c r="K245" i="106"/>
  <c r="L244" i="106"/>
  <c r="K244" i="106"/>
  <c r="L243" i="106"/>
  <c r="K243" i="106"/>
  <c r="L242" i="106"/>
  <c r="K242" i="106"/>
  <c r="L241" i="106"/>
  <c r="K241" i="106"/>
  <c r="L240" i="106"/>
  <c r="K240" i="106"/>
  <c r="L239" i="106"/>
  <c r="K239" i="106"/>
  <c r="L238" i="106"/>
  <c r="K238" i="106"/>
  <c r="L237" i="106"/>
  <c r="K237" i="106"/>
  <c r="L236" i="106"/>
  <c r="K236" i="106"/>
  <c r="L235" i="106"/>
  <c r="K235" i="106"/>
  <c r="L234" i="106"/>
  <c r="K234" i="106"/>
  <c r="L233" i="106"/>
  <c r="K233" i="106"/>
  <c r="L232" i="106"/>
  <c r="K232" i="106"/>
  <c r="L231" i="106"/>
  <c r="K231" i="106"/>
  <c r="L230" i="106"/>
  <c r="K230" i="106"/>
  <c r="L229" i="106"/>
  <c r="K229" i="106"/>
  <c r="L228" i="106"/>
  <c r="K228" i="106"/>
  <c r="L227" i="106"/>
  <c r="K227" i="106"/>
  <c r="L226" i="106"/>
  <c r="K226" i="106"/>
  <c r="L225" i="106"/>
  <c r="K225" i="106"/>
  <c r="L224" i="106"/>
  <c r="K224" i="106"/>
  <c r="L223" i="106"/>
  <c r="K223" i="106"/>
  <c r="L222" i="106"/>
  <c r="K222" i="106"/>
  <c r="L221" i="106"/>
  <c r="K221" i="106"/>
  <c r="L220" i="106"/>
  <c r="K220" i="106"/>
  <c r="L219" i="106"/>
  <c r="K219" i="106"/>
  <c r="L218" i="106"/>
  <c r="K218" i="106"/>
  <c r="L217" i="106"/>
  <c r="K217" i="106"/>
  <c r="L216" i="106"/>
  <c r="K216" i="106"/>
  <c r="L215" i="106"/>
  <c r="K215" i="106"/>
  <c r="L214" i="106"/>
  <c r="K214" i="106"/>
  <c r="L213" i="106"/>
  <c r="K213" i="106"/>
  <c r="L212" i="106"/>
  <c r="K212" i="106"/>
  <c r="L211" i="106"/>
  <c r="K211" i="106"/>
  <c r="L210" i="106"/>
  <c r="K210" i="106"/>
  <c r="L209" i="106"/>
  <c r="K209" i="106"/>
  <c r="L208" i="106"/>
  <c r="K208" i="106"/>
  <c r="L207" i="106"/>
  <c r="K207" i="106"/>
  <c r="L206" i="106"/>
  <c r="K206" i="106"/>
  <c r="L205" i="106"/>
  <c r="K205" i="106"/>
  <c r="L204" i="106"/>
  <c r="K204" i="106"/>
  <c r="L203" i="106"/>
  <c r="K203" i="106"/>
  <c r="L202" i="106"/>
  <c r="K202" i="106"/>
  <c r="L201" i="106"/>
  <c r="K201" i="106"/>
  <c r="L200" i="106"/>
  <c r="K200" i="106"/>
  <c r="L199" i="106"/>
  <c r="K199" i="106"/>
  <c r="L198" i="106"/>
  <c r="K198" i="106"/>
  <c r="L197" i="106"/>
  <c r="K197" i="106"/>
  <c r="L196" i="106"/>
  <c r="K196" i="106"/>
  <c r="L195" i="106"/>
  <c r="K195" i="106"/>
  <c r="L194" i="106"/>
  <c r="K194" i="106"/>
  <c r="L193" i="106"/>
  <c r="K193" i="106"/>
  <c r="L192" i="106"/>
  <c r="K192" i="106"/>
  <c r="L191" i="106"/>
  <c r="K191" i="106"/>
  <c r="L190" i="106"/>
  <c r="K190" i="106"/>
  <c r="L189" i="106"/>
  <c r="K189" i="106"/>
  <c r="L188" i="106"/>
  <c r="K188" i="106"/>
  <c r="L187" i="106"/>
  <c r="K187" i="106"/>
  <c r="L186" i="106"/>
  <c r="K186" i="106"/>
  <c r="L185" i="106"/>
  <c r="K185" i="106"/>
  <c r="L184" i="106"/>
  <c r="K184" i="106"/>
  <c r="L183" i="106"/>
  <c r="K183" i="106"/>
  <c r="L182" i="106"/>
  <c r="K182" i="106"/>
  <c r="L181" i="106"/>
  <c r="K181" i="106"/>
  <c r="L180" i="106"/>
  <c r="K180" i="106"/>
  <c r="L179" i="106"/>
  <c r="K179" i="106"/>
  <c r="L178" i="106"/>
  <c r="K178" i="106"/>
  <c r="L177" i="106"/>
  <c r="K177" i="106"/>
  <c r="L176" i="106"/>
  <c r="K176" i="106"/>
  <c r="L175" i="106"/>
  <c r="K175" i="106"/>
  <c r="L174" i="106"/>
  <c r="K174" i="106"/>
  <c r="L173" i="106"/>
  <c r="K173" i="106"/>
  <c r="L172" i="106"/>
  <c r="K172" i="106"/>
  <c r="L171" i="106"/>
  <c r="K171" i="106"/>
  <c r="L170" i="106"/>
  <c r="K170" i="106"/>
  <c r="L169" i="106"/>
  <c r="K169" i="106"/>
  <c r="L168" i="106"/>
  <c r="K168" i="106"/>
  <c r="L167" i="106"/>
  <c r="K167" i="106"/>
  <c r="L166" i="106"/>
  <c r="K166" i="106"/>
  <c r="L165" i="106"/>
  <c r="K165" i="106"/>
  <c r="L164" i="106"/>
  <c r="K164" i="106"/>
  <c r="L163" i="106"/>
  <c r="K163" i="106"/>
  <c r="L162" i="106"/>
  <c r="K162" i="106"/>
  <c r="L161" i="106"/>
  <c r="K161" i="106"/>
  <c r="L160" i="106"/>
  <c r="K160" i="106"/>
  <c r="L159" i="106"/>
  <c r="K159" i="106"/>
  <c r="L158" i="106"/>
  <c r="K158" i="106"/>
  <c r="L157" i="106"/>
  <c r="K157" i="106"/>
  <c r="L156" i="106"/>
  <c r="K156" i="106"/>
  <c r="L155" i="106"/>
  <c r="K155" i="106"/>
  <c r="L154" i="106"/>
  <c r="K154" i="106"/>
  <c r="L153" i="106"/>
  <c r="K153" i="106"/>
  <c r="L152" i="106"/>
  <c r="K152" i="106"/>
  <c r="L151" i="106"/>
  <c r="K151" i="106"/>
  <c r="L150" i="106"/>
  <c r="K150" i="106"/>
  <c r="L149" i="106"/>
  <c r="K149" i="106"/>
  <c r="L148" i="106"/>
  <c r="K148" i="106"/>
  <c r="L147" i="106"/>
  <c r="K147" i="106"/>
  <c r="L146" i="106"/>
  <c r="K146" i="106"/>
  <c r="L145" i="106"/>
  <c r="K145" i="106"/>
  <c r="L144" i="106"/>
  <c r="K144" i="106"/>
  <c r="L143" i="106"/>
  <c r="K143" i="106"/>
  <c r="L142" i="106"/>
  <c r="K142" i="106"/>
  <c r="L141" i="106"/>
  <c r="K141" i="106"/>
  <c r="L140" i="106"/>
  <c r="K140" i="106"/>
  <c r="L139" i="106"/>
  <c r="K139" i="106"/>
  <c r="L138" i="106"/>
  <c r="K138" i="106"/>
  <c r="L137" i="106"/>
  <c r="K137" i="106"/>
  <c r="L136" i="106"/>
  <c r="K136" i="106"/>
  <c r="L135" i="106"/>
  <c r="K135" i="106"/>
  <c r="L134" i="106"/>
  <c r="K134" i="106"/>
  <c r="L133" i="106"/>
  <c r="K133" i="106"/>
  <c r="L132" i="106"/>
  <c r="K132" i="106"/>
  <c r="L131" i="106"/>
  <c r="K131" i="106"/>
  <c r="L130" i="106"/>
  <c r="K130" i="106"/>
  <c r="L129" i="106"/>
  <c r="K129" i="106"/>
  <c r="L128" i="106"/>
  <c r="K128" i="106"/>
  <c r="L127" i="106"/>
  <c r="K127" i="106"/>
  <c r="L126" i="106"/>
  <c r="K126" i="106"/>
  <c r="L125" i="106"/>
  <c r="K125" i="106"/>
  <c r="L124" i="106"/>
  <c r="K124" i="106"/>
  <c r="L123" i="106"/>
  <c r="K123" i="106"/>
  <c r="L122" i="106"/>
  <c r="K122" i="106"/>
  <c r="L121" i="106"/>
  <c r="K121" i="106"/>
  <c r="L120" i="106"/>
  <c r="K120" i="106"/>
  <c r="L119" i="106"/>
  <c r="K119" i="106"/>
  <c r="L118" i="106"/>
  <c r="K118" i="106"/>
  <c r="L117" i="106"/>
  <c r="K117" i="106"/>
  <c r="L116" i="106"/>
  <c r="K116" i="106"/>
  <c r="L115" i="106"/>
  <c r="K115" i="106"/>
  <c r="L114" i="106"/>
  <c r="K114" i="106"/>
  <c r="L113" i="106"/>
  <c r="K113" i="106"/>
  <c r="L112" i="106"/>
  <c r="K112" i="106"/>
  <c r="L111" i="106"/>
  <c r="K111" i="106"/>
  <c r="L110" i="106"/>
  <c r="K110" i="106"/>
  <c r="L109" i="106"/>
  <c r="K109" i="106"/>
  <c r="L108" i="106"/>
  <c r="K108" i="106"/>
  <c r="L107" i="106"/>
  <c r="K107" i="106"/>
  <c r="L106" i="106"/>
  <c r="K106" i="106"/>
  <c r="L105" i="106"/>
  <c r="K105" i="106"/>
  <c r="L104" i="106"/>
  <c r="K104" i="106"/>
  <c r="L103" i="106"/>
  <c r="K103" i="106"/>
  <c r="L102" i="106"/>
  <c r="K102" i="106"/>
  <c r="L101" i="106"/>
  <c r="K101" i="106"/>
  <c r="L100" i="106"/>
  <c r="K100" i="106"/>
  <c r="L99" i="106"/>
  <c r="K99" i="106"/>
  <c r="L98" i="106"/>
  <c r="K98" i="106"/>
  <c r="L97" i="106"/>
  <c r="K97" i="106"/>
  <c r="L96" i="106"/>
  <c r="K96" i="106"/>
  <c r="L95" i="106"/>
  <c r="K95" i="106"/>
  <c r="L94" i="106"/>
  <c r="K94" i="106"/>
  <c r="L93" i="106"/>
  <c r="K93" i="106"/>
  <c r="L92" i="106"/>
  <c r="K92" i="106"/>
  <c r="L91" i="106"/>
  <c r="K91" i="106"/>
  <c r="L90" i="106"/>
  <c r="K90" i="106"/>
  <c r="L89" i="106"/>
  <c r="K89" i="106"/>
  <c r="L88" i="106"/>
  <c r="K88" i="106"/>
  <c r="L87" i="106"/>
  <c r="K87" i="106"/>
  <c r="L86" i="106"/>
  <c r="K86" i="106"/>
  <c r="L85" i="106"/>
  <c r="K85" i="106"/>
  <c r="L84" i="106"/>
  <c r="K84" i="106"/>
  <c r="L83" i="106"/>
  <c r="K83" i="106"/>
  <c r="L82" i="106"/>
  <c r="K82" i="106"/>
  <c r="L81" i="106"/>
  <c r="K81" i="106"/>
  <c r="L80" i="106"/>
  <c r="K80" i="106"/>
  <c r="L79" i="106"/>
  <c r="K79" i="106"/>
  <c r="L78" i="106"/>
  <c r="K78" i="106"/>
  <c r="L77" i="106"/>
  <c r="K77" i="106"/>
  <c r="L76" i="106"/>
  <c r="K76" i="106"/>
  <c r="L75" i="106"/>
  <c r="K75" i="106"/>
  <c r="L74" i="106"/>
  <c r="K74" i="106"/>
  <c r="L73" i="106"/>
  <c r="K73" i="106"/>
  <c r="L72" i="106"/>
  <c r="K72" i="106"/>
  <c r="L71" i="106"/>
  <c r="K71" i="106"/>
  <c r="L70" i="106"/>
  <c r="K70" i="106"/>
  <c r="L69" i="106"/>
  <c r="K69" i="106"/>
  <c r="L68" i="106"/>
  <c r="K68" i="106"/>
  <c r="L67" i="106"/>
  <c r="K67" i="106"/>
  <c r="L66" i="106"/>
  <c r="K66" i="106"/>
  <c r="L65" i="106"/>
  <c r="K65" i="106"/>
  <c r="L64" i="106"/>
  <c r="K64" i="106"/>
  <c r="L63" i="106"/>
  <c r="K63" i="106"/>
  <c r="L62" i="106"/>
  <c r="K62" i="106"/>
  <c r="L61" i="106"/>
  <c r="K61" i="106"/>
  <c r="L60" i="106"/>
  <c r="K60" i="106"/>
  <c r="L59" i="106"/>
  <c r="K59" i="106"/>
  <c r="L58" i="106"/>
  <c r="K58" i="106"/>
  <c r="L57" i="106"/>
  <c r="K57" i="106"/>
  <c r="L56" i="106"/>
  <c r="K56" i="106"/>
  <c r="L55" i="106"/>
  <c r="K55" i="106"/>
  <c r="L54" i="106"/>
  <c r="K54" i="106"/>
  <c r="L53" i="106"/>
  <c r="K53" i="106"/>
  <c r="L52" i="106"/>
  <c r="K52" i="106"/>
  <c r="L51" i="106"/>
  <c r="K51" i="106"/>
  <c r="L50" i="106"/>
  <c r="K50" i="106"/>
  <c r="L49" i="106"/>
  <c r="K49" i="106"/>
  <c r="L48" i="106"/>
  <c r="K48" i="106"/>
  <c r="L47" i="106"/>
  <c r="K47" i="106"/>
  <c r="L46" i="106"/>
  <c r="K46" i="106"/>
  <c r="L45" i="106"/>
  <c r="K45" i="106"/>
  <c r="L44" i="106"/>
  <c r="K44" i="106"/>
  <c r="L43" i="106"/>
  <c r="K43" i="106"/>
  <c r="L42" i="106"/>
  <c r="K42" i="106"/>
  <c r="L41" i="106"/>
  <c r="K41" i="106"/>
  <c r="L40" i="106"/>
  <c r="K40" i="106"/>
  <c r="L39" i="106"/>
  <c r="K39" i="106"/>
  <c r="L38" i="106"/>
  <c r="K38" i="106"/>
  <c r="L37" i="106"/>
  <c r="K37" i="106"/>
  <c r="L36" i="106"/>
  <c r="K36" i="106"/>
  <c r="L35" i="106"/>
  <c r="K35" i="106"/>
  <c r="L34" i="106"/>
  <c r="K34" i="106"/>
  <c r="L33" i="106"/>
  <c r="K33" i="106"/>
  <c r="L32" i="106"/>
  <c r="K32" i="106"/>
  <c r="L31" i="106"/>
  <c r="K31" i="106"/>
  <c r="L30" i="106"/>
  <c r="K30" i="106"/>
  <c r="L29" i="106"/>
  <c r="K29" i="106"/>
  <c r="L28" i="106"/>
  <c r="K28" i="106"/>
  <c r="L27" i="106"/>
  <c r="K27" i="106"/>
  <c r="L26" i="106"/>
  <c r="K26" i="106"/>
  <c r="L25" i="106"/>
  <c r="K25" i="106"/>
  <c r="L252" i="107"/>
  <c r="K252" i="107"/>
  <c r="L251" i="107"/>
  <c r="K251" i="107"/>
  <c r="L250" i="107"/>
  <c r="K250" i="107"/>
  <c r="L249" i="107"/>
  <c r="K249" i="107"/>
  <c r="L248" i="107"/>
  <c r="K248" i="107"/>
  <c r="L247" i="107"/>
  <c r="K247" i="107"/>
  <c r="L246" i="107"/>
  <c r="K246" i="107"/>
  <c r="L245" i="107"/>
  <c r="K245" i="107"/>
  <c r="L244" i="107"/>
  <c r="K244" i="107"/>
  <c r="L243" i="107"/>
  <c r="K243" i="107"/>
  <c r="L242" i="107"/>
  <c r="K242" i="107"/>
  <c r="L241" i="107"/>
  <c r="K241" i="107"/>
  <c r="L240" i="107"/>
  <c r="K240" i="107"/>
  <c r="L239" i="107"/>
  <c r="K239" i="107"/>
  <c r="L238" i="107"/>
  <c r="K238" i="107"/>
  <c r="L237" i="107"/>
  <c r="K237" i="107"/>
  <c r="L236" i="107"/>
  <c r="K236" i="107"/>
  <c r="L235" i="107"/>
  <c r="K235" i="107"/>
  <c r="L234" i="107"/>
  <c r="K234" i="107"/>
  <c r="L233" i="107"/>
  <c r="K233" i="107"/>
  <c r="L232" i="107"/>
  <c r="K232" i="107"/>
  <c r="L231" i="107"/>
  <c r="K231" i="107"/>
  <c r="L230" i="107"/>
  <c r="K230" i="107"/>
  <c r="L229" i="107"/>
  <c r="K229" i="107"/>
  <c r="L228" i="107"/>
  <c r="K228" i="107"/>
  <c r="L227" i="107"/>
  <c r="K227" i="107"/>
  <c r="L226" i="107"/>
  <c r="K226" i="107"/>
  <c r="L225" i="107"/>
  <c r="K225" i="107"/>
  <c r="L224" i="107"/>
  <c r="K224" i="107"/>
  <c r="L223" i="107"/>
  <c r="K223" i="107"/>
  <c r="L222" i="107"/>
  <c r="K222" i="107"/>
  <c r="L221" i="107"/>
  <c r="K221" i="107"/>
  <c r="L220" i="107"/>
  <c r="K220" i="107"/>
  <c r="L219" i="107"/>
  <c r="K219" i="107"/>
  <c r="L218" i="107"/>
  <c r="K218" i="107"/>
  <c r="L217" i="107"/>
  <c r="K217" i="107"/>
  <c r="L216" i="107"/>
  <c r="K216" i="107"/>
  <c r="L215" i="107"/>
  <c r="K215" i="107"/>
  <c r="L214" i="107"/>
  <c r="K214" i="107"/>
  <c r="L213" i="107"/>
  <c r="K213" i="107"/>
  <c r="L212" i="107"/>
  <c r="K212" i="107"/>
  <c r="L211" i="107"/>
  <c r="K211" i="107"/>
  <c r="L210" i="107"/>
  <c r="K210" i="107"/>
  <c r="L209" i="107"/>
  <c r="K209" i="107"/>
  <c r="L208" i="107"/>
  <c r="K208" i="107"/>
  <c r="L207" i="107"/>
  <c r="K207" i="107"/>
  <c r="L206" i="107"/>
  <c r="K206" i="107"/>
  <c r="L205" i="107"/>
  <c r="K205" i="107"/>
  <c r="L204" i="107"/>
  <c r="K204" i="107"/>
  <c r="L203" i="107"/>
  <c r="K203" i="107"/>
  <c r="L202" i="107"/>
  <c r="K202" i="107"/>
  <c r="L201" i="107"/>
  <c r="K201" i="107"/>
  <c r="L200" i="107"/>
  <c r="K200" i="107"/>
  <c r="L199" i="107"/>
  <c r="K199" i="107"/>
  <c r="L198" i="107"/>
  <c r="K198" i="107"/>
  <c r="L197" i="107"/>
  <c r="K197" i="107"/>
  <c r="L196" i="107"/>
  <c r="K196" i="107"/>
  <c r="L195" i="107"/>
  <c r="K195" i="107"/>
  <c r="L194" i="107"/>
  <c r="K194" i="107"/>
  <c r="L193" i="107"/>
  <c r="K193" i="107"/>
  <c r="L192" i="107"/>
  <c r="K192" i="107"/>
  <c r="L191" i="107"/>
  <c r="K191" i="107"/>
  <c r="L190" i="107"/>
  <c r="K190" i="107"/>
  <c r="L189" i="107"/>
  <c r="K189" i="107"/>
  <c r="L188" i="107"/>
  <c r="K188" i="107"/>
  <c r="L187" i="107"/>
  <c r="K187" i="107"/>
  <c r="L186" i="107"/>
  <c r="K186" i="107"/>
  <c r="L185" i="107"/>
  <c r="K185" i="107"/>
  <c r="L184" i="107"/>
  <c r="K184" i="107"/>
  <c r="L183" i="107"/>
  <c r="K183" i="107"/>
  <c r="L182" i="107"/>
  <c r="K182" i="107"/>
  <c r="L181" i="107"/>
  <c r="K181" i="107"/>
  <c r="L180" i="107"/>
  <c r="K180" i="107"/>
  <c r="L179" i="107"/>
  <c r="K179" i="107"/>
  <c r="L178" i="107"/>
  <c r="K178" i="107"/>
  <c r="L177" i="107"/>
  <c r="K177" i="107"/>
  <c r="L176" i="107"/>
  <c r="K176" i="107"/>
  <c r="L175" i="107"/>
  <c r="K175" i="107"/>
  <c r="L174" i="107"/>
  <c r="K174" i="107"/>
  <c r="L173" i="107"/>
  <c r="K173" i="107"/>
  <c r="L172" i="107"/>
  <c r="K172" i="107"/>
  <c r="L171" i="107"/>
  <c r="K171" i="107"/>
  <c r="L170" i="107"/>
  <c r="K170" i="107"/>
  <c r="L169" i="107"/>
  <c r="K169" i="107"/>
  <c r="L168" i="107"/>
  <c r="K168" i="107"/>
  <c r="L167" i="107"/>
  <c r="K167" i="107"/>
  <c r="L166" i="107"/>
  <c r="K166" i="107"/>
  <c r="L165" i="107"/>
  <c r="K165" i="107"/>
  <c r="L164" i="107"/>
  <c r="K164" i="107"/>
  <c r="L163" i="107"/>
  <c r="K163" i="107"/>
  <c r="L162" i="107"/>
  <c r="K162" i="107"/>
  <c r="L161" i="107"/>
  <c r="K161" i="107"/>
  <c r="L160" i="107"/>
  <c r="K160" i="107"/>
  <c r="L159" i="107"/>
  <c r="K159" i="107"/>
  <c r="L158" i="107"/>
  <c r="K158" i="107"/>
  <c r="L157" i="107"/>
  <c r="K157" i="107"/>
  <c r="L156" i="107"/>
  <c r="K156" i="107"/>
  <c r="L155" i="107"/>
  <c r="K155" i="107"/>
  <c r="L154" i="107"/>
  <c r="K154" i="107"/>
  <c r="L153" i="107"/>
  <c r="K153" i="107"/>
  <c r="L152" i="107"/>
  <c r="K152" i="107"/>
  <c r="L151" i="107"/>
  <c r="K151" i="107"/>
  <c r="L150" i="107"/>
  <c r="K150" i="107"/>
  <c r="L149" i="107"/>
  <c r="K149" i="107"/>
  <c r="L148" i="107"/>
  <c r="K148" i="107"/>
  <c r="L147" i="107"/>
  <c r="J147" i="107" s="1"/>
  <c r="K147" i="107"/>
  <c r="L146" i="107"/>
  <c r="K146" i="107"/>
  <c r="L145" i="107"/>
  <c r="K145" i="107"/>
  <c r="L144" i="107"/>
  <c r="K144" i="107"/>
  <c r="L143" i="107"/>
  <c r="K143" i="107"/>
  <c r="L142" i="107"/>
  <c r="K142" i="107"/>
  <c r="L141" i="107"/>
  <c r="K141" i="107"/>
  <c r="L140" i="107"/>
  <c r="K140" i="107"/>
  <c r="L139" i="107"/>
  <c r="K139" i="107"/>
  <c r="L138" i="107"/>
  <c r="K138" i="107"/>
  <c r="L137" i="107"/>
  <c r="K137" i="107"/>
  <c r="L136" i="107"/>
  <c r="K136" i="107"/>
  <c r="L135" i="107"/>
  <c r="K135" i="107"/>
  <c r="L134" i="107"/>
  <c r="K134" i="107"/>
  <c r="L133" i="107"/>
  <c r="K133" i="107"/>
  <c r="L132" i="107"/>
  <c r="K132" i="107"/>
  <c r="L131" i="107"/>
  <c r="K131" i="107"/>
  <c r="L130" i="107"/>
  <c r="K130" i="107"/>
  <c r="L129" i="107"/>
  <c r="K129" i="107"/>
  <c r="L128" i="107"/>
  <c r="K128" i="107"/>
  <c r="L127" i="107"/>
  <c r="K127" i="107"/>
  <c r="L126" i="107"/>
  <c r="K126" i="107"/>
  <c r="L125" i="107"/>
  <c r="K125" i="107"/>
  <c r="L124" i="107"/>
  <c r="K124" i="107"/>
  <c r="L123" i="107"/>
  <c r="K123" i="107"/>
  <c r="L122" i="107"/>
  <c r="K122" i="107"/>
  <c r="L121" i="107"/>
  <c r="K121" i="107"/>
  <c r="L120" i="107"/>
  <c r="K120" i="107"/>
  <c r="L119" i="107"/>
  <c r="K119" i="107"/>
  <c r="L118" i="107"/>
  <c r="K118" i="107"/>
  <c r="L117" i="107"/>
  <c r="K117" i="107"/>
  <c r="L116" i="107"/>
  <c r="K116" i="107"/>
  <c r="L115" i="107"/>
  <c r="K115" i="107"/>
  <c r="L114" i="107"/>
  <c r="K114" i="107"/>
  <c r="L113" i="107"/>
  <c r="K113" i="107"/>
  <c r="L112" i="107"/>
  <c r="K112" i="107"/>
  <c r="L111" i="107"/>
  <c r="K111" i="107"/>
  <c r="L110" i="107"/>
  <c r="K110" i="107"/>
  <c r="L109" i="107"/>
  <c r="K109" i="107"/>
  <c r="L108" i="107"/>
  <c r="K108" i="107"/>
  <c r="L107" i="107"/>
  <c r="K107" i="107"/>
  <c r="L106" i="107"/>
  <c r="K106" i="107"/>
  <c r="L105" i="107"/>
  <c r="K105" i="107"/>
  <c r="L104" i="107"/>
  <c r="K104" i="107"/>
  <c r="L103" i="107"/>
  <c r="K103" i="107"/>
  <c r="L102" i="107"/>
  <c r="K102" i="107"/>
  <c r="L101" i="107"/>
  <c r="K101" i="107"/>
  <c r="L100" i="107"/>
  <c r="K100" i="107"/>
  <c r="L99" i="107"/>
  <c r="K99" i="107"/>
  <c r="L98" i="107"/>
  <c r="K98" i="107"/>
  <c r="L97" i="107"/>
  <c r="K97" i="107"/>
  <c r="L96" i="107"/>
  <c r="K96" i="107"/>
  <c r="L95" i="107"/>
  <c r="K95" i="107"/>
  <c r="L94" i="107"/>
  <c r="K94" i="107"/>
  <c r="L93" i="107"/>
  <c r="K93" i="107"/>
  <c r="L92" i="107"/>
  <c r="K92" i="107"/>
  <c r="L91" i="107"/>
  <c r="K91" i="107"/>
  <c r="L90" i="107"/>
  <c r="K90" i="107"/>
  <c r="L89" i="107"/>
  <c r="K89" i="107"/>
  <c r="L88" i="107"/>
  <c r="K88" i="107"/>
  <c r="L87" i="107"/>
  <c r="K87" i="107"/>
  <c r="L86" i="107"/>
  <c r="K86" i="107"/>
  <c r="L85" i="107"/>
  <c r="K85" i="107"/>
  <c r="L84" i="107"/>
  <c r="K84" i="107"/>
  <c r="L83" i="107"/>
  <c r="K83" i="107"/>
  <c r="L82" i="107"/>
  <c r="K82" i="107"/>
  <c r="L81" i="107"/>
  <c r="K81" i="107"/>
  <c r="L80" i="107"/>
  <c r="K80" i="107"/>
  <c r="L79" i="107"/>
  <c r="K79" i="107"/>
  <c r="L78" i="107"/>
  <c r="K78" i="107"/>
  <c r="L77" i="107"/>
  <c r="K77" i="107"/>
  <c r="L76" i="107"/>
  <c r="K76" i="107"/>
  <c r="L75" i="107"/>
  <c r="K75" i="107"/>
  <c r="L74" i="107"/>
  <c r="K74" i="107"/>
  <c r="L73" i="107"/>
  <c r="K73" i="107"/>
  <c r="L72" i="107"/>
  <c r="K72" i="107"/>
  <c r="L71" i="107"/>
  <c r="K71" i="107"/>
  <c r="L70" i="107"/>
  <c r="K70" i="107"/>
  <c r="L69" i="107"/>
  <c r="K69" i="107"/>
  <c r="L68" i="107"/>
  <c r="K68" i="107"/>
  <c r="L67" i="107"/>
  <c r="K67" i="107"/>
  <c r="L66" i="107"/>
  <c r="K66" i="107"/>
  <c r="L65" i="107"/>
  <c r="K65" i="107"/>
  <c r="L64" i="107"/>
  <c r="K64" i="107"/>
  <c r="L63" i="107"/>
  <c r="K63" i="107"/>
  <c r="L62" i="107"/>
  <c r="K62" i="107"/>
  <c r="L61" i="107"/>
  <c r="K61" i="107"/>
  <c r="L60" i="107"/>
  <c r="K60" i="107"/>
  <c r="L59" i="107"/>
  <c r="K59" i="107"/>
  <c r="L58" i="107"/>
  <c r="K58" i="107"/>
  <c r="L57" i="107"/>
  <c r="K57" i="107"/>
  <c r="L56" i="107"/>
  <c r="K56" i="107"/>
  <c r="L55" i="107"/>
  <c r="K55" i="107"/>
  <c r="L54" i="107"/>
  <c r="K54" i="107"/>
  <c r="L53" i="107"/>
  <c r="K53" i="107"/>
  <c r="L52" i="107"/>
  <c r="K52" i="107"/>
  <c r="L51" i="107"/>
  <c r="K51" i="107"/>
  <c r="L50" i="107"/>
  <c r="K50" i="107"/>
  <c r="L49" i="107"/>
  <c r="K49" i="107"/>
  <c r="L48" i="107"/>
  <c r="K48" i="107"/>
  <c r="L47" i="107"/>
  <c r="K47" i="107"/>
  <c r="L46" i="107"/>
  <c r="K46" i="107"/>
  <c r="L45" i="107"/>
  <c r="K45" i="107"/>
  <c r="L44" i="107"/>
  <c r="K44" i="107"/>
  <c r="L43" i="107"/>
  <c r="K43" i="107"/>
  <c r="L42" i="107"/>
  <c r="K42" i="107"/>
  <c r="L41" i="107"/>
  <c r="K41" i="107"/>
  <c r="L40" i="107"/>
  <c r="K40" i="107"/>
  <c r="L39" i="107"/>
  <c r="K39" i="107"/>
  <c r="L38" i="107"/>
  <c r="K38" i="107"/>
  <c r="L37" i="107"/>
  <c r="K37" i="107"/>
  <c r="L36" i="107"/>
  <c r="K36" i="107"/>
  <c r="L35" i="107"/>
  <c r="K35" i="107"/>
  <c r="L34" i="107"/>
  <c r="K34" i="107"/>
  <c r="L33" i="107"/>
  <c r="K33" i="107"/>
  <c r="L32" i="107"/>
  <c r="K32" i="107"/>
  <c r="L31" i="107"/>
  <c r="K31" i="107"/>
  <c r="L30" i="107"/>
  <c r="K30" i="107"/>
  <c r="L29" i="107"/>
  <c r="K29" i="107"/>
  <c r="L28" i="107"/>
  <c r="K28" i="107"/>
  <c r="L27" i="107"/>
  <c r="K27" i="107"/>
  <c r="L26" i="107"/>
  <c r="K26" i="107"/>
  <c r="L25" i="107"/>
  <c r="K25" i="107"/>
  <c r="L63" i="108"/>
  <c r="K63" i="108"/>
  <c r="L62" i="108"/>
  <c r="K62" i="108"/>
  <c r="L61" i="108"/>
  <c r="K61" i="108"/>
  <c r="L60" i="108"/>
  <c r="K60" i="108"/>
  <c r="J60" i="108" s="1"/>
  <c r="L59" i="108"/>
  <c r="K59" i="108"/>
  <c r="L58" i="108"/>
  <c r="K58" i="108"/>
  <c r="L57" i="108"/>
  <c r="K57" i="108"/>
  <c r="L56" i="108"/>
  <c r="K56" i="108"/>
  <c r="J56" i="108" s="1"/>
  <c r="L55" i="108"/>
  <c r="K55" i="108"/>
  <c r="L54" i="108"/>
  <c r="K54" i="108"/>
  <c r="L53" i="108"/>
  <c r="K53" i="108"/>
  <c r="L52" i="108"/>
  <c r="K52" i="108"/>
  <c r="J52" i="108" s="1"/>
  <c r="L51" i="108"/>
  <c r="K51" i="108"/>
  <c r="J51" i="108" s="1"/>
  <c r="L50" i="108"/>
  <c r="K50" i="108"/>
  <c r="L49" i="108"/>
  <c r="K49" i="108"/>
  <c r="L48" i="108"/>
  <c r="K48" i="108"/>
  <c r="L47" i="108"/>
  <c r="K47" i="108"/>
  <c r="L46" i="108"/>
  <c r="K46" i="108"/>
  <c r="L45" i="108"/>
  <c r="K45" i="108"/>
  <c r="L44" i="108"/>
  <c r="K44" i="108"/>
  <c r="L43" i="108"/>
  <c r="K43" i="108"/>
  <c r="L42" i="108"/>
  <c r="K42" i="108"/>
  <c r="L41" i="108"/>
  <c r="K41" i="108"/>
  <c r="L40" i="108"/>
  <c r="K40" i="108"/>
  <c r="L39" i="108"/>
  <c r="K39" i="108"/>
  <c r="L38" i="108"/>
  <c r="K38" i="108"/>
  <c r="L37" i="108"/>
  <c r="K37" i="108"/>
  <c r="L36" i="108"/>
  <c r="K36" i="108"/>
  <c r="L35" i="108"/>
  <c r="K35" i="108"/>
  <c r="L34" i="108"/>
  <c r="K34" i="108"/>
  <c r="L33" i="108"/>
  <c r="K33" i="108"/>
  <c r="L32" i="108"/>
  <c r="K32" i="108"/>
  <c r="L31" i="108"/>
  <c r="K31" i="108"/>
  <c r="L30" i="108"/>
  <c r="K30" i="108"/>
  <c r="L29" i="108"/>
  <c r="K29" i="108"/>
  <c r="L28" i="108"/>
  <c r="K28" i="108"/>
  <c r="L27" i="108"/>
  <c r="K27" i="108"/>
  <c r="L26" i="108"/>
  <c r="K26" i="108"/>
  <c r="L25" i="108"/>
  <c r="K25" i="108"/>
  <c r="L24" i="108"/>
  <c r="K24" i="108"/>
  <c r="L63" i="109"/>
  <c r="K63" i="109"/>
  <c r="L62" i="109"/>
  <c r="K62" i="109"/>
  <c r="L61" i="109"/>
  <c r="K61" i="109"/>
  <c r="L60" i="109"/>
  <c r="K60" i="109"/>
  <c r="L59" i="109"/>
  <c r="K59" i="109"/>
  <c r="L58" i="109"/>
  <c r="K58" i="109"/>
  <c r="L57" i="109"/>
  <c r="K57" i="109"/>
  <c r="L56" i="109"/>
  <c r="K56" i="109"/>
  <c r="L55" i="109"/>
  <c r="K55" i="109"/>
  <c r="L54" i="109"/>
  <c r="K54" i="109"/>
  <c r="L53" i="109"/>
  <c r="K53" i="109"/>
  <c r="L52" i="109"/>
  <c r="K52" i="109"/>
  <c r="L51" i="109"/>
  <c r="K51" i="109"/>
  <c r="L50" i="109"/>
  <c r="K50" i="109"/>
  <c r="L49" i="109"/>
  <c r="K49" i="109"/>
  <c r="L48" i="109"/>
  <c r="K48" i="109"/>
  <c r="L47" i="109"/>
  <c r="K47" i="109"/>
  <c r="L46" i="109"/>
  <c r="K46" i="109"/>
  <c r="L45" i="109"/>
  <c r="K45" i="109"/>
  <c r="L44" i="109"/>
  <c r="K44" i="109"/>
  <c r="L43" i="109"/>
  <c r="K43" i="109"/>
  <c r="L42" i="109"/>
  <c r="K42" i="109"/>
  <c r="L41" i="109"/>
  <c r="K41" i="109"/>
  <c r="L40" i="109"/>
  <c r="K40" i="109"/>
  <c r="L39" i="109"/>
  <c r="K39" i="109"/>
  <c r="L38" i="109"/>
  <c r="K38" i="109"/>
  <c r="L37" i="109"/>
  <c r="K37" i="109"/>
  <c r="L36" i="109"/>
  <c r="K36" i="109"/>
  <c r="L35" i="109"/>
  <c r="K35" i="109"/>
  <c r="L34" i="109"/>
  <c r="K34" i="109"/>
  <c r="L33" i="109"/>
  <c r="K33" i="109"/>
  <c r="L32" i="109"/>
  <c r="K32" i="109"/>
  <c r="L31" i="109"/>
  <c r="K31" i="109"/>
  <c r="L30" i="109"/>
  <c r="K30" i="109"/>
  <c r="L29" i="109"/>
  <c r="K29" i="109"/>
  <c r="L28" i="109"/>
  <c r="K28" i="109"/>
  <c r="L27" i="109"/>
  <c r="K27" i="109"/>
  <c r="L26" i="109"/>
  <c r="K26" i="109"/>
  <c r="L25" i="109"/>
  <c r="K25" i="109"/>
  <c r="K24" i="109"/>
  <c r="L72" i="110"/>
  <c r="K72" i="110"/>
  <c r="L71" i="110"/>
  <c r="K71" i="110"/>
  <c r="L70" i="110"/>
  <c r="K70" i="110"/>
  <c r="L69" i="110"/>
  <c r="K69" i="110"/>
  <c r="L68" i="110"/>
  <c r="K68" i="110"/>
  <c r="L67" i="110"/>
  <c r="K67" i="110"/>
  <c r="L66" i="110"/>
  <c r="K66" i="110"/>
  <c r="L65" i="110"/>
  <c r="K65" i="110"/>
  <c r="L64" i="110"/>
  <c r="L63" i="110"/>
  <c r="K63" i="110"/>
  <c r="J63" i="110" s="1"/>
  <c r="L62" i="110"/>
  <c r="K62" i="110"/>
  <c r="J62" i="110" s="1"/>
  <c r="L61" i="110"/>
  <c r="K61" i="110"/>
  <c r="L60" i="110"/>
  <c r="K60" i="110"/>
  <c r="L59" i="110"/>
  <c r="K59" i="110"/>
  <c r="J59" i="110" s="1"/>
  <c r="L58" i="110"/>
  <c r="K58" i="110"/>
  <c r="J58" i="110" s="1"/>
  <c r="L57" i="110"/>
  <c r="K57" i="110"/>
  <c r="L56" i="110"/>
  <c r="K56" i="110"/>
  <c r="L55" i="110"/>
  <c r="K55" i="110"/>
  <c r="J55" i="110" s="1"/>
  <c r="L54" i="110"/>
  <c r="K54" i="110"/>
  <c r="J54" i="110" s="1"/>
  <c r="L53" i="110"/>
  <c r="K53" i="110"/>
  <c r="L52" i="110"/>
  <c r="K52" i="110"/>
  <c r="L51" i="110"/>
  <c r="K51" i="110"/>
  <c r="J51" i="110" s="1"/>
  <c r="L50" i="110"/>
  <c r="K50" i="110"/>
  <c r="J50" i="110" s="1"/>
  <c r="L49" i="110"/>
  <c r="K49" i="110"/>
  <c r="L48" i="110"/>
  <c r="K48" i="110"/>
  <c r="L47" i="110"/>
  <c r="K47" i="110"/>
  <c r="J47" i="110" s="1"/>
  <c r="L46" i="110"/>
  <c r="K46" i="110"/>
  <c r="J46" i="110" s="1"/>
  <c r="L45" i="110"/>
  <c r="K45" i="110"/>
  <c r="L44" i="110"/>
  <c r="K44" i="110"/>
  <c r="L43" i="110"/>
  <c r="K43" i="110"/>
  <c r="J43" i="110" s="1"/>
  <c r="L42" i="110"/>
  <c r="K42" i="110"/>
  <c r="J42" i="110" s="1"/>
  <c r="L41" i="110"/>
  <c r="K41" i="110"/>
  <c r="L40" i="110"/>
  <c r="K40" i="110"/>
  <c r="L39" i="110"/>
  <c r="K39" i="110"/>
  <c r="J39" i="110" s="1"/>
  <c r="L38" i="110"/>
  <c r="K38" i="110"/>
  <c r="L37" i="110"/>
  <c r="K37" i="110"/>
  <c r="L36" i="110"/>
  <c r="K36" i="110"/>
  <c r="J36" i="110" s="1"/>
  <c r="L35" i="110"/>
  <c r="K35" i="110"/>
  <c r="J35" i="110" s="1"/>
  <c r="L34" i="110"/>
  <c r="K34" i="110"/>
  <c r="J34" i="110" s="1"/>
  <c r="L33" i="110"/>
  <c r="K33" i="110"/>
  <c r="L32" i="110"/>
  <c r="K32" i="110"/>
  <c r="J32" i="110" s="1"/>
  <c r="L31" i="110"/>
  <c r="K31" i="110"/>
  <c r="J31" i="110" s="1"/>
  <c r="L30" i="110"/>
  <c r="K30" i="110"/>
  <c r="L29" i="110"/>
  <c r="K29" i="110"/>
  <c r="L28" i="110"/>
  <c r="K28" i="110"/>
  <c r="J28" i="110" s="1"/>
  <c r="L27" i="110"/>
  <c r="K27" i="110"/>
  <c r="J27" i="110" s="1"/>
  <c r="L26" i="110"/>
  <c r="K26" i="110"/>
  <c r="L25" i="110"/>
  <c r="K25" i="110"/>
  <c r="L252" i="111"/>
  <c r="K252" i="111"/>
  <c r="L251" i="111"/>
  <c r="K251" i="111"/>
  <c r="L250" i="111"/>
  <c r="K250" i="111"/>
  <c r="L249" i="111"/>
  <c r="K249" i="111"/>
  <c r="L248" i="111"/>
  <c r="K248" i="111"/>
  <c r="L247" i="111"/>
  <c r="K247" i="111"/>
  <c r="L246" i="111"/>
  <c r="K246" i="111"/>
  <c r="L245" i="111"/>
  <c r="K245" i="111"/>
  <c r="L244" i="111"/>
  <c r="K244" i="111"/>
  <c r="L243" i="111"/>
  <c r="K243" i="111"/>
  <c r="L242" i="111"/>
  <c r="K242" i="111"/>
  <c r="L241" i="111"/>
  <c r="K241" i="111"/>
  <c r="L240" i="111"/>
  <c r="K240" i="111"/>
  <c r="L239" i="111"/>
  <c r="K239" i="111"/>
  <c r="L238" i="111"/>
  <c r="K238" i="111"/>
  <c r="L237" i="111"/>
  <c r="K237" i="111"/>
  <c r="L236" i="111"/>
  <c r="K236" i="111"/>
  <c r="L235" i="111"/>
  <c r="K235" i="111"/>
  <c r="L234" i="111"/>
  <c r="K234" i="111"/>
  <c r="L233" i="111"/>
  <c r="K233" i="111"/>
  <c r="L232" i="111"/>
  <c r="K232" i="111"/>
  <c r="L231" i="111"/>
  <c r="K231" i="111"/>
  <c r="L230" i="111"/>
  <c r="K230" i="111"/>
  <c r="L229" i="111"/>
  <c r="K229" i="111"/>
  <c r="L228" i="111"/>
  <c r="K228" i="111"/>
  <c r="L227" i="111"/>
  <c r="K227" i="111"/>
  <c r="L226" i="111"/>
  <c r="K226" i="111"/>
  <c r="L225" i="111"/>
  <c r="K225" i="111"/>
  <c r="L224" i="111"/>
  <c r="K224" i="111"/>
  <c r="L223" i="111"/>
  <c r="K223" i="111"/>
  <c r="L222" i="111"/>
  <c r="K222" i="111"/>
  <c r="L221" i="111"/>
  <c r="K221" i="111"/>
  <c r="L220" i="111"/>
  <c r="K220" i="111"/>
  <c r="L219" i="111"/>
  <c r="K219" i="111"/>
  <c r="L218" i="111"/>
  <c r="K218" i="111"/>
  <c r="L217" i="111"/>
  <c r="K217" i="111"/>
  <c r="L216" i="111"/>
  <c r="K216" i="111"/>
  <c r="L215" i="111"/>
  <c r="K215" i="111"/>
  <c r="L214" i="111"/>
  <c r="K214" i="111"/>
  <c r="L213" i="111"/>
  <c r="K213" i="111"/>
  <c r="L212" i="111"/>
  <c r="K212" i="111"/>
  <c r="L211" i="111"/>
  <c r="K211" i="111"/>
  <c r="L210" i="111"/>
  <c r="K210" i="111"/>
  <c r="L209" i="111"/>
  <c r="K209" i="111"/>
  <c r="L208" i="111"/>
  <c r="K208" i="111"/>
  <c r="L207" i="111"/>
  <c r="K207" i="111"/>
  <c r="L206" i="111"/>
  <c r="K206" i="111"/>
  <c r="L205" i="111"/>
  <c r="K205" i="111"/>
  <c r="L204" i="111"/>
  <c r="K204" i="111"/>
  <c r="L203" i="111"/>
  <c r="K203" i="111"/>
  <c r="L202" i="111"/>
  <c r="K202" i="111"/>
  <c r="L201" i="111"/>
  <c r="K201" i="111"/>
  <c r="L200" i="111"/>
  <c r="K200" i="111"/>
  <c r="L199" i="111"/>
  <c r="K199" i="111"/>
  <c r="L198" i="111"/>
  <c r="K198" i="111"/>
  <c r="L197" i="111"/>
  <c r="K197" i="111"/>
  <c r="L196" i="111"/>
  <c r="K196" i="111"/>
  <c r="L195" i="111"/>
  <c r="K195" i="111"/>
  <c r="L194" i="111"/>
  <c r="K194" i="111"/>
  <c r="L193" i="111"/>
  <c r="K193" i="111"/>
  <c r="L192" i="111"/>
  <c r="K192" i="111"/>
  <c r="L191" i="111"/>
  <c r="K191" i="111"/>
  <c r="L190" i="111"/>
  <c r="K190" i="111"/>
  <c r="L189" i="111"/>
  <c r="K189" i="111"/>
  <c r="L188" i="111"/>
  <c r="K188" i="111"/>
  <c r="L187" i="111"/>
  <c r="K187" i="111"/>
  <c r="L186" i="111"/>
  <c r="K186" i="111"/>
  <c r="L185" i="111"/>
  <c r="K185" i="111"/>
  <c r="L184" i="111"/>
  <c r="K184" i="111"/>
  <c r="L183" i="111"/>
  <c r="K183" i="111"/>
  <c r="L182" i="111"/>
  <c r="K182" i="111"/>
  <c r="L181" i="111"/>
  <c r="K181" i="111"/>
  <c r="L180" i="111"/>
  <c r="K180" i="111"/>
  <c r="L179" i="111"/>
  <c r="K179" i="111"/>
  <c r="L178" i="111"/>
  <c r="K178" i="111"/>
  <c r="L177" i="111"/>
  <c r="K177" i="111"/>
  <c r="L176" i="111"/>
  <c r="K176" i="111"/>
  <c r="L175" i="111"/>
  <c r="K175" i="111"/>
  <c r="L174" i="111"/>
  <c r="K174" i="111"/>
  <c r="L173" i="111"/>
  <c r="K173" i="111"/>
  <c r="J173" i="111" s="1"/>
  <c r="L172" i="111"/>
  <c r="K172" i="111"/>
  <c r="L171" i="111"/>
  <c r="K171" i="111"/>
  <c r="L170" i="111"/>
  <c r="K170" i="111"/>
  <c r="L169" i="111"/>
  <c r="K169" i="111"/>
  <c r="L168" i="111"/>
  <c r="K168" i="111"/>
  <c r="L167" i="111"/>
  <c r="K167" i="111"/>
  <c r="L166" i="111"/>
  <c r="K166" i="111"/>
  <c r="L165" i="111"/>
  <c r="K165" i="111"/>
  <c r="L164" i="111"/>
  <c r="K164" i="111"/>
  <c r="L163" i="111"/>
  <c r="K163" i="111"/>
  <c r="L162" i="111"/>
  <c r="K162" i="111"/>
  <c r="L161" i="111"/>
  <c r="K161" i="111"/>
  <c r="L160" i="111"/>
  <c r="K160" i="111"/>
  <c r="L159" i="111"/>
  <c r="K159" i="111"/>
  <c r="L158" i="111"/>
  <c r="K158" i="111"/>
  <c r="L157" i="111"/>
  <c r="K157" i="111"/>
  <c r="L156" i="111"/>
  <c r="K156" i="111"/>
  <c r="L155" i="111"/>
  <c r="K155" i="111"/>
  <c r="L154" i="111"/>
  <c r="K154" i="111"/>
  <c r="L153" i="111"/>
  <c r="K153" i="111"/>
  <c r="L152" i="111"/>
  <c r="K152" i="111"/>
  <c r="L151" i="111"/>
  <c r="K151" i="111"/>
  <c r="L150" i="111"/>
  <c r="K150" i="111"/>
  <c r="L149" i="111"/>
  <c r="K149" i="111"/>
  <c r="L148" i="111"/>
  <c r="K148" i="111"/>
  <c r="L147" i="111"/>
  <c r="K147" i="111"/>
  <c r="L146" i="111"/>
  <c r="K146" i="111"/>
  <c r="L145" i="111"/>
  <c r="K145" i="111"/>
  <c r="L144" i="111"/>
  <c r="K144" i="111"/>
  <c r="L143" i="111"/>
  <c r="K143" i="111"/>
  <c r="L142" i="111"/>
  <c r="K142" i="111"/>
  <c r="L141" i="111"/>
  <c r="K141" i="111"/>
  <c r="L140" i="111"/>
  <c r="K140" i="111"/>
  <c r="L139" i="111"/>
  <c r="K139" i="111"/>
  <c r="L138" i="111"/>
  <c r="K138" i="111"/>
  <c r="L137" i="111"/>
  <c r="K137" i="111"/>
  <c r="L136" i="111"/>
  <c r="K136" i="111"/>
  <c r="L135" i="111"/>
  <c r="K135" i="111"/>
  <c r="L134" i="111"/>
  <c r="K134" i="111"/>
  <c r="L133" i="111"/>
  <c r="K133" i="111"/>
  <c r="L132" i="111"/>
  <c r="K132" i="111"/>
  <c r="L131" i="111"/>
  <c r="K131" i="111"/>
  <c r="L130" i="111"/>
  <c r="K130" i="111"/>
  <c r="L129" i="111"/>
  <c r="K129" i="111"/>
  <c r="L128" i="111"/>
  <c r="K128" i="111"/>
  <c r="L127" i="111"/>
  <c r="K127" i="111"/>
  <c r="L126" i="111"/>
  <c r="K126" i="111"/>
  <c r="L125" i="111"/>
  <c r="K125" i="111"/>
  <c r="L124" i="111"/>
  <c r="K124" i="111"/>
  <c r="L123" i="111"/>
  <c r="K123" i="111"/>
  <c r="L122" i="111"/>
  <c r="K122" i="111"/>
  <c r="L121" i="111"/>
  <c r="K121" i="111"/>
  <c r="L120" i="111"/>
  <c r="K120" i="111"/>
  <c r="L119" i="111"/>
  <c r="K119" i="111"/>
  <c r="L118" i="111"/>
  <c r="K118" i="111"/>
  <c r="L117" i="111"/>
  <c r="K117" i="111"/>
  <c r="L116" i="111"/>
  <c r="K116" i="111"/>
  <c r="L115" i="111"/>
  <c r="K115" i="111"/>
  <c r="L114" i="111"/>
  <c r="K114" i="111"/>
  <c r="L113" i="111"/>
  <c r="K113" i="111"/>
  <c r="L112" i="111"/>
  <c r="K112" i="111"/>
  <c r="L111" i="111"/>
  <c r="K111" i="111"/>
  <c r="L110" i="111"/>
  <c r="K110" i="111"/>
  <c r="L109" i="111"/>
  <c r="K109" i="111"/>
  <c r="J109" i="111" s="1"/>
  <c r="L108" i="111"/>
  <c r="K108" i="111"/>
  <c r="L107" i="111"/>
  <c r="K107" i="111"/>
  <c r="L106" i="111"/>
  <c r="K106" i="111"/>
  <c r="L105" i="111"/>
  <c r="K105" i="111"/>
  <c r="L104" i="111"/>
  <c r="K104" i="111"/>
  <c r="L103" i="111"/>
  <c r="K103" i="111"/>
  <c r="L102" i="111"/>
  <c r="K102" i="111"/>
  <c r="L101" i="111"/>
  <c r="K101" i="111"/>
  <c r="L100" i="111"/>
  <c r="K100" i="111"/>
  <c r="L99" i="111"/>
  <c r="K99" i="111"/>
  <c r="L98" i="111"/>
  <c r="K98" i="111"/>
  <c r="L97" i="111"/>
  <c r="K97" i="111"/>
  <c r="L96" i="111"/>
  <c r="K96" i="111"/>
  <c r="L95" i="111"/>
  <c r="K95" i="111"/>
  <c r="L94" i="111"/>
  <c r="K94" i="111"/>
  <c r="L93" i="111"/>
  <c r="K93" i="111"/>
  <c r="L92" i="111"/>
  <c r="K92" i="111"/>
  <c r="L91" i="111"/>
  <c r="K91" i="111"/>
  <c r="L90" i="111"/>
  <c r="K90" i="111"/>
  <c r="L89" i="111"/>
  <c r="K89" i="111"/>
  <c r="L88" i="111"/>
  <c r="K88" i="111"/>
  <c r="L87" i="111"/>
  <c r="K87" i="111"/>
  <c r="L86" i="111"/>
  <c r="K86" i="111"/>
  <c r="L85" i="111"/>
  <c r="K85" i="111"/>
  <c r="L84" i="111"/>
  <c r="K84" i="111"/>
  <c r="L83" i="111"/>
  <c r="K83" i="111"/>
  <c r="L82" i="111"/>
  <c r="K82" i="111"/>
  <c r="L81" i="111"/>
  <c r="K81" i="111"/>
  <c r="L80" i="111"/>
  <c r="K80" i="111"/>
  <c r="L79" i="111"/>
  <c r="K79" i="111"/>
  <c r="L78" i="111"/>
  <c r="K78" i="111"/>
  <c r="L77" i="111"/>
  <c r="K77" i="111"/>
  <c r="L76" i="111"/>
  <c r="K76" i="111"/>
  <c r="L75" i="111"/>
  <c r="K75" i="111"/>
  <c r="L74" i="111"/>
  <c r="K74" i="111"/>
  <c r="L73" i="111"/>
  <c r="K73" i="111"/>
  <c r="L72" i="111"/>
  <c r="K72" i="111"/>
  <c r="L71" i="111"/>
  <c r="K71" i="111"/>
  <c r="L70" i="111"/>
  <c r="K70" i="111"/>
  <c r="L69" i="111"/>
  <c r="K69" i="111"/>
  <c r="L68" i="111"/>
  <c r="K68" i="111"/>
  <c r="L67" i="111"/>
  <c r="K67" i="111"/>
  <c r="L66" i="111"/>
  <c r="K66" i="111"/>
  <c r="L65" i="111"/>
  <c r="K65" i="111"/>
  <c r="L64" i="111"/>
  <c r="K64" i="111"/>
  <c r="L63" i="111"/>
  <c r="K63" i="111"/>
  <c r="L62" i="111"/>
  <c r="K62" i="111"/>
  <c r="L61" i="111"/>
  <c r="K61" i="111"/>
  <c r="L60" i="111"/>
  <c r="K60" i="111"/>
  <c r="L59" i="111"/>
  <c r="K59" i="111"/>
  <c r="L58" i="111"/>
  <c r="K58" i="111"/>
  <c r="L57" i="111"/>
  <c r="K57" i="111"/>
  <c r="L56" i="111"/>
  <c r="K56" i="111"/>
  <c r="L55" i="111"/>
  <c r="K55" i="111"/>
  <c r="L54" i="111"/>
  <c r="K54" i="111"/>
  <c r="L53" i="111"/>
  <c r="K53" i="111"/>
  <c r="L52" i="111"/>
  <c r="K52" i="111"/>
  <c r="L51" i="111"/>
  <c r="K51" i="111"/>
  <c r="L50" i="111"/>
  <c r="K50" i="111"/>
  <c r="L49" i="111"/>
  <c r="K49" i="111"/>
  <c r="L48" i="111"/>
  <c r="K48" i="111"/>
  <c r="L47" i="111"/>
  <c r="K47" i="111"/>
  <c r="L46" i="111"/>
  <c r="K46" i="111"/>
  <c r="L45" i="111"/>
  <c r="K45" i="111"/>
  <c r="L44" i="111"/>
  <c r="K44" i="111"/>
  <c r="L43" i="111"/>
  <c r="K43" i="111"/>
  <c r="L42" i="111"/>
  <c r="K42" i="111"/>
  <c r="L41" i="111"/>
  <c r="K41" i="111"/>
  <c r="L40" i="111"/>
  <c r="K40" i="111"/>
  <c r="L39" i="111"/>
  <c r="K39" i="111"/>
  <c r="L38" i="111"/>
  <c r="K38" i="111"/>
  <c r="L37" i="111"/>
  <c r="K37" i="111"/>
  <c r="L36" i="111"/>
  <c r="K36" i="111"/>
  <c r="L35" i="111"/>
  <c r="K35" i="111"/>
  <c r="L34" i="111"/>
  <c r="K34" i="111"/>
  <c r="L33" i="111"/>
  <c r="K33" i="111"/>
  <c r="L32" i="111"/>
  <c r="K32" i="111"/>
  <c r="L31" i="111"/>
  <c r="K31" i="111"/>
  <c r="L30" i="111"/>
  <c r="K30" i="111"/>
  <c r="L29" i="111"/>
  <c r="K29" i="111"/>
  <c r="L28" i="111"/>
  <c r="K28" i="111"/>
  <c r="L27" i="111"/>
  <c r="K27" i="111"/>
  <c r="L26" i="111"/>
  <c r="K26" i="111"/>
  <c r="L25" i="111"/>
  <c r="K25" i="111"/>
  <c r="L64" i="112"/>
  <c r="K64" i="112"/>
  <c r="L63" i="112"/>
  <c r="K63" i="112"/>
  <c r="L62" i="112"/>
  <c r="K62" i="112"/>
  <c r="L61" i="112"/>
  <c r="K61" i="112"/>
  <c r="L60" i="112"/>
  <c r="K60" i="112"/>
  <c r="L59" i="112"/>
  <c r="K59" i="112"/>
  <c r="L58" i="112"/>
  <c r="K58" i="112"/>
  <c r="L57" i="112"/>
  <c r="K57" i="112"/>
  <c r="L56" i="112"/>
  <c r="K56" i="112"/>
  <c r="L55" i="112"/>
  <c r="K55" i="112"/>
  <c r="L54" i="112"/>
  <c r="K54" i="112"/>
  <c r="L53" i="112"/>
  <c r="K53" i="112"/>
  <c r="L52" i="112"/>
  <c r="K52" i="112"/>
  <c r="L51" i="112"/>
  <c r="K51" i="112"/>
  <c r="L50" i="112"/>
  <c r="K50" i="112"/>
  <c r="L49" i="112"/>
  <c r="K49" i="112"/>
  <c r="L48" i="112"/>
  <c r="K48" i="112"/>
  <c r="L47" i="112"/>
  <c r="K47" i="112"/>
  <c r="L46" i="112"/>
  <c r="K46" i="112"/>
  <c r="L45" i="112"/>
  <c r="K45" i="112"/>
  <c r="L44" i="112"/>
  <c r="K44" i="112"/>
  <c r="L43" i="112"/>
  <c r="K43" i="112"/>
  <c r="L42" i="112"/>
  <c r="K42" i="112"/>
  <c r="L41" i="112"/>
  <c r="K41" i="112"/>
  <c r="L40" i="112"/>
  <c r="K40" i="112"/>
  <c r="L39" i="112"/>
  <c r="K39" i="112"/>
  <c r="L38" i="112"/>
  <c r="K38" i="112"/>
  <c r="L37" i="112"/>
  <c r="K37" i="112"/>
  <c r="L36" i="112"/>
  <c r="K36" i="112"/>
  <c r="L35" i="112"/>
  <c r="K35" i="112"/>
  <c r="L34" i="112"/>
  <c r="K34" i="112"/>
  <c r="L33" i="112"/>
  <c r="K33" i="112"/>
  <c r="L32" i="112"/>
  <c r="K32" i="112"/>
  <c r="L31" i="112"/>
  <c r="K31" i="112"/>
  <c r="L30" i="112"/>
  <c r="K30" i="112"/>
  <c r="L29" i="112"/>
  <c r="K29" i="112"/>
  <c r="L28" i="112"/>
  <c r="K28" i="112"/>
  <c r="L27" i="112"/>
  <c r="K27" i="112"/>
  <c r="L26" i="112"/>
  <c r="K26" i="112"/>
  <c r="L25" i="112"/>
  <c r="K25" i="112"/>
  <c r="L77" i="113"/>
  <c r="K77" i="113"/>
  <c r="L76" i="113"/>
  <c r="K76" i="113"/>
  <c r="L75" i="113"/>
  <c r="K75" i="113"/>
  <c r="L74" i="113"/>
  <c r="K74" i="113"/>
  <c r="L73" i="113"/>
  <c r="K73" i="113"/>
  <c r="L72" i="113"/>
  <c r="K72" i="113"/>
  <c r="L71" i="113"/>
  <c r="K71" i="113"/>
  <c r="L70" i="113"/>
  <c r="K70" i="113"/>
  <c r="L69" i="113"/>
  <c r="K69" i="113"/>
  <c r="L68" i="113"/>
  <c r="K68" i="113"/>
  <c r="L67" i="113"/>
  <c r="K67" i="113"/>
  <c r="L66" i="113"/>
  <c r="K66" i="113"/>
  <c r="L65" i="113"/>
  <c r="K65" i="113"/>
  <c r="L64" i="113"/>
  <c r="K64" i="113"/>
  <c r="L63" i="113"/>
  <c r="K63" i="113"/>
  <c r="L62" i="113"/>
  <c r="K62" i="113"/>
  <c r="L61" i="113"/>
  <c r="K61" i="113"/>
  <c r="L60" i="113"/>
  <c r="K60" i="113"/>
  <c r="L59" i="113"/>
  <c r="K59" i="113"/>
  <c r="L58" i="113"/>
  <c r="K58" i="113"/>
  <c r="L57" i="113"/>
  <c r="K57" i="113"/>
  <c r="L56" i="113"/>
  <c r="K56" i="113"/>
  <c r="L55" i="113"/>
  <c r="K55" i="113"/>
  <c r="L54" i="113"/>
  <c r="K54" i="113"/>
  <c r="L53" i="113"/>
  <c r="K53" i="113"/>
  <c r="L52" i="113"/>
  <c r="K52" i="113"/>
  <c r="L51" i="113"/>
  <c r="K51" i="113"/>
  <c r="L50" i="113"/>
  <c r="K50" i="113"/>
  <c r="L49" i="113"/>
  <c r="K49" i="113"/>
  <c r="L48" i="113"/>
  <c r="K48" i="113"/>
  <c r="L47" i="113"/>
  <c r="K47" i="113"/>
  <c r="L46" i="113"/>
  <c r="K46" i="113"/>
  <c r="L45" i="113"/>
  <c r="K45" i="113"/>
  <c r="L44" i="113"/>
  <c r="K44" i="113"/>
  <c r="L43" i="113"/>
  <c r="K43" i="113"/>
  <c r="L42" i="113"/>
  <c r="K42" i="113"/>
  <c r="L41" i="113"/>
  <c r="K41" i="113"/>
  <c r="L40" i="113"/>
  <c r="K40" i="113"/>
  <c r="L39" i="113"/>
  <c r="K39" i="113"/>
  <c r="L38" i="113"/>
  <c r="K38" i="113"/>
  <c r="L37" i="113"/>
  <c r="K37" i="113"/>
  <c r="L36" i="113"/>
  <c r="K36" i="113"/>
  <c r="L35" i="113"/>
  <c r="K35" i="113"/>
  <c r="L34" i="113"/>
  <c r="K34" i="113"/>
  <c r="L33" i="113"/>
  <c r="K33" i="113"/>
  <c r="L32" i="113"/>
  <c r="K32" i="113"/>
  <c r="L31" i="113"/>
  <c r="K31" i="113"/>
  <c r="L30" i="113"/>
  <c r="K30" i="113"/>
  <c r="L29" i="113"/>
  <c r="K29" i="113"/>
  <c r="L28" i="113"/>
  <c r="K28" i="113"/>
  <c r="L27" i="113"/>
  <c r="K27" i="113"/>
  <c r="L26" i="113"/>
  <c r="K26" i="113"/>
  <c r="L25" i="113"/>
  <c r="K25" i="113"/>
  <c r="L79" i="114"/>
  <c r="K79" i="114"/>
  <c r="L78" i="114"/>
  <c r="K78" i="114"/>
  <c r="L77" i="114"/>
  <c r="K77" i="114"/>
  <c r="L76" i="114"/>
  <c r="K76" i="114"/>
  <c r="L75" i="114"/>
  <c r="K75" i="114"/>
  <c r="L74" i="114"/>
  <c r="K74" i="114"/>
  <c r="L73" i="114"/>
  <c r="K73" i="114"/>
  <c r="L72" i="114"/>
  <c r="K72" i="114"/>
  <c r="L71" i="114"/>
  <c r="K71" i="114"/>
  <c r="L70" i="114"/>
  <c r="K70" i="114"/>
  <c r="L69" i="114"/>
  <c r="K69" i="114"/>
  <c r="L68" i="114"/>
  <c r="K68" i="114"/>
  <c r="L67" i="114"/>
  <c r="K67" i="114"/>
  <c r="L66" i="114"/>
  <c r="K66" i="114"/>
  <c r="L65" i="114"/>
  <c r="K65" i="114"/>
  <c r="L64" i="114"/>
  <c r="K64" i="114"/>
  <c r="L63" i="114"/>
  <c r="K63" i="114"/>
  <c r="L62" i="114"/>
  <c r="K62" i="114"/>
  <c r="L61" i="114"/>
  <c r="K61" i="114"/>
  <c r="L60" i="114"/>
  <c r="K60" i="114"/>
  <c r="L59" i="114"/>
  <c r="K59" i="114"/>
  <c r="L58" i="114"/>
  <c r="K58" i="114"/>
  <c r="L57" i="114"/>
  <c r="K57" i="114"/>
  <c r="L56" i="114"/>
  <c r="K56" i="114"/>
  <c r="L55" i="114"/>
  <c r="K55" i="114"/>
  <c r="L54" i="114"/>
  <c r="K54" i="114"/>
  <c r="L53" i="114"/>
  <c r="K53" i="114"/>
  <c r="L52" i="114"/>
  <c r="K52" i="114"/>
  <c r="L51" i="114"/>
  <c r="K51" i="114"/>
  <c r="L50" i="114"/>
  <c r="K50" i="114"/>
  <c r="L49" i="114"/>
  <c r="K49" i="114"/>
  <c r="L48" i="114"/>
  <c r="K48" i="114"/>
  <c r="L47" i="114"/>
  <c r="K47" i="114"/>
  <c r="L46" i="114"/>
  <c r="K46" i="114"/>
  <c r="L45" i="114"/>
  <c r="K45" i="114"/>
  <c r="L44" i="114"/>
  <c r="K44" i="114"/>
  <c r="L43" i="114"/>
  <c r="K43" i="114"/>
  <c r="L42" i="114"/>
  <c r="K42" i="114"/>
  <c r="L41" i="114"/>
  <c r="K41" i="114"/>
  <c r="L40" i="114"/>
  <c r="K40" i="114"/>
  <c r="L39" i="114"/>
  <c r="K39" i="114"/>
  <c r="L38" i="114"/>
  <c r="K38" i="114"/>
  <c r="L37" i="114"/>
  <c r="K37" i="114"/>
  <c r="L36" i="114"/>
  <c r="K36" i="114"/>
  <c r="L35" i="114"/>
  <c r="K35" i="114"/>
  <c r="L34" i="114"/>
  <c r="K34" i="114"/>
  <c r="L33" i="114"/>
  <c r="K33" i="114"/>
  <c r="L32" i="114"/>
  <c r="K32" i="114"/>
  <c r="L31" i="114"/>
  <c r="K31" i="114"/>
  <c r="L30" i="114"/>
  <c r="K30" i="114"/>
  <c r="L29" i="114"/>
  <c r="K29" i="114"/>
  <c r="L28" i="114"/>
  <c r="K28" i="114"/>
  <c r="L27" i="114"/>
  <c r="K27" i="114"/>
  <c r="L26" i="114"/>
  <c r="K26" i="114"/>
  <c r="L25" i="114"/>
  <c r="K25" i="114"/>
  <c r="L79" i="115"/>
  <c r="K79" i="115"/>
  <c r="L71" i="115"/>
  <c r="K71" i="115"/>
  <c r="L70" i="115"/>
  <c r="K70" i="115"/>
  <c r="L69" i="115"/>
  <c r="K69" i="115"/>
  <c r="L68" i="115"/>
  <c r="K68" i="115"/>
  <c r="L67" i="115"/>
  <c r="K67" i="115"/>
  <c r="L66" i="115"/>
  <c r="K66" i="115"/>
  <c r="L65" i="115"/>
  <c r="K65" i="115"/>
  <c r="L64" i="115"/>
  <c r="K64" i="115"/>
  <c r="L63" i="115"/>
  <c r="K63" i="115"/>
  <c r="L62" i="115"/>
  <c r="K62" i="115"/>
  <c r="L61" i="115"/>
  <c r="K61" i="115"/>
  <c r="L60" i="115"/>
  <c r="K60" i="115"/>
  <c r="L59" i="115"/>
  <c r="K59" i="115"/>
  <c r="L58" i="115"/>
  <c r="K58" i="115"/>
  <c r="L57" i="115"/>
  <c r="K57" i="115"/>
  <c r="L56" i="115"/>
  <c r="K56" i="115"/>
  <c r="L55" i="115"/>
  <c r="K55" i="115"/>
  <c r="L54" i="115"/>
  <c r="K54" i="115"/>
  <c r="L53" i="115"/>
  <c r="K53" i="115"/>
  <c r="L52" i="115"/>
  <c r="K52" i="115"/>
  <c r="L51" i="115"/>
  <c r="K51" i="115"/>
  <c r="L50" i="115"/>
  <c r="K50" i="115"/>
  <c r="L49" i="115"/>
  <c r="K49" i="115"/>
  <c r="L48" i="115"/>
  <c r="K48" i="115"/>
  <c r="L47" i="115"/>
  <c r="K47" i="115"/>
  <c r="L46" i="115"/>
  <c r="K46" i="115"/>
  <c r="L45" i="115"/>
  <c r="K45" i="115"/>
  <c r="L44" i="115"/>
  <c r="K44" i="115"/>
  <c r="L43" i="115"/>
  <c r="K43" i="115"/>
  <c r="L42" i="115"/>
  <c r="K42" i="115"/>
  <c r="L41" i="115"/>
  <c r="K41" i="115"/>
  <c r="L40" i="115"/>
  <c r="K40" i="115"/>
  <c r="L39" i="115"/>
  <c r="K39" i="115"/>
  <c r="L38" i="115"/>
  <c r="K38" i="115"/>
  <c r="L37" i="115"/>
  <c r="K37" i="115"/>
  <c r="L36" i="115"/>
  <c r="K36" i="115"/>
  <c r="L35" i="115"/>
  <c r="K35" i="115"/>
  <c r="L34" i="115"/>
  <c r="K34" i="115"/>
  <c r="L33" i="115"/>
  <c r="K33" i="115"/>
  <c r="L32" i="115"/>
  <c r="K32" i="115"/>
  <c r="L31" i="115"/>
  <c r="K31" i="115"/>
  <c r="L30" i="115"/>
  <c r="K30" i="115"/>
  <c r="L29" i="115"/>
  <c r="K29" i="115"/>
  <c r="L28" i="115"/>
  <c r="K28" i="115"/>
  <c r="L27" i="115"/>
  <c r="K27" i="115"/>
  <c r="L26" i="115"/>
  <c r="K26" i="115"/>
  <c r="L25" i="115"/>
  <c r="K25" i="115"/>
  <c r="L96" i="116"/>
  <c r="K96" i="116"/>
  <c r="L95" i="116"/>
  <c r="K95" i="116"/>
  <c r="L94" i="116"/>
  <c r="K94" i="116"/>
  <c r="L93" i="116"/>
  <c r="K93" i="116"/>
  <c r="L92" i="116"/>
  <c r="K92" i="116"/>
  <c r="L91" i="116"/>
  <c r="K91" i="116"/>
  <c r="L90" i="116"/>
  <c r="K90" i="116"/>
  <c r="L89" i="116"/>
  <c r="K89" i="116"/>
  <c r="L82" i="116"/>
  <c r="K82" i="116"/>
  <c r="L81" i="116"/>
  <c r="K81" i="116"/>
  <c r="L80" i="116"/>
  <c r="K80" i="116"/>
  <c r="L79" i="116"/>
  <c r="K79" i="116"/>
  <c r="J79" i="116" s="1"/>
  <c r="L78" i="116"/>
  <c r="K78" i="116"/>
  <c r="L77" i="116"/>
  <c r="K77" i="116"/>
  <c r="L76" i="116"/>
  <c r="K76" i="116"/>
  <c r="L75" i="116"/>
  <c r="K75" i="116"/>
  <c r="J75" i="116" s="1"/>
  <c r="L74" i="116"/>
  <c r="K74" i="116"/>
  <c r="L73" i="116"/>
  <c r="K73" i="116"/>
  <c r="L72" i="116"/>
  <c r="K72" i="116"/>
  <c r="L71" i="116"/>
  <c r="K71" i="116"/>
  <c r="J71" i="116" s="1"/>
  <c r="L70" i="116"/>
  <c r="K70" i="116"/>
  <c r="L69" i="116"/>
  <c r="K69" i="116"/>
  <c r="L68" i="116"/>
  <c r="K68" i="116"/>
  <c r="L67" i="116"/>
  <c r="K67" i="116"/>
  <c r="L66" i="116"/>
  <c r="K66" i="116"/>
  <c r="L65" i="116"/>
  <c r="K65" i="116"/>
  <c r="L64" i="116"/>
  <c r="K64" i="116"/>
  <c r="L63" i="116"/>
  <c r="K63" i="116"/>
  <c r="J63" i="116" s="1"/>
  <c r="L62" i="116"/>
  <c r="K62" i="116"/>
  <c r="L61" i="116"/>
  <c r="K61" i="116"/>
  <c r="L60" i="116"/>
  <c r="K60" i="116"/>
  <c r="L59" i="116"/>
  <c r="K59" i="116"/>
  <c r="J59" i="116" s="1"/>
  <c r="L58" i="116"/>
  <c r="K58" i="116"/>
  <c r="L57" i="116"/>
  <c r="K57" i="116"/>
  <c r="L56" i="116"/>
  <c r="K56" i="116"/>
  <c r="L55" i="116"/>
  <c r="K55" i="116"/>
  <c r="J55" i="116" s="1"/>
  <c r="L54" i="116"/>
  <c r="K54" i="116"/>
  <c r="L53" i="116"/>
  <c r="K53" i="116"/>
  <c r="L52" i="116"/>
  <c r="K52" i="116"/>
  <c r="L51" i="116"/>
  <c r="K51" i="116"/>
  <c r="L50" i="116"/>
  <c r="K50" i="116"/>
  <c r="L49" i="116"/>
  <c r="K49" i="116"/>
  <c r="L48" i="116"/>
  <c r="K48" i="116"/>
  <c r="L47" i="116"/>
  <c r="K47" i="116"/>
  <c r="J47" i="116" s="1"/>
  <c r="L46" i="116"/>
  <c r="K46" i="116"/>
  <c r="L45" i="116"/>
  <c r="K45" i="116"/>
  <c r="L44" i="116"/>
  <c r="K44" i="116"/>
  <c r="L43" i="116"/>
  <c r="K43" i="116"/>
  <c r="J43" i="116" s="1"/>
  <c r="L42" i="116"/>
  <c r="K42" i="116"/>
  <c r="L41" i="116"/>
  <c r="K41" i="116"/>
  <c r="L40" i="116"/>
  <c r="K40" i="116"/>
  <c r="L39" i="116"/>
  <c r="K39" i="116"/>
  <c r="J39" i="116" s="1"/>
  <c r="L38" i="116"/>
  <c r="K38" i="116"/>
  <c r="L37" i="116"/>
  <c r="K37" i="116"/>
  <c r="L36" i="116"/>
  <c r="K36" i="116"/>
  <c r="L35" i="116"/>
  <c r="K35" i="116"/>
  <c r="J35" i="116" s="1"/>
  <c r="L34" i="116"/>
  <c r="K34" i="116"/>
  <c r="L33" i="116"/>
  <c r="K33" i="116"/>
  <c r="L32" i="116"/>
  <c r="K32" i="116"/>
  <c r="L31" i="116"/>
  <c r="K31" i="116"/>
  <c r="J31" i="116" s="1"/>
  <c r="L30" i="116"/>
  <c r="K30" i="116"/>
  <c r="L29" i="116"/>
  <c r="K29" i="116"/>
  <c r="L28" i="116"/>
  <c r="K28" i="116"/>
  <c r="L27" i="116"/>
  <c r="K27" i="116"/>
  <c r="J27" i="116" s="1"/>
  <c r="L26" i="116"/>
  <c r="K26" i="116"/>
  <c r="L25" i="116"/>
  <c r="K25" i="116"/>
  <c r="L80" i="117"/>
  <c r="K80" i="117"/>
  <c r="L79" i="117"/>
  <c r="K79" i="117"/>
  <c r="L78" i="117"/>
  <c r="K78" i="117"/>
  <c r="L77" i="117"/>
  <c r="K77" i="117"/>
  <c r="L76" i="117"/>
  <c r="K76" i="117"/>
  <c r="L75" i="117"/>
  <c r="K75" i="117"/>
  <c r="L74" i="117"/>
  <c r="K74" i="117"/>
  <c r="L73" i="117"/>
  <c r="K73" i="117"/>
  <c r="L72" i="117"/>
  <c r="K72" i="117"/>
  <c r="L71" i="117"/>
  <c r="K71" i="117"/>
  <c r="L70" i="117"/>
  <c r="K70" i="117"/>
  <c r="L69" i="117"/>
  <c r="K69" i="117"/>
  <c r="L68" i="117"/>
  <c r="K68" i="117"/>
  <c r="L67" i="117"/>
  <c r="K67" i="117"/>
  <c r="L66" i="117"/>
  <c r="K66" i="117"/>
  <c r="L65" i="117"/>
  <c r="K65" i="117"/>
  <c r="L64" i="117"/>
  <c r="K64" i="117"/>
  <c r="L63" i="117"/>
  <c r="K63" i="117"/>
  <c r="L62" i="117"/>
  <c r="K62" i="117"/>
  <c r="L61" i="117"/>
  <c r="K61" i="117"/>
  <c r="L60" i="117"/>
  <c r="K60" i="117"/>
  <c r="L59" i="117"/>
  <c r="K59" i="117"/>
  <c r="L58" i="117"/>
  <c r="K58" i="117"/>
  <c r="L57" i="117"/>
  <c r="K57" i="117"/>
  <c r="L56" i="117"/>
  <c r="K56" i="117"/>
  <c r="L55" i="117"/>
  <c r="K55" i="117"/>
  <c r="L54" i="117"/>
  <c r="K54" i="117"/>
  <c r="L53" i="117"/>
  <c r="K53" i="117"/>
  <c r="L52" i="117"/>
  <c r="K52" i="117"/>
  <c r="L51" i="117"/>
  <c r="K51" i="117"/>
  <c r="L50" i="117"/>
  <c r="K50" i="117"/>
  <c r="L49" i="117"/>
  <c r="K49" i="117"/>
  <c r="L48" i="117"/>
  <c r="K48" i="117"/>
  <c r="L47" i="117"/>
  <c r="K47" i="117"/>
  <c r="L46" i="117"/>
  <c r="K46" i="117"/>
  <c r="L45" i="117"/>
  <c r="K45" i="117"/>
  <c r="L44" i="117"/>
  <c r="K44" i="117"/>
  <c r="L43" i="117"/>
  <c r="K43" i="117"/>
  <c r="L42" i="117"/>
  <c r="K42" i="117"/>
  <c r="L40" i="117"/>
  <c r="K40" i="117"/>
  <c r="L39" i="117"/>
  <c r="K39" i="117"/>
  <c r="L38" i="117"/>
  <c r="K38" i="117"/>
  <c r="L37" i="117"/>
  <c r="K37" i="117"/>
  <c r="L36" i="117"/>
  <c r="K36" i="117"/>
  <c r="L35" i="117"/>
  <c r="K35" i="117"/>
  <c r="L34" i="117"/>
  <c r="K34" i="117"/>
  <c r="L33" i="117"/>
  <c r="K33" i="117"/>
  <c r="L32" i="117"/>
  <c r="K32" i="117"/>
  <c r="L31" i="117"/>
  <c r="K31" i="117"/>
  <c r="L30" i="117"/>
  <c r="K30" i="117"/>
  <c r="L29" i="117"/>
  <c r="K29" i="117"/>
  <c r="L28" i="117"/>
  <c r="K28" i="117"/>
  <c r="L27" i="117"/>
  <c r="K27" i="117"/>
  <c r="L26" i="117"/>
  <c r="K26" i="117"/>
  <c r="L25" i="117"/>
  <c r="K25" i="117"/>
  <c r="L73" i="118"/>
  <c r="K73" i="118"/>
  <c r="L72" i="118"/>
  <c r="K72" i="118"/>
  <c r="L71" i="118"/>
  <c r="K71" i="118"/>
  <c r="L70" i="118"/>
  <c r="K70" i="118"/>
  <c r="L69" i="118"/>
  <c r="K69" i="118"/>
  <c r="L68" i="118"/>
  <c r="K68" i="118"/>
  <c r="L67" i="118"/>
  <c r="K67" i="118"/>
  <c r="L66" i="118"/>
  <c r="K66" i="118"/>
  <c r="L65" i="118"/>
  <c r="K65" i="118"/>
  <c r="L64" i="118"/>
  <c r="K64" i="118"/>
  <c r="L63" i="118"/>
  <c r="K63" i="118"/>
  <c r="L62" i="118"/>
  <c r="K62" i="118"/>
  <c r="L61" i="118"/>
  <c r="K61" i="118"/>
  <c r="L60" i="118"/>
  <c r="K60" i="118"/>
  <c r="L59" i="118"/>
  <c r="K59" i="118"/>
  <c r="L58" i="118"/>
  <c r="K58" i="118"/>
  <c r="L57" i="118"/>
  <c r="K57" i="118"/>
  <c r="L56" i="118"/>
  <c r="K56" i="118"/>
  <c r="L55" i="118"/>
  <c r="K55" i="118"/>
  <c r="L54" i="118"/>
  <c r="K54" i="118"/>
  <c r="L53" i="118"/>
  <c r="K53" i="118"/>
  <c r="L52" i="118"/>
  <c r="K52" i="118"/>
  <c r="L51" i="118"/>
  <c r="K51" i="118"/>
  <c r="J51" i="118" s="1"/>
  <c r="L50" i="118"/>
  <c r="K50" i="118"/>
  <c r="L49" i="118"/>
  <c r="K49" i="118"/>
  <c r="L48" i="118"/>
  <c r="K48" i="118"/>
  <c r="L47" i="118"/>
  <c r="K47" i="118"/>
  <c r="L46" i="118"/>
  <c r="K46" i="118"/>
  <c r="L45" i="118"/>
  <c r="K45" i="118"/>
  <c r="L44" i="118"/>
  <c r="K44" i="118"/>
  <c r="L43" i="118"/>
  <c r="K43" i="118"/>
  <c r="L42" i="118"/>
  <c r="K42" i="118"/>
  <c r="L41" i="118"/>
  <c r="K41" i="118"/>
  <c r="L40" i="118"/>
  <c r="K40" i="118"/>
  <c r="L39" i="118"/>
  <c r="K39" i="118"/>
  <c r="L38" i="118"/>
  <c r="K38" i="118"/>
  <c r="L37" i="118"/>
  <c r="K37" i="118"/>
  <c r="L36" i="118"/>
  <c r="K36" i="118"/>
  <c r="L35" i="118"/>
  <c r="K35" i="118"/>
  <c r="L34" i="118"/>
  <c r="K34" i="118"/>
  <c r="L33" i="118"/>
  <c r="K33" i="118"/>
  <c r="L32" i="118"/>
  <c r="K32" i="118"/>
  <c r="L31" i="118"/>
  <c r="K31" i="118"/>
  <c r="L30" i="118"/>
  <c r="K30" i="118"/>
  <c r="L29" i="118"/>
  <c r="K29" i="118"/>
  <c r="L28" i="118"/>
  <c r="K28" i="118"/>
  <c r="L27" i="118"/>
  <c r="K27" i="118"/>
  <c r="L26" i="118"/>
  <c r="K26" i="118"/>
  <c r="L25" i="118"/>
  <c r="K25" i="118"/>
  <c r="L90" i="119"/>
  <c r="K90" i="119"/>
  <c r="L89" i="119"/>
  <c r="K89" i="119"/>
  <c r="L88" i="119"/>
  <c r="K88" i="119"/>
  <c r="L87" i="119"/>
  <c r="K87" i="119"/>
  <c r="L86" i="119"/>
  <c r="K86" i="119"/>
  <c r="L85" i="119"/>
  <c r="K85" i="119"/>
  <c r="L84" i="119"/>
  <c r="K84" i="119"/>
  <c r="L83" i="119"/>
  <c r="K83" i="119"/>
  <c r="L82" i="119"/>
  <c r="K82" i="119"/>
  <c r="L81" i="119"/>
  <c r="K81" i="119"/>
  <c r="L80" i="119"/>
  <c r="K80" i="119"/>
  <c r="L79" i="119"/>
  <c r="K79" i="119"/>
  <c r="L78" i="119"/>
  <c r="K78" i="119"/>
  <c r="L77" i="119"/>
  <c r="K77" i="119"/>
  <c r="L76" i="119"/>
  <c r="K76" i="119"/>
  <c r="L75" i="119"/>
  <c r="K75" i="119"/>
  <c r="L74" i="119"/>
  <c r="K74" i="119"/>
  <c r="L73" i="119"/>
  <c r="K73" i="119"/>
  <c r="L72" i="119"/>
  <c r="K72" i="119"/>
  <c r="L71" i="119"/>
  <c r="K71" i="119"/>
  <c r="L70" i="119"/>
  <c r="K70" i="119"/>
  <c r="L69" i="119"/>
  <c r="K69" i="119"/>
  <c r="L68" i="119"/>
  <c r="K68" i="119"/>
  <c r="L67" i="119"/>
  <c r="K67" i="119"/>
  <c r="L66" i="119"/>
  <c r="K66" i="119"/>
  <c r="L65" i="119"/>
  <c r="K65" i="119"/>
  <c r="L64" i="119"/>
  <c r="K64" i="119"/>
  <c r="L63" i="119"/>
  <c r="K63" i="119"/>
  <c r="L62" i="119"/>
  <c r="K62" i="119"/>
  <c r="L61" i="119"/>
  <c r="K61" i="119"/>
  <c r="L60" i="119"/>
  <c r="K60" i="119"/>
  <c r="L59" i="119"/>
  <c r="K59" i="119"/>
  <c r="L58" i="119"/>
  <c r="K58" i="119"/>
  <c r="L57" i="119"/>
  <c r="K57" i="119"/>
  <c r="L56" i="119"/>
  <c r="K56" i="119"/>
  <c r="L55" i="119"/>
  <c r="K55" i="119"/>
  <c r="L54" i="119"/>
  <c r="K54" i="119"/>
  <c r="L53" i="119"/>
  <c r="K53" i="119"/>
  <c r="L52" i="119"/>
  <c r="K52" i="119"/>
  <c r="L51" i="119"/>
  <c r="K51" i="119"/>
  <c r="L50" i="119"/>
  <c r="K50" i="119"/>
  <c r="L49" i="119"/>
  <c r="K49" i="119"/>
  <c r="L48" i="119"/>
  <c r="K48" i="119"/>
  <c r="L47" i="119"/>
  <c r="K47" i="119"/>
  <c r="L46" i="119"/>
  <c r="K46" i="119"/>
  <c r="L45" i="119"/>
  <c r="K45" i="119"/>
  <c r="L44" i="119"/>
  <c r="K44" i="119"/>
  <c r="L43" i="119"/>
  <c r="K43" i="119"/>
  <c r="L42" i="119"/>
  <c r="K42" i="119"/>
  <c r="L41" i="119"/>
  <c r="K41" i="119"/>
  <c r="L40" i="119"/>
  <c r="K40" i="119"/>
  <c r="L39" i="119"/>
  <c r="K39" i="119"/>
  <c r="L38" i="119"/>
  <c r="K38" i="119"/>
  <c r="L37" i="119"/>
  <c r="K37" i="119"/>
  <c r="L36" i="119"/>
  <c r="K36" i="119"/>
  <c r="L35" i="119"/>
  <c r="K35" i="119"/>
  <c r="L34" i="119"/>
  <c r="K34" i="119"/>
  <c r="L33" i="119"/>
  <c r="K33" i="119"/>
  <c r="L32" i="119"/>
  <c r="K32" i="119"/>
  <c r="L31" i="119"/>
  <c r="K31" i="119"/>
  <c r="L30" i="119"/>
  <c r="K30" i="119"/>
  <c r="L29" i="119"/>
  <c r="K29" i="119"/>
  <c r="L28" i="119"/>
  <c r="K28" i="119"/>
  <c r="L27" i="119"/>
  <c r="K27" i="119"/>
  <c r="L26" i="119"/>
  <c r="K26" i="119"/>
  <c r="L25" i="119"/>
  <c r="K25" i="119"/>
  <c r="L86" i="120"/>
  <c r="K86" i="120"/>
  <c r="L80" i="120"/>
  <c r="K80" i="120"/>
  <c r="L79" i="120"/>
  <c r="K79" i="120"/>
  <c r="L78" i="120"/>
  <c r="K78" i="120"/>
  <c r="L77" i="120"/>
  <c r="K77" i="120"/>
  <c r="L76" i="120"/>
  <c r="K76" i="120"/>
  <c r="L75" i="120"/>
  <c r="K75" i="120"/>
  <c r="L74" i="120"/>
  <c r="K74" i="120"/>
  <c r="L73" i="120"/>
  <c r="K73" i="120"/>
  <c r="L72" i="120"/>
  <c r="K72" i="120"/>
  <c r="L71" i="120"/>
  <c r="K71" i="120"/>
  <c r="L70" i="120"/>
  <c r="K70" i="120"/>
  <c r="L69" i="120"/>
  <c r="K69" i="120"/>
  <c r="L68" i="120"/>
  <c r="K68" i="120"/>
  <c r="L67" i="120"/>
  <c r="K67" i="120"/>
  <c r="L66" i="120"/>
  <c r="K66" i="120"/>
  <c r="L65" i="120"/>
  <c r="K65" i="120"/>
  <c r="L64" i="120"/>
  <c r="K64" i="120"/>
  <c r="L63" i="120"/>
  <c r="K63" i="120"/>
  <c r="L62" i="120"/>
  <c r="K62" i="120"/>
  <c r="L61" i="120"/>
  <c r="K61" i="120"/>
  <c r="L60" i="120"/>
  <c r="K60" i="120"/>
  <c r="L59" i="120"/>
  <c r="K59" i="120"/>
  <c r="L58" i="120"/>
  <c r="K58" i="120"/>
  <c r="L57" i="120"/>
  <c r="K57" i="120"/>
  <c r="L56" i="120"/>
  <c r="K56" i="120"/>
  <c r="L55" i="120"/>
  <c r="K55" i="120"/>
  <c r="L53" i="120"/>
  <c r="K53" i="120"/>
  <c r="L52" i="120"/>
  <c r="K52" i="120"/>
  <c r="L51" i="120"/>
  <c r="K51" i="120"/>
  <c r="L50" i="120"/>
  <c r="K50" i="120"/>
  <c r="L49" i="120"/>
  <c r="K49" i="120"/>
  <c r="L48" i="120"/>
  <c r="K48" i="120"/>
  <c r="L47" i="120"/>
  <c r="K47" i="120"/>
  <c r="L46" i="120"/>
  <c r="K46" i="120"/>
  <c r="L45" i="120"/>
  <c r="K45" i="120"/>
  <c r="L44" i="120"/>
  <c r="K44" i="120"/>
  <c r="L43" i="120"/>
  <c r="K43" i="120"/>
  <c r="L42" i="120"/>
  <c r="K42" i="120"/>
  <c r="L41" i="120"/>
  <c r="K41" i="120"/>
  <c r="L40" i="120"/>
  <c r="K40" i="120"/>
  <c r="L39" i="120"/>
  <c r="K39" i="120"/>
  <c r="L38" i="120"/>
  <c r="K38" i="120"/>
  <c r="L37" i="120"/>
  <c r="K37" i="120"/>
  <c r="L36" i="120"/>
  <c r="K36" i="120"/>
  <c r="L35" i="120"/>
  <c r="K35" i="120"/>
  <c r="L34" i="120"/>
  <c r="K34" i="120"/>
  <c r="L33" i="120"/>
  <c r="K33" i="120"/>
  <c r="L32" i="120"/>
  <c r="K32" i="120"/>
  <c r="L31" i="120"/>
  <c r="K31" i="120"/>
  <c r="L30" i="120"/>
  <c r="K30" i="120"/>
  <c r="L29" i="120"/>
  <c r="K29" i="120"/>
  <c r="L28" i="120"/>
  <c r="K28" i="120"/>
  <c r="L27" i="120"/>
  <c r="K27" i="120"/>
  <c r="L26" i="120"/>
  <c r="K26" i="120"/>
  <c r="L25" i="120"/>
  <c r="K25" i="120"/>
  <c r="L89" i="121"/>
  <c r="K89" i="121"/>
  <c r="L88" i="121"/>
  <c r="K88" i="121"/>
  <c r="J88" i="121" s="1"/>
  <c r="L87" i="121"/>
  <c r="K87" i="121"/>
  <c r="L86" i="121"/>
  <c r="K86" i="121"/>
  <c r="L85" i="121"/>
  <c r="K85" i="121"/>
  <c r="L84" i="121"/>
  <c r="K84" i="121"/>
  <c r="J84" i="121" s="1"/>
  <c r="L83" i="121"/>
  <c r="K83" i="121"/>
  <c r="L82" i="121"/>
  <c r="K82" i="121"/>
  <c r="L81" i="121"/>
  <c r="K81" i="121"/>
  <c r="L80" i="121"/>
  <c r="K80" i="121"/>
  <c r="J80" i="121" s="1"/>
  <c r="L79" i="121"/>
  <c r="K79" i="121"/>
  <c r="L78" i="121"/>
  <c r="K78" i="121"/>
  <c r="L77" i="121"/>
  <c r="K77" i="121"/>
  <c r="L76" i="121"/>
  <c r="K76" i="121"/>
  <c r="J76" i="121" s="1"/>
  <c r="L75" i="121"/>
  <c r="K75" i="121"/>
  <c r="L74" i="121"/>
  <c r="K74" i="121"/>
  <c r="L72" i="121"/>
  <c r="K72" i="121"/>
  <c r="L71" i="121"/>
  <c r="K71" i="121"/>
  <c r="L70" i="121"/>
  <c r="K70" i="121"/>
  <c r="L69" i="121"/>
  <c r="K69" i="121"/>
  <c r="L68" i="121"/>
  <c r="K68" i="121"/>
  <c r="L67" i="121"/>
  <c r="K67" i="121"/>
  <c r="J67" i="121" s="1"/>
  <c r="L66" i="121"/>
  <c r="K66" i="121"/>
  <c r="L65" i="121"/>
  <c r="K65" i="121"/>
  <c r="L64" i="121"/>
  <c r="K64" i="121"/>
  <c r="L63" i="121"/>
  <c r="K63" i="121"/>
  <c r="J63" i="121" s="1"/>
  <c r="L62" i="121"/>
  <c r="K62" i="121"/>
  <c r="L61" i="121"/>
  <c r="K61" i="121"/>
  <c r="L60" i="121"/>
  <c r="K60" i="121"/>
  <c r="L59" i="121"/>
  <c r="K59" i="121"/>
  <c r="J59" i="121" s="1"/>
  <c r="L58" i="121"/>
  <c r="K58" i="121"/>
  <c r="L57" i="121"/>
  <c r="K57" i="121"/>
  <c r="L56" i="121"/>
  <c r="K56" i="121"/>
  <c r="L55" i="121"/>
  <c r="K55" i="121"/>
  <c r="L54" i="121"/>
  <c r="K54" i="121"/>
  <c r="L53" i="121"/>
  <c r="K53" i="121"/>
  <c r="L52" i="121"/>
  <c r="K52" i="121"/>
  <c r="L51" i="121"/>
  <c r="K51" i="121"/>
  <c r="J51" i="121" s="1"/>
  <c r="L50" i="121"/>
  <c r="K50" i="121"/>
  <c r="L49" i="121"/>
  <c r="K49" i="121"/>
  <c r="L48" i="121"/>
  <c r="K48" i="121"/>
  <c r="L47" i="121"/>
  <c r="K47" i="121"/>
  <c r="J47" i="121" s="1"/>
  <c r="L46" i="121"/>
  <c r="K46" i="121"/>
  <c r="L45" i="121"/>
  <c r="K45" i="121"/>
  <c r="L44" i="121"/>
  <c r="K44" i="121"/>
  <c r="L43" i="121"/>
  <c r="K43" i="121"/>
  <c r="J43" i="121" s="1"/>
  <c r="L42" i="121"/>
  <c r="K42" i="121"/>
  <c r="L41" i="121"/>
  <c r="K41" i="121"/>
  <c r="L40" i="121"/>
  <c r="K40" i="121"/>
  <c r="L39" i="121"/>
  <c r="K39" i="121"/>
  <c r="L38" i="121"/>
  <c r="K38" i="121"/>
  <c r="L37" i="121"/>
  <c r="K37" i="121"/>
  <c r="L36" i="121"/>
  <c r="K36" i="121"/>
  <c r="L35" i="121"/>
  <c r="K35" i="121"/>
  <c r="L34" i="121"/>
  <c r="K34" i="121"/>
  <c r="L33" i="121"/>
  <c r="K33" i="121"/>
  <c r="L32" i="121"/>
  <c r="K32" i="121"/>
  <c r="L31" i="121"/>
  <c r="K31" i="121"/>
  <c r="L30" i="121"/>
  <c r="K30" i="121"/>
  <c r="L29" i="121"/>
  <c r="K29" i="121"/>
  <c r="L28" i="121"/>
  <c r="K28" i="121"/>
  <c r="L27" i="121"/>
  <c r="K27" i="121"/>
  <c r="L26" i="121"/>
  <c r="K26" i="121"/>
  <c r="L25" i="121"/>
  <c r="K25" i="121"/>
  <c r="L99" i="122"/>
  <c r="K99" i="122"/>
  <c r="L98" i="122"/>
  <c r="K98" i="122"/>
  <c r="L97" i="122"/>
  <c r="K97" i="122"/>
  <c r="L96" i="122"/>
  <c r="K96" i="122"/>
  <c r="L95" i="122"/>
  <c r="K95" i="122"/>
  <c r="L94" i="122"/>
  <c r="K94" i="122"/>
  <c r="L93" i="122"/>
  <c r="K93" i="122"/>
  <c r="L92" i="122"/>
  <c r="K92" i="122"/>
  <c r="L91" i="122"/>
  <c r="K91" i="122"/>
  <c r="L90" i="122"/>
  <c r="K90" i="122"/>
  <c r="L89" i="122"/>
  <c r="K89" i="122"/>
  <c r="L88" i="122"/>
  <c r="K88" i="122"/>
  <c r="L87" i="122"/>
  <c r="K87" i="122"/>
  <c r="L86" i="122"/>
  <c r="K86" i="122"/>
  <c r="L85" i="122"/>
  <c r="K85" i="122"/>
  <c r="L84" i="122"/>
  <c r="K84" i="122"/>
  <c r="L83" i="122"/>
  <c r="K83" i="122"/>
  <c r="L82" i="122"/>
  <c r="K82" i="122"/>
  <c r="L81" i="122"/>
  <c r="K81" i="122"/>
  <c r="L80" i="122"/>
  <c r="K80" i="122"/>
  <c r="L79" i="122"/>
  <c r="K79" i="122"/>
  <c r="L78" i="122"/>
  <c r="K78" i="122"/>
  <c r="L77" i="122"/>
  <c r="K77" i="122"/>
  <c r="L76" i="122"/>
  <c r="K76" i="122"/>
  <c r="L75" i="122"/>
  <c r="K75" i="122"/>
  <c r="L74" i="122"/>
  <c r="K74" i="122"/>
  <c r="L73" i="122"/>
  <c r="K73" i="122"/>
  <c r="L72" i="122"/>
  <c r="K72" i="122"/>
  <c r="L71" i="122"/>
  <c r="K71" i="122"/>
  <c r="L70" i="122"/>
  <c r="K70" i="122"/>
  <c r="L69" i="122"/>
  <c r="K69" i="122"/>
  <c r="L68" i="122"/>
  <c r="K68" i="122"/>
  <c r="L67" i="122"/>
  <c r="K67" i="122"/>
  <c r="L66" i="122"/>
  <c r="K66" i="122"/>
  <c r="L65" i="122"/>
  <c r="K65" i="122"/>
  <c r="L64" i="122"/>
  <c r="K64" i="122"/>
  <c r="L63" i="122"/>
  <c r="K63" i="122"/>
  <c r="L62" i="122"/>
  <c r="K62" i="122"/>
  <c r="L61" i="122"/>
  <c r="K61" i="122"/>
  <c r="L60" i="122"/>
  <c r="K60" i="122"/>
  <c r="L59" i="122"/>
  <c r="K59" i="122"/>
  <c r="L58" i="122"/>
  <c r="K58" i="122"/>
  <c r="L57" i="122"/>
  <c r="K57" i="122"/>
  <c r="L56" i="122"/>
  <c r="K56" i="122"/>
  <c r="L55" i="122"/>
  <c r="K55" i="122"/>
  <c r="L54" i="122"/>
  <c r="K54" i="122"/>
  <c r="L53" i="122"/>
  <c r="K53" i="122"/>
  <c r="L52" i="122"/>
  <c r="K52" i="122"/>
  <c r="L51" i="122"/>
  <c r="K51" i="122"/>
  <c r="L50" i="122"/>
  <c r="K50" i="122"/>
  <c r="L49" i="122"/>
  <c r="K49" i="122"/>
  <c r="L48" i="122"/>
  <c r="K48" i="122"/>
  <c r="L47" i="122"/>
  <c r="K47" i="122"/>
  <c r="L46" i="122"/>
  <c r="K46" i="122"/>
  <c r="L45" i="122"/>
  <c r="K45" i="122"/>
  <c r="L44" i="122"/>
  <c r="K44" i="122"/>
  <c r="L43" i="122"/>
  <c r="K43" i="122"/>
  <c r="L42" i="122"/>
  <c r="K42" i="122"/>
  <c r="L41" i="122"/>
  <c r="K41" i="122"/>
  <c r="L40" i="122"/>
  <c r="K40" i="122"/>
  <c r="L39" i="122"/>
  <c r="K39" i="122"/>
  <c r="L38" i="122"/>
  <c r="K38" i="122"/>
  <c r="L37" i="122"/>
  <c r="K37" i="122"/>
  <c r="L36" i="122"/>
  <c r="K36" i="122"/>
  <c r="L35" i="122"/>
  <c r="K35" i="122"/>
  <c r="L34" i="122"/>
  <c r="K34" i="122"/>
  <c r="L33" i="122"/>
  <c r="K33" i="122"/>
  <c r="L32" i="122"/>
  <c r="K32" i="122"/>
  <c r="L31" i="122"/>
  <c r="K31" i="122"/>
  <c r="L30" i="122"/>
  <c r="K30" i="122"/>
  <c r="L29" i="122"/>
  <c r="K29" i="122"/>
  <c r="L28" i="122"/>
  <c r="K28" i="122"/>
  <c r="L27" i="122"/>
  <c r="K27" i="122"/>
  <c r="L26" i="122"/>
  <c r="K26" i="122"/>
  <c r="L25" i="122"/>
  <c r="K25" i="122"/>
  <c r="L87" i="123"/>
  <c r="K87" i="123"/>
  <c r="L86" i="123"/>
  <c r="K86" i="123"/>
  <c r="L85" i="123"/>
  <c r="K85" i="123"/>
  <c r="L84" i="123"/>
  <c r="K84" i="123"/>
  <c r="L83" i="123"/>
  <c r="K83" i="123"/>
  <c r="L82" i="123"/>
  <c r="K82" i="123"/>
  <c r="L81" i="123"/>
  <c r="K81" i="123"/>
  <c r="L80" i="123"/>
  <c r="K80" i="123"/>
  <c r="L79" i="123"/>
  <c r="K79" i="123"/>
  <c r="L78" i="123"/>
  <c r="K78" i="123"/>
  <c r="L77" i="123"/>
  <c r="K77" i="123"/>
  <c r="L76" i="123"/>
  <c r="K76" i="123"/>
  <c r="L75" i="123"/>
  <c r="K75" i="123"/>
  <c r="L74" i="123"/>
  <c r="K74" i="123"/>
  <c r="L73" i="123"/>
  <c r="K73" i="123"/>
  <c r="L72" i="123"/>
  <c r="K72" i="123"/>
  <c r="L71" i="123"/>
  <c r="K71" i="123"/>
  <c r="L70" i="123"/>
  <c r="K70" i="123"/>
  <c r="L69" i="123"/>
  <c r="K69" i="123"/>
  <c r="L68" i="123"/>
  <c r="K68" i="123"/>
  <c r="L67" i="123"/>
  <c r="K67" i="123"/>
  <c r="L66" i="123"/>
  <c r="K66" i="123"/>
  <c r="L65" i="123"/>
  <c r="K65" i="123"/>
  <c r="L64" i="123"/>
  <c r="K64" i="123"/>
  <c r="L63" i="123"/>
  <c r="K63" i="123"/>
  <c r="L62" i="123"/>
  <c r="K62" i="123"/>
  <c r="L61" i="123"/>
  <c r="K61" i="123"/>
  <c r="J61" i="123" s="1"/>
  <c r="L60" i="123"/>
  <c r="K60" i="123"/>
  <c r="L59" i="123"/>
  <c r="K59" i="123"/>
  <c r="L58" i="123"/>
  <c r="K58" i="123"/>
  <c r="L57" i="123"/>
  <c r="K57" i="123"/>
  <c r="L56" i="123"/>
  <c r="K56" i="123"/>
  <c r="L55" i="123"/>
  <c r="K55" i="123"/>
  <c r="L54" i="123"/>
  <c r="K54" i="123"/>
  <c r="L53" i="123"/>
  <c r="K53" i="123"/>
  <c r="L52" i="123"/>
  <c r="K52" i="123"/>
  <c r="L51" i="123"/>
  <c r="K51" i="123"/>
  <c r="L50" i="123"/>
  <c r="K50" i="123"/>
  <c r="L49" i="123"/>
  <c r="K49" i="123"/>
  <c r="L48" i="123"/>
  <c r="K48" i="123"/>
  <c r="L47" i="123"/>
  <c r="K47" i="123"/>
  <c r="L46" i="123"/>
  <c r="K46" i="123"/>
  <c r="L45" i="123"/>
  <c r="K45" i="123"/>
  <c r="L44" i="123"/>
  <c r="K44" i="123"/>
  <c r="L43" i="123"/>
  <c r="K43" i="123"/>
  <c r="L42" i="123"/>
  <c r="K42" i="123"/>
  <c r="L41" i="123"/>
  <c r="K41" i="123"/>
  <c r="L40" i="123"/>
  <c r="K40" i="123"/>
  <c r="L39" i="123"/>
  <c r="K39" i="123"/>
  <c r="L38" i="123"/>
  <c r="K38" i="123"/>
  <c r="L37" i="123"/>
  <c r="K37" i="123"/>
  <c r="L36" i="123"/>
  <c r="K36" i="123"/>
  <c r="L35" i="123"/>
  <c r="K35" i="123"/>
  <c r="L34" i="123"/>
  <c r="K34" i="123"/>
  <c r="K18" i="123" s="1"/>
  <c r="L33" i="123"/>
  <c r="K33" i="123"/>
  <c r="L32" i="123"/>
  <c r="K32" i="123"/>
  <c r="L31" i="123"/>
  <c r="K31" i="123"/>
  <c r="L30" i="123"/>
  <c r="K30" i="123"/>
  <c r="L29" i="123"/>
  <c r="K29" i="123"/>
  <c r="L28" i="123"/>
  <c r="K28" i="123"/>
  <c r="L27" i="123"/>
  <c r="K27" i="123"/>
  <c r="L26" i="123"/>
  <c r="K26" i="123"/>
  <c r="L25" i="123"/>
  <c r="K25" i="123"/>
  <c r="L85" i="124"/>
  <c r="K85" i="124"/>
  <c r="L84" i="124"/>
  <c r="K84" i="124"/>
  <c r="L83" i="124"/>
  <c r="K83" i="124"/>
  <c r="L82" i="124"/>
  <c r="K82" i="124"/>
  <c r="L81" i="124"/>
  <c r="K81" i="124"/>
  <c r="L80" i="124"/>
  <c r="K80" i="124"/>
  <c r="L79" i="124"/>
  <c r="K79" i="124"/>
  <c r="L78" i="124"/>
  <c r="K78" i="124"/>
  <c r="L77" i="124"/>
  <c r="K77" i="124"/>
  <c r="L76" i="124"/>
  <c r="K76" i="124"/>
  <c r="L75" i="124"/>
  <c r="K75" i="124"/>
  <c r="L74" i="124"/>
  <c r="K74" i="124"/>
  <c r="L73" i="124"/>
  <c r="K73" i="124"/>
  <c r="L72" i="124"/>
  <c r="K72" i="124"/>
  <c r="L71" i="124"/>
  <c r="K71" i="124"/>
  <c r="L70" i="124"/>
  <c r="K70" i="124"/>
  <c r="L69" i="124"/>
  <c r="K69" i="124"/>
  <c r="L68" i="124"/>
  <c r="K68" i="124"/>
  <c r="L67" i="124"/>
  <c r="K67" i="124"/>
  <c r="L66" i="124"/>
  <c r="K66" i="124"/>
  <c r="L65" i="124"/>
  <c r="K65" i="124"/>
  <c r="L64" i="124"/>
  <c r="K64" i="124"/>
  <c r="J64" i="124" s="1"/>
  <c r="L63" i="124"/>
  <c r="K63" i="124"/>
  <c r="L62" i="124"/>
  <c r="K62" i="124"/>
  <c r="L61" i="124"/>
  <c r="K61" i="124"/>
  <c r="L60" i="124"/>
  <c r="K60" i="124"/>
  <c r="L59" i="124"/>
  <c r="K59" i="124"/>
  <c r="L58" i="124"/>
  <c r="K58" i="124"/>
  <c r="L57" i="124"/>
  <c r="K57" i="124"/>
  <c r="L56" i="124"/>
  <c r="K56" i="124"/>
  <c r="L55" i="124"/>
  <c r="K55" i="124"/>
  <c r="L54" i="124"/>
  <c r="K54" i="124"/>
  <c r="L53" i="124"/>
  <c r="K53" i="124"/>
  <c r="L52" i="124"/>
  <c r="K52" i="124"/>
  <c r="J52" i="124" s="1"/>
  <c r="L51" i="124"/>
  <c r="K51" i="124"/>
  <c r="L50" i="124"/>
  <c r="K50" i="124"/>
  <c r="L49" i="124"/>
  <c r="K49" i="124"/>
  <c r="L48" i="124"/>
  <c r="K48" i="124"/>
  <c r="J48" i="124" s="1"/>
  <c r="L47" i="124"/>
  <c r="K47" i="124"/>
  <c r="L46" i="124"/>
  <c r="K46" i="124"/>
  <c r="L45" i="124"/>
  <c r="K45" i="124"/>
  <c r="L44" i="124"/>
  <c r="K44" i="124"/>
  <c r="J44" i="124" s="1"/>
  <c r="L43" i="124"/>
  <c r="K43" i="124"/>
  <c r="L42" i="124"/>
  <c r="K42" i="124"/>
  <c r="L41" i="124"/>
  <c r="K41" i="124"/>
  <c r="L40" i="124"/>
  <c r="K40" i="124"/>
  <c r="L39" i="124"/>
  <c r="K39" i="124"/>
  <c r="L38" i="124"/>
  <c r="K38" i="124"/>
  <c r="L37" i="124"/>
  <c r="K37" i="124"/>
  <c r="L36" i="124"/>
  <c r="K36" i="124"/>
  <c r="L35" i="124"/>
  <c r="K35" i="124"/>
  <c r="L34" i="124"/>
  <c r="K34" i="124"/>
  <c r="L33" i="124"/>
  <c r="K33" i="124"/>
  <c r="L32" i="124"/>
  <c r="K32" i="124"/>
  <c r="L31" i="124"/>
  <c r="K31" i="124"/>
  <c r="L30" i="124"/>
  <c r="K30" i="124"/>
  <c r="L29" i="124"/>
  <c r="K29" i="124"/>
  <c r="L28" i="124"/>
  <c r="K28" i="124"/>
  <c r="J28" i="124" s="1"/>
  <c r="L27" i="124"/>
  <c r="K27" i="124"/>
  <c r="L26" i="124"/>
  <c r="K26" i="124"/>
  <c r="L25" i="124"/>
  <c r="K25" i="124"/>
  <c r="L95" i="125"/>
  <c r="K95" i="125"/>
  <c r="L94" i="125"/>
  <c r="K94" i="125"/>
  <c r="L93" i="125"/>
  <c r="K93" i="125"/>
  <c r="L92" i="125"/>
  <c r="K92" i="125"/>
  <c r="L91" i="125"/>
  <c r="K91" i="125"/>
  <c r="L90" i="125"/>
  <c r="K90" i="125"/>
  <c r="L89" i="125"/>
  <c r="K89" i="125"/>
  <c r="L88" i="125"/>
  <c r="K88" i="125"/>
  <c r="L87" i="125"/>
  <c r="K87" i="125"/>
  <c r="L86" i="125"/>
  <c r="K86" i="125"/>
  <c r="L85" i="125"/>
  <c r="K85" i="125"/>
  <c r="L84" i="125"/>
  <c r="K84" i="125"/>
  <c r="L83" i="125"/>
  <c r="K83" i="125"/>
  <c r="L82" i="125"/>
  <c r="K82" i="125"/>
  <c r="L81" i="125"/>
  <c r="K81" i="125"/>
  <c r="L80" i="125"/>
  <c r="K80" i="125"/>
  <c r="L79" i="125"/>
  <c r="K79" i="125"/>
  <c r="L78" i="125"/>
  <c r="K78" i="125"/>
  <c r="L77" i="125"/>
  <c r="K77" i="125"/>
  <c r="L76" i="125"/>
  <c r="K76" i="125"/>
  <c r="L75" i="125"/>
  <c r="K75" i="125"/>
  <c r="L74" i="125"/>
  <c r="K74" i="125"/>
  <c r="L73" i="125"/>
  <c r="K73" i="125"/>
  <c r="L72" i="125"/>
  <c r="K72" i="125"/>
  <c r="L71" i="125"/>
  <c r="K71" i="125"/>
  <c r="L70" i="125"/>
  <c r="K70" i="125"/>
  <c r="L69" i="125"/>
  <c r="K69" i="125"/>
  <c r="L68" i="125"/>
  <c r="K68" i="125"/>
  <c r="L67" i="125"/>
  <c r="K67" i="125"/>
  <c r="L66" i="125"/>
  <c r="K66" i="125"/>
  <c r="L65" i="125"/>
  <c r="K65" i="125"/>
  <c r="L64" i="125"/>
  <c r="K64" i="125"/>
  <c r="L63" i="125"/>
  <c r="K63" i="125"/>
  <c r="L62" i="125"/>
  <c r="K62" i="125"/>
  <c r="L61" i="125"/>
  <c r="K61" i="125"/>
  <c r="L60" i="125"/>
  <c r="K60" i="125"/>
  <c r="L59" i="125"/>
  <c r="K59" i="125"/>
  <c r="L58" i="125"/>
  <c r="K58" i="125"/>
  <c r="L57" i="125"/>
  <c r="K57" i="125"/>
  <c r="L56" i="125"/>
  <c r="K56" i="125"/>
  <c r="L55" i="125"/>
  <c r="K55" i="125"/>
  <c r="L54" i="125"/>
  <c r="K54" i="125"/>
  <c r="L53" i="125"/>
  <c r="K53" i="125"/>
  <c r="L52" i="125"/>
  <c r="K52" i="125"/>
  <c r="L51" i="125"/>
  <c r="K51" i="125"/>
  <c r="L50" i="125"/>
  <c r="K50" i="125"/>
  <c r="L49" i="125"/>
  <c r="K49" i="125"/>
  <c r="L48" i="125"/>
  <c r="K48" i="125"/>
  <c r="L47" i="125"/>
  <c r="K47" i="125"/>
  <c r="L46" i="125"/>
  <c r="K46" i="125"/>
  <c r="L45" i="125"/>
  <c r="K45" i="125"/>
  <c r="L44" i="125"/>
  <c r="K44" i="125"/>
  <c r="L43" i="125"/>
  <c r="K43" i="125"/>
  <c r="L42" i="125"/>
  <c r="K42" i="125"/>
  <c r="L41" i="125"/>
  <c r="K41" i="125"/>
  <c r="L40" i="125"/>
  <c r="K40" i="125"/>
  <c r="L39" i="125"/>
  <c r="K39" i="125"/>
  <c r="L38" i="125"/>
  <c r="K38" i="125"/>
  <c r="L37" i="125"/>
  <c r="K37" i="125"/>
  <c r="L36" i="125"/>
  <c r="K36" i="125"/>
  <c r="L35" i="125"/>
  <c r="K35" i="125"/>
  <c r="L34" i="125"/>
  <c r="K34" i="125"/>
  <c r="L33" i="125"/>
  <c r="K33" i="125"/>
  <c r="L32" i="125"/>
  <c r="K32" i="125"/>
  <c r="L31" i="125"/>
  <c r="K31" i="125"/>
  <c r="L30" i="125"/>
  <c r="K30" i="125"/>
  <c r="L29" i="125"/>
  <c r="K29" i="125"/>
  <c r="L28" i="125"/>
  <c r="K28" i="125"/>
  <c r="L27" i="125"/>
  <c r="K27" i="125"/>
  <c r="L26" i="125"/>
  <c r="K26" i="125"/>
  <c r="L25" i="125"/>
  <c r="K25" i="125"/>
  <c r="L99" i="126"/>
  <c r="K99" i="126"/>
  <c r="L98" i="126"/>
  <c r="K98" i="126"/>
  <c r="L91" i="126"/>
  <c r="K91" i="126"/>
  <c r="L90" i="126"/>
  <c r="K90" i="126"/>
  <c r="L89" i="126"/>
  <c r="K89" i="126"/>
  <c r="L88" i="126"/>
  <c r="K88" i="126"/>
  <c r="L87" i="126"/>
  <c r="K87" i="126"/>
  <c r="L86" i="126"/>
  <c r="K86" i="126"/>
  <c r="L85" i="126"/>
  <c r="K85" i="126"/>
  <c r="L84" i="126"/>
  <c r="K84" i="126"/>
  <c r="L83" i="126"/>
  <c r="K83" i="126"/>
  <c r="L82" i="126"/>
  <c r="K82" i="126"/>
  <c r="L81" i="126"/>
  <c r="K81" i="126"/>
  <c r="L80" i="126"/>
  <c r="K80" i="126"/>
  <c r="L79" i="126"/>
  <c r="K79" i="126"/>
  <c r="L78" i="126"/>
  <c r="K78" i="126"/>
  <c r="L77" i="126"/>
  <c r="K77" i="126"/>
  <c r="L76" i="126"/>
  <c r="K76" i="126"/>
  <c r="L75" i="126"/>
  <c r="K75" i="126"/>
  <c r="L74" i="126"/>
  <c r="K74" i="126"/>
  <c r="L73" i="126"/>
  <c r="K73" i="126"/>
  <c r="L72" i="126"/>
  <c r="K72" i="126"/>
  <c r="L71" i="126"/>
  <c r="K71" i="126"/>
  <c r="L70" i="126"/>
  <c r="K70" i="126"/>
  <c r="L69" i="126"/>
  <c r="K69" i="126"/>
  <c r="L68" i="126"/>
  <c r="K68" i="126"/>
  <c r="L67" i="126"/>
  <c r="K67" i="126"/>
  <c r="L66" i="126"/>
  <c r="K66" i="126"/>
  <c r="L65" i="126"/>
  <c r="K65" i="126"/>
  <c r="L64" i="126"/>
  <c r="K64" i="126"/>
  <c r="L63" i="126"/>
  <c r="K63" i="126"/>
  <c r="L62" i="126"/>
  <c r="K62" i="126"/>
  <c r="L61" i="126"/>
  <c r="K61" i="126"/>
  <c r="L60" i="126"/>
  <c r="K60" i="126"/>
  <c r="L59" i="126"/>
  <c r="K59" i="126"/>
  <c r="L58" i="126"/>
  <c r="K58" i="126"/>
  <c r="L57" i="126"/>
  <c r="K57" i="126"/>
  <c r="L56" i="126"/>
  <c r="K56" i="126"/>
  <c r="L55" i="126"/>
  <c r="K55" i="126"/>
  <c r="L54" i="126"/>
  <c r="K54" i="126"/>
  <c r="L53" i="126"/>
  <c r="K53" i="126"/>
  <c r="L52" i="126"/>
  <c r="K52" i="126"/>
  <c r="L51" i="126"/>
  <c r="K51" i="126"/>
  <c r="L50" i="126"/>
  <c r="K50" i="126"/>
  <c r="L49" i="126"/>
  <c r="K49" i="126"/>
  <c r="L48" i="126"/>
  <c r="K48" i="126"/>
  <c r="L47" i="126"/>
  <c r="K47" i="126"/>
  <c r="L46" i="126"/>
  <c r="K46" i="126"/>
  <c r="L45" i="126"/>
  <c r="K45" i="126"/>
  <c r="L44" i="126"/>
  <c r="K44" i="126"/>
  <c r="L43" i="126"/>
  <c r="K43" i="126"/>
  <c r="L42" i="126"/>
  <c r="K42" i="126"/>
  <c r="L41" i="126"/>
  <c r="K41" i="126"/>
  <c r="L40" i="126"/>
  <c r="K40" i="126"/>
  <c r="L39" i="126"/>
  <c r="K39" i="126"/>
  <c r="L38" i="126"/>
  <c r="K38" i="126"/>
  <c r="L37" i="126"/>
  <c r="K37" i="126"/>
  <c r="L36" i="126"/>
  <c r="K36" i="126"/>
  <c r="L35" i="126"/>
  <c r="K35" i="126"/>
  <c r="L34" i="126"/>
  <c r="K34" i="126"/>
  <c r="L33" i="126"/>
  <c r="K33" i="126"/>
  <c r="L32" i="126"/>
  <c r="K32" i="126"/>
  <c r="L31" i="126"/>
  <c r="K31" i="126"/>
  <c r="L30" i="126"/>
  <c r="K30" i="126"/>
  <c r="L29" i="126"/>
  <c r="K29" i="126"/>
  <c r="L28" i="126"/>
  <c r="K28" i="126"/>
  <c r="L27" i="126"/>
  <c r="K27" i="126"/>
  <c r="L26" i="126"/>
  <c r="K26" i="126"/>
  <c r="L25" i="126"/>
  <c r="K25" i="126"/>
  <c r="L95" i="127"/>
  <c r="K95" i="127"/>
  <c r="L94" i="127"/>
  <c r="K94" i="127"/>
  <c r="L93" i="127"/>
  <c r="K93" i="127"/>
  <c r="L92" i="127"/>
  <c r="K92" i="127"/>
  <c r="L91" i="127"/>
  <c r="K91" i="127"/>
  <c r="L90" i="127"/>
  <c r="K90" i="127"/>
  <c r="L89" i="127"/>
  <c r="K89" i="127"/>
  <c r="L88" i="127"/>
  <c r="K88" i="127"/>
  <c r="L87" i="127"/>
  <c r="K87" i="127"/>
  <c r="L86" i="127"/>
  <c r="K86" i="127"/>
  <c r="L85" i="127"/>
  <c r="K85" i="127"/>
  <c r="L84" i="127"/>
  <c r="K84" i="127"/>
  <c r="L83" i="127"/>
  <c r="K83" i="127"/>
  <c r="L82" i="127"/>
  <c r="K82" i="127"/>
  <c r="L81" i="127"/>
  <c r="K81" i="127"/>
  <c r="L80" i="127"/>
  <c r="K80" i="127"/>
  <c r="L79" i="127"/>
  <c r="K79" i="127"/>
  <c r="L78" i="127"/>
  <c r="K78" i="127"/>
  <c r="L77" i="127"/>
  <c r="K77" i="127"/>
  <c r="L76" i="127"/>
  <c r="K76" i="127"/>
  <c r="L75" i="127"/>
  <c r="K75" i="127"/>
  <c r="L74" i="127"/>
  <c r="K74" i="127"/>
  <c r="L73" i="127"/>
  <c r="K73" i="127"/>
  <c r="L72" i="127"/>
  <c r="K72" i="127"/>
  <c r="L71" i="127"/>
  <c r="K71" i="127"/>
  <c r="L70" i="127"/>
  <c r="K70" i="127"/>
  <c r="L69" i="127"/>
  <c r="K69" i="127"/>
  <c r="L68" i="127"/>
  <c r="K68" i="127"/>
  <c r="L67" i="127"/>
  <c r="K67" i="127"/>
  <c r="L66" i="127"/>
  <c r="K66" i="127"/>
  <c r="L65" i="127"/>
  <c r="K65" i="127"/>
  <c r="L64" i="127"/>
  <c r="K64" i="127"/>
  <c r="L63" i="127"/>
  <c r="K63" i="127"/>
  <c r="L62" i="127"/>
  <c r="K62" i="127"/>
  <c r="L61" i="127"/>
  <c r="K61" i="127"/>
  <c r="L60" i="127"/>
  <c r="K60" i="127"/>
  <c r="L59" i="127"/>
  <c r="K59" i="127"/>
  <c r="L58" i="127"/>
  <c r="K58" i="127"/>
  <c r="L57" i="127"/>
  <c r="K57" i="127"/>
  <c r="L56" i="127"/>
  <c r="K56" i="127"/>
  <c r="L55" i="127"/>
  <c r="K55" i="127"/>
  <c r="L54" i="127"/>
  <c r="K54" i="127"/>
  <c r="L53" i="127"/>
  <c r="K53" i="127"/>
  <c r="L52" i="127"/>
  <c r="K52" i="127"/>
  <c r="L51" i="127"/>
  <c r="K51" i="127"/>
  <c r="L50" i="127"/>
  <c r="K50" i="127"/>
  <c r="L49" i="127"/>
  <c r="K49" i="127"/>
  <c r="L48" i="127"/>
  <c r="K48" i="127"/>
  <c r="L47" i="127"/>
  <c r="K47" i="127"/>
  <c r="L46" i="127"/>
  <c r="K46" i="127"/>
  <c r="L45" i="127"/>
  <c r="K45" i="127"/>
  <c r="L44" i="127"/>
  <c r="K44" i="127"/>
  <c r="L43" i="127"/>
  <c r="K43" i="127"/>
  <c r="L42" i="127"/>
  <c r="K42" i="127"/>
  <c r="L41" i="127"/>
  <c r="K41" i="127"/>
  <c r="L40" i="127"/>
  <c r="K40" i="127"/>
  <c r="L39" i="127"/>
  <c r="K39" i="127"/>
  <c r="L38" i="127"/>
  <c r="K38" i="127"/>
  <c r="L37" i="127"/>
  <c r="K37" i="127"/>
  <c r="L36" i="127"/>
  <c r="K36" i="127"/>
  <c r="L35" i="127"/>
  <c r="K35" i="127"/>
  <c r="L34" i="127"/>
  <c r="K34" i="127"/>
  <c r="L33" i="127"/>
  <c r="K33" i="127"/>
  <c r="L32" i="127"/>
  <c r="K32" i="127"/>
  <c r="L31" i="127"/>
  <c r="K31" i="127"/>
  <c r="L30" i="127"/>
  <c r="K30" i="127"/>
  <c r="L29" i="127"/>
  <c r="K29" i="127"/>
  <c r="L28" i="127"/>
  <c r="K28" i="127"/>
  <c r="L27" i="127"/>
  <c r="K27" i="127"/>
  <c r="L26" i="127"/>
  <c r="K26" i="127"/>
  <c r="L25" i="127"/>
  <c r="K25" i="127"/>
  <c r="L82" i="128"/>
  <c r="K82" i="128"/>
  <c r="J82" i="128" s="1"/>
  <c r="L81" i="128"/>
  <c r="K81" i="128"/>
  <c r="L80" i="128"/>
  <c r="K80" i="128"/>
  <c r="L79" i="128"/>
  <c r="K79" i="128"/>
  <c r="L78" i="128"/>
  <c r="K78" i="128"/>
  <c r="J78" i="128" s="1"/>
  <c r="L77" i="128"/>
  <c r="K77" i="128"/>
  <c r="L76" i="128"/>
  <c r="K76" i="128"/>
  <c r="L75" i="128"/>
  <c r="K75" i="128"/>
  <c r="L74" i="128"/>
  <c r="K74" i="128"/>
  <c r="L73" i="128"/>
  <c r="K73" i="128"/>
  <c r="J73" i="128" s="1"/>
  <c r="L72" i="128"/>
  <c r="K72" i="128"/>
  <c r="L71" i="128"/>
  <c r="K71" i="128"/>
  <c r="L70" i="128"/>
  <c r="K70" i="128"/>
  <c r="L69" i="128"/>
  <c r="K69" i="128"/>
  <c r="J69" i="128" s="1"/>
  <c r="L68" i="128"/>
  <c r="K68" i="128"/>
  <c r="J68" i="128" s="1"/>
  <c r="L67" i="128"/>
  <c r="K67" i="128"/>
  <c r="L66" i="128"/>
  <c r="K66" i="128"/>
  <c r="J66" i="128" s="1"/>
  <c r="L65" i="128"/>
  <c r="K65" i="128"/>
  <c r="L64" i="128"/>
  <c r="K64" i="128"/>
  <c r="J64" i="128" s="1"/>
  <c r="L63" i="128"/>
  <c r="K63" i="128"/>
  <c r="L62" i="128"/>
  <c r="K62" i="128"/>
  <c r="L61" i="128"/>
  <c r="K61" i="128"/>
  <c r="L60" i="128"/>
  <c r="K60" i="128"/>
  <c r="L59" i="128"/>
  <c r="K59" i="128"/>
  <c r="L58" i="128"/>
  <c r="K58" i="128"/>
  <c r="L57" i="128"/>
  <c r="K57" i="128"/>
  <c r="L56" i="128"/>
  <c r="K56" i="128"/>
  <c r="L55" i="128"/>
  <c r="K55" i="128"/>
  <c r="L54" i="128"/>
  <c r="K54" i="128"/>
  <c r="L53" i="128"/>
  <c r="K53" i="128"/>
  <c r="L52" i="128"/>
  <c r="K52" i="128"/>
  <c r="L51" i="128"/>
  <c r="K51" i="128"/>
  <c r="L50" i="128"/>
  <c r="K50" i="128"/>
  <c r="J50" i="128" s="1"/>
  <c r="L49" i="128"/>
  <c r="K49" i="128"/>
  <c r="L48" i="128"/>
  <c r="K48" i="128"/>
  <c r="J48" i="128" s="1"/>
  <c r="L47" i="128"/>
  <c r="K47" i="128"/>
  <c r="L46" i="128"/>
  <c r="K46" i="128"/>
  <c r="L45" i="128"/>
  <c r="K45" i="128"/>
  <c r="L44" i="128"/>
  <c r="K44" i="128"/>
  <c r="L43" i="128"/>
  <c r="K43" i="128"/>
  <c r="L42" i="128"/>
  <c r="K42" i="128"/>
  <c r="L41" i="128"/>
  <c r="K41" i="128"/>
  <c r="L40" i="128"/>
  <c r="K40" i="128"/>
  <c r="L39" i="128"/>
  <c r="K39" i="128"/>
  <c r="L38" i="128"/>
  <c r="K38" i="128"/>
  <c r="L37" i="128"/>
  <c r="K37" i="128"/>
  <c r="L36" i="128"/>
  <c r="K36" i="128"/>
  <c r="L35" i="128"/>
  <c r="K35" i="128"/>
  <c r="L34" i="128"/>
  <c r="K34" i="128"/>
  <c r="J34" i="128" s="1"/>
  <c r="L33" i="128"/>
  <c r="K33" i="128"/>
  <c r="L32" i="128"/>
  <c r="K32" i="128"/>
  <c r="L31" i="128"/>
  <c r="K31" i="128"/>
  <c r="L30" i="128"/>
  <c r="K30" i="128"/>
  <c r="L29" i="128"/>
  <c r="K29" i="128"/>
  <c r="L28" i="128"/>
  <c r="K28" i="128"/>
  <c r="L27" i="128"/>
  <c r="K27" i="128"/>
  <c r="L26" i="128"/>
  <c r="K26" i="128"/>
  <c r="L25" i="128"/>
  <c r="K25" i="128"/>
  <c r="L90" i="129"/>
  <c r="K90" i="129"/>
  <c r="L80" i="129"/>
  <c r="K80" i="129"/>
  <c r="L79" i="129"/>
  <c r="K79" i="129"/>
  <c r="L78" i="129"/>
  <c r="K78" i="129"/>
  <c r="L77" i="129"/>
  <c r="K77" i="129"/>
  <c r="L76" i="129"/>
  <c r="K76" i="129"/>
  <c r="L75" i="129"/>
  <c r="K75" i="129"/>
  <c r="L74" i="129"/>
  <c r="K74" i="129"/>
  <c r="L73" i="129"/>
  <c r="K73" i="129"/>
  <c r="L72" i="129"/>
  <c r="K72" i="129"/>
  <c r="L71" i="129"/>
  <c r="K71" i="129"/>
  <c r="L70" i="129"/>
  <c r="K70" i="129"/>
  <c r="L69" i="129"/>
  <c r="K69" i="129"/>
  <c r="L68" i="129"/>
  <c r="K68" i="129"/>
  <c r="L67" i="129"/>
  <c r="K67" i="129"/>
  <c r="L66" i="129"/>
  <c r="K66" i="129"/>
  <c r="L65" i="129"/>
  <c r="K65" i="129"/>
  <c r="L64" i="129"/>
  <c r="K64" i="129"/>
  <c r="L63" i="129"/>
  <c r="K63" i="129"/>
  <c r="L62" i="129"/>
  <c r="K62" i="129"/>
  <c r="L61" i="129"/>
  <c r="K61" i="129"/>
  <c r="L60" i="129"/>
  <c r="K60" i="129"/>
  <c r="L59" i="129"/>
  <c r="K59" i="129"/>
  <c r="L58" i="129"/>
  <c r="K58" i="129"/>
  <c r="L57" i="129"/>
  <c r="K57" i="129"/>
  <c r="L56" i="129"/>
  <c r="K56" i="129"/>
  <c r="L55" i="129"/>
  <c r="K55" i="129"/>
  <c r="L54" i="129"/>
  <c r="K54" i="129"/>
  <c r="L53" i="129"/>
  <c r="K53" i="129"/>
  <c r="L52" i="129"/>
  <c r="K52" i="129"/>
  <c r="L51" i="129"/>
  <c r="K51" i="129"/>
  <c r="L50" i="129"/>
  <c r="K50" i="129"/>
  <c r="L49" i="129"/>
  <c r="K49" i="129"/>
  <c r="L48" i="129"/>
  <c r="K48" i="129"/>
  <c r="L47" i="129"/>
  <c r="K47" i="129"/>
  <c r="L46" i="129"/>
  <c r="K46" i="129"/>
  <c r="L45" i="129"/>
  <c r="K45" i="129"/>
  <c r="L44" i="129"/>
  <c r="K44" i="129"/>
  <c r="L43" i="129"/>
  <c r="K43" i="129"/>
  <c r="L42" i="129"/>
  <c r="K42" i="129"/>
  <c r="L41" i="129"/>
  <c r="K41" i="129"/>
  <c r="L40" i="129"/>
  <c r="K40" i="129"/>
  <c r="L39" i="129"/>
  <c r="K39" i="129"/>
  <c r="L38" i="129"/>
  <c r="K38" i="129"/>
  <c r="L37" i="129"/>
  <c r="K37" i="129"/>
  <c r="L36" i="129"/>
  <c r="K36" i="129"/>
  <c r="L35" i="129"/>
  <c r="K35" i="129"/>
  <c r="L34" i="129"/>
  <c r="K34" i="129"/>
  <c r="L33" i="129"/>
  <c r="K33" i="129"/>
  <c r="L32" i="129"/>
  <c r="K32" i="129"/>
  <c r="L31" i="129"/>
  <c r="K31" i="129"/>
  <c r="L30" i="129"/>
  <c r="K30" i="129"/>
  <c r="L29" i="129"/>
  <c r="K29" i="129"/>
  <c r="L28" i="129"/>
  <c r="K28" i="129"/>
  <c r="L27" i="129"/>
  <c r="K27" i="129"/>
  <c r="L26" i="129"/>
  <c r="K26" i="129"/>
  <c r="L25" i="129"/>
  <c r="K25" i="129"/>
  <c r="L86" i="130"/>
  <c r="K86" i="130"/>
  <c r="L85" i="130"/>
  <c r="K85" i="130"/>
  <c r="L84" i="130"/>
  <c r="K84" i="130"/>
  <c r="L83" i="130"/>
  <c r="K83" i="130"/>
  <c r="J83" i="130" s="1"/>
  <c r="L75" i="130"/>
  <c r="K75" i="130"/>
  <c r="L74" i="130"/>
  <c r="K74" i="130"/>
  <c r="L73" i="130"/>
  <c r="K73" i="130"/>
  <c r="L72" i="130"/>
  <c r="K72" i="130"/>
  <c r="L71" i="130"/>
  <c r="K71" i="130"/>
  <c r="L70" i="130"/>
  <c r="K70" i="130"/>
  <c r="L69" i="130"/>
  <c r="K69" i="130"/>
  <c r="L68" i="130"/>
  <c r="K68" i="130"/>
  <c r="J68" i="130" s="1"/>
  <c r="L67" i="130"/>
  <c r="K67" i="130"/>
  <c r="L66" i="130"/>
  <c r="K66" i="130"/>
  <c r="L65" i="130"/>
  <c r="K65" i="130"/>
  <c r="L64" i="130"/>
  <c r="K64" i="130"/>
  <c r="J64" i="130" s="1"/>
  <c r="L63" i="130"/>
  <c r="K63" i="130"/>
  <c r="L62" i="130"/>
  <c r="K62" i="130"/>
  <c r="L61" i="130"/>
  <c r="K61" i="130"/>
  <c r="L60" i="130"/>
  <c r="K60" i="130"/>
  <c r="J60" i="130" s="1"/>
  <c r="L59" i="130"/>
  <c r="K59" i="130"/>
  <c r="L58" i="130"/>
  <c r="K58" i="130"/>
  <c r="L57" i="130"/>
  <c r="K57" i="130"/>
  <c r="L56" i="130"/>
  <c r="K56" i="130"/>
  <c r="J56" i="130" s="1"/>
  <c r="L55" i="130"/>
  <c r="K55" i="130"/>
  <c r="L54" i="130"/>
  <c r="K54" i="130"/>
  <c r="L53" i="130"/>
  <c r="K53" i="130"/>
  <c r="L52" i="130"/>
  <c r="K52" i="130"/>
  <c r="L51" i="130"/>
  <c r="K51" i="130"/>
  <c r="L50" i="130"/>
  <c r="K50" i="130"/>
  <c r="L49" i="130"/>
  <c r="K49" i="130"/>
  <c r="L48" i="130"/>
  <c r="K48" i="130"/>
  <c r="J48" i="130" s="1"/>
  <c r="L47" i="130"/>
  <c r="K47" i="130"/>
  <c r="L46" i="130"/>
  <c r="K46" i="130"/>
  <c r="L45" i="130"/>
  <c r="K45" i="130"/>
  <c r="L44" i="130"/>
  <c r="K44" i="130"/>
  <c r="J44" i="130" s="1"/>
  <c r="L43" i="130"/>
  <c r="K43" i="130"/>
  <c r="L42" i="130"/>
  <c r="K42" i="130"/>
  <c r="L41" i="130"/>
  <c r="K41" i="130"/>
  <c r="L40" i="130"/>
  <c r="K40" i="130"/>
  <c r="J40" i="130" s="1"/>
  <c r="L39" i="130"/>
  <c r="K39" i="130"/>
  <c r="L38" i="130"/>
  <c r="K38" i="130"/>
  <c r="L37" i="130"/>
  <c r="K37" i="130"/>
  <c r="L36" i="130"/>
  <c r="K36" i="130"/>
  <c r="J36" i="130" s="1"/>
  <c r="L35" i="130"/>
  <c r="K35" i="130"/>
  <c r="L34" i="130"/>
  <c r="K34" i="130"/>
  <c r="L33" i="130"/>
  <c r="K33" i="130"/>
  <c r="L32" i="130"/>
  <c r="K32" i="130"/>
  <c r="L31" i="130"/>
  <c r="K31" i="130"/>
  <c r="L30" i="130"/>
  <c r="K30" i="130"/>
  <c r="L29" i="130"/>
  <c r="K29" i="130"/>
  <c r="L28" i="130"/>
  <c r="K28" i="130"/>
  <c r="L27" i="130"/>
  <c r="K27" i="130"/>
  <c r="L26" i="130"/>
  <c r="K26" i="130"/>
  <c r="L25" i="130"/>
  <c r="K25" i="130"/>
  <c r="L89" i="131"/>
  <c r="K89" i="131"/>
  <c r="L81" i="131"/>
  <c r="K81" i="131"/>
  <c r="L80" i="131"/>
  <c r="K80" i="131"/>
  <c r="L79" i="131"/>
  <c r="K79" i="131"/>
  <c r="L82" i="132"/>
  <c r="K82" i="132"/>
  <c r="J82" i="132" s="1"/>
  <c r="L81" i="132"/>
  <c r="K81" i="132"/>
  <c r="L66" i="132"/>
  <c r="K66" i="132"/>
  <c r="L65" i="132"/>
  <c r="K65" i="132"/>
  <c r="L64" i="132"/>
  <c r="K64" i="132"/>
  <c r="L63" i="132"/>
  <c r="K63" i="132"/>
  <c r="L62" i="132"/>
  <c r="K62" i="132"/>
  <c r="L61" i="132"/>
  <c r="K61" i="132"/>
  <c r="L60" i="132"/>
  <c r="K60" i="132"/>
  <c r="L59" i="132"/>
  <c r="K59" i="132"/>
  <c r="L58" i="132"/>
  <c r="K58" i="132"/>
  <c r="L57" i="132"/>
  <c r="K57" i="132"/>
  <c r="L56" i="132"/>
  <c r="K56" i="132"/>
  <c r="L55" i="132"/>
  <c r="K55" i="132"/>
  <c r="L54" i="132"/>
  <c r="K54" i="132"/>
  <c r="L53" i="132"/>
  <c r="K53" i="132"/>
  <c r="L52" i="132"/>
  <c r="K52" i="132"/>
  <c r="L51" i="132"/>
  <c r="K51" i="132"/>
  <c r="L50" i="132"/>
  <c r="K50" i="132"/>
  <c r="L49" i="132"/>
  <c r="K49" i="132"/>
  <c r="L48" i="132"/>
  <c r="K48" i="132"/>
  <c r="L47" i="132"/>
  <c r="K47" i="132"/>
  <c r="L46" i="132"/>
  <c r="K46" i="132"/>
  <c r="L45" i="132"/>
  <c r="K45" i="132"/>
  <c r="L44" i="132"/>
  <c r="K44" i="132"/>
  <c r="L43" i="132"/>
  <c r="K43" i="132"/>
  <c r="L42" i="132"/>
  <c r="K42" i="132"/>
  <c r="L41" i="132"/>
  <c r="K41" i="132"/>
  <c r="L40" i="132"/>
  <c r="K40" i="132"/>
  <c r="L39" i="132"/>
  <c r="K39" i="132"/>
  <c r="L38" i="132"/>
  <c r="K38" i="132"/>
  <c r="L37" i="132"/>
  <c r="K37" i="132"/>
  <c r="J37" i="132" s="1"/>
  <c r="L36" i="132"/>
  <c r="K36" i="132"/>
  <c r="L35" i="132"/>
  <c r="K35" i="132"/>
  <c r="L34" i="132"/>
  <c r="K34" i="132"/>
  <c r="L33" i="132"/>
  <c r="K33" i="132"/>
  <c r="J33" i="132" s="1"/>
  <c r="L32" i="132"/>
  <c r="K32" i="132"/>
  <c r="L31" i="132"/>
  <c r="K31" i="132"/>
  <c r="L30" i="132"/>
  <c r="K30" i="132"/>
  <c r="L29" i="132"/>
  <c r="K29" i="132"/>
  <c r="J29" i="132" s="1"/>
  <c r="L28" i="132"/>
  <c r="K28" i="132"/>
  <c r="J28" i="132" s="1"/>
  <c r="L27" i="132"/>
  <c r="K27" i="132"/>
  <c r="L26" i="132"/>
  <c r="K26" i="132"/>
  <c r="L25" i="132"/>
  <c r="K25" i="132"/>
  <c r="J25" i="132" s="1"/>
  <c r="L24" i="132"/>
  <c r="K24" i="132"/>
  <c r="L81" i="133"/>
  <c r="K81" i="133"/>
  <c r="L80" i="133"/>
  <c r="K80" i="133"/>
  <c r="L79" i="133"/>
  <c r="K79" i="133"/>
  <c r="L78" i="133"/>
  <c r="K78" i="133"/>
  <c r="L77" i="133"/>
  <c r="K77" i="133"/>
  <c r="L76" i="133"/>
  <c r="K76" i="133"/>
  <c r="L75" i="133"/>
  <c r="K75" i="133"/>
  <c r="L74" i="133"/>
  <c r="K74" i="133"/>
  <c r="J74" i="133" s="1"/>
  <c r="L73" i="133"/>
  <c r="K73" i="133"/>
  <c r="L72" i="133"/>
  <c r="K72" i="133"/>
  <c r="L71" i="133"/>
  <c r="K71" i="133"/>
  <c r="L70" i="133"/>
  <c r="K70" i="133"/>
  <c r="L69" i="133"/>
  <c r="K69" i="133"/>
  <c r="J69" i="133" s="1"/>
  <c r="L68" i="133"/>
  <c r="K68" i="133"/>
  <c r="L67" i="133"/>
  <c r="K67" i="133"/>
  <c r="L66" i="133"/>
  <c r="K66" i="133"/>
  <c r="L65" i="133"/>
  <c r="K65" i="133"/>
  <c r="J65" i="133" s="1"/>
  <c r="L64" i="133"/>
  <c r="K64" i="133"/>
  <c r="L63" i="133"/>
  <c r="K63" i="133"/>
  <c r="L62" i="133"/>
  <c r="K62" i="133"/>
  <c r="J62" i="133" s="1"/>
  <c r="L61" i="133"/>
  <c r="K61" i="133"/>
  <c r="J61" i="133" s="1"/>
  <c r="L60" i="133"/>
  <c r="K60" i="133"/>
  <c r="L59" i="133"/>
  <c r="K59" i="133"/>
  <c r="L58" i="133"/>
  <c r="K58" i="133"/>
  <c r="J58" i="133" s="1"/>
  <c r="L57" i="133"/>
  <c r="K57" i="133"/>
  <c r="L56" i="133"/>
  <c r="K56" i="133"/>
  <c r="L55" i="133"/>
  <c r="K55" i="133"/>
  <c r="L54" i="133"/>
  <c r="K54" i="133"/>
  <c r="J54" i="133" s="1"/>
  <c r="L53" i="133"/>
  <c r="K53" i="133"/>
  <c r="L52" i="133"/>
  <c r="K52" i="133"/>
  <c r="L51" i="133"/>
  <c r="K51" i="133"/>
  <c r="L50" i="133"/>
  <c r="K50" i="133"/>
  <c r="L49" i="133"/>
  <c r="K49" i="133"/>
  <c r="L48" i="133"/>
  <c r="K48" i="133"/>
  <c r="L47" i="133"/>
  <c r="K47" i="133"/>
  <c r="L46" i="133"/>
  <c r="K46" i="133"/>
  <c r="J46" i="133" s="1"/>
  <c r="L45" i="133"/>
  <c r="K45" i="133"/>
  <c r="L44" i="133"/>
  <c r="K44" i="133"/>
  <c r="L43" i="133"/>
  <c r="K43" i="133"/>
  <c r="L42" i="133"/>
  <c r="K42" i="133"/>
  <c r="L41" i="133"/>
  <c r="K41" i="133"/>
  <c r="L40" i="133"/>
  <c r="K40" i="133"/>
  <c r="L39" i="133"/>
  <c r="K39" i="133"/>
  <c r="L38" i="133"/>
  <c r="K38" i="133"/>
  <c r="L37" i="133"/>
  <c r="K37" i="133"/>
  <c r="L36" i="133"/>
  <c r="K36" i="133"/>
  <c r="L35" i="133"/>
  <c r="K35" i="133"/>
  <c r="L34" i="133"/>
  <c r="K34" i="133"/>
  <c r="L33" i="133"/>
  <c r="K33" i="133"/>
  <c r="L32" i="133"/>
  <c r="K32" i="133"/>
  <c r="L31" i="133"/>
  <c r="K31" i="133"/>
  <c r="L30" i="133"/>
  <c r="K30" i="133"/>
  <c r="J30" i="133" s="1"/>
  <c r="L29" i="133"/>
  <c r="K29" i="133"/>
  <c r="L28" i="133"/>
  <c r="K28" i="133"/>
  <c r="L27" i="133"/>
  <c r="K27" i="133"/>
  <c r="L26" i="133"/>
  <c r="K26" i="133"/>
  <c r="J26" i="133" s="1"/>
  <c r="L25" i="133"/>
  <c r="K25" i="133"/>
  <c r="L96" i="134"/>
  <c r="K96" i="134"/>
  <c r="L95" i="134"/>
  <c r="K95" i="134"/>
  <c r="L94" i="134"/>
  <c r="K94" i="134"/>
  <c r="L93" i="134"/>
  <c r="K93" i="134"/>
  <c r="L92" i="134"/>
  <c r="K92" i="134"/>
  <c r="L91" i="134"/>
  <c r="K91" i="134"/>
  <c r="L83" i="134"/>
  <c r="K83" i="134"/>
  <c r="L82" i="134"/>
  <c r="K82" i="134"/>
  <c r="L81" i="134"/>
  <c r="K81" i="134"/>
  <c r="J81" i="134" s="1"/>
  <c r="L80" i="134"/>
  <c r="K80" i="134"/>
  <c r="L79" i="134"/>
  <c r="K79" i="134"/>
  <c r="L78" i="134"/>
  <c r="K78" i="134"/>
  <c r="L77" i="134"/>
  <c r="K77" i="134"/>
  <c r="L76" i="134"/>
  <c r="K76" i="134"/>
  <c r="L75" i="134"/>
  <c r="K75" i="134"/>
  <c r="L74" i="134"/>
  <c r="K74" i="134"/>
  <c r="L73" i="134"/>
  <c r="K73" i="134"/>
  <c r="J73" i="134" s="1"/>
  <c r="L72" i="134"/>
  <c r="K72" i="134"/>
  <c r="L71" i="134"/>
  <c r="K71" i="134"/>
  <c r="L70" i="134"/>
  <c r="K70" i="134"/>
  <c r="L69" i="134"/>
  <c r="K69" i="134"/>
  <c r="L68" i="134"/>
  <c r="K68" i="134"/>
  <c r="L67" i="134"/>
  <c r="K67" i="134"/>
  <c r="L66" i="134"/>
  <c r="K66" i="134"/>
  <c r="L65" i="134"/>
  <c r="K65" i="134"/>
  <c r="J65" i="134" s="1"/>
  <c r="L64" i="134"/>
  <c r="K64" i="134"/>
  <c r="L63" i="134"/>
  <c r="K63" i="134"/>
  <c r="L62" i="134"/>
  <c r="K62" i="134"/>
  <c r="L61" i="134"/>
  <c r="K61" i="134"/>
  <c r="L60" i="134"/>
  <c r="K60" i="134"/>
  <c r="L59" i="134"/>
  <c r="K59" i="134"/>
  <c r="L58" i="134"/>
  <c r="K58" i="134"/>
  <c r="L57" i="134"/>
  <c r="K57" i="134"/>
  <c r="L56" i="134"/>
  <c r="K56" i="134"/>
  <c r="L55" i="134"/>
  <c r="K55" i="134"/>
  <c r="L54" i="134"/>
  <c r="K54" i="134"/>
  <c r="L53" i="134"/>
  <c r="K53" i="134"/>
  <c r="L52" i="134"/>
  <c r="K52" i="134"/>
  <c r="L51" i="134"/>
  <c r="K51" i="134"/>
  <c r="L50" i="134"/>
  <c r="K50" i="134"/>
  <c r="L49" i="134"/>
  <c r="K49" i="134"/>
  <c r="J49" i="134" s="1"/>
  <c r="L48" i="134"/>
  <c r="K48" i="134"/>
  <c r="L47" i="134"/>
  <c r="K47" i="134"/>
  <c r="L46" i="134"/>
  <c r="K46" i="134"/>
  <c r="L45" i="134"/>
  <c r="K45" i="134"/>
  <c r="L44" i="134"/>
  <c r="K44" i="134"/>
  <c r="L43" i="134"/>
  <c r="K43" i="134"/>
  <c r="L42" i="134"/>
  <c r="K42" i="134"/>
  <c r="L41" i="134"/>
  <c r="K41" i="134"/>
  <c r="J41" i="134" s="1"/>
  <c r="L40" i="134"/>
  <c r="K40" i="134"/>
  <c r="L39" i="134"/>
  <c r="K39" i="134"/>
  <c r="L38" i="134"/>
  <c r="K38" i="134"/>
  <c r="L37" i="134"/>
  <c r="K37" i="134"/>
  <c r="L36" i="134"/>
  <c r="K36" i="134"/>
  <c r="L35" i="134"/>
  <c r="K35" i="134"/>
  <c r="L34" i="134"/>
  <c r="K34" i="134"/>
  <c r="L33" i="134"/>
  <c r="K33" i="134"/>
  <c r="L32" i="134"/>
  <c r="K32" i="134"/>
  <c r="L31" i="134"/>
  <c r="K31" i="134"/>
  <c r="L30" i="134"/>
  <c r="K30" i="134"/>
  <c r="L29" i="134"/>
  <c r="K29" i="134"/>
  <c r="L28" i="134"/>
  <c r="K28" i="134"/>
  <c r="L27" i="134"/>
  <c r="K27" i="134"/>
  <c r="L26" i="134"/>
  <c r="K26" i="134"/>
  <c r="L25" i="134"/>
  <c r="K25" i="134"/>
  <c r="L96" i="135"/>
  <c r="K96" i="135"/>
  <c r="L95" i="135"/>
  <c r="K95" i="135"/>
  <c r="L94" i="135"/>
  <c r="K94" i="135"/>
  <c r="J94" i="135" s="1"/>
  <c r="L85" i="135"/>
  <c r="K85" i="135"/>
  <c r="L84" i="135"/>
  <c r="K84" i="135"/>
  <c r="L83" i="135"/>
  <c r="K83" i="135"/>
  <c r="L82" i="135"/>
  <c r="K82" i="135"/>
  <c r="L81" i="135"/>
  <c r="K81" i="135"/>
  <c r="L80" i="135"/>
  <c r="K80" i="135"/>
  <c r="L79" i="135"/>
  <c r="K79" i="135"/>
  <c r="L78" i="135"/>
  <c r="K78" i="135"/>
  <c r="J78" i="135" s="1"/>
  <c r="L77" i="135"/>
  <c r="K77" i="135"/>
  <c r="L76" i="135"/>
  <c r="K76" i="135"/>
  <c r="J76" i="135" s="1"/>
  <c r="L75" i="135"/>
  <c r="K75" i="135"/>
  <c r="L74" i="135"/>
  <c r="K74" i="135"/>
  <c r="J74" i="135" s="1"/>
  <c r="L73" i="135"/>
  <c r="K73" i="135"/>
  <c r="J73" i="135" s="1"/>
  <c r="L72" i="135"/>
  <c r="K72" i="135"/>
  <c r="J72" i="135" s="1"/>
  <c r="L71" i="135"/>
  <c r="K71" i="135"/>
  <c r="L70" i="135"/>
  <c r="K70" i="135"/>
  <c r="L69" i="135"/>
  <c r="K69" i="135"/>
  <c r="J69" i="135" s="1"/>
  <c r="L68" i="135"/>
  <c r="K68" i="135"/>
  <c r="L67" i="135"/>
  <c r="K67" i="135"/>
  <c r="J67" i="135" s="1"/>
  <c r="L66" i="135"/>
  <c r="K66" i="135"/>
  <c r="L65" i="135"/>
  <c r="K65" i="135"/>
  <c r="J65" i="135" s="1"/>
  <c r="L64" i="135"/>
  <c r="K64" i="135"/>
  <c r="L63" i="135"/>
  <c r="K63" i="135"/>
  <c r="J63" i="135" s="1"/>
  <c r="L62" i="135"/>
  <c r="K62" i="135"/>
  <c r="J62" i="135" s="1"/>
  <c r="L61" i="135"/>
  <c r="K61" i="135"/>
  <c r="L60" i="135"/>
  <c r="K60" i="135"/>
  <c r="J60" i="135" s="1"/>
  <c r="L59" i="135"/>
  <c r="K59" i="135"/>
  <c r="J59" i="135" s="1"/>
  <c r="L58" i="135"/>
  <c r="K58" i="135"/>
  <c r="J58" i="135" s="1"/>
  <c r="L57" i="135"/>
  <c r="K57" i="135"/>
  <c r="J57" i="135" s="1"/>
  <c r="L56" i="135"/>
  <c r="K56" i="135"/>
  <c r="J56" i="135" s="1"/>
  <c r="L55" i="135"/>
  <c r="K55" i="135"/>
  <c r="J55" i="135" s="1"/>
  <c r="L54" i="135"/>
  <c r="K54" i="135"/>
  <c r="L53" i="135"/>
  <c r="K53" i="135"/>
  <c r="J53" i="135" s="1"/>
  <c r="L52" i="135"/>
  <c r="K52" i="135"/>
  <c r="L51" i="135"/>
  <c r="K51" i="135"/>
  <c r="J51" i="135" s="1"/>
  <c r="L50" i="135"/>
  <c r="K50" i="135"/>
  <c r="L49" i="135"/>
  <c r="K49" i="135"/>
  <c r="J49" i="135" s="1"/>
  <c r="L48" i="135"/>
  <c r="K48" i="135"/>
  <c r="L47" i="135"/>
  <c r="K47" i="135"/>
  <c r="J47" i="135" s="1"/>
  <c r="L46" i="135"/>
  <c r="K46" i="135"/>
  <c r="J46" i="135" s="1"/>
  <c r="L45" i="135"/>
  <c r="K45" i="135"/>
  <c r="J45" i="135" s="1"/>
  <c r="L44" i="135"/>
  <c r="K44" i="135"/>
  <c r="J44" i="135" s="1"/>
  <c r="L43" i="135"/>
  <c r="K43" i="135"/>
  <c r="J43" i="135" s="1"/>
  <c r="L42" i="135"/>
  <c r="K42" i="135"/>
  <c r="J42" i="135" s="1"/>
  <c r="L41" i="135"/>
  <c r="K41" i="135"/>
  <c r="J41" i="135" s="1"/>
  <c r="L40" i="135"/>
  <c r="K40" i="135"/>
  <c r="J40" i="135" s="1"/>
  <c r="L39" i="135"/>
  <c r="K39" i="135"/>
  <c r="J39" i="135" s="1"/>
  <c r="L38" i="135"/>
  <c r="K38" i="135"/>
  <c r="L37" i="135"/>
  <c r="K37" i="135"/>
  <c r="J37" i="135" s="1"/>
  <c r="L36" i="135"/>
  <c r="K36" i="135"/>
  <c r="L35" i="135"/>
  <c r="K35" i="135"/>
  <c r="K18" i="135" s="1"/>
  <c r="L34" i="135"/>
  <c r="K34" i="135"/>
  <c r="L33" i="135"/>
  <c r="K33" i="135"/>
  <c r="J33" i="135" s="1"/>
  <c r="L32" i="135"/>
  <c r="K32" i="135"/>
  <c r="L31" i="135"/>
  <c r="K31" i="135"/>
  <c r="J31" i="135" s="1"/>
  <c r="L30" i="135"/>
  <c r="K30" i="135"/>
  <c r="J30" i="135" s="1"/>
  <c r="L29" i="135"/>
  <c r="K29" i="135"/>
  <c r="J29" i="135" s="1"/>
  <c r="L28" i="135"/>
  <c r="K28" i="135"/>
  <c r="J28" i="135" s="1"/>
  <c r="L27" i="135"/>
  <c r="K27" i="135"/>
  <c r="J27" i="135" s="1"/>
  <c r="L26" i="135"/>
  <c r="K26" i="135"/>
  <c r="J26" i="135" s="1"/>
  <c r="L25" i="135"/>
  <c r="K25" i="135"/>
  <c r="J25" i="135" s="1"/>
  <c r="L95" i="136"/>
  <c r="K95" i="136"/>
  <c r="L94" i="136"/>
  <c r="K94" i="136"/>
  <c r="L80" i="136"/>
  <c r="K80" i="136"/>
  <c r="L79" i="136"/>
  <c r="K79" i="136"/>
  <c r="J79" i="136" s="1"/>
  <c r="L78" i="136"/>
  <c r="K78" i="136"/>
  <c r="L77" i="136"/>
  <c r="K77" i="136"/>
  <c r="J77" i="136" s="1"/>
  <c r="L76" i="136"/>
  <c r="K76" i="136"/>
  <c r="L75" i="136"/>
  <c r="K75" i="136"/>
  <c r="J75" i="136" s="1"/>
  <c r="L74" i="136"/>
  <c r="K74" i="136"/>
  <c r="L73" i="136"/>
  <c r="K73" i="136"/>
  <c r="J73" i="136" s="1"/>
  <c r="L72" i="136"/>
  <c r="K72" i="136"/>
  <c r="L71" i="136"/>
  <c r="K71" i="136"/>
  <c r="J71" i="136" s="1"/>
  <c r="L70" i="136"/>
  <c r="K70" i="136"/>
  <c r="L69" i="136"/>
  <c r="K69" i="136"/>
  <c r="J69" i="136" s="1"/>
  <c r="L68" i="136"/>
  <c r="K68" i="136"/>
  <c r="L67" i="136"/>
  <c r="K67" i="136"/>
  <c r="J67" i="136" s="1"/>
  <c r="L66" i="136"/>
  <c r="K66" i="136"/>
  <c r="L65" i="136"/>
  <c r="K65" i="136"/>
  <c r="J65" i="136" s="1"/>
  <c r="L64" i="136"/>
  <c r="K64" i="136"/>
  <c r="L63" i="136"/>
  <c r="K63" i="136"/>
  <c r="L62" i="136"/>
  <c r="K62" i="136"/>
  <c r="L61" i="136"/>
  <c r="K61" i="136"/>
  <c r="L60" i="136"/>
  <c r="K60" i="136"/>
  <c r="L59" i="136"/>
  <c r="K59" i="136"/>
  <c r="L58" i="136"/>
  <c r="K58" i="136"/>
  <c r="L57" i="136"/>
  <c r="K57" i="136"/>
  <c r="L56" i="136"/>
  <c r="K56" i="136"/>
  <c r="L55" i="136"/>
  <c r="K55" i="136"/>
  <c r="L54" i="136"/>
  <c r="K54" i="136"/>
  <c r="L53" i="136"/>
  <c r="K53" i="136"/>
  <c r="L52" i="136"/>
  <c r="K52" i="136"/>
  <c r="L51" i="136"/>
  <c r="K51" i="136"/>
  <c r="L50" i="136"/>
  <c r="K50" i="136"/>
  <c r="L49" i="136"/>
  <c r="K49" i="136"/>
  <c r="L48" i="136"/>
  <c r="K48" i="136"/>
  <c r="L47" i="136"/>
  <c r="K47" i="136"/>
  <c r="L46" i="136"/>
  <c r="K46" i="136"/>
  <c r="L45" i="136"/>
  <c r="K45" i="136"/>
  <c r="L44" i="136"/>
  <c r="K44" i="136"/>
  <c r="L43" i="136"/>
  <c r="K43" i="136"/>
  <c r="L42" i="136"/>
  <c r="K42" i="136"/>
  <c r="L41" i="136"/>
  <c r="K41" i="136"/>
  <c r="L40" i="136"/>
  <c r="K40" i="136"/>
  <c r="L39" i="136"/>
  <c r="K39" i="136"/>
  <c r="L38" i="136"/>
  <c r="K38" i="136"/>
  <c r="L37" i="136"/>
  <c r="K37" i="136"/>
  <c r="L36" i="136"/>
  <c r="K36" i="136"/>
  <c r="L35" i="136"/>
  <c r="K35" i="136"/>
  <c r="L34" i="136"/>
  <c r="K34" i="136"/>
  <c r="L33" i="136"/>
  <c r="K33" i="136"/>
  <c r="L32" i="136"/>
  <c r="K32" i="136"/>
  <c r="L31" i="136"/>
  <c r="K31" i="136"/>
  <c r="L30" i="136"/>
  <c r="K30" i="136"/>
  <c r="L29" i="136"/>
  <c r="K29" i="136"/>
  <c r="L28" i="136"/>
  <c r="K28" i="136"/>
  <c r="L27" i="136"/>
  <c r="K27" i="136"/>
  <c r="L26" i="136"/>
  <c r="K26" i="136"/>
  <c r="L25" i="136"/>
  <c r="K25" i="136"/>
  <c r="J25" i="136" s="1"/>
  <c r="L89" i="137"/>
  <c r="K89" i="137"/>
  <c r="J89" i="137" s="1"/>
  <c r="L88" i="137"/>
  <c r="K88" i="137"/>
  <c r="L87" i="137"/>
  <c r="K87" i="137"/>
  <c r="L86" i="137"/>
  <c r="K86" i="137"/>
  <c r="L73" i="137"/>
  <c r="K73" i="137"/>
  <c r="L72" i="137"/>
  <c r="K72" i="137"/>
  <c r="L71" i="137"/>
  <c r="K71" i="137"/>
  <c r="L70" i="137"/>
  <c r="K70" i="137"/>
  <c r="L69" i="137"/>
  <c r="K69" i="137"/>
  <c r="L68" i="137"/>
  <c r="K68" i="137"/>
  <c r="L67" i="137"/>
  <c r="K67" i="137"/>
  <c r="L66" i="137"/>
  <c r="K66" i="137"/>
  <c r="L65" i="137"/>
  <c r="K65" i="137"/>
  <c r="L64" i="137"/>
  <c r="K64" i="137"/>
  <c r="L63" i="137"/>
  <c r="K63" i="137"/>
  <c r="J63" i="137" s="1"/>
  <c r="L62" i="137"/>
  <c r="K62" i="137"/>
  <c r="L61" i="137"/>
  <c r="K61" i="137"/>
  <c r="L60" i="137"/>
  <c r="K60" i="137"/>
  <c r="L59" i="137"/>
  <c r="K59" i="137"/>
  <c r="J59" i="137" s="1"/>
  <c r="L58" i="137"/>
  <c r="K58" i="137"/>
  <c r="J58" i="137" s="1"/>
  <c r="L57" i="137"/>
  <c r="K57" i="137"/>
  <c r="L56" i="137"/>
  <c r="K56" i="137"/>
  <c r="L55" i="137"/>
  <c r="K55" i="137"/>
  <c r="L54" i="137"/>
  <c r="K54" i="137"/>
  <c r="J54" i="137" s="1"/>
  <c r="L53" i="137"/>
  <c r="K53" i="137"/>
  <c r="L52" i="137"/>
  <c r="K52" i="137"/>
  <c r="L51" i="137"/>
  <c r="K51" i="137"/>
  <c r="J51" i="137" s="1"/>
  <c r="L50" i="137"/>
  <c r="K50" i="137"/>
  <c r="L49" i="137"/>
  <c r="K49" i="137"/>
  <c r="J49" i="137" s="1"/>
  <c r="L48" i="137"/>
  <c r="K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L43" i="137"/>
  <c r="K43" i="137"/>
  <c r="J43" i="137" s="1"/>
  <c r="L42" i="137"/>
  <c r="K42" i="137"/>
  <c r="L41" i="137"/>
  <c r="K41" i="137"/>
  <c r="L40" i="137"/>
  <c r="K40" i="137"/>
  <c r="L39" i="137"/>
  <c r="K39" i="137"/>
  <c r="J39" i="137" s="1"/>
  <c r="L38" i="137"/>
  <c r="K38" i="137"/>
  <c r="J38" i="137" s="1"/>
  <c r="L37" i="137"/>
  <c r="K37" i="137"/>
  <c r="J37" i="137" s="1"/>
  <c r="L36" i="137"/>
  <c r="K36" i="137"/>
  <c r="L35" i="137"/>
  <c r="K35" i="137"/>
  <c r="L34" i="137"/>
  <c r="K34" i="137"/>
  <c r="L33" i="137"/>
  <c r="K33" i="137"/>
  <c r="L32" i="137"/>
  <c r="K32" i="137"/>
  <c r="L31" i="137"/>
  <c r="K31" i="137"/>
  <c r="L30" i="137"/>
  <c r="K30" i="137"/>
  <c r="L29" i="137"/>
  <c r="K29" i="137"/>
  <c r="L28" i="137"/>
  <c r="K28" i="137"/>
  <c r="L27" i="137"/>
  <c r="K27" i="137"/>
  <c r="L26" i="137"/>
  <c r="K26" i="137"/>
  <c r="J26" i="137" s="1"/>
  <c r="L25" i="137"/>
  <c r="K25" i="137"/>
  <c r="L87" i="138"/>
  <c r="K87" i="138"/>
  <c r="L74" i="138"/>
  <c r="K74" i="138"/>
  <c r="L70" i="138"/>
  <c r="K70" i="138"/>
  <c r="L69" i="138"/>
  <c r="K69" i="138"/>
  <c r="L68" i="138"/>
  <c r="K68" i="138"/>
  <c r="L67" i="138"/>
  <c r="K67" i="138"/>
  <c r="L66" i="138"/>
  <c r="K66" i="138"/>
  <c r="L65" i="138"/>
  <c r="K65" i="138"/>
  <c r="L64" i="138"/>
  <c r="K64" i="138"/>
  <c r="L63" i="138"/>
  <c r="K63" i="138"/>
  <c r="L62" i="138"/>
  <c r="K62" i="138"/>
  <c r="L61" i="138"/>
  <c r="K61" i="138"/>
  <c r="L60" i="138"/>
  <c r="K60" i="138"/>
  <c r="L59" i="138"/>
  <c r="K59" i="138"/>
  <c r="L58" i="138"/>
  <c r="K58" i="138"/>
  <c r="L57" i="138"/>
  <c r="K57" i="138"/>
  <c r="L56" i="138"/>
  <c r="K56" i="138"/>
  <c r="L55" i="138"/>
  <c r="K55" i="138"/>
  <c r="L54" i="138"/>
  <c r="K54" i="138"/>
  <c r="L53" i="138"/>
  <c r="K53" i="138"/>
  <c r="L52" i="138"/>
  <c r="K52" i="138"/>
  <c r="L51" i="138"/>
  <c r="K51" i="138"/>
  <c r="L50" i="138"/>
  <c r="K50" i="138"/>
  <c r="L49" i="138"/>
  <c r="K49" i="138"/>
  <c r="L48" i="138"/>
  <c r="K48" i="138"/>
  <c r="L47" i="138"/>
  <c r="K47" i="138"/>
  <c r="L46" i="138"/>
  <c r="K46" i="138"/>
  <c r="L45" i="138"/>
  <c r="K45" i="138"/>
  <c r="L44" i="138"/>
  <c r="K44" i="138"/>
  <c r="L43" i="138"/>
  <c r="K43" i="138"/>
  <c r="L42" i="138"/>
  <c r="K42" i="138"/>
  <c r="L41" i="138"/>
  <c r="K41" i="138"/>
  <c r="L40" i="138"/>
  <c r="K40" i="138"/>
  <c r="L39" i="138"/>
  <c r="K39" i="138"/>
  <c r="L38" i="138"/>
  <c r="K38" i="138"/>
  <c r="L37" i="138"/>
  <c r="K37" i="138"/>
  <c r="L36" i="138"/>
  <c r="K36" i="138"/>
  <c r="L35" i="138"/>
  <c r="K35" i="138"/>
  <c r="L34" i="138"/>
  <c r="K34" i="138"/>
  <c r="L33" i="138"/>
  <c r="K33" i="138"/>
  <c r="L32" i="138"/>
  <c r="K32" i="138"/>
  <c r="L31" i="138"/>
  <c r="K31" i="138"/>
  <c r="L30" i="138"/>
  <c r="K30" i="138"/>
  <c r="L29" i="138"/>
  <c r="K29" i="138"/>
  <c r="L28" i="138"/>
  <c r="K28" i="138"/>
  <c r="L27" i="138"/>
  <c r="K27" i="138"/>
  <c r="L26" i="138"/>
  <c r="K26" i="138"/>
  <c r="L25" i="138"/>
  <c r="K25" i="138"/>
  <c r="L24" i="138"/>
  <c r="K24" i="138"/>
  <c r="L115" i="139"/>
  <c r="K115" i="139"/>
  <c r="L76" i="139"/>
  <c r="K76" i="139"/>
  <c r="L75" i="139"/>
  <c r="K75" i="139"/>
  <c r="L74" i="139"/>
  <c r="K74" i="139"/>
  <c r="L73" i="139"/>
  <c r="K73" i="139"/>
  <c r="L72" i="139"/>
  <c r="K72" i="139"/>
  <c r="L71" i="139"/>
  <c r="K71" i="139"/>
  <c r="L70" i="139"/>
  <c r="K70" i="139"/>
  <c r="L69" i="139"/>
  <c r="K69" i="139"/>
  <c r="L68" i="139"/>
  <c r="K68" i="139"/>
  <c r="L67" i="139"/>
  <c r="K67" i="139"/>
  <c r="L66" i="139"/>
  <c r="K66" i="139"/>
  <c r="L65" i="139"/>
  <c r="K65" i="139"/>
  <c r="L64" i="139"/>
  <c r="K64" i="139"/>
  <c r="L63" i="139"/>
  <c r="K63" i="139"/>
  <c r="L62" i="139"/>
  <c r="K62" i="139"/>
  <c r="L61" i="139"/>
  <c r="K61" i="139"/>
  <c r="L60" i="139"/>
  <c r="K60" i="139"/>
  <c r="L59" i="139"/>
  <c r="K59" i="139"/>
  <c r="L58" i="139"/>
  <c r="K58" i="139"/>
  <c r="L57" i="139"/>
  <c r="K57" i="139"/>
  <c r="L56" i="139"/>
  <c r="K56" i="139"/>
  <c r="L55" i="139"/>
  <c r="K55" i="139"/>
  <c r="L54" i="139"/>
  <c r="K54" i="139"/>
  <c r="L53" i="139"/>
  <c r="K53" i="139"/>
  <c r="L52" i="139"/>
  <c r="K52" i="139"/>
  <c r="L51" i="139"/>
  <c r="K51" i="139"/>
  <c r="L50" i="139"/>
  <c r="K50" i="139"/>
  <c r="L49" i="139"/>
  <c r="K49" i="139"/>
  <c r="L48" i="139"/>
  <c r="K48" i="139"/>
  <c r="L47" i="139"/>
  <c r="K47" i="139"/>
  <c r="L46" i="139"/>
  <c r="K46" i="139"/>
  <c r="L45" i="139"/>
  <c r="K45" i="139"/>
  <c r="L44" i="139"/>
  <c r="K44" i="139"/>
  <c r="L43" i="139"/>
  <c r="K43" i="139"/>
  <c r="L42" i="139"/>
  <c r="K42" i="139"/>
  <c r="L41" i="139"/>
  <c r="K41" i="139"/>
  <c r="L40" i="139"/>
  <c r="K40" i="139"/>
  <c r="L39" i="139"/>
  <c r="K39" i="139"/>
  <c r="L38" i="139"/>
  <c r="K38" i="139"/>
  <c r="L37" i="139"/>
  <c r="K37" i="139"/>
  <c r="L36" i="139"/>
  <c r="K36" i="139"/>
  <c r="L35" i="139"/>
  <c r="K35" i="139"/>
  <c r="L34" i="139"/>
  <c r="K34" i="139"/>
  <c r="L33" i="139"/>
  <c r="K33" i="139"/>
  <c r="L32" i="139"/>
  <c r="K32" i="139"/>
  <c r="L31" i="139"/>
  <c r="K31" i="139"/>
  <c r="L30" i="139"/>
  <c r="K30" i="139"/>
  <c r="L29" i="139"/>
  <c r="K29" i="139"/>
  <c r="L28" i="139"/>
  <c r="K28" i="139"/>
  <c r="L27" i="139"/>
  <c r="K27" i="139"/>
  <c r="L26" i="139"/>
  <c r="K26" i="139"/>
  <c r="L25" i="139"/>
  <c r="K25" i="139"/>
  <c r="L107" i="140"/>
  <c r="K107" i="140"/>
  <c r="L106" i="140"/>
  <c r="K106" i="140"/>
  <c r="L105" i="140"/>
  <c r="K105" i="140"/>
  <c r="L104" i="140"/>
  <c r="K104" i="140"/>
  <c r="L103" i="140"/>
  <c r="K103" i="140"/>
  <c r="L102" i="140"/>
  <c r="K102" i="140"/>
  <c r="L101" i="140"/>
  <c r="K101" i="140"/>
  <c r="L100" i="140"/>
  <c r="K100" i="140"/>
  <c r="L99" i="140"/>
  <c r="K99" i="140"/>
  <c r="L98" i="140"/>
  <c r="K98" i="140"/>
  <c r="L97" i="140"/>
  <c r="K97" i="140"/>
  <c r="L96" i="140"/>
  <c r="K96" i="140"/>
  <c r="L95" i="140"/>
  <c r="K95" i="140"/>
  <c r="L94" i="140"/>
  <c r="K94" i="140"/>
  <c r="L93" i="140"/>
  <c r="K93" i="140"/>
  <c r="L92" i="140"/>
  <c r="K92" i="140"/>
  <c r="L91" i="140"/>
  <c r="K91" i="140"/>
  <c r="L90" i="140"/>
  <c r="K90" i="140"/>
  <c r="L89" i="140"/>
  <c r="K89" i="140"/>
  <c r="L88" i="140"/>
  <c r="K88" i="140"/>
  <c r="L87" i="140"/>
  <c r="K87" i="140"/>
  <c r="L86" i="140"/>
  <c r="K86" i="140"/>
  <c r="L85" i="140"/>
  <c r="K85" i="140"/>
  <c r="L84" i="140"/>
  <c r="K84" i="140"/>
  <c r="L83" i="140"/>
  <c r="K83" i="140"/>
  <c r="L82" i="140"/>
  <c r="K82" i="140"/>
  <c r="L81" i="140"/>
  <c r="K81" i="140"/>
  <c r="L80" i="140"/>
  <c r="K80" i="140"/>
  <c r="L79" i="140"/>
  <c r="K79" i="140"/>
  <c r="L78" i="140"/>
  <c r="K78" i="140"/>
  <c r="L77" i="140"/>
  <c r="K77" i="140"/>
  <c r="L76" i="140"/>
  <c r="K76" i="140"/>
  <c r="L75" i="140"/>
  <c r="K75" i="140"/>
  <c r="L74" i="140"/>
  <c r="K74" i="140"/>
  <c r="L73" i="140"/>
  <c r="K73" i="140"/>
  <c r="L72" i="140"/>
  <c r="K72" i="140"/>
  <c r="L71" i="140"/>
  <c r="K71" i="140"/>
  <c r="L70" i="140"/>
  <c r="K70" i="140"/>
  <c r="L69" i="140"/>
  <c r="K69" i="140"/>
  <c r="L68" i="140"/>
  <c r="K68" i="140"/>
  <c r="L67" i="140"/>
  <c r="K67" i="140"/>
  <c r="L66" i="140"/>
  <c r="K66" i="140"/>
  <c r="L65" i="140"/>
  <c r="K65" i="140"/>
  <c r="L64" i="140"/>
  <c r="K64" i="140"/>
  <c r="L63" i="140"/>
  <c r="K63" i="140"/>
  <c r="L62" i="140"/>
  <c r="K62" i="140"/>
  <c r="L61" i="140"/>
  <c r="K61" i="140"/>
  <c r="L60" i="140"/>
  <c r="K60" i="140"/>
  <c r="L59" i="140"/>
  <c r="K59" i="140"/>
  <c r="L58" i="140"/>
  <c r="K58" i="140"/>
  <c r="L57" i="140"/>
  <c r="K57" i="140"/>
  <c r="L56" i="140"/>
  <c r="K56" i="140"/>
  <c r="L55" i="140"/>
  <c r="K55" i="140"/>
  <c r="L54" i="140"/>
  <c r="K54" i="140"/>
  <c r="L53" i="140"/>
  <c r="K53" i="140"/>
  <c r="L52" i="140"/>
  <c r="K52" i="140"/>
  <c r="L51" i="140"/>
  <c r="K51" i="140"/>
  <c r="L50" i="140"/>
  <c r="K50" i="140"/>
  <c r="L49" i="140"/>
  <c r="K49" i="140"/>
  <c r="L48" i="140"/>
  <c r="K48" i="140"/>
  <c r="L47" i="140"/>
  <c r="K47" i="140"/>
  <c r="L46" i="140"/>
  <c r="K46" i="140"/>
  <c r="L45" i="140"/>
  <c r="K45" i="140"/>
  <c r="L44" i="140"/>
  <c r="K44" i="140"/>
  <c r="L43" i="140"/>
  <c r="K43" i="140"/>
  <c r="L42" i="140"/>
  <c r="K42" i="140"/>
  <c r="L41" i="140"/>
  <c r="K41" i="140"/>
  <c r="L40" i="140"/>
  <c r="K40" i="140"/>
  <c r="L39" i="140"/>
  <c r="K39" i="140"/>
  <c r="L38" i="140"/>
  <c r="K38" i="140"/>
  <c r="L37" i="140"/>
  <c r="K37" i="140"/>
  <c r="L36" i="140"/>
  <c r="K36" i="140"/>
  <c r="L35" i="140"/>
  <c r="K35" i="140"/>
  <c r="L34" i="140"/>
  <c r="K34" i="140"/>
  <c r="L33" i="140"/>
  <c r="K33" i="140"/>
  <c r="L32" i="140"/>
  <c r="K32" i="140"/>
  <c r="L31" i="140"/>
  <c r="K31" i="140"/>
  <c r="L30" i="140"/>
  <c r="K30" i="140"/>
  <c r="L29" i="140"/>
  <c r="K29" i="140"/>
  <c r="L28" i="140"/>
  <c r="K28" i="140"/>
  <c r="L27" i="140"/>
  <c r="K27" i="140"/>
  <c r="L26" i="140"/>
  <c r="K26" i="140"/>
  <c r="L25" i="140"/>
  <c r="K25" i="140"/>
  <c r="L110" i="141"/>
  <c r="K110" i="141"/>
  <c r="J110" i="141" s="1"/>
  <c r="L81" i="141"/>
  <c r="K81" i="141"/>
  <c r="L78" i="141"/>
  <c r="K78" i="141"/>
  <c r="J78" i="141" s="1"/>
  <c r="L77" i="141"/>
  <c r="K77" i="141"/>
  <c r="L76" i="141"/>
  <c r="K76" i="141"/>
  <c r="L75" i="141"/>
  <c r="K75" i="141"/>
  <c r="L74" i="141"/>
  <c r="K74" i="141"/>
  <c r="L73" i="141"/>
  <c r="K73" i="141"/>
  <c r="L72" i="141"/>
  <c r="K72" i="141"/>
  <c r="J72" i="141" s="1"/>
  <c r="L71" i="141"/>
  <c r="K71" i="141"/>
  <c r="L70" i="141"/>
  <c r="K70" i="141"/>
  <c r="L69" i="141"/>
  <c r="K69" i="141"/>
  <c r="L68" i="141"/>
  <c r="K68" i="141"/>
  <c r="L67" i="141"/>
  <c r="K67" i="141"/>
  <c r="L66" i="141"/>
  <c r="K66" i="141"/>
  <c r="L65" i="141"/>
  <c r="K65" i="141"/>
  <c r="L64" i="141"/>
  <c r="K64" i="141"/>
  <c r="J64" i="141" s="1"/>
  <c r="L63" i="141"/>
  <c r="K63" i="141"/>
  <c r="L62" i="141"/>
  <c r="K62" i="141"/>
  <c r="L61" i="141"/>
  <c r="K61" i="141"/>
  <c r="L60" i="141"/>
  <c r="K60" i="141"/>
  <c r="L59" i="141"/>
  <c r="K59" i="141"/>
  <c r="L58" i="141"/>
  <c r="K58" i="141"/>
  <c r="L57" i="141"/>
  <c r="K57" i="141"/>
  <c r="L56" i="141"/>
  <c r="K56" i="141"/>
  <c r="J56" i="141" s="1"/>
  <c r="L55" i="141"/>
  <c r="K55" i="141"/>
  <c r="L54" i="141"/>
  <c r="K54" i="141"/>
  <c r="J54" i="141" s="1"/>
  <c r="L53" i="141"/>
  <c r="K53" i="141"/>
  <c r="L52" i="141"/>
  <c r="K52" i="141"/>
  <c r="J52" i="141" s="1"/>
  <c r="L51" i="141"/>
  <c r="K51" i="141"/>
  <c r="L50" i="141"/>
  <c r="K50" i="141"/>
  <c r="L49" i="141"/>
  <c r="K49" i="141"/>
  <c r="L48" i="141"/>
  <c r="K48" i="141"/>
  <c r="J48" i="141" s="1"/>
  <c r="L47" i="141"/>
  <c r="K47" i="141"/>
  <c r="L46" i="141"/>
  <c r="K46" i="141"/>
  <c r="J46" i="141" s="1"/>
  <c r="L45" i="141"/>
  <c r="K45" i="141"/>
  <c r="L44" i="141"/>
  <c r="K44" i="141"/>
  <c r="L43" i="141"/>
  <c r="K43" i="141"/>
  <c r="L42" i="141"/>
  <c r="K42" i="141"/>
  <c r="L41" i="141"/>
  <c r="K41" i="141"/>
  <c r="L40" i="141"/>
  <c r="K40" i="141"/>
  <c r="L39" i="141"/>
  <c r="K39" i="141"/>
  <c r="L38" i="141"/>
  <c r="K38" i="141"/>
  <c r="J38" i="141" s="1"/>
  <c r="L37" i="141"/>
  <c r="K37" i="141"/>
  <c r="L36" i="141"/>
  <c r="K36" i="141"/>
  <c r="J36" i="141" s="1"/>
  <c r="L35" i="141"/>
  <c r="K35" i="141"/>
  <c r="L34" i="141"/>
  <c r="K34" i="141"/>
  <c r="L33" i="141"/>
  <c r="K33" i="141"/>
  <c r="L32" i="141"/>
  <c r="K32" i="141"/>
  <c r="L31" i="141"/>
  <c r="K31" i="141"/>
  <c r="L30" i="141"/>
  <c r="K30" i="141"/>
  <c r="L29" i="141"/>
  <c r="K29" i="141"/>
  <c r="L28" i="141"/>
  <c r="K28" i="141"/>
  <c r="L27" i="141"/>
  <c r="K27" i="141"/>
  <c r="L26" i="141"/>
  <c r="K26" i="141"/>
  <c r="J26" i="141" s="1"/>
  <c r="L25" i="141"/>
  <c r="K25" i="141"/>
  <c r="J25" i="141" s="1"/>
  <c r="L103" i="142"/>
  <c r="K103" i="142"/>
  <c r="J103" i="142" s="1"/>
  <c r="L75" i="142"/>
  <c r="K75" i="142"/>
  <c r="L74" i="142"/>
  <c r="K74" i="142"/>
  <c r="J74" i="142" s="1"/>
  <c r="L73" i="142"/>
  <c r="K73" i="142"/>
  <c r="L72" i="142"/>
  <c r="K72" i="142"/>
  <c r="L71" i="142"/>
  <c r="K71" i="142"/>
  <c r="L70" i="142"/>
  <c r="K70" i="142"/>
  <c r="J70" i="142" s="1"/>
  <c r="L69" i="142"/>
  <c r="K69" i="142"/>
  <c r="L68" i="142"/>
  <c r="K68" i="142"/>
  <c r="J68" i="142" s="1"/>
  <c r="L67" i="142"/>
  <c r="K67" i="142"/>
  <c r="L66" i="142"/>
  <c r="K66" i="142"/>
  <c r="L65" i="142"/>
  <c r="K65" i="142"/>
  <c r="L64" i="142"/>
  <c r="K64" i="142"/>
  <c r="L63" i="142"/>
  <c r="K63" i="142"/>
  <c r="L62" i="142"/>
  <c r="K62" i="142"/>
  <c r="L61" i="142"/>
  <c r="K61" i="142"/>
  <c r="L60" i="142"/>
  <c r="K60" i="142"/>
  <c r="J60" i="142" s="1"/>
  <c r="L59" i="142"/>
  <c r="K59" i="142"/>
  <c r="L58" i="142"/>
  <c r="K58" i="142"/>
  <c r="L57" i="142"/>
  <c r="K57" i="142"/>
  <c r="L56" i="142"/>
  <c r="K56" i="142"/>
  <c r="J56" i="142" s="1"/>
  <c r="L55" i="142"/>
  <c r="K55" i="142"/>
  <c r="L54" i="142"/>
  <c r="K54" i="142"/>
  <c r="J54" i="142" s="1"/>
  <c r="L53" i="142"/>
  <c r="K53" i="142"/>
  <c r="L52" i="142"/>
  <c r="K52" i="142"/>
  <c r="L51" i="142"/>
  <c r="K51" i="142"/>
  <c r="L50" i="142"/>
  <c r="K50" i="142"/>
  <c r="J50" i="142" s="1"/>
  <c r="L49" i="142"/>
  <c r="K49" i="142"/>
  <c r="L48" i="142"/>
  <c r="K48" i="142"/>
  <c r="L47" i="142"/>
  <c r="K47" i="142"/>
  <c r="L46" i="142"/>
  <c r="K46" i="142"/>
  <c r="J46" i="142" s="1"/>
  <c r="L45" i="142"/>
  <c r="K45" i="142"/>
  <c r="L44" i="142"/>
  <c r="K44" i="142"/>
  <c r="J44" i="142" s="1"/>
  <c r="L43" i="142"/>
  <c r="K43" i="142"/>
  <c r="L42" i="142"/>
  <c r="K42" i="142"/>
  <c r="J42" i="142" s="1"/>
  <c r="L41" i="142"/>
  <c r="K41" i="142"/>
  <c r="L40" i="142"/>
  <c r="K40" i="142"/>
  <c r="J40" i="142" s="1"/>
  <c r="L39" i="142"/>
  <c r="K39" i="142"/>
  <c r="L38" i="142"/>
  <c r="K38" i="142"/>
  <c r="L37" i="142"/>
  <c r="K37" i="142"/>
  <c r="L36" i="142"/>
  <c r="K36" i="142"/>
  <c r="J36" i="142" s="1"/>
  <c r="L35" i="142"/>
  <c r="K35" i="142"/>
  <c r="L34" i="142"/>
  <c r="K34" i="142"/>
  <c r="J34" i="142" s="1"/>
  <c r="L33" i="142"/>
  <c r="K33" i="142"/>
  <c r="L32" i="142"/>
  <c r="K32" i="142"/>
  <c r="L31" i="142"/>
  <c r="K31" i="142"/>
  <c r="L30" i="142"/>
  <c r="K30" i="142"/>
  <c r="J30" i="142" s="1"/>
  <c r="L29" i="142"/>
  <c r="K29" i="142"/>
  <c r="L28" i="142"/>
  <c r="K28" i="142"/>
  <c r="J28" i="142" s="1"/>
  <c r="L27" i="142"/>
  <c r="K27" i="142"/>
  <c r="L26" i="142"/>
  <c r="K26" i="142"/>
  <c r="L25" i="142"/>
  <c r="K25" i="142"/>
  <c r="L106" i="143"/>
  <c r="K106" i="143"/>
  <c r="L105" i="143"/>
  <c r="K105" i="143"/>
  <c r="L104" i="143"/>
  <c r="K104" i="143"/>
  <c r="L103" i="143"/>
  <c r="K103" i="143"/>
  <c r="L102" i="143"/>
  <c r="K102" i="143"/>
  <c r="L101" i="143"/>
  <c r="K101" i="143"/>
  <c r="L100" i="143"/>
  <c r="K100" i="143"/>
  <c r="L99" i="143"/>
  <c r="K99" i="143"/>
  <c r="J99" i="143" s="1"/>
  <c r="L98" i="143"/>
  <c r="K98" i="143"/>
  <c r="L97" i="143"/>
  <c r="K97" i="143"/>
  <c r="J97" i="143" s="1"/>
  <c r="L96" i="143"/>
  <c r="K96" i="143"/>
  <c r="L95" i="143"/>
  <c r="K95" i="143"/>
  <c r="L94" i="143"/>
  <c r="K94" i="143"/>
  <c r="L93" i="143"/>
  <c r="K93" i="143"/>
  <c r="L92" i="143"/>
  <c r="K92" i="143"/>
  <c r="L91" i="143"/>
  <c r="K91" i="143"/>
  <c r="J91" i="143" s="1"/>
  <c r="L90" i="143"/>
  <c r="K90" i="143"/>
  <c r="L89" i="143"/>
  <c r="K89" i="143"/>
  <c r="L88" i="143"/>
  <c r="K88" i="143"/>
  <c r="L87" i="143"/>
  <c r="K87" i="143"/>
  <c r="J87" i="143" s="1"/>
  <c r="L86" i="143"/>
  <c r="K86" i="143"/>
  <c r="J86" i="143" s="1"/>
  <c r="L85" i="143"/>
  <c r="K85" i="143"/>
  <c r="L84" i="143"/>
  <c r="K84" i="143"/>
  <c r="L83" i="143"/>
  <c r="K83" i="143"/>
  <c r="L82" i="143"/>
  <c r="K82" i="143"/>
  <c r="L81" i="143"/>
  <c r="K81" i="143"/>
  <c r="L80" i="143"/>
  <c r="K80" i="143"/>
  <c r="L79" i="143"/>
  <c r="L78" i="143"/>
  <c r="L77" i="143"/>
  <c r="K77" i="143"/>
  <c r="L76" i="143"/>
  <c r="K76" i="143"/>
  <c r="L75" i="143"/>
  <c r="K75" i="143"/>
  <c r="L74" i="143"/>
  <c r="K74" i="143"/>
  <c r="L73" i="143"/>
  <c r="K73" i="143"/>
  <c r="L72" i="143"/>
  <c r="K72" i="143"/>
  <c r="J72" i="143" s="1"/>
  <c r="L71" i="143"/>
  <c r="K71" i="143"/>
  <c r="L70" i="143"/>
  <c r="K70" i="143"/>
  <c r="L69" i="143"/>
  <c r="K69" i="143"/>
  <c r="L68" i="143"/>
  <c r="K68" i="143"/>
  <c r="L67" i="143"/>
  <c r="K67" i="143"/>
  <c r="L66" i="143"/>
  <c r="K66" i="143"/>
  <c r="L65" i="143"/>
  <c r="K65" i="143"/>
  <c r="L64" i="143"/>
  <c r="K64" i="143"/>
  <c r="L63" i="143"/>
  <c r="K63" i="143"/>
  <c r="L62" i="143"/>
  <c r="K62" i="143"/>
  <c r="L61" i="143"/>
  <c r="K61" i="143"/>
  <c r="L60" i="143"/>
  <c r="K60" i="143"/>
  <c r="L59" i="143"/>
  <c r="K59" i="143"/>
  <c r="L58" i="143"/>
  <c r="K58" i="143"/>
  <c r="L57" i="143"/>
  <c r="K57" i="143"/>
  <c r="L56" i="143"/>
  <c r="K56" i="143"/>
  <c r="L55" i="143"/>
  <c r="K55" i="143"/>
  <c r="L54" i="143"/>
  <c r="K54" i="143"/>
  <c r="L53" i="143"/>
  <c r="K53" i="143"/>
  <c r="J53" i="143" s="1"/>
  <c r="L52" i="143"/>
  <c r="K52" i="143"/>
  <c r="L51" i="143"/>
  <c r="K51" i="143"/>
  <c r="L50" i="143"/>
  <c r="K50" i="143"/>
  <c r="L49" i="143"/>
  <c r="K49" i="143"/>
  <c r="L48" i="143"/>
  <c r="K48" i="143"/>
  <c r="L47" i="143"/>
  <c r="K47" i="143"/>
  <c r="L46" i="143"/>
  <c r="K46" i="143"/>
  <c r="L45" i="143"/>
  <c r="K45" i="143"/>
  <c r="J45" i="143" s="1"/>
  <c r="L44" i="143"/>
  <c r="K44" i="143"/>
  <c r="L43" i="143"/>
  <c r="K43" i="143"/>
  <c r="J43" i="143" s="1"/>
  <c r="L42" i="143"/>
  <c r="K42" i="143"/>
  <c r="L41" i="143"/>
  <c r="K41" i="143"/>
  <c r="L40" i="143"/>
  <c r="K40" i="143"/>
  <c r="L39" i="143"/>
  <c r="K39" i="143"/>
  <c r="L38" i="143"/>
  <c r="K38" i="143"/>
  <c r="L37" i="143"/>
  <c r="K37" i="143"/>
  <c r="L36" i="143"/>
  <c r="K36" i="143"/>
  <c r="L35" i="143"/>
  <c r="K35" i="143"/>
  <c r="L34" i="143"/>
  <c r="K34" i="143"/>
  <c r="L33" i="143"/>
  <c r="K33" i="143"/>
  <c r="L32" i="143"/>
  <c r="K32" i="143"/>
  <c r="L31" i="143"/>
  <c r="K31" i="143"/>
  <c r="L30" i="143"/>
  <c r="K30" i="143"/>
  <c r="J30" i="143" s="1"/>
  <c r="L29" i="143"/>
  <c r="K29" i="143"/>
  <c r="J29" i="143" s="1"/>
  <c r="L28" i="143"/>
  <c r="K28" i="143"/>
  <c r="L27" i="143"/>
  <c r="K27" i="143"/>
  <c r="J27" i="143" s="1"/>
  <c r="L26" i="143"/>
  <c r="K26" i="143"/>
  <c r="J26" i="143" s="1"/>
  <c r="L25" i="143"/>
  <c r="K25" i="143"/>
  <c r="L115" i="144"/>
  <c r="K115" i="144"/>
  <c r="L73" i="144"/>
  <c r="K73" i="144"/>
  <c r="L72" i="144"/>
  <c r="K72" i="144"/>
  <c r="L71" i="144"/>
  <c r="K71" i="144"/>
  <c r="L70" i="144"/>
  <c r="K70" i="144"/>
  <c r="L69" i="144"/>
  <c r="K69" i="144"/>
  <c r="L68" i="144"/>
  <c r="K68" i="144"/>
  <c r="L67" i="144"/>
  <c r="K67" i="144"/>
  <c r="L66" i="144"/>
  <c r="K66" i="144"/>
  <c r="L65" i="144"/>
  <c r="K65" i="144"/>
  <c r="L64" i="144"/>
  <c r="K64" i="144"/>
  <c r="L63" i="144"/>
  <c r="K63" i="144"/>
  <c r="L62" i="144"/>
  <c r="K62" i="144"/>
  <c r="L61" i="144"/>
  <c r="K61" i="144"/>
  <c r="L60" i="144"/>
  <c r="K60" i="144"/>
  <c r="L59" i="144"/>
  <c r="K59" i="144"/>
  <c r="L58" i="144"/>
  <c r="K58" i="144"/>
  <c r="L57" i="144"/>
  <c r="K57" i="144"/>
  <c r="L56" i="144"/>
  <c r="K56" i="144"/>
  <c r="L55" i="144"/>
  <c r="K55" i="144"/>
  <c r="L54" i="144"/>
  <c r="K54" i="144"/>
  <c r="L53" i="144"/>
  <c r="K53" i="144"/>
  <c r="L52" i="144"/>
  <c r="K52" i="144"/>
  <c r="L51" i="144"/>
  <c r="K51" i="144"/>
  <c r="L50" i="144"/>
  <c r="K50" i="144"/>
  <c r="L49" i="144"/>
  <c r="K49" i="144"/>
  <c r="L48" i="144"/>
  <c r="K48" i="144"/>
  <c r="L47" i="144"/>
  <c r="K47" i="144"/>
  <c r="L46" i="144"/>
  <c r="K46" i="144"/>
  <c r="L45" i="144"/>
  <c r="K45" i="144"/>
  <c r="L44" i="144"/>
  <c r="K44" i="144"/>
  <c r="L43" i="144"/>
  <c r="K43" i="144"/>
  <c r="L42" i="144"/>
  <c r="K42" i="144"/>
  <c r="L41" i="144"/>
  <c r="K41" i="144"/>
  <c r="L40" i="144"/>
  <c r="K40" i="144"/>
  <c r="L39" i="144"/>
  <c r="K39" i="144"/>
  <c r="L38" i="144"/>
  <c r="K38" i="144"/>
  <c r="L37" i="144"/>
  <c r="K37" i="144"/>
  <c r="L36" i="144"/>
  <c r="K36" i="144"/>
  <c r="L35" i="144"/>
  <c r="K35" i="144"/>
  <c r="L34" i="144"/>
  <c r="K34" i="144"/>
  <c r="L33" i="144"/>
  <c r="K33" i="144"/>
  <c r="L32" i="144"/>
  <c r="K32" i="144"/>
  <c r="L31" i="144"/>
  <c r="K31" i="144"/>
  <c r="L30" i="144"/>
  <c r="K30" i="144"/>
  <c r="L29" i="144"/>
  <c r="K29" i="144"/>
  <c r="L28" i="144"/>
  <c r="K28" i="144"/>
  <c r="L27" i="144"/>
  <c r="K27" i="144"/>
  <c r="L26" i="144"/>
  <c r="K26" i="144"/>
  <c r="L25" i="144"/>
  <c r="K25" i="144"/>
  <c r="L252" i="145"/>
  <c r="K252" i="145"/>
  <c r="L251" i="145"/>
  <c r="K251" i="145"/>
  <c r="J251" i="145" s="1"/>
  <c r="L250" i="145"/>
  <c r="K250" i="145"/>
  <c r="J250" i="145"/>
  <c r="L249" i="145"/>
  <c r="K249" i="145"/>
  <c r="J249" i="145" s="1"/>
  <c r="L248" i="145"/>
  <c r="K248" i="145"/>
  <c r="J248" i="145" s="1"/>
  <c r="L247" i="145"/>
  <c r="K247" i="145"/>
  <c r="J247" i="145" s="1"/>
  <c r="L246" i="145"/>
  <c r="K246" i="145"/>
  <c r="J246" i="145" s="1"/>
  <c r="L245" i="145"/>
  <c r="K245" i="145"/>
  <c r="J245" i="145" s="1"/>
  <c r="L244" i="145"/>
  <c r="K244" i="145"/>
  <c r="J244" i="145" s="1"/>
  <c r="L243" i="145"/>
  <c r="K243" i="145"/>
  <c r="J243" i="145"/>
  <c r="L242" i="145"/>
  <c r="K242" i="145"/>
  <c r="J242" i="145" s="1"/>
  <c r="L241" i="145"/>
  <c r="K241" i="145"/>
  <c r="L240" i="145"/>
  <c r="K240" i="145"/>
  <c r="J240" i="145"/>
  <c r="L239" i="145"/>
  <c r="K239" i="145"/>
  <c r="L238" i="145"/>
  <c r="K238" i="145"/>
  <c r="L237" i="145"/>
  <c r="K237" i="145"/>
  <c r="J237" i="145"/>
  <c r="L236" i="145"/>
  <c r="K236" i="145"/>
  <c r="L235" i="145"/>
  <c r="K235" i="145"/>
  <c r="J235" i="145" s="1"/>
  <c r="L234" i="145"/>
  <c r="K234" i="145"/>
  <c r="J234" i="145"/>
  <c r="L233" i="145"/>
  <c r="K233" i="145"/>
  <c r="J233" i="145" s="1"/>
  <c r="L232" i="145"/>
  <c r="K232" i="145"/>
  <c r="J232" i="145" s="1"/>
  <c r="L231" i="145"/>
  <c r="K231" i="145"/>
  <c r="J231" i="145" s="1"/>
  <c r="L230" i="145"/>
  <c r="K230" i="145"/>
  <c r="J230" i="145" s="1"/>
  <c r="L229" i="145"/>
  <c r="K229" i="145"/>
  <c r="J229" i="145" s="1"/>
  <c r="L228" i="145"/>
  <c r="K228" i="145"/>
  <c r="J228" i="145" s="1"/>
  <c r="L227" i="145"/>
  <c r="K227" i="145"/>
  <c r="J227" i="145"/>
  <c r="L226" i="145"/>
  <c r="K226" i="145"/>
  <c r="J226" i="145" s="1"/>
  <c r="L225" i="145"/>
  <c r="K225" i="145"/>
  <c r="L224" i="145"/>
  <c r="K224" i="145"/>
  <c r="J224" i="145"/>
  <c r="L223" i="145"/>
  <c r="K223" i="145"/>
  <c r="L222" i="145"/>
  <c r="K222" i="145"/>
  <c r="L221" i="145"/>
  <c r="K221" i="145"/>
  <c r="J221" i="145"/>
  <c r="L220" i="145"/>
  <c r="K220" i="145"/>
  <c r="L219" i="145"/>
  <c r="K219" i="145"/>
  <c r="J219" i="145" s="1"/>
  <c r="L218" i="145"/>
  <c r="K218" i="145"/>
  <c r="J218" i="145"/>
  <c r="L217" i="145"/>
  <c r="K217" i="145"/>
  <c r="J217" i="145" s="1"/>
  <c r="L216" i="145"/>
  <c r="K216" i="145"/>
  <c r="J216" i="145" s="1"/>
  <c r="L215" i="145"/>
  <c r="K215" i="145"/>
  <c r="J215" i="145" s="1"/>
  <c r="L214" i="145"/>
  <c r="K214" i="145"/>
  <c r="J214" i="145" s="1"/>
  <c r="L213" i="145"/>
  <c r="K213" i="145"/>
  <c r="J213" i="145" s="1"/>
  <c r="L212" i="145"/>
  <c r="K212" i="145"/>
  <c r="J212" i="145" s="1"/>
  <c r="L211" i="145"/>
  <c r="K211" i="145"/>
  <c r="J211" i="145"/>
  <c r="L210" i="145"/>
  <c r="K210" i="145"/>
  <c r="J210" i="145" s="1"/>
  <c r="L209" i="145"/>
  <c r="K209" i="145"/>
  <c r="L208" i="145"/>
  <c r="K208" i="145"/>
  <c r="J208" i="145"/>
  <c r="L207" i="145"/>
  <c r="K207" i="145"/>
  <c r="L206" i="145"/>
  <c r="K206" i="145"/>
  <c r="L205" i="145"/>
  <c r="K205" i="145"/>
  <c r="J205" i="145"/>
  <c r="L204" i="145"/>
  <c r="K204" i="145"/>
  <c r="L203" i="145"/>
  <c r="K203" i="145"/>
  <c r="J203" i="145" s="1"/>
  <c r="L202" i="145"/>
  <c r="K202" i="145"/>
  <c r="J202" i="145"/>
  <c r="L201" i="145"/>
  <c r="K201" i="145"/>
  <c r="J201" i="145" s="1"/>
  <c r="L200" i="145"/>
  <c r="J200" i="145" s="1"/>
  <c r="K200" i="145"/>
  <c r="L199" i="145"/>
  <c r="K199" i="145"/>
  <c r="J199" i="145" s="1"/>
  <c r="L198" i="145"/>
  <c r="K198" i="145"/>
  <c r="J198" i="145" s="1"/>
  <c r="L197" i="145"/>
  <c r="K197" i="145"/>
  <c r="J197" i="145" s="1"/>
  <c r="L196" i="145"/>
  <c r="K196" i="145"/>
  <c r="J196" i="145" s="1"/>
  <c r="L195" i="145"/>
  <c r="K195" i="145"/>
  <c r="J195" i="145"/>
  <c r="L194" i="145"/>
  <c r="K194" i="145"/>
  <c r="J194" i="145" s="1"/>
  <c r="L193" i="145"/>
  <c r="K193" i="145"/>
  <c r="J193" i="145" s="1"/>
  <c r="L192" i="145"/>
  <c r="K192" i="145"/>
  <c r="J192" i="145"/>
  <c r="L191" i="145"/>
  <c r="K191" i="145"/>
  <c r="L190" i="145"/>
  <c r="K190" i="145"/>
  <c r="J190" i="145" s="1"/>
  <c r="L189" i="145"/>
  <c r="K189" i="145"/>
  <c r="J189" i="145"/>
  <c r="L188" i="145"/>
  <c r="K188" i="145"/>
  <c r="L187" i="145"/>
  <c r="K187" i="145"/>
  <c r="J187" i="145"/>
  <c r="L186" i="145"/>
  <c r="K186" i="145"/>
  <c r="J186" i="145"/>
  <c r="L185" i="145"/>
  <c r="K185" i="145"/>
  <c r="J185" i="145" s="1"/>
  <c r="L184" i="145"/>
  <c r="K184" i="145"/>
  <c r="J184" i="145" s="1"/>
  <c r="L183" i="145"/>
  <c r="K183" i="145"/>
  <c r="J183" i="145" s="1"/>
  <c r="L182" i="145"/>
  <c r="K182" i="145"/>
  <c r="J182" i="145" s="1"/>
  <c r="L181" i="145"/>
  <c r="K181" i="145"/>
  <c r="J181" i="145" s="1"/>
  <c r="L180" i="145"/>
  <c r="K180" i="145"/>
  <c r="J180" i="145" s="1"/>
  <c r="L179" i="145"/>
  <c r="K179" i="145"/>
  <c r="J179" i="145"/>
  <c r="L178" i="145"/>
  <c r="K178" i="145"/>
  <c r="J178" i="145" s="1"/>
  <c r="L177" i="145"/>
  <c r="K177" i="145"/>
  <c r="L176" i="145"/>
  <c r="K176" i="145"/>
  <c r="J176" i="145"/>
  <c r="L175" i="145"/>
  <c r="K175" i="145"/>
  <c r="L174" i="145"/>
  <c r="K174" i="145"/>
  <c r="J174" i="145" s="1"/>
  <c r="L173" i="145"/>
  <c r="J173" i="145" s="1"/>
  <c r="K173" i="145"/>
  <c r="L172" i="145"/>
  <c r="K172" i="145"/>
  <c r="L171" i="145"/>
  <c r="K171" i="145"/>
  <c r="J171" i="145"/>
  <c r="L170" i="145"/>
  <c r="J170" i="145" s="1"/>
  <c r="K170" i="145"/>
  <c r="L169" i="145"/>
  <c r="K169" i="145"/>
  <c r="J169" i="145" s="1"/>
  <c r="L168" i="145"/>
  <c r="K168" i="145"/>
  <c r="J168" i="145" s="1"/>
  <c r="L167" i="145"/>
  <c r="K167" i="145"/>
  <c r="J167" i="145" s="1"/>
  <c r="L166" i="145"/>
  <c r="K166" i="145"/>
  <c r="J166" i="145" s="1"/>
  <c r="L165" i="145"/>
  <c r="K165" i="145"/>
  <c r="J165" i="145" s="1"/>
  <c r="L164" i="145"/>
  <c r="K164" i="145"/>
  <c r="J164" i="145" s="1"/>
  <c r="L163" i="145"/>
  <c r="K163" i="145"/>
  <c r="J163" i="145"/>
  <c r="L162" i="145"/>
  <c r="K162" i="145"/>
  <c r="J162" i="145" s="1"/>
  <c r="L161" i="145"/>
  <c r="K161" i="145"/>
  <c r="L160" i="145"/>
  <c r="K160" i="145"/>
  <c r="J160" i="145"/>
  <c r="L159" i="145"/>
  <c r="K159" i="145"/>
  <c r="L158" i="145"/>
  <c r="K158" i="145"/>
  <c r="J158" i="145" s="1"/>
  <c r="L157" i="145"/>
  <c r="K157" i="145"/>
  <c r="J157" i="145"/>
  <c r="L156" i="145"/>
  <c r="K156" i="145"/>
  <c r="L155" i="145"/>
  <c r="J155" i="145" s="1"/>
  <c r="K155" i="145"/>
  <c r="L154" i="145"/>
  <c r="K154" i="145"/>
  <c r="J154" i="145"/>
  <c r="L153" i="145"/>
  <c r="K153" i="145"/>
  <c r="J153" i="145" s="1"/>
  <c r="L152" i="145"/>
  <c r="K152" i="145"/>
  <c r="J152" i="145" s="1"/>
  <c r="L151" i="145"/>
  <c r="K151" i="145"/>
  <c r="J151" i="145" s="1"/>
  <c r="L150" i="145"/>
  <c r="K150" i="145"/>
  <c r="J150" i="145" s="1"/>
  <c r="L149" i="145"/>
  <c r="K149" i="145"/>
  <c r="L148" i="145"/>
  <c r="K148" i="145"/>
  <c r="J148" i="145" s="1"/>
  <c r="L147" i="145"/>
  <c r="K147" i="145"/>
  <c r="J147" i="145"/>
  <c r="L146" i="145"/>
  <c r="K146" i="145"/>
  <c r="L145" i="145"/>
  <c r="K145" i="145"/>
  <c r="L144" i="145"/>
  <c r="K144" i="145"/>
  <c r="J144" i="145"/>
  <c r="L143" i="145"/>
  <c r="K143" i="145"/>
  <c r="L142" i="145"/>
  <c r="K142" i="145"/>
  <c r="J142" i="145" s="1"/>
  <c r="L141" i="145"/>
  <c r="K141" i="145"/>
  <c r="J141" i="145"/>
  <c r="L140" i="145"/>
  <c r="K140" i="145"/>
  <c r="L139" i="145"/>
  <c r="K139" i="145"/>
  <c r="J139" i="145"/>
  <c r="L138" i="145"/>
  <c r="K138" i="145"/>
  <c r="J138" i="145"/>
  <c r="L137" i="145"/>
  <c r="K137" i="145"/>
  <c r="J137" i="145" s="1"/>
  <c r="L136" i="145"/>
  <c r="K136" i="145"/>
  <c r="J136" i="145" s="1"/>
  <c r="L135" i="145"/>
  <c r="K135" i="145"/>
  <c r="J135" i="145" s="1"/>
  <c r="L134" i="145"/>
  <c r="K134" i="145"/>
  <c r="J134" i="145" s="1"/>
  <c r="L133" i="145"/>
  <c r="K133" i="145"/>
  <c r="L132" i="145"/>
  <c r="K132" i="145"/>
  <c r="J132" i="145" s="1"/>
  <c r="L131" i="145"/>
  <c r="K131" i="145"/>
  <c r="J131" i="145"/>
  <c r="L130" i="145"/>
  <c r="K130" i="145"/>
  <c r="L129" i="145"/>
  <c r="K129" i="145"/>
  <c r="L128" i="145"/>
  <c r="K128" i="145"/>
  <c r="J128" i="145" s="1"/>
  <c r="L127" i="145"/>
  <c r="K127" i="145"/>
  <c r="L126" i="145"/>
  <c r="K126" i="145"/>
  <c r="L125" i="145"/>
  <c r="K125" i="145"/>
  <c r="J125" i="145"/>
  <c r="L124" i="145"/>
  <c r="K124" i="145"/>
  <c r="L123" i="145"/>
  <c r="K123" i="145"/>
  <c r="J123" i="145" s="1"/>
  <c r="L122" i="145"/>
  <c r="K122" i="145"/>
  <c r="J122" i="145"/>
  <c r="L121" i="145"/>
  <c r="K121" i="145"/>
  <c r="J121" i="145" s="1"/>
  <c r="L120" i="145"/>
  <c r="J120" i="145" s="1"/>
  <c r="K120" i="145"/>
  <c r="L119" i="145"/>
  <c r="K119" i="145"/>
  <c r="J119" i="145" s="1"/>
  <c r="L118" i="145"/>
  <c r="K118" i="145"/>
  <c r="J118" i="145" s="1"/>
  <c r="L117" i="145"/>
  <c r="K117" i="145"/>
  <c r="J117" i="145" s="1"/>
  <c r="L116" i="145"/>
  <c r="K116" i="145"/>
  <c r="J116" i="145" s="1"/>
  <c r="L115" i="145"/>
  <c r="J115" i="145" s="1"/>
  <c r="K115" i="145"/>
  <c r="L114" i="145"/>
  <c r="K114" i="145"/>
  <c r="J114" i="145" s="1"/>
  <c r="L113" i="145"/>
  <c r="K113" i="145"/>
  <c r="J113" i="145" s="1"/>
  <c r="L112" i="145"/>
  <c r="K112" i="145"/>
  <c r="J112" i="145" s="1"/>
  <c r="L111" i="145"/>
  <c r="K111" i="145"/>
  <c r="L110" i="145"/>
  <c r="K110" i="145"/>
  <c r="L109" i="145"/>
  <c r="K109" i="145"/>
  <c r="J109" i="145"/>
  <c r="L108" i="145"/>
  <c r="K108" i="145"/>
  <c r="L107" i="145"/>
  <c r="K107" i="145"/>
  <c r="J107" i="145" s="1"/>
  <c r="L106" i="145"/>
  <c r="K106" i="145"/>
  <c r="J106" i="145"/>
  <c r="L105" i="145"/>
  <c r="K105" i="145"/>
  <c r="J105" i="145" s="1"/>
  <c r="L104" i="145"/>
  <c r="K104" i="145"/>
  <c r="J104" i="145" s="1"/>
  <c r="L103" i="145"/>
  <c r="K103" i="145"/>
  <c r="J103" i="145" s="1"/>
  <c r="L102" i="145"/>
  <c r="K102" i="145"/>
  <c r="J102" i="145" s="1"/>
  <c r="L101" i="145"/>
  <c r="K101" i="145"/>
  <c r="L100" i="145"/>
  <c r="K100" i="145"/>
  <c r="J100" i="145" s="1"/>
  <c r="L99" i="145"/>
  <c r="J99" i="145" s="1"/>
  <c r="K99" i="145"/>
  <c r="L98" i="145"/>
  <c r="K98" i="145"/>
  <c r="L97" i="145"/>
  <c r="K97" i="145"/>
  <c r="L96" i="145"/>
  <c r="K96" i="145"/>
  <c r="J96" i="145" s="1"/>
  <c r="L95" i="145"/>
  <c r="K95" i="145"/>
  <c r="L94" i="145"/>
  <c r="K94" i="145"/>
  <c r="L93" i="145"/>
  <c r="K93" i="145"/>
  <c r="J93" i="145" s="1"/>
  <c r="L92" i="145"/>
  <c r="K92" i="145"/>
  <c r="L91" i="145"/>
  <c r="K91" i="145"/>
  <c r="J91" i="145" s="1"/>
  <c r="L90" i="145"/>
  <c r="K90" i="145"/>
  <c r="J90" i="145" s="1"/>
  <c r="L89" i="145"/>
  <c r="K89" i="145"/>
  <c r="J89" i="145" s="1"/>
  <c r="L88" i="145"/>
  <c r="K88" i="145"/>
  <c r="J88" i="145" s="1"/>
  <c r="L87" i="145"/>
  <c r="K87" i="145"/>
  <c r="J87" i="145" s="1"/>
  <c r="L86" i="145"/>
  <c r="K86" i="145"/>
  <c r="J86" i="145" s="1"/>
  <c r="L85" i="145"/>
  <c r="K85" i="145"/>
  <c r="J85" i="145" s="1"/>
  <c r="L84" i="145"/>
  <c r="K84" i="145"/>
  <c r="J84" i="145"/>
  <c r="L83" i="145"/>
  <c r="J83" i="145" s="1"/>
  <c r="K83" i="145"/>
  <c r="L82" i="145"/>
  <c r="K82" i="145"/>
  <c r="J82" i="145" s="1"/>
  <c r="L81" i="145"/>
  <c r="K81" i="145"/>
  <c r="L80" i="145"/>
  <c r="K80" i="145"/>
  <c r="J80" i="145" s="1"/>
  <c r="L79" i="145"/>
  <c r="K79" i="145"/>
  <c r="L78" i="145"/>
  <c r="K78" i="145"/>
  <c r="L77" i="145"/>
  <c r="K77" i="145"/>
  <c r="J77" i="145"/>
  <c r="L76" i="145"/>
  <c r="K76" i="145"/>
  <c r="L75" i="145"/>
  <c r="K75" i="145"/>
  <c r="J75" i="145" s="1"/>
  <c r="L74" i="145"/>
  <c r="K74" i="145"/>
  <c r="J74" i="145"/>
  <c r="L73" i="145"/>
  <c r="K73" i="145"/>
  <c r="J73" i="145" s="1"/>
  <c r="L72" i="145"/>
  <c r="K72" i="145"/>
  <c r="J72" i="145" s="1"/>
  <c r="L71" i="145"/>
  <c r="K71" i="145"/>
  <c r="J71" i="145" s="1"/>
  <c r="L70" i="145"/>
  <c r="K70" i="145"/>
  <c r="J70" i="145" s="1"/>
  <c r="L69" i="145"/>
  <c r="K69" i="145"/>
  <c r="J69" i="145" s="1"/>
  <c r="L68" i="145"/>
  <c r="K68" i="145"/>
  <c r="J68" i="145"/>
  <c r="L67" i="145"/>
  <c r="J67" i="145" s="1"/>
  <c r="K67" i="145"/>
  <c r="L66" i="145"/>
  <c r="K66" i="145"/>
  <c r="J66" i="145" s="1"/>
  <c r="L65" i="145"/>
  <c r="K65" i="145"/>
  <c r="L64" i="145"/>
  <c r="K64" i="145"/>
  <c r="J64" i="145" s="1"/>
  <c r="L63" i="145"/>
  <c r="K63" i="145"/>
  <c r="J63" i="145" s="1"/>
  <c r="L62" i="145"/>
  <c r="K62" i="145"/>
  <c r="J62" i="145" s="1"/>
  <c r="L61" i="145"/>
  <c r="K61" i="145"/>
  <c r="J61" i="145"/>
  <c r="L60" i="145"/>
  <c r="K60" i="145"/>
  <c r="L59" i="145"/>
  <c r="J59" i="145" s="1"/>
  <c r="K59" i="145"/>
  <c r="L58" i="145"/>
  <c r="K58" i="145"/>
  <c r="J58" i="145"/>
  <c r="L57" i="145"/>
  <c r="K57" i="145"/>
  <c r="J57" i="145" s="1"/>
  <c r="L56" i="145"/>
  <c r="K56" i="145"/>
  <c r="J56" i="145"/>
  <c r="L55" i="145"/>
  <c r="K55" i="145"/>
  <c r="J55" i="145" s="1"/>
  <c r="L54" i="145"/>
  <c r="K54" i="145"/>
  <c r="J54" i="145" s="1"/>
  <c r="L53" i="145"/>
  <c r="K53" i="145"/>
  <c r="L52" i="145"/>
  <c r="K52" i="145"/>
  <c r="J52" i="145"/>
  <c r="L51" i="145"/>
  <c r="J51" i="145" s="1"/>
  <c r="K51" i="145"/>
  <c r="L50" i="145"/>
  <c r="K50" i="145"/>
  <c r="L49" i="145"/>
  <c r="K49" i="145"/>
  <c r="J49" i="145" s="1"/>
  <c r="L48" i="145"/>
  <c r="K48" i="145"/>
  <c r="J48" i="145" s="1"/>
  <c r="L47" i="145"/>
  <c r="K47" i="145"/>
  <c r="L46" i="145"/>
  <c r="K46" i="145"/>
  <c r="J46" i="145" s="1"/>
  <c r="L45" i="145"/>
  <c r="K45" i="145"/>
  <c r="J45" i="145"/>
  <c r="L44" i="145"/>
  <c r="K44" i="145"/>
  <c r="L43" i="145"/>
  <c r="J43" i="145" s="1"/>
  <c r="K43" i="145"/>
  <c r="L42" i="145"/>
  <c r="K42" i="145"/>
  <c r="J42" i="145"/>
  <c r="L41" i="145"/>
  <c r="K41" i="145"/>
  <c r="J41" i="145" s="1"/>
  <c r="L40" i="145"/>
  <c r="K40" i="145"/>
  <c r="J40" i="145"/>
  <c r="L39" i="145"/>
  <c r="K39" i="145"/>
  <c r="J39" i="145" s="1"/>
  <c r="L38" i="145"/>
  <c r="K38" i="145"/>
  <c r="J38" i="145" s="1"/>
  <c r="L37" i="145"/>
  <c r="K37" i="145"/>
  <c r="L36" i="145"/>
  <c r="K36" i="145"/>
  <c r="J36" i="145"/>
  <c r="L35" i="145"/>
  <c r="J35" i="145" s="1"/>
  <c r="K35" i="145"/>
  <c r="L34" i="145"/>
  <c r="K34" i="145"/>
  <c r="L33" i="145"/>
  <c r="K33" i="145"/>
  <c r="J33" i="145" s="1"/>
  <c r="L32" i="145"/>
  <c r="K32" i="145"/>
  <c r="J32" i="145" s="1"/>
  <c r="L31" i="145"/>
  <c r="K31" i="145"/>
  <c r="L30" i="145"/>
  <c r="K30" i="145"/>
  <c r="J30" i="145" s="1"/>
  <c r="L29" i="145"/>
  <c r="K29" i="145"/>
  <c r="J29" i="145" s="1"/>
  <c r="L28" i="145"/>
  <c r="K28" i="145"/>
  <c r="L27" i="145"/>
  <c r="K27" i="145"/>
  <c r="J27" i="145" s="1"/>
  <c r="L26" i="145"/>
  <c r="J26" i="145" s="1"/>
  <c r="K26" i="145"/>
  <c r="L25" i="145"/>
  <c r="K25" i="145"/>
  <c r="J25" i="145"/>
  <c r="L252" i="146"/>
  <c r="J252" i="146" s="1"/>
  <c r="K252" i="146"/>
  <c r="L251" i="146"/>
  <c r="K251" i="146"/>
  <c r="L250" i="146"/>
  <c r="K250" i="146"/>
  <c r="J250" i="146" s="1"/>
  <c r="L249" i="146"/>
  <c r="K249" i="146"/>
  <c r="L248" i="146"/>
  <c r="K248" i="146"/>
  <c r="J248" i="146" s="1"/>
  <c r="L247" i="146"/>
  <c r="J247" i="146" s="1"/>
  <c r="K247" i="146"/>
  <c r="L246" i="146"/>
  <c r="K246" i="146"/>
  <c r="L245" i="146"/>
  <c r="K245" i="146"/>
  <c r="J245" i="146" s="1"/>
  <c r="L244" i="146"/>
  <c r="K244" i="146"/>
  <c r="J244" i="146" s="1"/>
  <c r="L243" i="146"/>
  <c r="K243" i="146"/>
  <c r="J243" i="146" s="1"/>
  <c r="L242" i="146"/>
  <c r="K242" i="146"/>
  <c r="L241" i="146"/>
  <c r="K241" i="146"/>
  <c r="L240" i="146"/>
  <c r="J240" i="146" s="1"/>
  <c r="K240" i="146"/>
  <c r="L239" i="146"/>
  <c r="K239" i="146"/>
  <c r="J239" i="146" s="1"/>
  <c r="L238" i="146"/>
  <c r="J238" i="146" s="1"/>
  <c r="K238" i="146"/>
  <c r="L237" i="146"/>
  <c r="K237" i="146"/>
  <c r="J237" i="146" s="1"/>
  <c r="L236" i="146"/>
  <c r="K236" i="146"/>
  <c r="J236" i="146"/>
  <c r="L235" i="146"/>
  <c r="K235" i="146"/>
  <c r="L234" i="146"/>
  <c r="K234" i="146"/>
  <c r="L233" i="146"/>
  <c r="K233" i="146"/>
  <c r="J233" i="146" s="1"/>
  <c r="L232" i="146"/>
  <c r="K232" i="146"/>
  <c r="J232" i="146" s="1"/>
  <c r="L231" i="146"/>
  <c r="K231" i="146"/>
  <c r="J231" i="146" s="1"/>
  <c r="L230" i="146"/>
  <c r="K230" i="146"/>
  <c r="L229" i="146"/>
  <c r="K229" i="146"/>
  <c r="J229" i="146" s="1"/>
  <c r="L228" i="146"/>
  <c r="K228" i="146"/>
  <c r="J228" i="146"/>
  <c r="L227" i="146"/>
  <c r="K227" i="146"/>
  <c r="L226" i="146"/>
  <c r="K226" i="146"/>
  <c r="L225" i="146"/>
  <c r="J225" i="146" s="1"/>
  <c r="K225" i="146"/>
  <c r="L224" i="146"/>
  <c r="J224" i="146" s="1"/>
  <c r="K224" i="146"/>
  <c r="L223" i="146"/>
  <c r="K223" i="146"/>
  <c r="J223" i="146" s="1"/>
  <c r="L222" i="146"/>
  <c r="J222" i="146" s="1"/>
  <c r="K222" i="146"/>
  <c r="L221" i="146"/>
  <c r="J221" i="146" s="1"/>
  <c r="K221" i="146"/>
  <c r="L220" i="146"/>
  <c r="K220" i="146"/>
  <c r="L219" i="146"/>
  <c r="K219" i="146"/>
  <c r="L218" i="146"/>
  <c r="K218" i="146"/>
  <c r="J218" i="146" s="1"/>
  <c r="L217" i="146"/>
  <c r="K217" i="146"/>
  <c r="J217" i="146" s="1"/>
  <c r="L216" i="146"/>
  <c r="K216" i="146"/>
  <c r="J216" i="146"/>
  <c r="L215" i="146"/>
  <c r="K215" i="146"/>
  <c r="J215" i="146"/>
  <c r="L214" i="146"/>
  <c r="K214" i="146"/>
  <c r="J214" i="146" s="1"/>
  <c r="L213" i="146"/>
  <c r="K213" i="146"/>
  <c r="L212" i="146"/>
  <c r="J212" i="146" s="1"/>
  <c r="K212" i="146"/>
  <c r="L211" i="146"/>
  <c r="K211" i="146"/>
  <c r="L210" i="146"/>
  <c r="K210" i="146"/>
  <c r="J210" i="146" s="1"/>
  <c r="L209" i="146"/>
  <c r="K209" i="146"/>
  <c r="J209" i="146" s="1"/>
  <c r="L208" i="146"/>
  <c r="K208" i="146"/>
  <c r="L207" i="146"/>
  <c r="K207" i="146"/>
  <c r="J207" i="146" s="1"/>
  <c r="L206" i="146"/>
  <c r="K206" i="146"/>
  <c r="J206" i="146" s="1"/>
  <c r="L205" i="146"/>
  <c r="K205" i="146"/>
  <c r="J205" i="146"/>
  <c r="L204" i="146"/>
  <c r="K204" i="146"/>
  <c r="J204" i="146" s="1"/>
  <c r="L203" i="146"/>
  <c r="K203" i="146"/>
  <c r="L202" i="146"/>
  <c r="K202" i="146"/>
  <c r="L201" i="146"/>
  <c r="K201" i="146"/>
  <c r="J201" i="146" s="1"/>
  <c r="L200" i="146"/>
  <c r="K200" i="146"/>
  <c r="J200" i="146"/>
  <c r="L199" i="146"/>
  <c r="K199" i="146"/>
  <c r="J199" i="146" s="1"/>
  <c r="L198" i="146"/>
  <c r="K198" i="146"/>
  <c r="L197" i="146"/>
  <c r="K197" i="146"/>
  <c r="J197" i="146" s="1"/>
  <c r="L196" i="146"/>
  <c r="K196" i="146"/>
  <c r="J196" i="146" s="1"/>
  <c r="L195" i="146"/>
  <c r="K195" i="146"/>
  <c r="J195" i="146" s="1"/>
  <c r="L194" i="146"/>
  <c r="K194" i="146"/>
  <c r="L193" i="146"/>
  <c r="K193" i="146"/>
  <c r="J193" i="146" s="1"/>
  <c r="L192" i="146"/>
  <c r="J192" i="146" s="1"/>
  <c r="K192" i="146"/>
  <c r="L191" i="146"/>
  <c r="K191" i="146"/>
  <c r="J191" i="146" s="1"/>
  <c r="L190" i="146"/>
  <c r="K190" i="146"/>
  <c r="J190" i="146" s="1"/>
  <c r="L189" i="146"/>
  <c r="K189" i="146"/>
  <c r="J189" i="146"/>
  <c r="L188" i="146"/>
  <c r="K188" i="146"/>
  <c r="L187" i="146"/>
  <c r="K187" i="146"/>
  <c r="J187" i="146" s="1"/>
  <c r="L186" i="146"/>
  <c r="K186" i="146"/>
  <c r="L185" i="146"/>
  <c r="K185" i="146"/>
  <c r="J185" i="146" s="1"/>
  <c r="L184" i="146"/>
  <c r="J184" i="146" s="1"/>
  <c r="K184" i="146"/>
  <c r="L183" i="146"/>
  <c r="K183" i="146"/>
  <c r="J183" i="146" s="1"/>
  <c r="L182" i="146"/>
  <c r="K182" i="146"/>
  <c r="J182" i="146" s="1"/>
  <c r="L181" i="146"/>
  <c r="K181" i="146"/>
  <c r="L180" i="146"/>
  <c r="K180" i="146"/>
  <c r="J180" i="146" s="1"/>
  <c r="L179" i="146"/>
  <c r="K179" i="146"/>
  <c r="L178" i="146"/>
  <c r="K178" i="146"/>
  <c r="L177" i="146"/>
  <c r="K177" i="146"/>
  <c r="J177" i="146" s="1"/>
  <c r="L176" i="146"/>
  <c r="J176" i="146" s="1"/>
  <c r="K176" i="146"/>
  <c r="L175" i="146"/>
  <c r="K175" i="146"/>
  <c r="J175" i="146"/>
  <c r="L174" i="146"/>
  <c r="J174" i="146" s="1"/>
  <c r="K174" i="146"/>
  <c r="L173" i="146"/>
  <c r="K173" i="146"/>
  <c r="J173" i="146" s="1"/>
  <c r="L172" i="146"/>
  <c r="K172" i="146"/>
  <c r="J172" i="146" s="1"/>
  <c r="L171" i="146"/>
  <c r="K171" i="146"/>
  <c r="L170" i="146"/>
  <c r="K170" i="146"/>
  <c r="J170" i="146" s="1"/>
  <c r="L169" i="146"/>
  <c r="K169" i="146"/>
  <c r="L168" i="146"/>
  <c r="K168" i="146"/>
  <c r="J168" i="146" s="1"/>
  <c r="L167" i="146"/>
  <c r="K167" i="146"/>
  <c r="J167" i="146"/>
  <c r="L166" i="146"/>
  <c r="K166" i="146"/>
  <c r="L165" i="146"/>
  <c r="K165" i="146"/>
  <c r="J165" i="146" s="1"/>
  <c r="L164" i="146"/>
  <c r="J164" i="146" s="1"/>
  <c r="K164" i="146"/>
  <c r="L163" i="146"/>
  <c r="K163" i="146"/>
  <c r="L162" i="146"/>
  <c r="K162" i="146"/>
  <c r="L161" i="146"/>
  <c r="K161" i="146"/>
  <c r="J161" i="146" s="1"/>
  <c r="L160" i="146"/>
  <c r="K160" i="146"/>
  <c r="L159" i="146"/>
  <c r="K159" i="146"/>
  <c r="J159" i="146" s="1"/>
  <c r="L158" i="146"/>
  <c r="K158" i="146"/>
  <c r="J158" i="146" s="1"/>
  <c r="L157" i="146"/>
  <c r="K157" i="146"/>
  <c r="J157" i="146" s="1"/>
  <c r="L156" i="146"/>
  <c r="K156" i="146"/>
  <c r="J156" i="146" s="1"/>
  <c r="L155" i="146"/>
  <c r="K155" i="146"/>
  <c r="L154" i="146"/>
  <c r="K154" i="146"/>
  <c r="J154" i="146" s="1"/>
  <c r="L153" i="146"/>
  <c r="K153" i="146"/>
  <c r="L152" i="146"/>
  <c r="K152" i="146"/>
  <c r="J152" i="146"/>
  <c r="L151" i="146"/>
  <c r="J151" i="146" s="1"/>
  <c r="K151" i="146"/>
  <c r="L150" i="146"/>
  <c r="K150" i="146"/>
  <c r="L149" i="146"/>
  <c r="K149" i="146"/>
  <c r="J149" i="146" s="1"/>
  <c r="L148" i="146"/>
  <c r="K148" i="146"/>
  <c r="J148" i="146" s="1"/>
  <c r="L147" i="146"/>
  <c r="K147" i="146"/>
  <c r="J147" i="146" s="1"/>
  <c r="L146" i="146"/>
  <c r="K146" i="146"/>
  <c r="L145" i="146"/>
  <c r="K145" i="146"/>
  <c r="J145" i="146" s="1"/>
  <c r="L144" i="146"/>
  <c r="J144" i="146" s="1"/>
  <c r="K144" i="146"/>
  <c r="L143" i="146"/>
  <c r="K143" i="146"/>
  <c r="J143" i="146" s="1"/>
  <c r="L142" i="146"/>
  <c r="K142" i="146"/>
  <c r="J142" i="146"/>
  <c r="L141" i="146"/>
  <c r="J141" i="146" s="1"/>
  <c r="K141" i="146"/>
  <c r="L140" i="146"/>
  <c r="K140" i="146"/>
  <c r="L139" i="146"/>
  <c r="K139" i="146"/>
  <c r="L138" i="146"/>
  <c r="K138" i="146"/>
  <c r="L137" i="146"/>
  <c r="K137" i="146"/>
  <c r="J137" i="146" s="1"/>
  <c r="L136" i="146"/>
  <c r="K136" i="146"/>
  <c r="J136" i="146" s="1"/>
  <c r="L135" i="146"/>
  <c r="K135" i="146"/>
  <c r="J135" i="146" s="1"/>
  <c r="L134" i="146"/>
  <c r="K134" i="146"/>
  <c r="L133" i="146"/>
  <c r="K133" i="146"/>
  <c r="L132" i="146"/>
  <c r="K132" i="146"/>
  <c r="J132" i="146"/>
  <c r="L131" i="146"/>
  <c r="K131" i="146"/>
  <c r="L130" i="146"/>
  <c r="K130" i="146"/>
  <c r="J130" i="146" s="1"/>
  <c r="L129" i="146"/>
  <c r="K129" i="146"/>
  <c r="J129" i="146" s="1"/>
  <c r="L128" i="146"/>
  <c r="J128" i="146" s="1"/>
  <c r="K128" i="146"/>
  <c r="L127" i="146"/>
  <c r="K127" i="146"/>
  <c r="J127" i="146"/>
  <c r="L126" i="146"/>
  <c r="K126" i="146"/>
  <c r="J126" i="146"/>
  <c r="L125" i="146"/>
  <c r="K125" i="146"/>
  <c r="J125" i="146" s="1"/>
  <c r="L124" i="146"/>
  <c r="K124" i="146"/>
  <c r="J124" i="146" s="1"/>
  <c r="L123" i="146"/>
  <c r="K123" i="146"/>
  <c r="L122" i="146"/>
  <c r="K122" i="146"/>
  <c r="L121" i="146"/>
  <c r="K121" i="146"/>
  <c r="L120" i="146"/>
  <c r="K120" i="146"/>
  <c r="J120" i="146" s="1"/>
  <c r="L119" i="146"/>
  <c r="K119" i="146"/>
  <c r="J119" i="146" s="1"/>
  <c r="L118" i="146"/>
  <c r="K118" i="146"/>
  <c r="L117" i="146"/>
  <c r="K117" i="146"/>
  <c r="J117" i="146" s="1"/>
  <c r="L116" i="146"/>
  <c r="K116" i="146"/>
  <c r="J116" i="146"/>
  <c r="L115" i="146"/>
  <c r="K115" i="146"/>
  <c r="L114" i="146"/>
  <c r="K114" i="146"/>
  <c r="J114" i="146" s="1"/>
  <c r="L113" i="146"/>
  <c r="K113" i="146"/>
  <c r="J113" i="146" s="1"/>
  <c r="L112" i="146"/>
  <c r="J112" i="146" s="1"/>
  <c r="K112" i="146"/>
  <c r="L111" i="146"/>
  <c r="K111" i="146"/>
  <c r="J111" i="146" s="1"/>
  <c r="L110" i="146"/>
  <c r="K110" i="146"/>
  <c r="J110" i="146"/>
  <c r="L109" i="146"/>
  <c r="K109" i="146"/>
  <c r="J109" i="146"/>
  <c r="L108" i="146"/>
  <c r="K108" i="146"/>
  <c r="L107" i="146"/>
  <c r="K107" i="146"/>
  <c r="L106" i="146"/>
  <c r="K106" i="146"/>
  <c r="L105" i="146"/>
  <c r="K105" i="146"/>
  <c r="J105" i="146" s="1"/>
  <c r="L104" i="146"/>
  <c r="J104" i="146" s="1"/>
  <c r="K104" i="146"/>
  <c r="L103" i="146"/>
  <c r="K103" i="146"/>
  <c r="J103" i="146" s="1"/>
  <c r="L102" i="146"/>
  <c r="K102" i="146"/>
  <c r="L101" i="146"/>
  <c r="K101" i="146"/>
  <c r="L100" i="146"/>
  <c r="K100" i="146"/>
  <c r="J100" i="146"/>
  <c r="L99" i="146"/>
  <c r="K99" i="146"/>
  <c r="L98" i="146"/>
  <c r="K98" i="146"/>
  <c r="L97" i="146"/>
  <c r="K97" i="146"/>
  <c r="J97" i="146"/>
  <c r="L96" i="146"/>
  <c r="J96" i="146" s="1"/>
  <c r="K96" i="146"/>
  <c r="L95" i="146"/>
  <c r="K95" i="146"/>
  <c r="J95" i="146" s="1"/>
  <c r="L94" i="146"/>
  <c r="K94" i="146"/>
  <c r="J94" i="146" s="1"/>
  <c r="L93" i="146"/>
  <c r="J93" i="146" s="1"/>
  <c r="K93" i="146"/>
  <c r="L92" i="146"/>
  <c r="K92" i="146"/>
  <c r="J92" i="146"/>
  <c r="L91" i="146"/>
  <c r="K91" i="146"/>
  <c r="J91" i="146" s="1"/>
  <c r="L90" i="146"/>
  <c r="K90" i="146"/>
  <c r="L89" i="146"/>
  <c r="K89" i="146"/>
  <c r="J89" i="146" s="1"/>
  <c r="L88" i="146"/>
  <c r="K88" i="146"/>
  <c r="J88" i="146"/>
  <c r="L87" i="146"/>
  <c r="K87" i="146"/>
  <c r="J87" i="146" s="1"/>
  <c r="L86" i="146"/>
  <c r="K86" i="146"/>
  <c r="J86" i="146" s="1"/>
  <c r="L85" i="146"/>
  <c r="K85" i="146"/>
  <c r="J85" i="146" s="1"/>
  <c r="L84" i="146"/>
  <c r="K84" i="146"/>
  <c r="J84" i="146" s="1"/>
  <c r="L83" i="146"/>
  <c r="K83" i="146"/>
  <c r="J83" i="146" s="1"/>
  <c r="L82" i="146"/>
  <c r="J82" i="146" s="1"/>
  <c r="K82" i="146"/>
  <c r="L81" i="146"/>
  <c r="K81" i="146"/>
  <c r="L80" i="146"/>
  <c r="K80" i="146"/>
  <c r="L79" i="146"/>
  <c r="J79" i="146" s="1"/>
  <c r="K79" i="146"/>
  <c r="L78" i="146"/>
  <c r="K78" i="146"/>
  <c r="J78" i="146" s="1"/>
  <c r="L77" i="146"/>
  <c r="K77" i="146"/>
  <c r="J77" i="146"/>
  <c r="L76" i="146"/>
  <c r="K76" i="146"/>
  <c r="J76" i="146" s="1"/>
  <c r="L75" i="146"/>
  <c r="K75" i="146"/>
  <c r="J75" i="146" s="1"/>
  <c r="L74" i="146"/>
  <c r="K74" i="146"/>
  <c r="L73" i="146"/>
  <c r="K73" i="146"/>
  <c r="J73" i="146" s="1"/>
  <c r="L72" i="146"/>
  <c r="K72" i="146"/>
  <c r="J72" i="146" s="1"/>
  <c r="L71" i="146"/>
  <c r="K71" i="146"/>
  <c r="L70" i="146"/>
  <c r="K70" i="146"/>
  <c r="L69" i="146"/>
  <c r="K69" i="146"/>
  <c r="L68" i="146"/>
  <c r="K68" i="146"/>
  <c r="J68" i="146"/>
  <c r="L67" i="146"/>
  <c r="K67" i="146"/>
  <c r="L66" i="146"/>
  <c r="K66" i="146"/>
  <c r="J66" i="146" s="1"/>
  <c r="L65" i="146"/>
  <c r="K65" i="146"/>
  <c r="J65" i="146" s="1"/>
  <c r="L64" i="146"/>
  <c r="K64" i="146"/>
  <c r="L63" i="146"/>
  <c r="K63" i="146"/>
  <c r="J63" i="146"/>
  <c r="L62" i="146"/>
  <c r="K62" i="146"/>
  <c r="J62" i="146" s="1"/>
  <c r="L61" i="146"/>
  <c r="K61" i="146"/>
  <c r="J61" i="146" s="1"/>
  <c r="L60" i="146"/>
  <c r="K60" i="146"/>
  <c r="J60" i="146"/>
  <c r="L59" i="146"/>
  <c r="K59" i="146"/>
  <c r="L58" i="146"/>
  <c r="K58" i="146"/>
  <c r="J58" i="146" s="1"/>
  <c r="L57" i="146"/>
  <c r="K57" i="146"/>
  <c r="J57" i="146" s="1"/>
  <c r="L56" i="146"/>
  <c r="K56" i="146"/>
  <c r="J56" i="146" s="1"/>
  <c r="L55" i="146"/>
  <c r="K55" i="146"/>
  <c r="J55" i="146" s="1"/>
  <c r="L54" i="146"/>
  <c r="K54" i="146"/>
  <c r="J54" i="146" s="1"/>
  <c r="L53" i="146"/>
  <c r="K53" i="146"/>
  <c r="J53" i="146" s="1"/>
  <c r="L52" i="146"/>
  <c r="J52" i="146" s="1"/>
  <c r="K52" i="146"/>
  <c r="L51" i="146"/>
  <c r="K51" i="146"/>
  <c r="L50" i="146"/>
  <c r="K50" i="146"/>
  <c r="J50" i="146"/>
  <c r="L49" i="146"/>
  <c r="J49" i="146" s="1"/>
  <c r="K49" i="146"/>
  <c r="L48" i="146"/>
  <c r="K48" i="146"/>
  <c r="L47" i="146"/>
  <c r="K47" i="146"/>
  <c r="J47" i="146"/>
  <c r="L46" i="146"/>
  <c r="K46" i="146"/>
  <c r="J46" i="146"/>
  <c r="L45" i="146"/>
  <c r="K45" i="146"/>
  <c r="J45" i="146" s="1"/>
  <c r="L44" i="146"/>
  <c r="K44" i="146"/>
  <c r="J44" i="146" s="1"/>
  <c r="L43" i="146"/>
  <c r="K43" i="146"/>
  <c r="J43" i="146" s="1"/>
  <c r="L42" i="146"/>
  <c r="K42" i="146"/>
  <c r="L41" i="146"/>
  <c r="K41" i="146"/>
  <c r="J41" i="146" s="1"/>
  <c r="L40" i="146"/>
  <c r="K40" i="146"/>
  <c r="J40" i="146" s="1"/>
  <c r="L39" i="146"/>
  <c r="K39" i="146"/>
  <c r="L38" i="146"/>
  <c r="K38" i="146"/>
  <c r="L37" i="146"/>
  <c r="K37" i="146"/>
  <c r="J37" i="146" s="1"/>
  <c r="L36" i="146"/>
  <c r="K36" i="146"/>
  <c r="J36" i="146"/>
  <c r="L35" i="146"/>
  <c r="K35" i="146"/>
  <c r="L34" i="146"/>
  <c r="K34" i="146"/>
  <c r="J34" i="146"/>
  <c r="L33" i="146"/>
  <c r="J33" i="146" s="1"/>
  <c r="K33" i="146"/>
  <c r="L32" i="146"/>
  <c r="J32" i="146" s="1"/>
  <c r="K32" i="146"/>
  <c r="L31" i="146"/>
  <c r="K31" i="146"/>
  <c r="J31" i="146"/>
  <c r="L30" i="146"/>
  <c r="K30" i="146"/>
  <c r="J30" i="146" s="1"/>
  <c r="L29" i="146"/>
  <c r="K29" i="146"/>
  <c r="J29" i="146" s="1"/>
  <c r="L28" i="146"/>
  <c r="K28" i="146"/>
  <c r="J28" i="146" s="1"/>
  <c r="L27" i="146"/>
  <c r="K27" i="146"/>
  <c r="L26" i="146"/>
  <c r="K26" i="146"/>
  <c r="J26" i="146" s="1"/>
  <c r="L25" i="146"/>
  <c r="K25" i="146"/>
  <c r="J25" i="146" s="1"/>
  <c r="L252" i="147"/>
  <c r="J252" i="147" s="1"/>
  <c r="K252" i="147"/>
  <c r="L251" i="147"/>
  <c r="K251" i="147"/>
  <c r="L250" i="147"/>
  <c r="K250" i="147"/>
  <c r="J250" i="147" s="1"/>
  <c r="L249" i="147"/>
  <c r="K249" i="147"/>
  <c r="L248" i="147"/>
  <c r="K248" i="147"/>
  <c r="J248" i="147"/>
  <c r="L247" i="147"/>
  <c r="K247" i="147"/>
  <c r="L246" i="147"/>
  <c r="K246" i="147"/>
  <c r="J246" i="147" s="1"/>
  <c r="L245" i="147"/>
  <c r="K245" i="147"/>
  <c r="J245" i="147"/>
  <c r="L244" i="147"/>
  <c r="J244" i="147" s="1"/>
  <c r="K244" i="147"/>
  <c r="L243" i="147"/>
  <c r="K243" i="147"/>
  <c r="J243" i="147" s="1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 s="1"/>
  <c r="L238" i="147"/>
  <c r="K238" i="147"/>
  <c r="J238" i="147" s="1"/>
  <c r="L237" i="147"/>
  <c r="K237" i="147"/>
  <c r="L236" i="147"/>
  <c r="K236" i="147"/>
  <c r="L235" i="147"/>
  <c r="K235" i="147"/>
  <c r="J235" i="147" s="1"/>
  <c r="L234" i="147"/>
  <c r="K234" i="147"/>
  <c r="L233" i="147"/>
  <c r="K233" i="147"/>
  <c r="L232" i="147"/>
  <c r="K232" i="147"/>
  <c r="J232" i="147" s="1"/>
  <c r="L231" i="147"/>
  <c r="K231" i="147"/>
  <c r="L230" i="147"/>
  <c r="K230" i="147"/>
  <c r="J230" i="147" s="1"/>
  <c r="L229" i="147"/>
  <c r="K229" i="147"/>
  <c r="L228" i="147"/>
  <c r="K228" i="147"/>
  <c r="L227" i="147"/>
  <c r="K227" i="147"/>
  <c r="J227" i="147"/>
  <c r="L226" i="147"/>
  <c r="J226" i="147" s="1"/>
  <c r="K226" i="147"/>
  <c r="L225" i="147"/>
  <c r="K225" i="147"/>
  <c r="J225" i="147" s="1"/>
  <c r="L224" i="147"/>
  <c r="K224" i="147"/>
  <c r="L223" i="147"/>
  <c r="K223" i="147"/>
  <c r="J223" i="147" s="1"/>
  <c r="L222" i="147"/>
  <c r="K222" i="147"/>
  <c r="L221" i="147"/>
  <c r="K221" i="147"/>
  <c r="J221" i="147" s="1"/>
  <c r="L220" i="147"/>
  <c r="K220" i="147"/>
  <c r="L219" i="147"/>
  <c r="K219" i="147"/>
  <c r="J219" i="147" s="1"/>
  <c r="L218" i="147"/>
  <c r="K218" i="147"/>
  <c r="L217" i="147"/>
  <c r="K217" i="147"/>
  <c r="J217" i="147" s="1"/>
  <c r="L216" i="147"/>
  <c r="K216" i="147"/>
  <c r="J216" i="147" s="1"/>
  <c r="L215" i="147"/>
  <c r="K215" i="147"/>
  <c r="J215" i="147" s="1"/>
  <c r="L214" i="147"/>
  <c r="K214" i="147"/>
  <c r="J214" i="147"/>
  <c r="L213" i="147"/>
  <c r="K213" i="147"/>
  <c r="J213" i="147" s="1"/>
  <c r="L212" i="147"/>
  <c r="K212" i="147"/>
  <c r="L211" i="147"/>
  <c r="K211" i="147"/>
  <c r="J211" i="147"/>
  <c r="L210" i="147"/>
  <c r="K210" i="147"/>
  <c r="J210" i="147" s="1"/>
  <c r="L209" i="147"/>
  <c r="K209" i="147"/>
  <c r="J209" i="147" s="1"/>
  <c r="L208" i="147"/>
  <c r="J208" i="147" s="1"/>
  <c r="K208" i="147"/>
  <c r="L207" i="147"/>
  <c r="K207" i="147"/>
  <c r="L206" i="147"/>
  <c r="K206" i="147"/>
  <c r="L205" i="147"/>
  <c r="K205" i="147"/>
  <c r="L204" i="147"/>
  <c r="K204" i="147"/>
  <c r="L203" i="147"/>
  <c r="K203" i="147"/>
  <c r="J203" i="147"/>
  <c r="L202" i="147"/>
  <c r="K202" i="147"/>
  <c r="J202" i="147" s="1"/>
  <c r="L201" i="147"/>
  <c r="K201" i="147"/>
  <c r="L200" i="147"/>
  <c r="J200" i="147" s="1"/>
  <c r="K200" i="147"/>
  <c r="L199" i="147"/>
  <c r="K199" i="147"/>
  <c r="L198" i="147"/>
  <c r="K198" i="147"/>
  <c r="L197" i="147"/>
  <c r="K197" i="147"/>
  <c r="J197" i="147" s="1"/>
  <c r="L196" i="147"/>
  <c r="K196" i="147"/>
  <c r="L195" i="147"/>
  <c r="K195" i="147"/>
  <c r="J195" i="147"/>
  <c r="L194" i="147"/>
  <c r="J194" i="147" s="1"/>
  <c r="K194" i="147"/>
  <c r="L193" i="147"/>
  <c r="K193" i="147"/>
  <c r="J193" i="147"/>
  <c r="L192" i="147"/>
  <c r="K192" i="147"/>
  <c r="L191" i="147"/>
  <c r="K191" i="147"/>
  <c r="L190" i="147"/>
  <c r="K190" i="147"/>
  <c r="L189" i="147"/>
  <c r="K189" i="147"/>
  <c r="L188" i="147"/>
  <c r="K188" i="147"/>
  <c r="J188" i="147" s="1"/>
  <c r="L187" i="147"/>
  <c r="K187" i="147"/>
  <c r="J187" i="147" s="1"/>
  <c r="L186" i="147"/>
  <c r="K186" i="147"/>
  <c r="L185" i="147"/>
  <c r="K185" i="147"/>
  <c r="J185" i="147" s="1"/>
  <c r="L184" i="147"/>
  <c r="J184" i="147" s="1"/>
  <c r="K184" i="147"/>
  <c r="L183" i="147"/>
  <c r="K183" i="147"/>
  <c r="J183" i="147" s="1"/>
  <c r="L182" i="147"/>
  <c r="K182" i="147"/>
  <c r="J182" i="147"/>
  <c r="L181" i="147"/>
  <c r="J181" i="147" s="1"/>
  <c r="K181" i="147"/>
  <c r="L180" i="147"/>
  <c r="K180" i="147"/>
  <c r="L179" i="147"/>
  <c r="K179" i="147"/>
  <c r="J179" i="147"/>
  <c r="L178" i="147"/>
  <c r="J178" i="147" s="1"/>
  <c r="K178" i="147"/>
  <c r="L177" i="147"/>
  <c r="K177" i="147"/>
  <c r="J177" i="147" s="1"/>
  <c r="L176" i="147"/>
  <c r="K176" i="147"/>
  <c r="J176" i="147" s="1"/>
  <c r="L175" i="147"/>
  <c r="K175" i="147"/>
  <c r="L174" i="147"/>
  <c r="K174" i="147"/>
  <c r="L173" i="147"/>
  <c r="K173" i="147"/>
  <c r="L172" i="147"/>
  <c r="K172" i="147"/>
  <c r="J172" i="147" s="1"/>
  <c r="L171" i="147"/>
  <c r="K171" i="147"/>
  <c r="J171" i="147" s="1"/>
  <c r="L170" i="147"/>
  <c r="J170" i="147" s="1"/>
  <c r="K170" i="147"/>
  <c r="L169" i="147"/>
  <c r="K169" i="147"/>
  <c r="L168" i="147"/>
  <c r="K168" i="147"/>
  <c r="J168" i="147" s="1"/>
  <c r="L167" i="147"/>
  <c r="K167" i="147"/>
  <c r="L166" i="147"/>
  <c r="K166" i="147"/>
  <c r="J166" i="147" s="1"/>
  <c r="L165" i="147"/>
  <c r="K165" i="147"/>
  <c r="J165" i="147" s="1"/>
  <c r="L164" i="147"/>
  <c r="J164" i="147" s="1"/>
  <c r="K164" i="147"/>
  <c r="L163" i="147"/>
  <c r="K163" i="147"/>
  <c r="J163" i="147" s="1"/>
  <c r="L162" i="147"/>
  <c r="K162" i="147"/>
  <c r="J162" i="147" s="1"/>
  <c r="L161" i="147"/>
  <c r="J161" i="147" s="1"/>
  <c r="K161" i="147"/>
  <c r="L160" i="147"/>
  <c r="K160" i="147"/>
  <c r="L159" i="147"/>
  <c r="K159" i="147"/>
  <c r="J159" i="147" s="1"/>
  <c r="L158" i="147"/>
  <c r="K158" i="147"/>
  <c r="J158" i="147" s="1"/>
  <c r="L157" i="147"/>
  <c r="K157" i="147"/>
  <c r="J157" i="147" s="1"/>
  <c r="L156" i="147"/>
  <c r="K156" i="147"/>
  <c r="J156" i="147" s="1"/>
  <c r="L155" i="147"/>
  <c r="K155" i="147"/>
  <c r="L154" i="147"/>
  <c r="J154" i="147" s="1"/>
  <c r="K154" i="147"/>
  <c r="L153" i="147"/>
  <c r="K153" i="147"/>
  <c r="L152" i="147"/>
  <c r="K152" i="147"/>
  <c r="J152" i="147" s="1"/>
  <c r="L151" i="147"/>
  <c r="K151" i="147"/>
  <c r="L150" i="147"/>
  <c r="K150" i="147"/>
  <c r="J150" i="147" s="1"/>
  <c r="L149" i="147"/>
  <c r="K149" i="147"/>
  <c r="J149" i="147" s="1"/>
  <c r="L148" i="147"/>
  <c r="K148" i="147"/>
  <c r="L147" i="147"/>
  <c r="K147" i="147"/>
  <c r="J147" i="147"/>
  <c r="L146" i="147"/>
  <c r="J146" i="147" s="1"/>
  <c r="K146" i="147"/>
  <c r="L145" i="147"/>
  <c r="K145" i="147"/>
  <c r="J145" i="147" s="1"/>
  <c r="L144" i="147"/>
  <c r="K144" i="147"/>
  <c r="J144" i="147"/>
  <c r="L143" i="147"/>
  <c r="K143" i="147"/>
  <c r="L142" i="147"/>
  <c r="K142" i="147"/>
  <c r="L141" i="147"/>
  <c r="K141" i="147"/>
  <c r="L140" i="147"/>
  <c r="K140" i="147"/>
  <c r="J140" i="147" s="1"/>
  <c r="L139" i="147"/>
  <c r="K139" i="147"/>
  <c r="L138" i="147"/>
  <c r="K138" i="147"/>
  <c r="J138" i="147" s="1"/>
  <c r="L137" i="147"/>
  <c r="K137" i="147"/>
  <c r="J137" i="147" s="1"/>
  <c r="L136" i="147"/>
  <c r="K136" i="147"/>
  <c r="J136" i="147" s="1"/>
  <c r="L135" i="147"/>
  <c r="K135" i="147"/>
  <c r="J135" i="147" s="1"/>
  <c r="L134" i="147"/>
  <c r="K134" i="147"/>
  <c r="J134" i="147"/>
  <c r="L133" i="147"/>
  <c r="K133" i="147"/>
  <c r="J133" i="147" s="1"/>
  <c r="L132" i="147"/>
  <c r="J132" i="147" s="1"/>
  <c r="K132" i="147"/>
  <c r="L131" i="147"/>
  <c r="J131" i="147" s="1"/>
  <c r="K131" i="147"/>
  <c r="L130" i="147"/>
  <c r="K130" i="147"/>
  <c r="L129" i="147"/>
  <c r="K129" i="147"/>
  <c r="J129" i="147" s="1"/>
  <c r="L128" i="147"/>
  <c r="J128" i="147" s="1"/>
  <c r="K128" i="147"/>
  <c r="L127" i="147"/>
  <c r="K127" i="147"/>
  <c r="L126" i="147"/>
  <c r="K126" i="147"/>
  <c r="L125" i="147"/>
  <c r="K125" i="147"/>
  <c r="J125" i="147" s="1"/>
  <c r="L124" i="147"/>
  <c r="K124" i="147"/>
  <c r="J124" i="147"/>
  <c r="L123" i="147"/>
  <c r="K123" i="147"/>
  <c r="J123" i="147" s="1"/>
  <c r="L122" i="147"/>
  <c r="K122" i="147"/>
  <c r="J122" i="147" s="1"/>
  <c r="L121" i="147"/>
  <c r="K121" i="147"/>
  <c r="J121" i="147" s="1"/>
  <c r="L120" i="147"/>
  <c r="K120" i="147"/>
  <c r="J120" i="147" s="1"/>
  <c r="L119" i="147"/>
  <c r="K119" i="147"/>
  <c r="L118" i="147"/>
  <c r="K118" i="147"/>
  <c r="J118" i="147" s="1"/>
  <c r="L117" i="147"/>
  <c r="J117" i="147" s="1"/>
  <c r="K117" i="147"/>
  <c r="L116" i="147"/>
  <c r="J116" i="147" s="1"/>
  <c r="K116" i="147"/>
  <c r="L115" i="147"/>
  <c r="J115" i="147" s="1"/>
  <c r="K115" i="147"/>
  <c r="L114" i="147"/>
  <c r="J114" i="147" s="1"/>
  <c r="K114" i="147"/>
  <c r="L113" i="147"/>
  <c r="K113" i="147"/>
  <c r="L112" i="147"/>
  <c r="K112" i="147"/>
  <c r="J112" i="147" s="1"/>
  <c r="L111" i="147"/>
  <c r="K111" i="147"/>
  <c r="L110" i="147"/>
  <c r="K110" i="147"/>
  <c r="J110" i="147" s="1"/>
  <c r="L109" i="147"/>
  <c r="K109" i="147"/>
  <c r="L108" i="147"/>
  <c r="K108" i="147"/>
  <c r="J108" i="147"/>
  <c r="L107" i="147"/>
  <c r="K107" i="147"/>
  <c r="J107" i="147" s="1"/>
  <c r="L106" i="147"/>
  <c r="K106" i="147"/>
  <c r="J106" i="147" s="1"/>
  <c r="L105" i="147"/>
  <c r="K105" i="147"/>
  <c r="L104" i="147"/>
  <c r="J104" i="147" s="1"/>
  <c r="K104" i="147"/>
  <c r="L103" i="147"/>
  <c r="K103" i="147"/>
  <c r="L102" i="147"/>
  <c r="K102" i="147"/>
  <c r="J102" i="147" s="1"/>
  <c r="L101" i="147"/>
  <c r="K101" i="147"/>
  <c r="L100" i="147"/>
  <c r="K100" i="147"/>
  <c r="L99" i="147"/>
  <c r="K99" i="147"/>
  <c r="J99" i="147"/>
  <c r="L98" i="147"/>
  <c r="K98" i="147"/>
  <c r="J98" i="147" s="1"/>
  <c r="L97" i="147"/>
  <c r="K97" i="147"/>
  <c r="J97" i="147" s="1"/>
  <c r="L96" i="147"/>
  <c r="K96" i="147"/>
  <c r="J96" i="147" s="1"/>
  <c r="L95" i="147"/>
  <c r="K95" i="147"/>
  <c r="L94" i="147"/>
  <c r="K94" i="147"/>
  <c r="J94" i="147" s="1"/>
  <c r="L93" i="147"/>
  <c r="J93" i="147" s="1"/>
  <c r="K93" i="147"/>
  <c r="L92" i="147"/>
  <c r="K92" i="147"/>
  <c r="J92" i="147"/>
  <c r="L91" i="147"/>
  <c r="K91" i="147"/>
  <c r="J91" i="147"/>
  <c r="L90" i="147"/>
  <c r="K90" i="147"/>
  <c r="J90" i="147" s="1"/>
  <c r="L89" i="147"/>
  <c r="K89" i="147"/>
  <c r="J89" i="147" s="1"/>
  <c r="L88" i="147"/>
  <c r="J88" i="147" s="1"/>
  <c r="K88" i="147"/>
  <c r="L87" i="147"/>
  <c r="J87" i="147" s="1"/>
  <c r="K87" i="147"/>
  <c r="L86" i="147"/>
  <c r="K86" i="147"/>
  <c r="J86" i="147"/>
  <c r="L85" i="147"/>
  <c r="K85" i="147"/>
  <c r="J85" i="147"/>
  <c r="L84" i="147"/>
  <c r="K84" i="147"/>
  <c r="L83" i="147"/>
  <c r="K83" i="147"/>
  <c r="J83" i="147"/>
  <c r="L82" i="147"/>
  <c r="K82" i="147"/>
  <c r="J82" i="147" s="1"/>
  <c r="L81" i="147"/>
  <c r="K81" i="147"/>
  <c r="J81" i="147"/>
  <c r="L80" i="147"/>
  <c r="K80" i="147"/>
  <c r="J80" i="147" s="1"/>
  <c r="L79" i="147"/>
  <c r="K79" i="147"/>
  <c r="L78" i="147"/>
  <c r="K78" i="147"/>
  <c r="L77" i="147"/>
  <c r="K77" i="147"/>
  <c r="J77" i="147"/>
  <c r="L76" i="147"/>
  <c r="K76" i="147"/>
  <c r="J76" i="147" s="1"/>
  <c r="L75" i="147"/>
  <c r="K75" i="147"/>
  <c r="J75" i="147" s="1"/>
  <c r="L74" i="147"/>
  <c r="K74" i="147"/>
  <c r="L73" i="147"/>
  <c r="K73" i="147"/>
  <c r="J73" i="147" s="1"/>
  <c r="L72" i="147"/>
  <c r="J72" i="147" s="1"/>
  <c r="K72" i="147"/>
  <c r="L71" i="147"/>
  <c r="K71" i="147"/>
  <c r="J71" i="147" s="1"/>
  <c r="L70" i="147"/>
  <c r="K70" i="147"/>
  <c r="J70" i="147"/>
  <c r="L69" i="147"/>
  <c r="J69" i="147" s="1"/>
  <c r="K69" i="147"/>
  <c r="L68" i="147"/>
  <c r="K68" i="147"/>
  <c r="L67" i="147"/>
  <c r="K67" i="147"/>
  <c r="J67" i="147"/>
  <c r="L66" i="147"/>
  <c r="K66" i="147"/>
  <c r="L65" i="147"/>
  <c r="K65" i="147"/>
  <c r="J65" i="147"/>
  <c r="L64" i="147"/>
  <c r="K64" i="147"/>
  <c r="J64" i="147"/>
  <c r="L63" i="147"/>
  <c r="K63" i="147"/>
  <c r="L62" i="147"/>
  <c r="K62" i="147"/>
  <c r="L61" i="147"/>
  <c r="K61" i="147"/>
  <c r="J61" i="147" s="1"/>
  <c r="L60" i="147"/>
  <c r="K60" i="147"/>
  <c r="J60" i="147" s="1"/>
  <c r="L59" i="147"/>
  <c r="K59" i="147"/>
  <c r="J59" i="147" s="1"/>
  <c r="L58" i="147"/>
  <c r="K58" i="147"/>
  <c r="J58" i="147" s="1"/>
  <c r="L57" i="147"/>
  <c r="K57" i="147"/>
  <c r="J57" i="147" s="1"/>
  <c r="L56" i="147"/>
  <c r="K56" i="147"/>
  <c r="J56" i="147" s="1"/>
  <c r="L55" i="147"/>
  <c r="K55" i="147"/>
  <c r="J55" i="147" s="1"/>
  <c r="L54" i="147"/>
  <c r="K54" i="147"/>
  <c r="L53" i="147"/>
  <c r="K53" i="147"/>
  <c r="J53" i="147" s="1"/>
  <c r="L52" i="147"/>
  <c r="K52" i="147"/>
  <c r="L51" i="147"/>
  <c r="K51" i="147"/>
  <c r="J51" i="147"/>
  <c r="L50" i="147"/>
  <c r="J50" i="147" s="1"/>
  <c r="K50" i="147"/>
  <c r="L49" i="147"/>
  <c r="K49" i="147"/>
  <c r="J49" i="147" s="1"/>
  <c r="L48" i="147"/>
  <c r="K48" i="147"/>
  <c r="L47" i="147"/>
  <c r="K47" i="147"/>
  <c r="L46" i="147"/>
  <c r="K46" i="147"/>
  <c r="J46" i="147" s="1"/>
  <c r="L45" i="147"/>
  <c r="K45" i="147"/>
  <c r="J45" i="147" s="1"/>
  <c r="L44" i="147"/>
  <c r="K44" i="147"/>
  <c r="J44" i="147"/>
  <c r="L43" i="147"/>
  <c r="K43" i="147"/>
  <c r="L42" i="147"/>
  <c r="K42" i="147"/>
  <c r="J42" i="147" s="1"/>
  <c r="L41" i="147"/>
  <c r="K41" i="147"/>
  <c r="L40" i="147"/>
  <c r="K40" i="147"/>
  <c r="J40" i="147" s="1"/>
  <c r="L39" i="147"/>
  <c r="K39" i="147"/>
  <c r="L38" i="147"/>
  <c r="K38" i="147"/>
  <c r="J38" i="147" s="1"/>
  <c r="L37" i="147"/>
  <c r="K37" i="147"/>
  <c r="J37" i="147" s="1"/>
  <c r="L36" i="147"/>
  <c r="K36" i="147"/>
  <c r="L35" i="147"/>
  <c r="K35" i="147"/>
  <c r="J35" i="147" s="1"/>
  <c r="L34" i="147"/>
  <c r="K34" i="147"/>
  <c r="J34" i="147"/>
  <c r="L33" i="147"/>
  <c r="K33" i="147"/>
  <c r="J33" i="147" s="1"/>
  <c r="L32" i="147"/>
  <c r="K32" i="147"/>
  <c r="J32" i="147" s="1"/>
  <c r="L31" i="147"/>
  <c r="K31" i="147"/>
  <c r="L30" i="147"/>
  <c r="K30" i="147"/>
  <c r="J30" i="147" s="1"/>
  <c r="L29" i="147"/>
  <c r="K29" i="147"/>
  <c r="J29" i="147"/>
  <c r="L28" i="147"/>
  <c r="K28" i="147"/>
  <c r="J28" i="147"/>
  <c r="L27" i="147"/>
  <c r="K27" i="147"/>
  <c r="J27" i="147" s="1"/>
  <c r="L26" i="147"/>
  <c r="K26" i="147"/>
  <c r="J26" i="147" s="1"/>
  <c r="L25" i="147"/>
  <c r="K25" i="147"/>
  <c r="J25" i="147" s="1"/>
  <c r="L252" i="148"/>
  <c r="K252" i="148"/>
  <c r="J252" i="148" s="1"/>
  <c r="L251" i="148"/>
  <c r="K251" i="148"/>
  <c r="J251" i="148" s="1"/>
  <c r="L250" i="148"/>
  <c r="K250" i="148"/>
  <c r="J250" i="148"/>
  <c r="L249" i="148"/>
  <c r="K249" i="148"/>
  <c r="J249" i="148"/>
  <c r="L248" i="148"/>
  <c r="J248" i="148" s="1"/>
  <c r="K248" i="148"/>
  <c r="L247" i="148"/>
  <c r="K247" i="148"/>
  <c r="J247" i="148"/>
  <c r="L246" i="148"/>
  <c r="K246" i="148"/>
  <c r="J246" i="148" s="1"/>
  <c r="L245" i="148"/>
  <c r="K245" i="148"/>
  <c r="J245" i="148" s="1"/>
  <c r="L244" i="148"/>
  <c r="K244" i="148"/>
  <c r="J244" i="148" s="1"/>
  <c r="L243" i="148"/>
  <c r="K243" i="148"/>
  <c r="L242" i="148"/>
  <c r="K242" i="148"/>
  <c r="J242" i="148" s="1"/>
  <c r="L241" i="148"/>
  <c r="K241" i="148"/>
  <c r="L240" i="148"/>
  <c r="K240" i="148"/>
  <c r="J240" i="148" s="1"/>
  <c r="L239" i="148"/>
  <c r="K239" i="148"/>
  <c r="J239" i="148" s="1"/>
  <c r="L238" i="148"/>
  <c r="K238" i="148"/>
  <c r="J238" i="148" s="1"/>
  <c r="L237" i="148"/>
  <c r="K237" i="148"/>
  <c r="J237" i="148" s="1"/>
  <c r="L236" i="148"/>
  <c r="K236" i="148"/>
  <c r="J236" i="148" s="1"/>
  <c r="L235" i="148"/>
  <c r="K235" i="148"/>
  <c r="J235" i="148" s="1"/>
  <c r="L234" i="148"/>
  <c r="J234" i="148" s="1"/>
  <c r="K234" i="148"/>
  <c r="L233" i="148"/>
  <c r="K233" i="148"/>
  <c r="J233" i="148" s="1"/>
  <c r="L232" i="148"/>
  <c r="K232" i="148"/>
  <c r="L231" i="148"/>
  <c r="J231" i="148" s="1"/>
  <c r="K231" i="148"/>
  <c r="L230" i="148"/>
  <c r="K230" i="148"/>
  <c r="J230" i="148" s="1"/>
  <c r="L229" i="148"/>
  <c r="K229" i="148"/>
  <c r="J229" i="148"/>
  <c r="L228" i="148"/>
  <c r="J228" i="148" s="1"/>
  <c r="K228" i="148"/>
  <c r="L227" i="148"/>
  <c r="K227" i="148"/>
  <c r="J227" i="148" s="1"/>
  <c r="L226" i="148"/>
  <c r="K226" i="148"/>
  <c r="J226" i="148" s="1"/>
  <c r="L225" i="148"/>
  <c r="K225" i="148"/>
  <c r="J225" i="148" s="1"/>
  <c r="L224" i="148"/>
  <c r="K224" i="148"/>
  <c r="J224" i="148" s="1"/>
  <c r="L223" i="148"/>
  <c r="K223" i="148"/>
  <c r="J223" i="148" s="1"/>
  <c r="L222" i="148"/>
  <c r="K222" i="148"/>
  <c r="J222" i="148" s="1"/>
  <c r="L221" i="148"/>
  <c r="K221" i="148"/>
  <c r="J221" i="148" s="1"/>
  <c r="L220" i="148"/>
  <c r="K220" i="148"/>
  <c r="J220" i="148" s="1"/>
  <c r="L219" i="148"/>
  <c r="K219" i="148"/>
  <c r="J219" i="148" s="1"/>
  <c r="L218" i="148"/>
  <c r="K218" i="148"/>
  <c r="L217" i="148"/>
  <c r="K217" i="148"/>
  <c r="J217" i="148" s="1"/>
  <c r="L216" i="148"/>
  <c r="K216" i="148"/>
  <c r="L215" i="148"/>
  <c r="K215" i="148"/>
  <c r="J215" i="148"/>
  <c r="L214" i="148"/>
  <c r="J214" i="148" s="1"/>
  <c r="K214" i="148"/>
  <c r="L213" i="148"/>
  <c r="K213" i="148"/>
  <c r="J213" i="148" s="1"/>
  <c r="L212" i="148"/>
  <c r="K212" i="148"/>
  <c r="L211" i="148"/>
  <c r="K211" i="148"/>
  <c r="J211" i="148" s="1"/>
  <c r="L210" i="148"/>
  <c r="K210" i="148"/>
  <c r="J210" i="148" s="1"/>
  <c r="L209" i="148"/>
  <c r="K209" i="148"/>
  <c r="J209" i="148" s="1"/>
  <c r="L208" i="148"/>
  <c r="K208" i="148"/>
  <c r="J208" i="148"/>
  <c r="L207" i="148"/>
  <c r="K207" i="148"/>
  <c r="L206" i="148"/>
  <c r="K206" i="148"/>
  <c r="J206" i="148" s="1"/>
  <c r="L205" i="148"/>
  <c r="K205" i="148"/>
  <c r="L204" i="148"/>
  <c r="K204" i="148"/>
  <c r="J204" i="148" s="1"/>
  <c r="L203" i="148"/>
  <c r="K203" i="148"/>
  <c r="L202" i="148"/>
  <c r="K202" i="148"/>
  <c r="J202" i="148" s="1"/>
  <c r="L201" i="148"/>
  <c r="K201" i="148"/>
  <c r="J201" i="148" s="1"/>
  <c r="L200" i="148"/>
  <c r="J200" i="148" s="1"/>
  <c r="K200" i="148"/>
  <c r="L199" i="148"/>
  <c r="K199" i="148"/>
  <c r="J199" i="148" s="1"/>
  <c r="L198" i="148"/>
  <c r="K198" i="148"/>
  <c r="J198" i="148"/>
  <c r="L197" i="148"/>
  <c r="K197" i="148"/>
  <c r="J197" i="148" s="1"/>
  <c r="L196" i="148"/>
  <c r="K196" i="148"/>
  <c r="J196" i="148" s="1"/>
  <c r="L195" i="148"/>
  <c r="K195" i="148"/>
  <c r="L194" i="148"/>
  <c r="K194" i="148"/>
  <c r="L193" i="148"/>
  <c r="K193" i="148"/>
  <c r="J193" i="148" s="1"/>
  <c r="L192" i="148"/>
  <c r="K192" i="148"/>
  <c r="J192" i="148"/>
  <c r="L191" i="148"/>
  <c r="K191" i="148"/>
  <c r="J191" i="148" s="1"/>
  <c r="L190" i="148"/>
  <c r="K190" i="148"/>
  <c r="J190" i="148" s="1"/>
  <c r="L189" i="148"/>
  <c r="K189" i="148"/>
  <c r="J189" i="148" s="1"/>
  <c r="L188" i="148"/>
  <c r="K188" i="148"/>
  <c r="J188" i="148" s="1"/>
  <c r="L187" i="148"/>
  <c r="K187" i="148"/>
  <c r="J187" i="148" s="1"/>
  <c r="L186" i="148"/>
  <c r="K186" i="148"/>
  <c r="J186" i="148" s="1"/>
  <c r="L185" i="148"/>
  <c r="K185" i="148"/>
  <c r="J185" i="148"/>
  <c r="L184" i="148"/>
  <c r="J184" i="148" s="1"/>
  <c r="K184" i="148"/>
  <c r="L183" i="148"/>
  <c r="K183" i="148"/>
  <c r="J183" i="148" s="1"/>
  <c r="L182" i="148"/>
  <c r="K182" i="148"/>
  <c r="J182" i="148"/>
  <c r="L181" i="148"/>
  <c r="J181" i="148" s="1"/>
  <c r="K181" i="148"/>
  <c r="L180" i="148"/>
  <c r="K180" i="148"/>
  <c r="L179" i="148"/>
  <c r="K179" i="148"/>
  <c r="J179" i="148" s="1"/>
  <c r="L178" i="148"/>
  <c r="K178" i="148"/>
  <c r="L177" i="148"/>
  <c r="K177" i="148"/>
  <c r="J177" i="148" s="1"/>
  <c r="L176" i="148"/>
  <c r="J176" i="148" s="1"/>
  <c r="K176" i="148"/>
  <c r="L175" i="148"/>
  <c r="K175" i="148"/>
  <c r="J175" i="148" s="1"/>
  <c r="L174" i="148"/>
  <c r="K174" i="148"/>
  <c r="J174" i="148" s="1"/>
  <c r="L173" i="148"/>
  <c r="K173" i="148"/>
  <c r="L172" i="148"/>
  <c r="K172" i="148"/>
  <c r="J172" i="148" s="1"/>
  <c r="L171" i="148"/>
  <c r="K171" i="148"/>
  <c r="L170" i="148"/>
  <c r="K170" i="148"/>
  <c r="J170" i="148" s="1"/>
  <c r="L169" i="148"/>
  <c r="J169" i="148" s="1"/>
  <c r="K169" i="148"/>
  <c r="L168" i="148"/>
  <c r="K168" i="148"/>
  <c r="L167" i="148"/>
  <c r="K167" i="148"/>
  <c r="J167" i="148"/>
  <c r="L166" i="148"/>
  <c r="K166" i="148"/>
  <c r="L165" i="148"/>
  <c r="K165" i="148"/>
  <c r="J165" i="148"/>
  <c r="L164" i="148"/>
  <c r="J164" i="148" s="1"/>
  <c r="K164" i="148"/>
  <c r="L163" i="148"/>
  <c r="K163" i="148"/>
  <c r="L162" i="148"/>
  <c r="K162" i="148"/>
  <c r="L161" i="148"/>
  <c r="K161" i="148"/>
  <c r="J161" i="148" s="1"/>
  <c r="L160" i="148"/>
  <c r="K160" i="148"/>
  <c r="J160" i="148" s="1"/>
  <c r="L159" i="148"/>
  <c r="K159" i="148"/>
  <c r="J159" i="148" s="1"/>
  <c r="L158" i="148"/>
  <c r="K158" i="148"/>
  <c r="J158" i="148" s="1"/>
  <c r="L157" i="148"/>
  <c r="K157" i="148"/>
  <c r="J157" i="148" s="1"/>
  <c r="L156" i="148"/>
  <c r="K156" i="148"/>
  <c r="J156" i="148" s="1"/>
  <c r="L155" i="148"/>
  <c r="K155" i="148"/>
  <c r="J155" i="148" s="1"/>
  <c r="L154" i="148"/>
  <c r="K154" i="148"/>
  <c r="J154" i="148" s="1"/>
  <c r="L153" i="148"/>
  <c r="K153" i="148"/>
  <c r="J153" i="148" s="1"/>
  <c r="L152" i="148"/>
  <c r="K152" i="148"/>
  <c r="J152" i="148" s="1"/>
  <c r="L151" i="148"/>
  <c r="K151" i="148"/>
  <c r="L150" i="148"/>
  <c r="K150" i="148"/>
  <c r="J150" i="148" s="1"/>
  <c r="L149" i="148"/>
  <c r="K149" i="148"/>
  <c r="L148" i="148"/>
  <c r="K148" i="148"/>
  <c r="J148" i="148"/>
  <c r="L147" i="148"/>
  <c r="K147" i="148"/>
  <c r="L146" i="148"/>
  <c r="K146" i="148"/>
  <c r="J146" i="148" s="1"/>
  <c r="L145" i="148"/>
  <c r="K145" i="148"/>
  <c r="L144" i="148"/>
  <c r="K144" i="148"/>
  <c r="J144" i="148" s="1"/>
  <c r="L143" i="148"/>
  <c r="K143" i="148"/>
  <c r="L142" i="148"/>
  <c r="K142" i="148"/>
  <c r="J142" i="148" s="1"/>
  <c r="L141" i="148"/>
  <c r="K141" i="148"/>
  <c r="J141" i="148" s="1"/>
  <c r="L140" i="148"/>
  <c r="K140" i="148"/>
  <c r="J140" i="148"/>
  <c r="L139" i="148"/>
  <c r="J139" i="148" s="1"/>
  <c r="K139" i="148"/>
  <c r="L138" i="148"/>
  <c r="K138" i="148"/>
  <c r="L137" i="148"/>
  <c r="K137" i="148"/>
  <c r="J137" i="148" s="1"/>
  <c r="L136" i="148"/>
  <c r="K136" i="148"/>
  <c r="J136" i="148" s="1"/>
  <c r="L135" i="148"/>
  <c r="K135" i="148"/>
  <c r="J135" i="148" s="1"/>
  <c r="L134" i="148"/>
  <c r="K134" i="148"/>
  <c r="J134" i="148"/>
  <c r="L133" i="148"/>
  <c r="J133" i="148" s="1"/>
  <c r="K133" i="148"/>
  <c r="L132" i="148"/>
  <c r="K132" i="148"/>
  <c r="L131" i="148"/>
  <c r="K131" i="148"/>
  <c r="J131" i="148" s="1"/>
  <c r="L130" i="148"/>
  <c r="K130" i="148"/>
  <c r="J130" i="148" s="1"/>
  <c r="L129" i="148"/>
  <c r="K129" i="148"/>
  <c r="J129" i="148" s="1"/>
  <c r="L128" i="148"/>
  <c r="K128" i="148"/>
  <c r="J128" i="148"/>
  <c r="L127" i="148"/>
  <c r="K127" i="148"/>
  <c r="L126" i="148"/>
  <c r="K126" i="148"/>
  <c r="J126" i="148" s="1"/>
  <c r="L125" i="148"/>
  <c r="J125" i="148" s="1"/>
  <c r="K125" i="148"/>
  <c r="L124" i="148"/>
  <c r="K124" i="148"/>
  <c r="J124" i="148" s="1"/>
  <c r="L123" i="148"/>
  <c r="K123" i="148"/>
  <c r="J123" i="148" s="1"/>
  <c r="L122" i="148"/>
  <c r="K122" i="148"/>
  <c r="J122" i="148"/>
  <c r="L121" i="148"/>
  <c r="K121" i="148"/>
  <c r="L120" i="148"/>
  <c r="K120" i="148"/>
  <c r="J120" i="148" s="1"/>
  <c r="L119" i="148"/>
  <c r="K119" i="148"/>
  <c r="J119" i="148"/>
  <c r="L118" i="148"/>
  <c r="K118" i="148"/>
  <c r="L117" i="148"/>
  <c r="K117" i="148"/>
  <c r="J117" i="148" s="1"/>
  <c r="L116" i="148"/>
  <c r="K116" i="148"/>
  <c r="J116" i="148" s="1"/>
  <c r="L115" i="148"/>
  <c r="K115" i="148"/>
  <c r="L114" i="148"/>
  <c r="K114" i="148"/>
  <c r="J114" i="148"/>
  <c r="L113" i="148"/>
  <c r="J113" i="148" s="1"/>
  <c r="K113" i="148"/>
  <c r="L112" i="148"/>
  <c r="K112" i="148"/>
  <c r="J112" i="148" s="1"/>
  <c r="L111" i="148"/>
  <c r="K111" i="148"/>
  <c r="J111" i="148" s="1"/>
  <c r="L110" i="148"/>
  <c r="K110" i="148"/>
  <c r="J110" i="148" s="1"/>
  <c r="L109" i="148"/>
  <c r="K109" i="148"/>
  <c r="J109" i="148" s="1"/>
  <c r="L108" i="148"/>
  <c r="K108" i="148"/>
  <c r="J108" i="148" s="1"/>
  <c r="L107" i="148"/>
  <c r="K107" i="148"/>
  <c r="J107" i="148" s="1"/>
  <c r="L106" i="148"/>
  <c r="K106" i="148"/>
  <c r="J106" i="148" s="1"/>
  <c r="L105" i="148"/>
  <c r="K105" i="148"/>
  <c r="J105" i="148" s="1"/>
  <c r="L104" i="148"/>
  <c r="J104" i="148" s="1"/>
  <c r="K104" i="148"/>
  <c r="L103" i="148"/>
  <c r="K103" i="148"/>
  <c r="J103" i="148" s="1"/>
  <c r="L102" i="148"/>
  <c r="K102" i="148"/>
  <c r="J102" i="148" s="1"/>
  <c r="L101" i="148"/>
  <c r="K101" i="148"/>
  <c r="J101" i="148"/>
  <c r="L100" i="148"/>
  <c r="K100" i="148"/>
  <c r="L99" i="148"/>
  <c r="K99" i="148"/>
  <c r="J99" i="148" s="1"/>
  <c r="L98" i="148"/>
  <c r="J98" i="148" s="1"/>
  <c r="K98" i="148"/>
  <c r="L97" i="148"/>
  <c r="K97" i="148"/>
  <c r="J97" i="148" s="1"/>
  <c r="L96" i="148"/>
  <c r="K96" i="148"/>
  <c r="J96" i="148" s="1"/>
  <c r="L95" i="148"/>
  <c r="J95" i="148" s="1"/>
  <c r="K95" i="148"/>
  <c r="L94" i="148"/>
  <c r="K94" i="148"/>
  <c r="L93" i="148"/>
  <c r="K93" i="148"/>
  <c r="J93" i="148"/>
  <c r="L92" i="148"/>
  <c r="J92" i="148" s="1"/>
  <c r="K92" i="148"/>
  <c r="L91" i="148"/>
  <c r="K91" i="148"/>
  <c r="J91" i="148" s="1"/>
  <c r="L90" i="148"/>
  <c r="K90" i="148"/>
  <c r="J90" i="148" s="1"/>
  <c r="L89" i="148"/>
  <c r="K89" i="148"/>
  <c r="J89" i="148" s="1"/>
  <c r="L88" i="148"/>
  <c r="K88" i="148"/>
  <c r="L87" i="148"/>
  <c r="K87" i="148"/>
  <c r="J87" i="148"/>
  <c r="L86" i="148"/>
  <c r="J86" i="148" s="1"/>
  <c r="K86" i="148"/>
  <c r="L85" i="148"/>
  <c r="K85" i="148"/>
  <c r="J85" i="148" s="1"/>
  <c r="L84" i="148"/>
  <c r="K84" i="148"/>
  <c r="J84" i="148" s="1"/>
  <c r="L83" i="148"/>
  <c r="K83" i="148"/>
  <c r="L82" i="148"/>
  <c r="K82" i="148"/>
  <c r="J82" i="148" s="1"/>
  <c r="L81" i="148"/>
  <c r="K81" i="148"/>
  <c r="J81" i="148" s="1"/>
  <c r="L80" i="148"/>
  <c r="K80" i="148"/>
  <c r="J80" i="148" s="1"/>
  <c r="L79" i="148"/>
  <c r="K79" i="148"/>
  <c r="J79" i="148" s="1"/>
  <c r="L78" i="148"/>
  <c r="K78" i="148"/>
  <c r="J78" i="148" s="1"/>
  <c r="L77" i="148"/>
  <c r="J77" i="148" s="1"/>
  <c r="K77" i="148"/>
  <c r="L76" i="148"/>
  <c r="K76" i="148"/>
  <c r="J76" i="148" s="1"/>
  <c r="L75" i="148"/>
  <c r="K75" i="148"/>
  <c r="J75" i="148" s="1"/>
  <c r="L74" i="148"/>
  <c r="K74" i="148"/>
  <c r="J74" i="148"/>
  <c r="L73" i="148"/>
  <c r="K73" i="148"/>
  <c r="L72" i="148"/>
  <c r="K72" i="148"/>
  <c r="J72" i="148" s="1"/>
  <c r="L71" i="148"/>
  <c r="J71" i="148" s="1"/>
  <c r="K71" i="148"/>
  <c r="L70" i="148"/>
  <c r="K70" i="148"/>
  <c r="J70" i="148" s="1"/>
  <c r="L69" i="148"/>
  <c r="K69" i="148"/>
  <c r="J69" i="148" s="1"/>
  <c r="L68" i="148"/>
  <c r="K68" i="148"/>
  <c r="J68" i="148"/>
  <c r="L67" i="148"/>
  <c r="J67" i="148" s="1"/>
  <c r="K67" i="148"/>
  <c r="L66" i="148"/>
  <c r="K66" i="148"/>
  <c r="J66" i="148" s="1"/>
  <c r="L65" i="148"/>
  <c r="K65" i="148"/>
  <c r="J65" i="148"/>
  <c r="L64" i="148"/>
  <c r="K64" i="148"/>
  <c r="L63" i="148"/>
  <c r="K63" i="148"/>
  <c r="J63" i="148" s="1"/>
  <c r="L62" i="148"/>
  <c r="K62" i="148"/>
  <c r="J62" i="148" s="1"/>
  <c r="L61" i="148"/>
  <c r="K61" i="148"/>
  <c r="J61" i="148" s="1"/>
  <c r="L60" i="148"/>
  <c r="K60" i="148"/>
  <c r="J60" i="148" s="1"/>
  <c r="L59" i="148"/>
  <c r="K59" i="148"/>
  <c r="J59" i="148"/>
  <c r="L58" i="148"/>
  <c r="K58" i="148"/>
  <c r="J58" i="148" s="1"/>
  <c r="L57" i="148"/>
  <c r="K57" i="148"/>
  <c r="L56" i="148"/>
  <c r="K56" i="148"/>
  <c r="J56" i="148" s="1"/>
  <c r="L55" i="148"/>
  <c r="K55" i="148"/>
  <c r="J55" i="148" s="1"/>
  <c r="L54" i="148"/>
  <c r="K54" i="148"/>
  <c r="J54" i="148" s="1"/>
  <c r="L53" i="148"/>
  <c r="K53" i="148"/>
  <c r="J53" i="148"/>
  <c r="L52" i="148"/>
  <c r="K52" i="148"/>
  <c r="J52" i="148" s="1"/>
  <c r="L51" i="148"/>
  <c r="J51" i="148" s="1"/>
  <c r="K51" i="148"/>
  <c r="L50" i="148"/>
  <c r="K50" i="148"/>
  <c r="J50" i="148"/>
  <c r="L49" i="148"/>
  <c r="K49" i="148"/>
  <c r="J49" i="148" s="1"/>
  <c r="L48" i="148"/>
  <c r="K48" i="148"/>
  <c r="L47" i="148"/>
  <c r="K47" i="148"/>
  <c r="J47" i="148"/>
  <c r="L46" i="148"/>
  <c r="K46" i="148"/>
  <c r="J46" i="148" s="1"/>
  <c r="L45" i="148"/>
  <c r="K45" i="148"/>
  <c r="J45" i="148" s="1"/>
  <c r="L44" i="148"/>
  <c r="K44" i="148"/>
  <c r="J44" i="148"/>
  <c r="L43" i="148"/>
  <c r="K43" i="148"/>
  <c r="J43" i="148" s="1"/>
  <c r="L42" i="148"/>
  <c r="K42" i="148"/>
  <c r="J42" i="148" s="1"/>
  <c r="L41" i="148"/>
  <c r="K41" i="148"/>
  <c r="J41" i="148" s="1"/>
  <c r="L40" i="148"/>
  <c r="K40" i="148"/>
  <c r="L39" i="148"/>
  <c r="K39" i="148"/>
  <c r="J39" i="148"/>
  <c r="L38" i="148"/>
  <c r="K38" i="148"/>
  <c r="J38" i="148" s="1"/>
  <c r="L37" i="148"/>
  <c r="J37" i="148" s="1"/>
  <c r="K37" i="148"/>
  <c r="L36" i="148"/>
  <c r="K36" i="148"/>
  <c r="J36" i="148" s="1"/>
  <c r="L35" i="148"/>
  <c r="J35" i="148" s="1"/>
  <c r="K35" i="148"/>
  <c r="L34" i="148"/>
  <c r="J34" i="148" s="1"/>
  <c r="K34" i="148"/>
  <c r="L33" i="148"/>
  <c r="K33" i="148"/>
  <c r="J33" i="148" s="1"/>
  <c r="L32" i="148"/>
  <c r="K32" i="148"/>
  <c r="L31" i="148"/>
  <c r="K31" i="148"/>
  <c r="J31" i="148" s="1"/>
  <c r="L30" i="148"/>
  <c r="K30" i="148"/>
  <c r="L29" i="148"/>
  <c r="K29" i="148"/>
  <c r="J29" i="148"/>
  <c r="L28" i="148"/>
  <c r="K28" i="148"/>
  <c r="J28" i="148" s="1"/>
  <c r="L27" i="148"/>
  <c r="K27" i="148"/>
  <c r="J27" i="148"/>
  <c r="L26" i="148"/>
  <c r="K26" i="148"/>
  <c r="J26" i="148" s="1"/>
  <c r="L25" i="148"/>
  <c r="K25" i="148"/>
  <c r="L252" i="149"/>
  <c r="K252" i="149"/>
  <c r="L251" i="149"/>
  <c r="K251" i="149"/>
  <c r="J251" i="149" s="1"/>
  <c r="L250" i="149"/>
  <c r="K250" i="149"/>
  <c r="J250" i="149" s="1"/>
  <c r="L249" i="149"/>
  <c r="J249" i="149" s="1"/>
  <c r="K249" i="149"/>
  <c r="L248" i="149"/>
  <c r="K248" i="149"/>
  <c r="J248" i="149" s="1"/>
  <c r="L247" i="149"/>
  <c r="K247" i="149"/>
  <c r="J247" i="149" s="1"/>
  <c r="L246" i="149"/>
  <c r="K246" i="149"/>
  <c r="J246" i="149" s="1"/>
  <c r="L245" i="149"/>
  <c r="K245" i="149"/>
  <c r="J245" i="149" s="1"/>
  <c r="L244" i="149"/>
  <c r="K244" i="149"/>
  <c r="J244" i="149" s="1"/>
  <c r="L243" i="149"/>
  <c r="K243" i="149"/>
  <c r="J243" i="149" s="1"/>
  <c r="L242" i="149"/>
  <c r="K242" i="149"/>
  <c r="L241" i="149"/>
  <c r="K241" i="149"/>
  <c r="J241" i="149"/>
  <c r="L240" i="149"/>
  <c r="K240" i="149"/>
  <c r="J240" i="149" s="1"/>
  <c r="L239" i="149"/>
  <c r="K239" i="149"/>
  <c r="J239" i="149" s="1"/>
  <c r="L238" i="149"/>
  <c r="K238" i="149"/>
  <c r="J238" i="149"/>
  <c r="L237" i="149"/>
  <c r="K237" i="149"/>
  <c r="L236" i="149"/>
  <c r="K236" i="149"/>
  <c r="L235" i="149"/>
  <c r="K235" i="149"/>
  <c r="J235" i="149" s="1"/>
  <c r="L234" i="149"/>
  <c r="K234" i="149"/>
  <c r="J234" i="149" s="1"/>
  <c r="L233" i="149"/>
  <c r="J233" i="149" s="1"/>
  <c r="K233" i="149"/>
  <c r="L232" i="149"/>
  <c r="K232" i="149"/>
  <c r="J232" i="149" s="1"/>
  <c r="L231" i="149"/>
  <c r="K231" i="149"/>
  <c r="L230" i="149"/>
  <c r="K230" i="149"/>
  <c r="J230" i="149" s="1"/>
  <c r="L229" i="149"/>
  <c r="K229" i="149"/>
  <c r="J229" i="149" s="1"/>
  <c r="L228" i="149"/>
  <c r="K228" i="149"/>
  <c r="L227" i="149"/>
  <c r="K227" i="149"/>
  <c r="J227" i="149" s="1"/>
  <c r="L226" i="149"/>
  <c r="K226" i="149"/>
  <c r="J226" i="149" s="1"/>
  <c r="L225" i="149"/>
  <c r="K225" i="149"/>
  <c r="J225" i="149" s="1"/>
  <c r="L224" i="149"/>
  <c r="K224" i="149"/>
  <c r="J224" i="149" s="1"/>
  <c r="L223" i="149"/>
  <c r="K223" i="149"/>
  <c r="J223" i="149" s="1"/>
  <c r="L222" i="149"/>
  <c r="K222" i="149"/>
  <c r="J222" i="149" s="1"/>
  <c r="L221" i="149"/>
  <c r="K221" i="149"/>
  <c r="L220" i="149"/>
  <c r="K220" i="149"/>
  <c r="J220" i="149" s="1"/>
  <c r="L219" i="149"/>
  <c r="K219" i="149"/>
  <c r="J219" i="149" s="1"/>
  <c r="L218" i="149"/>
  <c r="K218" i="149"/>
  <c r="J218" i="149" s="1"/>
  <c r="L217" i="149"/>
  <c r="K217" i="149"/>
  <c r="L216" i="149"/>
  <c r="K216" i="149"/>
  <c r="J216" i="149" s="1"/>
  <c r="L215" i="149"/>
  <c r="K215" i="149"/>
  <c r="J215" i="149" s="1"/>
  <c r="L214" i="149"/>
  <c r="K214" i="149"/>
  <c r="J214" i="149"/>
  <c r="L213" i="149"/>
  <c r="K213" i="149"/>
  <c r="J213" i="149" s="1"/>
  <c r="L212" i="149"/>
  <c r="K212" i="149"/>
  <c r="J212" i="149" s="1"/>
  <c r="L211" i="149"/>
  <c r="K211" i="149"/>
  <c r="J211" i="149"/>
  <c r="L210" i="149"/>
  <c r="K210" i="149"/>
  <c r="J210" i="149" s="1"/>
  <c r="L209" i="149"/>
  <c r="K209" i="149"/>
  <c r="J209" i="149"/>
  <c r="L208" i="149"/>
  <c r="K208" i="149"/>
  <c r="J208" i="149" s="1"/>
  <c r="L207" i="149"/>
  <c r="K207" i="149"/>
  <c r="L206" i="149"/>
  <c r="K206" i="149"/>
  <c r="J206" i="149" s="1"/>
  <c r="L205" i="149"/>
  <c r="K205" i="149"/>
  <c r="J205" i="149" s="1"/>
  <c r="L204" i="149"/>
  <c r="K204" i="149"/>
  <c r="J204" i="149" s="1"/>
  <c r="L203" i="149"/>
  <c r="K203" i="149"/>
  <c r="J203" i="149"/>
  <c r="L202" i="149"/>
  <c r="K202" i="149"/>
  <c r="J202" i="149" s="1"/>
  <c r="L201" i="149"/>
  <c r="K201" i="149"/>
  <c r="L200" i="149"/>
  <c r="K200" i="149"/>
  <c r="J200" i="149"/>
  <c r="L199" i="149"/>
  <c r="K199" i="149"/>
  <c r="J199" i="149" s="1"/>
  <c r="L198" i="149"/>
  <c r="K198" i="149"/>
  <c r="J198" i="149"/>
  <c r="L197" i="149"/>
  <c r="K197" i="149"/>
  <c r="J197" i="149"/>
  <c r="L196" i="149"/>
  <c r="K196" i="149"/>
  <c r="J196" i="149" s="1"/>
  <c r="L195" i="149"/>
  <c r="K195" i="149"/>
  <c r="J195" i="149"/>
  <c r="L194" i="149"/>
  <c r="K194" i="149"/>
  <c r="L193" i="149"/>
  <c r="J193" i="149" s="1"/>
  <c r="K193" i="149"/>
  <c r="L192" i="149"/>
  <c r="K192" i="149"/>
  <c r="J192" i="149" s="1"/>
  <c r="L191" i="149"/>
  <c r="K191" i="149"/>
  <c r="L190" i="149"/>
  <c r="K190" i="149"/>
  <c r="J190" i="149" s="1"/>
  <c r="L189" i="149"/>
  <c r="K189" i="149"/>
  <c r="L188" i="149"/>
  <c r="K188" i="149"/>
  <c r="L187" i="149"/>
  <c r="K187" i="149"/>
  <c r="J187" i="149"/>
  <c r="L186" i="149"/>
  <c r="K186" i="149"/>
  <c r="J186" i="149" s="1"/>
  <c r="L185" i="149"/>
  <c r="J185" i="149" s="1"/>
  <c r="K185" i="149"/>
  <c r="L184" i="149"/>
  <c r="K184" i="149"/>
  <c r="J184" i="149"/>
  <c r="L183" i="149"/>
  <c r="K183" i="149"/>
  <c r="J183" i="149" s="1"/>
  <c r="L182" i="149"/>
  <c r="K182" i="149"/>
  <c r="J182" i="149" s="1"/>
  <c r="L181" i="149"/>
  <c r="K181" i="149"/>
  <c r="J181" i="149"/>
  <c r="L180" i="149"/>
  <c r="K180" i="149"/>
  <c r="J180" i="149" s="1"/>
  <c r="L179" i="149"/>
  <c r="K179" i="149"/>
  <c r="J179" i="149" s="1"/>
  <c r="L178" i="149"/>
  <c r="K178" i="149"/>
  <c r="J178" i="149" s="1"/>
  <c r="L177" i="149"/>
  <c r="J177" i="149" s="1"/>
  <c r="K177" i="149"/>
  <c r="L176" i="149"/>
  <c r="K176" i="149"/>
  <c r="J176" i="149" s="1"/>
  <c r="L175" i="149"/>
  <c r="K175" i="149"/>
  <c r="J175" i="149" s="1"/>
  <c r="L174" i="149"/>
  <c r="J174" i="149" s="1"/>
  <c r="K174" i="149"/>
  <c r="L173" i="149"/>
  <c r="K173" i="149"/>
  <c r="L172" i="149"/>
  <c r="K172" i="149"/>
  <c r="L171" i="149"/>
  <c r="K171" i="149"/>
  <c r="J171" i="149" s="1"/>
  <c r="L170" i="149"/>
  <c r="J170" i="149" s="1"/>
  <c r="K170" i="149"/>
  <c r="L169" i="149"/>
  <c r="J169" i="149" s="1"/>
  <c r="K169" i="149"/>
  <c r="L168" i="149"/>
  <c r="K168" i="149"/>
  <c r="J168" i="149" s="1"/>
  <c r="L167" i="149"/>
  <c r="K167" i="149"/>
  <c r="J167" i="149" s="1"/>
  <c r="L166" i="149"/>
  <c r="K166" i="149"/>
  <c r="J166" i="149" s="1"/>
  <c r="L165" i="149"/>
  <c r="K165" i="149"/>
  <c r="J165" i="149"/>
  <c r="L164" i="149"/>
  <c r="K164" i="149"/>
  <c r="J164" i="149" s="1"/>
  <c r="L163" i="149"/>
  <c r="K163" i="149"/>
  <c r="J163" i="149" s="1"/>
  <c r="L162" i="149"/>
  <c r="K162" i="149"/>
  <c r="J162" i="149" s="1"/>
  <c r="L161" i="149"/>
  <c r="J161" i="149" s="1"/>
  <c r="K161" i="149"/>
  <c r="L160" i="149"/>
  <c r="K160" i="149"/>
  <c r="J160" i="149" s="1"/>
  <c r="L159" i="149"/>
  <c r="K159" i="149"/>
  <c r="J159" i="149" s="1"/>
  <c r="L158" i="149"/>
  <c r="J158" i="149" s="1"/>
  <c r="K158" i="149"/>
  <c r="L157" i="149"/>
  <c r="K157" i="149"/>
  <c r="J157" i="149" s="1"/>
  <c r="L156" i="149"/>
  <c r="K156" i="149"/>
  <c r="L155" i="149"/>
  <c r="K155" i="149"/>
  <c r="L154" i="149"/>
  <c r="J154" i="149" s="1"/>
  <c r="K154" i="149"/>
  <c r="L153" i="149"/>
  <c r="J153" i="149" s="1"/>
  <c r="K153" i="149"/>
  <c r="L152" i="149"/>
  <c r="K152" i="149"/>
  <c r="L151" i="149"/>
  <c r="K151" i="149"/>
  <c r="L150" i="149"/>
  <c r="K150" i="149"/>
  <c r="J150" i="149" s="1"/>
  <c r="L149" i="149"/>
  <c r="K149" i="149"/>
  <c r="J149" i="149" s="1"/>
  <c r="L148" i="149"/>
  <c r="K148" i="149"/>
  <c r="L147" i="149"/>
  <c r="K147" i="149"/>
  <c r="J147" i="149" s="1"/>
  <c r="L146" i="149"/>
  <c r="K146" i="149"/>
  <c r="L145" i="149"/>
  <c r="K145" i="149"/>
  <c r="J145" i="149" s="1"/>
  <c r="L144" i="149"/>
  <c r="K144" i="149"/>
  <c r="J144" i="149" s="1"/>
  <c r="L143" i="149"/>
  <c r="K143" i="149"/>
  <c r="L142" i="149"/>
  <c r="K142" i="149"/>
  <c r="J142" i="149" s="1"/>
  <c r="L141" i="149"/>
  <c r="K141" i="149"/>
  <c r="L140" i="149"/>
  <c r="K140" i="149"/>
  <c r="J140" i="149" s="1"/>
  <c r="L139" i="149"/>
  <c r="K139" i="149"/>
  <c r="J139" i="149"/>
  <c r="L138" i="149"/>
  <c r="K138" i="149"/>
  <c r="J138" i="149"/>
  <c r="L137" i="149"/>
  <c r="K137" i="149"/>
  <c r="L136" i="149"/>
  <c r="K136" i="149"/>
  <c r="J136" i="149"/>
  <c r="L135" i="149"/>
  <c r="K135" i="149"/>
  <c r="J135" i="149" s="1"/>
  <c r="L134" i="149"/>
  <c r="J134" i="149" s="1"/>
  <c r="K134" i="149"/>
  <c r="L133" i="149"/>
  <c r="K133" i="149"/>
  <c r="J133" i="149"/>
  <c r="L132" i="149"/>
  <c r="K132" i="149"/>
  <c r="J132" i="149" s="1"/>
  <c r="L131" i="149"/>
  <c r="J131" i="149" s="1"/>
  <c r="K131" i="149"/>
  <c r="L130" i="149"/>
  <c r="K130" i="149"/>
  <c r="L129" i="149"/>
  <c r="J129" i="149" s="1"/>
  <c r="K129" i="149"/>
  <c r="L128" i="149"/>
  <c r="J128" i="149" s="1"/>
  <c r="K128" i="149"/>
  <c r="L127" i="149"/>
  <c r="K127" i="149"/>
  <c r="L126" i="149"/>
  <c r="J126" i="149" s="1"/>
  <c r="K126" i="149"/>
  <c r="L125" i="149"/>
  <c r="K125" i="149"/>
  <c r="L124" i="149"/>
  <c r="K124" i="149"/>
  <c r="J124" i="149" s="1"/>
  <c r="L123" i="149"/>
  <c r="K123" i="149"/>
  <c r="J123" i="149" s="1"/>
  <c r="L122" i="149"/>
  <c r="K122" i="149"/>
  <c r="J122" i="149" s="1"/>
  <c r="L121" i="149"/>
  <c r="K121" i="149"/>
  <c r="L120" i="149"/>
  <c r="K120" i="149"/>
  <c r="J120" i="149" s="1"/>
  <c r="L119" i="149"/>
  <c r="K119" i="149"/>
  <c r="J119" i="149" s="1"/>
  <c r="L118" i="149"/>
  <c r="J118" i="149" s="1"/>
  <c r="K118" i="149"/>
  <c r="L117" i="149"/>
  <c r="K117" i="149"/>
  <c r="J117" i="149" s="1"/>
  <c r="L116" i="149"/>
  <c r="K116" i="149"/>
  <c r="J116" i="149" s="1"/>
  <c r="L115" i="149"/>
  <c r="J115" i="149" s="1"/>
  <c r="K115" i="149"/>
  <c r="L114" i="149"/>
  <c r="K114" i="149"/>
  <c r="J114" i="149" s="1"/>
  <c r="L113" i="149"/>
  <c r="K113" i="149"/>
  <c r="J113" i="149"/>
  <c r="L112" i="149"/>
  <c r="J112" i="149" s="1"/>
  <c r="K112" i="149"/>
  <c r="L111" i="149"/>
  <c r="K111" i="149"/>
  <c r="J111" i="149" s="1"/>
  <c r="L110" i="149"/>
  <c r="K110" i="149"/>
  <c r="J110" i="149"/>
  <c r="L109" i="149"/>
  <c r="K109" i="149"/>
  <c r="L108" i="149"/>
  <c r="K108" i="149"/>
  <c r="L107" i="149"/>
  <c r="J107" i="149" s="1"/>
  <c r="K107" i="149"/>
  <c r="L106" i="149"/>
  <c r="K106" i="149"/>
  <c r="J106" i="149" s="1"/>
  <c r="L105" i="149"/>
  <c r="J105" i="149" s="1"/>
  <c r="K105" i="149"/>
  <c r="L104" i="149"/>
  <c r="J104" i="149" s="1"/>
  <c r="K104" i="149"/>
  <c r="L103" i="149"/>
  <c r="K103" i="149"/>
  <c r="L102" i="149"/>
  <c r="K102" i="149"/>
  <c r="J102" i="149" s="1"/>
  <c r="L101" i="149"/>
  <c r="J101" i="149" s="1"/>
  <c r="K101" i="149"/>
  <c r="L100" i="149"/>
  <c r="K100" i="149"/>
  <c r="L99" i="149"/>
  <c r="K99" i="149"/>
  <c r="J99" i="149" s="1"/>
  <c r="L98" i="149"/>
  <c r="K98" i="149"/>
  <c r="L97" i="149"/>
  <c r="K97" i="149"/>
  <c r="J97" i="149" s="1"/>
  <c r="L96" i="149"/>
  <c r="K96" i="149"/>
  <c r="J96" i="149"/>
  <c r="L95" i="149"/>
  <c r="K95" i="149"/>
  <c r="L94" i="149"/>
  <c r="K94" i="149"/>
  <c r="J94" i="149" s="1"/>
  <c r="L93" i="149"/>
  <c r="K93" i="149"/>
  <c r="L92" i="149"/>
  <c r="K92" i="149"/>
  <c r="J92" i="149" s="1"/>
  <c r="L91" i="149"/>
  <c r="K91" i="149"/>
  <c r="J91" i="149"/>
  <c r="L90" i="149"/>
  <c r="J90" i="149" s="1"/>
  <c r="K90" i="149"/>
  <c r="L89" i="149"/>
  <c r="K89" i="149"/>
  <c r="L88" i="149"/>
  <c r="K88" i="149"/>
  <c r="J88" i="149"/>
  <c r="L87" i="149"/>
  <c r="K87" i="149"/>
  <c r="L86" i="149"/>
  <c r="K86" i="149"/>
  <c r="J86" i="149"/>
  <c r="L85" i="149"/>
  <c r="K85" i="149"/>
  <c r="J85" i="149"/>
  <c r="L84" i="149"/>
  <c r="K84" i="149"/>
  <c r="L83" i="149"/>
  <c r="K83" i="149"/>
  <c r="J83" i="149"/>
  <c r="L82" i="149"/>
  <c r="K82" i="149"/>
  <c r="J82" i="149" s="1"/>
  <c r="L81" i="149"/>
  <c r="K81" i="149"/>
  <c r="J81" i="149" s="1"/>
  <c r="L80" i="149"/>
  <c r="K80" i="149"/>
  <c r="J80" i="149"/>
  <c r="L79" i="149"/>
  <c r="K79" i="149"/>
  <c r="J79" i="149" s="1"/>
  <c r="L78" i="149"/>
  <c r="K78" i="149"/>
  <c r="J78" i="149" s="1"/>
  <c r="L77" i="149"/>
  <c r="K77" i="149"/>
  <c r="J77" i="149" s="1"/>
  <c r="L76" i="149"/>
  <c r="K76" i="149"/>
  <c r="L75" i="149"/>
  <c r="K75" i="149"/>
  <c r="J75" i="149" s="1"/>
  <c r="L74" i="149"/>
  <c r="K74" i="149"/>
  <c r="J74" i="149"/>
  <c r="L73" i="149"/>
  <c r="J73" i="149" s="1"/>
  <c r="K73" i="149"/>
  <c r="L72" i="149"/>
  <c r="K72" i="149"/>
  <c r="J72" i="149" s="1"/>
  <c r="L71" i="149"/>
  <c r="K71" i="149"/>
  <c r="J71" i="149" s="1"/>
  <c r="L70" i="149"/>
  <c r="K70" i="149"/>
  <c r="J70" i="149" s="1"/>
  <c r="L69" i="149"/>
  <c r="K69" i="149"/>
  <c r="J69" i="149" s="1"/>
  <c r="L68" i="149"/>
  <c r="K68" i="149"/>
  <c r="J68" i="149" s="1"/>
  <c r="L67" i="149"/>
  <c r="K67" i="149"/>
  <c r="J67" i="149" s="1"/>
  <c r="L66" i="149"/>
  <c r="K66" i="149"/>
  <c r="J66" i="149" s="1"/>
  <c r="L65" i="149"/>
  <c r="J65" i="149" s="1"/>
  <c r="K65" i="149"/>
  <c r="L64" i="149"/>
  <c r="K64" i="149"/>
  <c r="J64" i="149" s="1"/>
  <c r="L63" i="149"/>
  <c r="K63" i="149"/>
  <c r="J63" i="149" s="1"/>
  <c r="L62" i="149"/>
  <c r="J62" i="149" s="1"/>
  <c r="K62" i="149"/>
  <c r="L61" i="149"/>
  <c r="K61" i="149"/>
  <c r="J61" i="149" s="1"/>
  <c r="L60" i="149"/>
  <c r="K60" i="149"/>
  <c r="L59" i="149"/>
  <c r="K59" i="149"/>
  <c r="J59" i="149" s="1"/>
  <c r="L58" i="149"/>
  <c r="K58" i="149"/>
  <c r="J58" i="149"/>
  <c r="L57" i="149"/>
  <c r="J57" i="149" s="1"/>
  <c r="K57" i="149"/>
  <c r="L56" i="149"/>
  <c r="K56" i="149"/>
  <c r="J56" i="149" s="1"/>
  <c r="L55" i="149"/>
  <c r="K55" i="149"/>
  <c r="J55" i="149" s="1"/>
  <c r="L54" i="149"/>
  <c r="K54" i="149"/>
  <c r="J54" i="149" s="1"/>
  <c r="L53" i="149"/>
  <c r="K53" i="149"/>
  <c r="J53" i="149" s="1"/>
  <c r="L52" i="149"/>
  <c r="K52" i="149"/>
  <c r="J52" i="149" s="1"/>
  <c r="L51" i="149"/>
  <c r="K51" i="149"/>
  <c r="J51" i="149" s="1"/>
  <c r="L50" i="149"/>
  <c r="K50" i="149"/>
  <c r="L49" i="149"/>
  <c r="K49" i="149"/>
  <c r="J49" i="149"/>
  <c r="L48" i="149"/>
  <c r="K48" i="149"/>
  <c r="J48" i="149" s="1"/>
  <c r="L47" i="149"/>
  <c r="K47" i="149"/>
  <c r="L46" i="149"/>
  <c r="K46" i="149"/>
  <c r="J46" i="149"/>
  <c r="L45" i="149"/>
  <c r="K45" i="149"/>
  <c r="L44" i="149"/>
  <c r="K44" i="149"/>
  <c r="J44" i="149" s="1"/>
  <c r="L43" i="149"/>
  <c r="J43" i="149" s="1"/>
  <c r="K43" i="149"/>
  <c r="L42" i="149"/>
  <c r="K42" i="149"/>
  <c r="J42" i="149" s="1"/>
  <c r="L41" i="149"/>
  <c r="K41" i="149"/>
  <c r="L40" i="149"/>
  <c r="K40" i="149"/>
  <c r="L39" i="149"/>
  <c r="K39" i="149"/>
  <c r="J39" i="149" s="1"/>
  <c r="L38" i="149"/>
  <c r="K38" i="149"/>
  <c r="J38" i="149" s="1"/>
  <c r="L37" i="149"/>
  <c r="K37" i="149"/>
  <c r="J37" i="149" s="1"/>
  <c r="L36" i="149"/>
  <c r="K36" i="149"/>
  <c r="J36" i="149" s="1"/>
  <c r="L35" i="149"/>
  <c r="K35" i="149"/>
  <c r="J35" i="149" s="1"/>
  <c r="L34" i="149"/>
  <c r="K34" i="149"/>
  <c r="L33" i="149"/>
  <c r="K33" i="149"/>
  <c r="J33" i="149"/>
  <c r="L32" i="149"/>
  <c r="J32" i="149" s="1"/>
  <c r="K32" i="149"/>
  <c r="L31" i="149"/>
  <c r="K31" i="149"/>
  <c r="L30" i="149"/>
  <c r="K30" i="149"/>
  <c r="J30" i="149"/>
  <c r="L29" i="149"/>
  <c r="K29" i="149"/>
  <c r="L28" i="149"/>
  <c r="K28" i="149"/>
  <c r="J28" i="149" s="1"/>
  <c r="L27" i="149"/>
  <c r="J27" i="149" s="1"/>
  <c r="K27" i="149"/>
  <c r="L26" i="149"/>
  <c r="K26" i="149"/>
  <c r="J26" i="149" s="1"/>
  <c r="L25" i="149"/>
  <c r="K25" i="149"/>
  <c r="L252" i="150"/>
  <c r="J252" i="150" s="1"/>
  <c r="K252" i="150"/>
  <c r="L251" i="150"/>
  <c r="K251" i="150"/>
  <c r="J251" i="150" s="1"/>
  <c r="L250" i="150"/>
  <c r="K250" i="150"/>
  <c r="J250" i="150"/>
  <c r="L249" i="150"/>
  <c r="J249" i="150" s="1"/>
  <c r="K249" i="150"/>
  <c r="L248" i="150"/>
  <c r="K248" i="150"/>
  <c r="J248" i="150" s="1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L242" i="150"/>
  <c r="K242" i="150"/>
  <c r="J242" i="150"/>
  <c r="L241" i="150"/>
  <c r="K241" i="150"/>
  <c r="J241" i="150" s="1"/>
  <c r="L240" i="150"/>
  <c r="J240" i="150" s="1"/>
  <c r="K240" i="150"/>
  <c r="L239" i="150"/>
  <c r="K239" i="150"/>
  <c r="J239" i="150"/>
  <c r="L238" i="150"/>
  <c r="J238" i="150" s="1"/>
  <c r="K238" i="150"/>
  <c r="L237" i="150"/>
  <c r="J237" i="150" s="1"/>
  <c r="K237" i="150"/>
  <c r="L236" i="150"/>
  <c r="K236" i="150"/>
  <c r="J236" i="150"/>
  <c r="L235" i="150"/>
  <c r="K235" i="150"/>
  <c r="L234" i="150"/>
  <c r="K234" i="150"/>
  <c r="J234" i="150" s="1"/>
  <c r="L233" i="150"/>
  <c r="K233" i="150"/>
  <c r="J233" i="150"/>
  <c r="L232" i="150"/>
  <c r="K232" i="150"/>
  <c r="L231" i="150"/>
  <c r="K231" i="150"/>
  <c r="J231" i="150" s="1"/>
  <c r="L230" i="150"/>
  <c r="K230" i="150"/>
  <c r="J230" i="150" s="1"/>
  <c r="L229" i="150"/>
  <c r="K229" i="150"/>
  <c r="J229" i="150" s="1"/>
  <c r="L228" i="150"/>
  <c r="K228" i="150"/>
  <c r="J228" i="150" s="1"/>
  <c r="L227" i="150"/>
  <c r="K227" i="150"/>
  <c r="J227" i="150" s="1"/>
  <c r="L226" i="150"/>
  <c r="K226" i="150"/>
  <c r="J226" i="150" s="1"/>
  <c r="L225" i="150"/>
  <c r="K225" i="150"/>
  <c r="J225" i="150" s="1"/>
  <c r="L224" i="150"/>
  <c r="J224" i="150" s="1"/>
  <c r="K224" i="150"/>
  <c r="L223" i="150"/>
  <c r="K223" i="150"/>
  <c r="L222" i="150"/>
  <c r="J222" i="150" s="1"/>
  <c r="K222" i="150"/>
  <c r="L221" i="150"/>
  <c r="J221" i="150" s="1"/>
  <c r="K221" i="150"/>
  <c r="L220" i="150"/>
  <c r="K220" i="150"/>
  <c r="J220" i="150" s="1"/>
  <c r="L219" i="150"/>
  <c r="K219" i="150"/>
  <c r="L218" i="150"/>
  <c r="K218" i="150"/>
  <c r="J218" i="150" s="1"/>
  <c r="L217" i="150"/>
  <c r="K217" i="150"/>
  <c r="J217" i="150" s="1"/>
  <c r="L216" i="150"/>
  <c r="K216" i="150"/>
  <c r="L215" i="150"/>
  <c r="K215" i="150"/>
  <c r="J215" i="150" s="1"/>
  <c r="L214" i="150"/>
  <c r="K214" i="150"/>
  <c r="J214" i="150" s="1"/>
  <c r="L213" i="150"/>
  <c r="K213" i="150"/>
  <c r="J213" i="150" s="1"/>
  <c r="L212" i="150"/>
  <c r="K212" i="150"/>
  <c r="J212" i="150" s="1"/>
  <c r="L211" i="150"/>
  <c r="K211" i="150"/>
  <c r="J211" i="150" s="1"/>
  <c r="L210" i="150"/>
  <c r="K210" i="150"/>
  <c r="J210" i="150" s="1"/>
  <c r="L209" i="150"/>
  <c r="K209" i="150"/>
  <c r="J209" i="150" s="1"/>
  <c r="L208" i="150"/>
  <c r="K208" i="150"/>
  <c r="L207" i="150"/>
  <c r="K207" i="150"/>
  <c r="L206" i="150"/>
  <c r="J206" i="150" s="1"/>
  <c r="K206" i="150"/>
  <c r="L205" i="150"/>
  <c r="J205" i="150" s="1"/>
  <c r="K205" i="150"/>
  <c r="L204" i="150"/>
  <c r="K204" i="150"/>
  <c r="J204" i="150" s="1"/>
  <c r="L203" i="150"/>
  <c r="K203" i="150"/>
  <c r="L202" i="150"/>
  <c r="K202" i="150"/>
  <c r="J202" i="150" s="1"/>
  <c r="L201" i="150"/>
  <c r="K201" i="150"/>
  <c r="J201" i="150" s="1"/>
  <c r="L200" i="150"/>
  <c r="K200" i="150"/>
  <c r="L199" i="150"/>
  <c r="K199" i="150"/>
  <c r="J199" i="150" s="1"/>
  <c r="L198" i="150"/>
  <c r="K198" i="150"/>
  <c r="J198" i="150" s="1"/>
  <c r="L197" i="150"/>
  <c r="K197" i="150"/>
  <c r="J197" i="150" s="1"/>
  <c r="L196" i="150"/>
  <c r="K196" i="150"/>
  <c r="J196" i="150" s="1"/>
  <c r="L195" i="150"/>
  <c r="K195" i="150"/>
  <c r="J195" i="150" s="1"/>
  <c r="L194" i="150"/>
  <c r="K194" i="150"/>
  <c r="J194" i="150" s="1"/>
  <c r="L193" i="150"/>
  <c r="K193" i="150"/>
  <c r="J193" i="150" s="1"/>
  <c r="L192" i="150"/>
  <c r="K192" i="150"/>
  <c r="L191" i="150"/>
  <c r="K191" i="150"/>
  <c r="L190" i="150"/>
  <c r="J190" i="150" s="1"/>
  <c r="K190" i="150"/>
  <c r="L189" i="150"/>
  <c r="J189" i="150" s="1"/>
  <c r="K189" i="150"/>
  <c r="L188" i="150"/>
  <c r="K188" i="150"/>
  <c r="J188" i="150" s="1"/>
  <c r="L187" i="150"/>
  <c r="K187" i="150"/>
  <c r="L186" i="150"/>
  <c r="K186" i="150"/>
  <c r="J186" i="150" s="1"/>
  <c r="L185" i="150"/>
  <c r="K185" i="150"/>
  <c r="J185" i="150" s="1"/>
  <c r="L184" i="150"/>
  <c r="K184" i="150"/>
  <c r="L183" i="150"/>
  <c r="K183" i="150"/>
  <c r="J183" i="150" s="1"/>
  <c r="L182" i="150"/>
  <c r="K182" i="150"/>
  <c r="J182" i="150" s="1"/>
  <c r="L181" i="150"/>
  <c r="K181" i="150"/>
  <c r="J181" i="150" s="1"/>
  <c r="L180" i="150"/>
  <c r="K180" i="150"/>
  <c r="J180" i="150" s="1"/>
  <c r="L179" i="150"/>
  <c r="K179" i="150"/>
  <c r="J179" i="150" s="1"/>
  <c r="L178" i="150"/>
  <c r="K178" i="150"/>
  <c r="J178" i="150" s="1"/>
  <c r="L177" i="150"/>
  <c r="K177" i="150"/>
  <c r="J177" i="150" s="1"/>
  <c r="L176" i="150"/>
  <c r="K176" i="150"/>
  <c r="L175" i="150"/>
  <c r="K175" i="150"/>
  <c r="L174" i="150"/>
  <c r="K174" i="150"/>
  <c r="J174" i="150" s="1"/>
  <c r="L173" i="150"/>
  <c r="J173" i="150" s="1"/>
  <c r="K173" i="150"/>
  <c r="L172" i="150"/>
  <c r="K172" i="150"/>
  <c r="J172" i="150" s="1"/>
  <c r="L171" i="150"/>
  <c r="K171" i="150"/>
  <c r="L170" i="150"/>
  <c r="K170" i="150"/>
  <c r="J170" i="150" s="1"/>
  <c r="L169" i="150"/>
  <c r="K169" i="150"/>
  <c r="J169" i="150" s="1"/>
  <c r="L168" i="150"/>
  <c r="K168" i="150"/>
  <c r="L167" i="150"/>
  <c r="K167" i="150"/>
  <c r="J167" i="150" s="1"/>
  <c r="L166" i="150"/>
  <c r="K166" i="150"/>
  <c r="J166" i="150" s="1"/>
  <c r="L165" i="150"/>
  <c r="K165" i="150"/>
  <c r="J165" i="150" s="1"/>
  <c r="L164" i="150"/>
  <c r="K164" i="150"/>
  <c r="J164" i="150" s="1"/>
  <c r="L163" i="150"/>
  <c r="K163" i="150"/>
  <c r="J163" i="150" s="1"/>
  <c r="L162" i="150"/>
  <c r="K162" i="150"/>
  <c r="J162" i="150" s="1"/>
  <c r="L161" i="150"/>
  <c r="K161" i="150"/>
  <c r="J161" i="150" s="1"/>
  <c r="L160" i="150"/>
  <c r="K160" i="150"/>
  <c r="L159" i="150"/>
  <c r="K159" i="150"/>
  <c r="L158" i="150"/>
  <c r="K158" i="150"/>
  <c r="J158" i="150"/>
  <c r="L157" i="150"/>
  <c r="J157" i="150" s="1"/>
  <c r="K157" i="150"/>
  <c r="L156" i="150"/>
  <c r="K156" i="150"/>
  <c r="J156" i="150" s="1"/>
  <c r="L155" i="150"/>
  <c r="K155" i="150"/>
  <c r="J155" i="150" s="1"/>
  <c r="L154" i="150"/>
  <c r="K154" i="150"/>
  <c r="J154" i="150" s="1"/>
  <c r="L153" i="150"/>
  <c r="K153" i="150"/>
  <c r="J153" i="150" s="1"/>
  <c r="L152" i="150"/>
  <c r="K152" i="150"/>
  <c r="J152" i="150" s="1"/>
  <c r="L151" i="150"/>
  <c r="K151" i="150"/>
  <c r="J151" i="150" s="1"/>
  <c r="L150" i="150"/>
  <c r="K150" i="150"/>
  <c r="J150" i="150" s="1"/>
  <c r="L149" i="150"/>
  <c r="J149" i="150" s="1"/>
  <c r="K149" i="150"/>
  <c r="L148" i="150"/>
  <c r="K148" i="150"/>
  <c r="J148" i="150" s="1"/>
  <c r="L147" i="150"/>
  <c r="K147" i="150"/>
  <c r="J147" i="150" s="1"/>
  <c r="L146" i="150"/>
  <c r="J146" i="150" s="1"/>
  <c r="K146" i="150"/>
  <c r="L145" i="150"/>
  <c r="K145" i="150"/>
  <c r="J145" i="150" s="1"/>
  <c r="L144" i="150"/>
  <c r="K144" i="150"/>
  <c r="L143" i="150"/>
  <c r="K143" i="150"/>
  <c r="L142" i="150"/>
  <c r="K142" i="150"/>
  <c r="J142" i="150" s="1"/>
  <c r="L141" i="150"/>
  <c r="J141" i="150" s="1"/>
  <c r="K141" i="150"/>
  <c r="L140" i="150"/>
  <c r="K140" i="150"/>
  <c r="J140" i="150" s="1"/>
  <c r="L139" i="150"/>
  <c r="K139" i="150"/>
  <c r="J139" i="150" s="1"/>
  <c r="L138" i="150"/>
  <c r="K138" i="150"/>
  <c r="J138" i="150" s="1"/>
  <c r="L137" i="150"/>
  <c r="K137" i="150"/>
  <c r="J137" i="150" s="1"/>
  <c r="L136" i="150"/>
  <c r="K136" i="150"/>
  <c r="J136" i="150" s="1"/>
  <c r="L135" i="150"/>
  <c r="K135" i="150"/>
  <c r="J135" i="150" s="1"/>
  <c r="L134" i="150"/>
  <c r="K134" i="150"/>
  <c r="J134" i="150" s="1"/>
  <c r="L133" i="150"/>
  <c r="K133" i="150"/>
  <c r="J133" i="150"/>
  <c r="L132" i="150"/>
  <c r="K132" i="150"/>
  <c r="J132" i="150" s="1"/>
  <c r="L131" i="150"/>
  <c r="K131" i="150"/>
  <c r="J131" i="150" s="1"/>
  <c r="L130" i="150"/>
  <c r="K130" i="150"/>
  <c r="J130" i="150" s="1"/>
  <c r="L129" i="150"/>
  <c r="K129" i="150"/>
  <c r="J129" i="150" s="1"/>
  <c r="L128" i="150"/>
  <c r="J128" i="150" s="1"/>
  <c r="K128" i="150"/>
  <c r="L127" i="150"/>
  <c r="K127" i="150"/>
  <c r="L126" i="150"/>
  <c r="K126" i="150"/>
  <c r="J126" i="150" s="1"/>
  <c r="L125" i="150"/>
  <c r="J125" i="150" s="1"/>
  <c r="K125" i="150"/>
  <c r="L124" i="150"/>
  <c r="K124" i="150"/>
  <c r="J124" i="150" s="1"/>
  <c r="L123" i="150"/>
  <c r="K123" i="150"/>
  <c r="L122" i="150"/>
  <c r="K122" i="150"/>
  <c r="J122" i="150" s="1"/>
  <c r="L121" i="150"/>
  <c r="K121" i="150"/>
  <c r="J121" i="150" s="1"/>
  <c r="L120" i="150"/>
  <c r="K120" i="150"/>
  <c r="L119" i="150"/>
  <c r="K119" i="150"/>
  <c r="J119" i="150" s="1"/>
  <c r="L118" i="150"/>
  <c r="K118" i="150"/>
  <c r="J118" i="150" s="1"/>
  <c r="L117" i="150"/>
  <c r="K117" i="150"/>
  <c r="J117" i="150" s="1"/>
  <c r="L116" i="150"/>
  <c r="K116" i="150"/>
  <c r="J116" i="150"/>
  <c r="L115" i="150"/>
  <c r="K115" i="150"/>
  <c r="L114" i="150"/>
  <c r="J114" i="150" s="1"/>
  <c r="K114" i="150"/>
  <c r="L113" i="150"/>
  <c r="K113" i="150"/>
  <c r="L112" i="150"/>
  <c r="K112" i="150"/>
  <c r="L111" i="150"/>
  <c r="K111" i="150"/>
  <c r="J111" i="150" s="1"/>
  <c r="L110" i="150"/>
  <c r="K110" i="150"/>
  <c r="J110" i="150" s="1"/>
  <c r="L109" i="150"/>
  <c r="K109" i="150"/>
  <c r="L108" i="150"/>
  <c r="K108" i="150"/>
  <c r="J108" i="150"/>
  <c r="L107" i="150"/>
  <c r="K107" i="150"/>
  <c r="J107" i="150" s="1"/>
  <c r="L106" i="150"/>
  <c r="J106" i="150" s="1"/>
  <c r="K106" i="150"/>
  <c r="L105" i="150"/>
  <c r="K105" i="150"/>
  <c r="J105" i="150"/>
  <c r="L104" i="150"/>
  <c r="K104" i="150"/>
  <c r="J104" i="150" s="1"/>
  <c r="L103" i="150"/>
  <c r="J103" i="150" s="1"/>
  <c r="K103" i="150"/>
  <c r="L102" i="150"/>
  <c r="K102" i="150"/>
  <c r="L101" i="150"/>
  <c r="J101" i="150" s="1"/>
  <c r="K101" i="150"/>
  <c r="L100" i="150"/>
  <c r="J100" i="150" s="1"/>
  <c r="K100" i="150"/>
  <c r="L99" i="150"/>
  <c r="K99" i="150"/>
  <c r="L98" i="150"/>
  <c r="J98" i="150" s="1"/>
  <c r="K98" i="150"/>
  <c r="L97" i="150"/>
  <c r="K97" i="150"/>
  <c r="L96" i="150"/>
  <c r="K96" i="150"/>
  <c r="L95" i="150"/>
  <c r="K95" i="150"/>
  <c r="J95" i="150" s="1"/>
  <c r="L94" i="150"/>
  <c r="K94" i="150"/>
  <c r="J94" i="150" s="1"/>
  <c r="L93" i="150"/>
  <c r="K93" i="150"/>
  <c r="L92" i="150"/>
  <c r="K92" i="150"/>
  <c r="J92" i="150"/>
  <c r="L91" i="150"/>
  <c r="K91" i="150"/>
  <c r="J91" i="150" s="1"/>
  <c r="L90" i="150"/>
  <c r="J90" i="150" s="1"/>
  <c r="K90" i="150"/>
  <c r="L89" i="150"/>
  <c r="K89" i="150"/>
  <c r="J89" i="150"/>
  <c r="L88" i="150"/>
  <c r="K88" i="150"/>
  <c r="J88" i="150" s="1"/>
  <c r="L87" i="150"/>
  <c r="J87" i="150" s="1"/>
  <c r="K87" i="150"/>
  <c r="L86" i="150"/>
  <c r="K86" i="150"/>
  <c r="L85" i="150"/>
  <c r="J85" i="150" s="1"/>
  <c r="K85" i="150"/>
  <c r="L84" i="150"/>
  <c r="J84" i="150" s="1"/>
  <c r="K84" i="150"/>
  <c r="L83" i="150"/>
  <c r="K83" i="150"/>
  <c r="L82" i="150"/>
  <c r="J82" i="150" s="1"/>
  <c r="K82" i="150"/>
  <c r="L81" i="150"/>
  <c r="K81" i="150"/>
  <c r="L80" i="150"/>
  <c r="K80" i="150"/>
  <c r="L79" i="150"/>
  <c r="K79" i="150"/>
  <c r="J79" i="150" s="1"/>
  <c r="L78" i="150"/>
  <c r="K78" i="150"/>
  <c r="J78" i="150" s="1"/>
  <c r="L77" i="150"/>
  <c r="K77" i="150"/>
  <c r="L76" i="150"/>
  <c r="K76" i="150"/>
  <c r="J76" i="150"/>
  <c r="L75" i="150"/>
  <c r="K75" i="150"/>
  <c r="L74" i="150"/>
  <c r="K74" i="150"/>
  <c r="J74" i="150"/>
  <c r="L73" i="150"/>
  <c r="K73" i="150"/>
  <c r="J73" i="150"/>
  <c r="L72" i="150"/>
  <c r="K72" i="150"/>
  <c r="L71" i="150"/>
  <c r="K71" i="150"/>
  <c r="J71" i="150"/>
  <c r="L70" i="150"/>
  <c r="K70" i="150"/>
  <c r="L69" i="150"/>
  <c r="K69" i="150"/>
  <c r="J69" i="150" s="1"/>
  <c r="L68" i="150"/>
  <c r="K68" i="150"/>
  <c r="J68" i="150"/>
  <c r="L67" i="150"/>
  <c r="K67" i="150"/>
  <c r="J67" i="150" s="1"/>
  <c r="L66" i="150"/>
  <c r="K66" i="150"/>
  <c r="J66" i="150" s="1"/>
  <c r="L65" i="150"/>
  <c r="K65" i="150"/>
  <c r="L64" i="150"/>
  <c r="K64" i="150"/>
  <c r="L63" i="150"/>
  <c r="K63" i="150"/>
  <c r="J63" i="150" s="1"/>
  <c r="L62" i="150"/>
  <c r="K62" i="150"/>
  <c r="J62" i="150" s="1"/>
  <c r="L61" i="150"/>
  <c r="K61" i="150"/>
  <c r="L60" i="150"/>
  <c r="K60" i="150"/>
  <c r="J60" i="150"/>
  <c r="L59" i="150"/>
  <c r="K59" i="150"/>
  <c r="L58" i="150"/>
  <c r="K58" i="150"/>
  <c r="J58" i="150"/>
  <c r="L57" i="150"/>
  <c r="K57" i="150"/>
  <c r="J57" i="150"/>
  <c r="L56" i="150"/>
  <c r="K56" i="150"/>
  <c r="L55" i="150"/>
  <c r="K55" i="150"/>
  <c r="J55" i="150"/>
  <c r="L54" i="150"/>
  <c r="K54" i="150"/>
  <c r="L53" i="150"/>
  <c r="K53" i="150"/>
  <c r="L52" i="150"/>
  <c r="K52" i="150"/>
  <c r="J52" i="150" s="1"/>
  <c r="L51" i="150"/>
  <c r="K51" i="150"/>
  <c r="J51" i="150" s="1"/>
  <c r="L50" i="150"/>
  <c r="K50" i="150"/>
  <c r="J50" i="150" s="1"/>
  <c r="L49" i="150"/>
  <c r="K49" i="150"/>
  <c r="L48" i="150"/>
  <c r="K48" i="150"/>
  <c r="J48" i="150"/>
  <c r="L47" i="150"/>
  <c r="K47" i="150"/>
  <c r="J47" i="150" s="1"/>
  <c r="L46" i="150"/>
  <c r="K46" i="150"/>
  <c r="J46" i="150" s="1"/>
  <c r="L45" i="150"/>
  <c r="K45" i="150"/>
  <c r="L44" i="150"/>
  <c r="K44" i="150"/>
  <c r="J44" i="150"/>
  <c r="L43" i="150"/>
  <c r="K43" i="150"/>
  <c r="J43" i="150" s="1"/>
  <c r="L42" i="150"/>
  <c r="J42" i="150" s="1"/>
  <c r="K42" i="150"/>
  <c r="L41" i="150"/>
  <c r="K41" i="150"/>
  <c r="J41" i="150"/>
  <c r="L40" i="150"/>
  <c r="K40" i="150"/>
  <c r="J40" i="150" s="1"/>
  <c r="L39" i="150"/>
  <c r="J39" i="150" s="1"/>
  <c r="K39" i="150"/>
  <c r="L38" i="150"/>
  <c r="K38" i="150"/>
  <c r="L37" i="150"/>
  <c r="K37" i="150"/>
  <c r="L36" i="150"/>
  <c r="K36" i="150"/>
  <c r="J36" i="150" s="1"/>
  <c r="L35" i="150"/>
  <c r="K35" i="150"/>
  <c r="J35" i="150" s="1"/>
  <c r="L34" i="150"/>
  <c r="K34" i="150"/>
  <c r="J34" i="150" s="1"/>
  <c r="L33" i="150"/>
  <c r="K33" i="150"/>
  <c r="L32" i="150"/>
  <c r="K32" i="150"/>
  <c r="J32" i="150"/>
  <c r="L31" i="150"/>
  <c r="K31" i="150"/>
  <c r="J31" i="150" s="1"/>
  <c r="L30" i="150"/>
  <c r="K30" i="150"/>
  <c r="J30" i="150" s="1"/>
  <c r="L29" i="150"/>
  <c r="K29" i="150"/>
  <c r="L28" i="150"/>
  <c r="K28" i="150"/>
  <c r="J28" i="150"/>
  <c r="L27" i="150"/>
  <c r="K27" i="150"/>
  <c r="J27" i="150" s="1"/>
  <c r="L26" i="150"/>
  <c r="K26" i="150"/>
  <c r="J26" i="150" s="1"/>
  <c r="L25" i="150"/>
  <c r="K25" i="150"/>
  <c r="J25" i="150"/>
  <c r="L252" i="151"/>
  <c r="K252" i="151"/>
  <c r="J252" i="151" s="1"/>
  <c r="L251" i="151"/>
  <c r="K251" i="151"/>
  <c r="J251" i="151"/>
  <c r="L250" i="151"/>
  <c r="K250" i="151"/>
  <c r="L249" i="151"/>
  <c r="K249" i="151"/>
  <c r="L248" i="151"/>
  <c r="K248" i="151"/>
  <c r="J248" i="151"/>
  <c r="L247" i="151"/>
  <c r="K247" i="151"/>
  <c r="L246" i="151"/>
  <c r="K246" i="151"/>
  <c r="J246" i="151" s="1"/>
  <c r="L245" i="151"/>
  <c r="K245" i="151"/>
  <c r="J245" i="151" s="1"/>
  <c r="L244" i="151"/>
  <c r="K244" i="151"/>
  <c r="J244" i="151" s="1"/>
  <c r="L243" i="151"/>
  <c r="K243" i="151"/>
  <c r="J243" i="151" s="1"/>
  <c r="L242" i="151"/>
  <c r="K242" i="151"/>
  <c r="J242" i="151"/>
  <c r="L241" i="151"/>
  <c r="K241" i="151"/>
  <c r="L240" i="151"/>
  <c r="K240" i="151"/>
  <c r="J240" i="151"/>
  <c r="L239" i="151"/>
  <c r="K239" i="151"/>
  <c r="L238" i="151"/>
  <c r="J238" i="151" s="1"/>
  <c r="K238" i="151"/>
  <c r="L237" i="151"/>
  <c r="K237" i="151"/>
  <c r="J237" i="151"/>
  <c r="L236" i="151"/>
  <c r="K236" i="151"/>
  <c r="L235" i="151"/>
  <c r="J235" i="151" s="1"/>
  <c r="K235" i="151"/>
  <c r="L234" i="151"/>
  <c r="K234" i="151"/>
  <c r="L233" i="151"/>
  <c r="K233" i="151"/>
  <c r="L232" i="151"/>
  <c r="K232" i="151"/>
  <c r="J232" i="151" s="1"/>
  <c r="L231" i="151"/>
  <c r="K231" i="151"/>
  <c r="L230" i="151"/>
  <c r="K230" i="151"/>
  <c r="J230" i="151" s="1"/>
  <c r="L229" i="151"/>
  <c r="K229" i="151"/>
  <c r="J229" i="151" s="1"/>
  <c r="L228" i="151"/>
  <c r="K228" i="151"/>
  <c r="J228" i="151" s="1"/>
  <c r="L227" i="151"/>
  <c r="K227" i="151"/>
  <c r="J227" i="151" s="1"/>
  <c r="L226" i="151"/>
  <c r="K226" i="151"/>
  <c r="J226" i="151"/>
  <c r="L225" i="151"/>
  <c r="K225" i="151"/>
  <c r="L224" i="151"/>
  <c r="K224" i="151"/>
  <c r="J224" i="151" s="1"/>
  <c r="L223" i="151"/>
  <c r="K223" i="151"/>
  <c r="J223" i="151" s="1"/>
  <c r="L222" i="151"/>
  <c r="K222" i="151"/>
  <c r="J222" i="151"/>
  <c r="L221" i="151"/>
  <c r="K221" i="151"/>
  <c r="J221" i="151" s="1"/>
  <c r="L220" i="151"/>
  <c r="K220" i="151"/>
  <c r="J220" i="151" s="1"/>
  <c r="L219" i="151"/>
  <c r="K219" i="151"/>
  <c r="J219" i="151"/>
  <c r="L218" i="151"/>
  <c r="K218" i="151"/>
  <c r="L217" i="151"/>
  <c r="K217" i="151"/>
  <c r="L216" i="151"/>
  <c r="J216" i="151" s="1"/>
  <c r="K216" i="151"/>
  <c r="L215" i="151"/>
  <c r="K215" i="151"/>
  <c r="L214" i="151"/>
  <c r="K214" i="151"/>
  <c r="J214" i="151" s="1"/>
  <c r="L213" i="151"/>
  <c r="K213" i="151"/>
  <c r="L212" i="151"/>
  <c r="K212" i="151"/>
  <c r="J212" i="151" s="1"/>
  <c r="L211" i="151"/>
  <c r="K211" i="151"/>
  <c r="L210" i="151"/>
  <c r="K210" i="151"/>
  <c r="J210" i="151" s="1"/>
  <c r="L209" i="151"/>
  <c r="K209" i="151"/>
  <c r="L208" i="151"/>
  <c r="K208" i="151"/>
  <c r="J208" i="151" s="1"/>
  <c r="L207" i="151"/>
  <c r="K207" i="151"/>
  <c r="J207" i="151" s="1"/>
  <c r="L206" i="151"/>
  <c r="K206" i="151"/>
  <c r="J206" i="151"/>
  <c r="L205" i="151"/>
  <c r="K205" i="151"/>
  <c r="J205" i="151" s="1"/>
  <c r="L204" i="151"/>
  <c r="K204" i="151"/>
  <c r="J204" i="151" s="1"/>
  <c r="L203" i="151"/>
  <c r="K203" i="151"/>
  <c r="J203" i="151"/>
  <c r="L202" i="151"/>
  <c r="K202" i="151"/>
  <c r="L201" i="151"/>
  <c r="K201" i="151"/>
  <c r="L200" i="151"/>
  <c r="K200" i="151"/>
  <c r="J200" i="151" s="1"/>
  <c r="L199" i="151"/>
  <c r="K199" i="151"/>
  <c r="L198" i="151"/>
  <c r="K198" i="151"/>
  <c r="J198" i="151" s="1"/>
  <c r="L197" i="151"/>
  <c r="K197" i="151"/>
  <c r="L196" i="151"/>
  <c r="K196" i="151"/>
  <c r="J196" i="151" s="1"/>
  <c r="L195" i="151"/>
  <c r="K195" i="151"/>
  <c r="L194" i="151"/>
  <c r="K194" i="151"/>
  <c r="J194" i="151" s="1"/>
  <c r="L193" i="151"/>
  <c r="K193" i="151"/>
  <c r="L192" i="151"/>
  <c r="K192" i="151"/>
  <c r="J192" i="151" s="1"/>
  <c r="L191" i="151"/>
  <c r="K191" i="151"/>
  <c r="J191" i="151" s="1"/>
  <c r="L190" i="151"/>
  <c r="K190" i="151"/>
  <c r="J190" i="151"/>
  <c r="L189" i="151"/>
  <c r="K189" i="151"/>
  <c r="J189" i="151" s="1"/>
  <c r="L188" i="151"/>
  <c r="K188" i="151"/>
  <c r="J188" i="151" s="1"/>
  <c r="L187" i="151"/>
  <c r="K187" i="151"/>
  <c r="J187" i="151"/>
  <c r="L186" i="151"/>
  <c r="K186" i="151"/>
  <c r="L185" i="151"/>
  <c r="K185" i="151"/>
  <c r="L184" i="151"/>
  <c r="K184" i="151"/>
  <c r="J184" i="151" s="1"/>
  <c r="L183" i="151"/>
  <c r="K183" i="151"/>
  <c r="L182" i="151"/>
  <c r="K182" i="151"/>
  <c r="J182" i="151" s="1"/>
  <c r="L181" i="151"/>
  <c r="K181" i="151"/>
  <c r="L180" i="151"/>
  <c r="K180" i="151"/>
  <c r="J180" i="151" s="1"/>
  <c r="L179" i="151"/>
  <c r="K179" i="151"/>
  <c r="L178" i="151"/>
  <c r="K178" i="151"/>
  <c r="J178" i="151" s="1"/>
  <c r="L177" i="151"/>
  <c r="K177" i="151"/>
  <c r="L176" i="151"/>
  <c r="K176" i="151"/>
  <c r="J176" i="151" s="1"/>
  <c r="L175" i="151"/>
  <c r="K175" i="151"/>
  <c r="J175" i="151" s="1"/>
  <c r="L174" i="151"/>
  <c r="K174" i="151"/>
  <c r="J174" i="151"/>
  <c r="L173" i="151"/>
  <c r="K173" i="151"/>
  <c r="J173" i="151" s="1"/>
  <c r="L172" i="151"/>
  <c r="K172" i="151"/>
  <c r="J172" i="151" s="1"/>
  <c r="L171" i="151"/>
  <c r="K171" i="151"/>
  <c r="J171" i="151"/>
  <c r="L170" i="151"/>
  <c r="K170" i="151"/>
  <c r="L169" i="151"/>
  <c r="K169" i="151"/>
  <c r="L168" i="151"/>
  <c r="K168" i="151"/>
  <c r="J168" i="151" s="1"/>
  <c r="L167" i="151"/>
  <c r="K167" i="151"/>
  <c r="L166" i="151"/>
  <c r="K166" i="151"/>
  <c r="J166" i="151" s="1"/>
  <c r="L165" i="151"/>
  <c r="K165" i="151"/>
  <c r="L164" i="151"/>
  <c r="K164" i="151"/>
  <c r="J164" i="151" s="1"/>
  <c r="L163" i="151"/>
  <c r="K163" i="151"/>
  <c r="L162" i="151"/>
  <c r="K162" i="151"/>
  <c r="J162" i="151" s="1"/>
  <c r="L161" i="151"/>
  <c r="K161" i="151"/>
  <c r="L160" i="151"/>
  <c r="K160" i="151"/>
  <c r="J160" i="151" s="1"/>
  <c r="L159" i="151"/>
  <c r="K159" i="151"/>
  <c r="J159" i="151" s="1"/>
  <c r="L158" i="151"/>
  <c r="K158" i="151"/>
  <c r="J158" i="151"/>
  <c r="L157" i="151"/>
  <c r="K157" i="151"/>
  <c r="J157" i="151" s="1"/>
  <c r="L156" i="151"/>
  <c r="K156" i="151"/>
  <c r="J156" i="151" s="1"/>
  <c r="L155" i="151"/>
  <c r="K155" i="151"/>
  <c r="J155" i="151"/>
  <c r="L154" i="151"/>
  <c r="K154" i="151"/>
  <c r="L153" i="151"/>
  <c r="K153" i="151"/>
  <c r="L152" i="151"/>
  <c r="K152" i="151"/>
  <c r="J152" i="151" s="1"/>
  <c r="L151" i="151"/>
  <c r="K151" i="151"/>
  <c r="L150" i="151"/>
  <c r="K150" i="151"/>
  <c r="J150" i="151" s="1"/>
  <c r="L149" i="151"/>
  <c r="K149" i="151"/>
  <c r="L148" i="151"/>
  <c r="K148" i="151"/>
  <c r="J148" i="151" s="1"/>
  <c r="L147" i="151"/>
  <c r="K147" i="151"/>
  <c r="L146" i="151"/>
  <c r="K146" i="151"/>
  <c r="J146" i="151" s="1"/>
  <c r="L145" i="151"/>
  <c r="K145" i="151"/>
  <c r="L144" i="151"/>
  <c r="K144" i="151"/>
  <c r="J144" i="151" s="1"/>
  <c r="L143" i="151"/>
  <c r="K143" i="151"/>
  <c r="J143" i="151" s="1"/>
  <c r="L142" i="151"/>
  <c r="K142" i="151"/>
  <c r="J142" i="151"/>
  <c r="L141" i="151"/>
  <c r="K141" i="151"/>
  <c r="J141" i="151" s="1"/>
  <c r="L140" i="151"/>
  <c r="K140" i="151"/>
  <c r="J140" i="151" s="1"/>
  <c r="L139" i="151"/>
  <c r="K139" i="151"/>
  <c r="J139" i="151"/>
  <c r="L138" i="151"/>
  <c r="K138" i="151"/>
  <c r="L137" i="151"/>
  <c r="K137" i="151"/>
  <c r="L136" i="151"/>
  <c r="J136" i="151" s="1"/>
  <c r="K136" i="151"/>
  <c r="L135" i="151"/>
  <c r="K135" i="151"/>
  <c r="L134" i="151"/>
  <c r="K134" i="151"/>
  <c r="J134" i="151" s="1"/>
  <c r="L133" i="151"/>
  <c r="K133" i="151"/>
  <c r="L132" i="151"/>
  <c r="K132" i="151"/>
  <c r="J132" i="151" s="1"/>
  <c r="L131" i="151"/>
  <c r="K131" i="151"/>
  <c r="L130" i="151"/>
  <c r="K130" i="151"/>
  <c r="J130" i="151" s="1"/>
  <c r="L129" i="151"/>
  <c r="K129" i="151"/>
  <c r="L128" i="151"/>
  <c r="K128" i="151"/>
  <c r="J128" i="151"/>
  <c r="L127" i="151"/>
  <c r="K127" i="151"/>
  <c r="J127" i="151" s="1"/>
  <c r="L126" i="151"/>
  <c r="K126" i="151"/>
  <c r="J126" i="151" s="1"/>
  <c r="L125" i="151"/>
  <c r="K125" i="151"/>
  <c r="J125" i="151"/>
  <c r="L124" i="151"/>
  <c r="K124" i="151"/>
  <c r="J124" i="151" s="1"/>
  <c r="L123" i="151"/>
  <c r="J123" i="151" s="1"/>
  <c r="K123" i="151"/>
  <c r="L122" i="151"/>
  <c r="K122" i="151"/>
  <c r="L121" i="151"/>
  <c r="K121" i="151"/>
  <c r="L120" i="151"/>
  <c r="K120" i="151"/>
  <c r="J120" i="151" s="1"/>
  <c r="L119" i="151"/>
  <c r="K119" i="151"/>
  <c r="J119" i="151" s="1"/>
  <c r="L118" i="151"/>
  <c r="K118" i="151"/>
  <c r="J118" i="151" s="1"/>
  <c r="L117" i="151"/>
  <c r="K117" i="151"/>
  <c r="J117" i="151" s="1"/>
  <c r="L116" i="151"/>
  <c r="K116" i="151"/>
  <c r="J116" i="151"/>
  <c r="L115" i="151"/>
  <c r="K115" i="151"/>
  <c r="J115" i="151" s="1"/>
  <c r="L114" i="151"/>
  <c r="K114" i="151"/>
  <c r="J114" i="151"/>
  <c r="L113" i="151"/>
  <c r="J113" i="151" s="1"/>
  <c r="K113" i="151"/>
  <c r="L112" i="151"/>
  <c r="J112" i="151" s="1"/>
  <c r="K112" i="151"/>
  <c r="L111" i="151"/>
  <c r="K111" i="151"/>
  <c r="L110" i="151"/>
  <c r="J110" i="151" s="1"/>
  <c r="K110" i="151"/>
  <c r="L109" i="151"/>
  <c r="J109" i="151" s="1"/>
  <c r="K109" i="151"/>
  <c r="L108" i="151"/>
  <c r="K108" i="151"/>
  <c r="L107" i="151"/>
  <c r="J107" i="151" s="1"/>
  <c r="K107" i="151"/>
  <c r="L106" i="151"/>
  <c r="K106" i="151"/>
  <c r="L105" i="151"/>
  <c r="K105" i="151"/>
  <c r="L104" i="151"/>
  <c r="K104" i="151"/>
  <c r="J104" i="151" s="1"/>
  <c r="L103" i="151"/>
  <c r="K103" i="151"/>
  <c r="J103" i="151" s="1"/>
  <c r="L102" i="151"/>
  <c r="K102" i="151"/>
  <c r="J102" i="151" s="1"/>
  <c r="L101" i="151"/>
  <c r="K101" i="151"/>
  <c r="J101" i="151" s="1"/>
  <c r="L100" i="151"/>
  <c r="K100" i="151"/>
  <c r="J100" i="151"/>
  <c r="L99" i="151"/>
  <c r="K99" i="151"/>
  <c r="J99" i="151" s="1"/>
  <c r="L98" i="151"/>
  <c r="K98" i="151"/>
  <c r="J98" i="151"/>
  <c r="L97" i="151"/>
  <c r="K97" i="151"/>
  <c r="L96" i="151"/>
  <c r="K96" i="151"/>
  <c r="J96" i="151"/>
  <c r="L95" i="151"/>
  <c r="K95" i="151"/>
  <c r="L94" i="151"/>
  <c r="J94" i="151" s="1"/>
  <c r="K94" i="151"/>
  <c r="L93" i="151"/>
  <c r="K93" i="151"/>
  <c r="J93" i="151"/>
  <c r="L92" i="151"/>
  <c r="K92" i="151"/>
  <c r="L91" i="151"/>
  <c r="J91" i="151" s="1"/>
  <c r="K91" i="151"/>
  <c r="L90" i="151"/>
  <c r="K90" i="151"/>
  <c r="L89" i="151"/>
  <c r="K89" i="151"/>
  <c r="L88" i="151"/>
  <c r="K88" i="151"/>
  <c r="J88" i="151" s="1"/>
  <c r="L87" i="151"/>
  <c r="K87" i="151"/>
  <c r="J87" i="151" s="1"/>
  <c r="L86" i="151"/>
  <c r="K86" i="151"/>
  <c r="J86" i="151" s="1"/>
  <c r="L85" i="151"/>
  <c r="K85" i="151"/>
  <c r="J85" i="151" s="1"/>
  <c r="L84" i="151"/>
  <c r="K84" i="151"/>
  <c r="J84" i="151"/>
  <c r="L83" i="151"/>
  <c r="K83" i="151"/>
  <c r="J83" i="151" s="1"/>
  <c r="L82" i="151"/>
  <c r="K82" i="151"/>
  <c r="J82" i="151"/>
  <c r="L81" i="151"/>
  <c r="K81" i="151"/>
  <c r="L80" i="151"/>
  <c r="K80" i="151"/>
  <c r="J80" i="151"/>
  <c r="L79" i="151"/>
  <c r="K79" i="151"/>
  <c r="L78" i="151"/>
  <c r="J78" i="151" s="1"/>
  <c r="K78" i="151"/>
  <c r="L77" i="151"/>
  <c r="K77" i="151"/>
  <c r="J77" i="151"/>
  <c r="L76" i="151"/>
  <c r="K76" i="151"/>
  <c r="L75" i="151"/>
  <c r="J75" i="151" s="1"/>
  <c r="K75" i="151"/>
  <c r="L74" i="151"/>
  <c r="K74" i="151"/>
  <c r="L73" i="151"/>
  <c r="K73" i="151"/>
  <c r="L72" i="151"/>
  <c r="K72" i="151"/>
  <c r="J72" i="151" s="1"/>
  <c r="L71" i="151"/>
  <c r="K71" i="151"/>
  <c r="J71" i="151" s="1"/>
  <c r="L70" i="151"/>
  <c r="K70" i="151"/>
  <c r="J70" i="151" s="1"/>
  <c r="L69" i="151"/>
  <c r="K69" i="151"/>
  <c r="J69" i="151" s="1"/>
  <c r="L68" i="151"/>
  <c r="K68" i="151"/>
  <c r="J68" i="151"/>
  <c r="L67" i="151"/>
  <c r="K67" i="151"/>
  <c r="J67" i="151" s="1"/>
  <c r="L66" i="151"/>
  <c r="K66" i="151"/>
  <c r="J66" i="151"/>
  <c r="L65" i="151"/>
  <c r="K65" i="151"/>
  <c r="L64" i="151"/>
  <c r="K64" i="151"/>
  <c r="J64" i="151"/>
  <c r="L63" i="151"/>
  <c r="K63" i="151"/>
  <c r="L62" i="151"/>
  <c r="J62" i="151" s="1"/>
  <c r="K62" i="151"/>
  <c r="L61" i="151"/>
  <c r="K61" i="151"/>
  <c r="J61" i="151"/>
  <c r="L60" i="151"/>
  <c r="K60" i="151"/>
  <c r="L59" i="151"/>
  <c r="J59" i="151" s="1"/>
  <c r="K59" i="151"/>
  <c r="L58" i="151"/>
  <c r="K58" i="151"/>
  <c r="L57" i="151"/>
  <c r="K57" i="151"/>
  <c r="L56" i="151"/>
  <c r="K56" i="151"/>
  <c r="J56" i="151" s="1"/>
  <c r="L55" i="151"/>
  <c r="K55" i="151"/>
  <c r="J55" i="151" s="1"/>
  <c r="L54" i="151"/>
  <c r="K54" i="151"/>
  <c r="J54" i="151" s="1"/>
  <c r="L53" i="151"/>
  <c r="K53" i="151"/>
  <c r="J53" i="151" s="1"/>
  <c r="L52" i="151"/>
  <c r="K52" i="151"/>
  <c r="J52" i="151"/>
  <c r="L51" i="151"/>
  <c r="K51" i="151"/>
  <c r="J51" i="151" s="1"/>
  <c r="L50" i="151"/>
  <c r="K50" i="151"/>
  <c r="J50" i="151"/>
  <c r="L49" i="151"/>
  <c r="K49" i="151"/>
  <c r="L48" i="151"/>
  <c r="K48" i="151"/>
  <c r="J48" i="151"/>
  <c r="L47" i="151"/>
  <c r="K47" i="151"/>
  <c r="L46" i="151"/>
  <c r="J46" i="151" s="1"/>
  <c r="K46" i="151"/>
  <c r="L45" i="151"/>
  <c r="K45" i="151"/>
  <c r="J45" i="151"/>
  <c r="L44" i="151"/>
  <c r="K44" i="151"/>
  <c r="L43" i="151"/>
  <c r="J43" i="151" s="1"/>
  <c r="K43" i="151"/>
  <c r="L42" i="151"/>
  <c r="K42" i="151"/>
  <c r="L41" i="151"/>
  <c r="K41" i="151"/>
  <c r="L40" i="151"/>
  <c r="K40" i="151"/>
  <c r="J40" i="151" s="1"/>
  <c r="L39" i="151"/>
  <c r="K39" i="151"/>
  <c r="J39" i="151" s="1"/>
  <c r="L38" i="151"/>
  <c r="K38" i="151"/>
  <c r="J38" i="151" s="1"/>
  <c r="L37" i="151"/>
  <c r="K37" i="151"/>
  <c r="J37" i="151" s="1"/>
  <c r="L36" i="151"/>
  <c r="K36" i="151"/>
  <c r="J36" i="151"/>
  <c r="L35" i="151"/>
  <c r="K35" i="151"/>
  <c r="J35" i="151" s="1"/>
  <c r="L34" i="151"/>
  <c r="K34" i="151"/>
  <c r="J34" i="151"/>
  <c r="L33" i="151"/>
  <c r="K33" i="151"/>
  <c r="L32" i="151"/>
  <c r="K32" i="151"/>
  <c r="J32" i="151" s="1"/>
  <c r="L31" i="151"/>
  <c r="K31" i="151"/>
  <c r="L30" i="151"/>
  <c r="J30" i="151" s="1"/>
  <c r="K30" i="151"/>
  <c r="L29" i="151"/>
  <c r="K29" i="151"/>
  <c r="J29" i="151"/>
  <c r="L28" i="151"/>
  <c r="K28" i="151"/>
  <c r="L27" i="151"/>
  <c r="K27" i="151"/>
  <c r="J27" i="151"/>
  <c r="L26" i="151"/>
  <c r="K26" i="151"/>
  <c r="L25" i="151"/>
  <c r="K25" i="151"/>
  <c r="J25" i="151" s="1"/>
  <c r="L252" i="152"/>
  <c r="J252" i="152" s="1"/>
  <c r="K252" i="152"/>
  <c r="L251" i="152"/>
  <c r="K251" i="152"/>
  <c r="L250" i="152"/>
  <c r="K250" i="152"/>
  <c r="J250" i="152" s="1"/>
  <c r="L249" i="152"/>
  <c r="K249" i="152"/>
  <c r="L248" i="152"/>
  <c r="K248" i="152"/>
  <c r="J248" i="152" s="1"/>
  <c r="L247" i="152"/>
  <c r="K247" i="152"/>
  <c r="L246" i="152"/>
  <c r="K246" i="152"/>
  <c r="J246" i="152" s="1"/>
  <c r="L245" i="152"/>
  <c r="K245" i="152"/>
  <c r="L244" i="152"/>
  <c r="K244" i="152"/>
  <c r="J244" i="152" s="1"/>
  <c r="L243" i="152"/>
  <c r="K243" i="152"/>
  <c r="L242" i="152"/>
  <c r="K242" i="152"/>
  <c r="J242" i="152" s="1"/>
  <c r="L241" i="152"/>
  <c r="K241" i="152"/>
  <c r="J241" i="152"/>
  <c r="L240" i="152"/>
  <c r="K240" i="152"/>
  <c r="J240" i="152" s="1"/>
  <c r="L239" i="152"/>
  <c r="K239" i="152"/>
  <c r="J239" i="152" s="1"/>
  <c r="L238" i="152"/>
  <c r="K238" i="152"/>
  <c r="L237" i="152"/>
  <c r="K237" i="152"/>
  <c r="L236" i="152"/>
  <c r="J236" i="152" s="1"/>
  <c r="K236" i="152"/>
  <c r="L235" i="152"/>
  <c r="K235" i="152"/>
  <c r="L234" i="152"/>
  <c r="K234" i="152"/>
  <c r="J234" i="152" s="1"/>
  <c r="L233" i="152"/>
  <c r="K233" i="152"/>
  <c r="J233" i="152" s="1"/>
  <c r="L232" i="152"/>
  <c r="K232" i="152"/>
  <c r="J232" i="152" s="1"/>
  <c r="L231" i="152"/>
  <c r="K231" i="152"/>
  <c r="L230" i="152"/>
  <c r="K230" i="152"/>
  <c r="J230" i="152"/>
  <c r="L229" i="152"/>
  <c r="K229" i="152"/>
  <c r="L228" i="152"/>
  <c r="K228" i="152"/>
  <c r="J228" i="152" s="1"/>
  <c r="L227" i="152"/>
  <c r="K227" i="152"/>
  <c r="L226" i="152"/>
  <c r="J226" i="152" s="1"/>
  <c r="K226" i="152"/>
  <c r="L225" i="152"/>
  <c r="K225" i="152"/>
  <c r="J225" i="152" s="1"/>
  <c r="L224" i="152"/>
  <c r="K224" i="152"/>
  <c r="L223" i="152"/>
  <c r="J223" i="152" s="1"/>
  <c r="K223" i="152"/>
  <c r="L222" i="152"/>
  <c r="K222" i="152"/>
  <c r="J222" i="152" s="1"/>
  <c r="L221" i="152"/>
  <c r="K221" i="152"/>
  <c r="L220" i="152"/>
  <c r="K220" i="152"/>
  <c r="L219" i="152"/>
  <c r="K219" i="152"/>
  <c r="J219" i="152" s="1"/>
  <c r="L218" i="152"/>
  <c r="K218" i="152"/>
  <c r="J218" i="152" s="1"/>
  <c r="L217" i="152"/>
  <c r="K217" i="152"/>
  <c r="L216" i="152"/>
  <c r="J216" i="152" s="1"/>
  <c r="K216" i="152"/>
  <c r="L215" i="152"/>
  <c r="K215" i="152"/>
  <c r="J215" i="152" s="1"/>
  <c r="L214" i="152"/>
  <c r="K214" i="152"/>
  <c r="J214" i="152" s="1"/>
  <c r="L213" i="152"/>
  <c r="J213" i="152" s="1"/>
  <c r="K213" i="152"/>
  <c r="L212" i="152"/>
  <c r="K212" i="152"/>
  <c r="J212" i="152"/>
  <c r="L211" i="152"/>
  <c r="K211" i="152"/>
  <c r="L210" i="152"/>
  <c r="K210" i="152"/>
  <c r="J210" i="152" s="1"/>
  <c r="L209" i="152"/>
  <c r="K209" i="152"/>
  <c r="J209" i="152"/>
  <c r="L208" i="152"/>
  <c r="K208" i="152"/>
  <c r="L207" i="152"/>
  <c r="K207" i="152"/>
  <c r="J207" i="152" s="1"/>
  <c r="L206" i="152"/>
  <c r="K206" i="152"/>
  <c r="L205" i="152"/>
  <c r="K205" i="152"/>
  <c r="J205" i="152" s="1"/>
  <c r="L204" i="152"/>
  <c r="J204" i="152" s="1"/>
  <c r="K204" i="152"/>
  <c r="L203" i="152"/>
  <c r="K203" i="152"/>
  <c r="L202" i="152"/>
  <c r="K202" i="152"/>
  <c r="J202" i="152" s="1"/>
  <c r="L201" i="152"/>
  <c r="K201" i="152"/>
  <c r="L200" i="152"/>
  <c r="K200" i="152"/>
  <c r="J200" i="152" s="1"/>
  <c r="L199" i="152"/>
  <c r="K199" i="152"/>
  <c r="L198" i="152"/>
  <c r="K198" i="152"/>
  <c r="J198" i="152" s="1"/>
  <c r="L197" i="152"/>
  <c r="K197" i="152"/>
  <c r="L196" i="152"/>
  <c r="K196" i="152"/>
  <c r="J196" i="152" s="1"/>
  <c r="L195" i="152"/>
  <c r="K195" i="152"/>
  <c r="J195" i="152" s="1"/>
  <c r="L194" i="152"/>
  <c r="J194" i="152" s="1"/>
  <c r="K194" i="152"/>
  <c r="L193" i="152"/>
  <c r="K193" i="152"/>
  <c r="J193" i="152" s="1"/>
  <c r="L192" i="152"/>
  <c r="K192" i="152"/>
  <c r="L191" i="152"/>
  <c r="K191" i="152"/>
  <c r="J191" i="152" s="1"/>
  <c r="L190" i="152"/>
  <c r="K190" i="152"/>
  <c r="L189" i="152"/>
  <c r="K189" i="152"/>
  <c r="L188" i="152"/>
  <c r="K188" i="152"/>
  <c r="L187" i="152"/>
  <c r="K187" i="152"/>
  <c r="L186" i="152"/>
  <c r="J186" i="152" s="1"/>
  <c r="K186" i="152"/>
  <c r="L185" i="152"/>
  <c r="K185" i="152"/>
  <c r="L184" i="152"/>
  <c r="K184" i="152"/>
  <c r="J184" i="152" s="1"/>
  <c r="L183" i="152"/>
  <c r="K183" i="152"/>
  <c r="L182" i="152"/>
  <c r="K182" i="152"/>
  <c r="J182" i="152" s="1"/>
  <c r="L181" i="152"/>
  <c r="J181" i="152" s="1"/>
  <c r="K181" i="152"/>
  <c r="L180" i="152"/>
  <c r="K180" i="152"/>
  <c r="J180" i="152" s="1"/>
  <c r="L179" i="152"/>
  <c r="K179" i="152"/>
  <c r="L178" i="152"/>
  <c r="K178" i="152"/>
  <c r="J178" i="152"/>
  <c r="L177" i="152"/>
  <c r="J177" i="152" s="1"/>
  <c r="K177" i="152"/>
  <c r="L176" i="152"/>
  <c r="K176" i="152"/>
  <c r="J176" i="152" s="1"/>
  <c r="L175" i="152"/>
  <c r="K175" i="152"/>
  <c r="J175" i="152"/>
  <c r="L174" i="152"/>
  <c r="K174" i="152"/>
  <c r="L173" i="152"/>
  <c r="K173" i="152"/>
  <c r="L172" i="152"/>
  <c r="J172" i="152" s="1"/>
  <c r="K172" i="152"/>
  <c r="L171" i="152"/>
  <c r="K171" i="152"/>
  <c r="J171" i="152" s="1"/>
  <c r="L170" i="152"/>
  <c r="J170" i="152" s="1"/>
  <c r="K170" i="152"/>
  <c r="L169" i="152"/>
  <c r="K169" i="152"/>
  <c r="J169" i="152" s="1"/>
  <c r="L168" i="152"/>
  <c r="K168" i="152"/>
  <c r="J168" i="152"/>
  <c r="L167" i="152"/>
  <c r="K167" i="152"/>
  <c r="L166" i="152"/>
  <c r="J166" i="152" s="1"/>
  <c r="K166" i="152"/>
  <c r="L165" i="152"/>
  <c r="J165" i="152" s="1"/>
  <c r="K165" i="152"/>
  <c r="L164" i="152"/>
  <c r="K164" i="152"/>
  <c r="J164" i="152" s="1"/>
  <c r="L163" i="152"/>
  <c r="K163" i="152"/>
  <c r="L162" i="152"/>
  <c r="J162" i="152" s="1"/>
  <c r="K162" i="152"/>
  <c r="L161" i="152"/>
  <c r="K161" i="152"/>
  <c r="J161" i="152" s="1"/>
  <c r="L160" i="152"/>
  <c r="K160" i="152"/>
  <c r="L159" i="152"/>
  <c r="K159" i="152"/>
  <c r="J159" i="152"/>
  <c r="L158" i="152"/>
  <c r="K158" i="152"/>
  <c r="L157" i="152"/>
  <c r="K157" i="152"/>
  <c r="J157" i="152" s="1"/>
  <c r="L156" i="152"/>
  <c r="K156" i="152"/>
  <c r="L155" i="152"/>
  <c r="K155" i="152"/>
  <c r="J155" i="152" s="1"/>
  <c r="L154" i="152"/>
  <c r="K154" i="152"/>
  <c r="J154" i="152"/>
  <c r="L153" i="152"/>
  <c r="K153" i="152"/>
  <c r="L152" i="152"/>
  <c r="K152" i="152"/>
  <c r="J152" i="152"/>
  <c r="L151" i="152"/>
  <c r="K151" i="152"/>
  <c r="J151" i="152" s="1"/>
  <c r="L150" i="152"/>
  <c r="K150" i="152"/>
  <c r="J150" i="152" s="1"/>
  <c r="L149" i="152"/>
  <c r="J149" i="152" s="1"/>
  <c r="K149" i="152"/>
  <c r="L148" i="152"/>
  <c r="K148" i="152"/>
  <c r="L147" i="152"/>
  <c r="K147" i="152"/>
  <c r="J147" i="152" s="1"/>
  <c r="L146" i="152"/>
  <c r="K146" i="152"/>
  <c r="J146" i="152"/>
  <c r="L145" i="152"/>
  <c r="K145" i="152"/>
  <c r="J145" i="152" s="1"/>
  <c r="L144" i="152"/>
  <c r="K144" i="152"/>
  <c r="J144" i="152" s="1"/>
  <c r="L143" i="152"/>
  <c r="K143" i="152"/>
  <c r="J143" i="152"/>
  <c r="L142" i="152"/>
  <c r="K142" i="152"/>
  <c r="J142" i="152" s="1"/>
  <c r="L141" i="152"/>
  <c r="K141" i="152"/>
  <c r="J141" i="152" s="1"/>
  <c r="L140" i="152"/>
  <c r="J140" i="152" s="1"/>
  <c r="K140" i="152"/>
  <c r="L139" i="152"/>
  <c r="K139" i="152"/>
  <c r="J139" i="152" s="1"/>
  <c r="L138" i="152"/>
  <c r="K138" i="152"/>
  <c r="J138" i="152" s="1"/>
  <c r="L137" i="152"/>
  <c r="K137" i="152"/>
  <c r="J137" i="152" s="1"/>
  <c r="L136" i="152"/>
  <c r="K136" i="152"/>
  <c r="J136" i="152"/>
  <c r="L135" i="152"/>
  <c r="K135" i="152"/>
  <c r="J135" i="152" s="1"/>
  <c r="L134" i="152"/>
  <c r="K134" i="152"/>
  <c r="J134" i="152"/>
  <c r="L133" i="152"/>
  <c r="J133" i="152" s="1"/>
  <c r="K133" i="152"/>
  <c r="L132" i="152"/>
  <c r="K132" i="152"/>
  <c r="J132" i="152"/>
  <c r="L131" i="152"/>
  <c r="K131" i="152"/>
  <c r="J131" i="152" s="1"/>
  <c r="L130" i="152"/>
  <c r="J130" i="152" s="1"/>
  <c r="K130" i="152"/>
  <c r="L129" i="152"/>
  <c r="K129" i="152"/>
  <c r="J129" i="152" s="1"/>
  <c r="L128" i="152"/>
  <c r="K128" i="152"/>
  <c r="L127" i="152"/>
  <c r="K127" i="152"/>
  <c r="J127" i="152" s="1"/>
  <c r="L126" i="152"/>
  <c r="K126" i="152"/>
  <c r="J126" i="152" s="1"/>
  <c r="L125" i="152"/>
  <c r="K125" i="152"/>
  <c r="J125" i="152" s="1"/>
  <c r="L124" i="152"/>
  <c r="K124" i="152"/>
  <c r="L123" i="152"/>
  <c r="K123" i="152"/>
  <c r="L122" i="152"/>
  <c r="K122" i="152"/>
  <c r="J122" i="152" s="1"/>
  <c r="L121" i="152"/>
  <c r="K121" i="152"/>
  <c r="L120" i="152"/>
  <c r="K120" i="152"/>
  <c r="J120" i="152" s="1"/>
  <c r="L119" i="152"/>
  <c r="K119" i="152"/>
  <c r="J119" i="152" s="1"/>
  <c r="L118" i="152"/>
  <c r="K118" i="152"/>
  <c r="J118" i="152" s="1"/>
  <c r="L117" i="152"/>
  <c r="K117" i="152"/>
  <c r="L116" i="152"/>
  <c r="K116" i="152"/>
  <c r="J116" i="152"/>
  <c r="L115" i="152"/>
  <c r="K115" i="152"/>
  <c r="J115" i="152" s="1"/>
  <c r="L114" i="152"/>
  <c r="K114" i="152"/>
  <c r="L113" i="152"/>
  <c r="K113" i="152"/>
  <c r="J113" i="152" s="1"/>
  <c r="L112" i="152"/>
  <c r="K112" i="152"/>
  <c r="L111" i="152"/>
  <c r="J111" i="152" s="1"/>
  <c r="K111" i="152"/>
  <c r="L110" i="152"/>
  <c r="K110" i="152"/>
  <c r="L109" i="152"/>
  <c r="K109" i="152"/>
  <c r="J109" i="152" s="1"/>
  <c r="L108" i="152"/>
  <c r="K108" i="152"/>
  <c r="L107" i="152"/>
  <c r="K107" i="152"/>
  <c r="J107" i="152" s="1"/>
  <c r="L106" i="152"/>
  <c r="K106" i="152"/>
  <c r="J106" i="152" s="1"/>
  <c r="L105" i="152"/>
  <c r="K105" i="152"/>
  <c r="L104" i="152"/>
  <c r="J104" i="152" s="1"/>
  <c r="K104" i="152"/>
  <c r="L103" i="152"/>
  <c r="K103" i="152"/>
  <c r="J103" i="152" s="1"/>
  <c r="L102" i="152"/>
  <c r="K102" i="152"/>
  <c r="J102" i="152" s="1"/>
  <c r="L101" i="152"/>
  <c r="J101" i="152" s="1"/>
  <c r="K101" i="152"/>
  <c r="L100" i="152"/>
  <c r="K100" i="152"/>
  <c r="J100" i="152" s="1"/>
  <c r="L99" i="152"/>
  <c r="K99" i="152"/>
  <c r="L98" i="152"/>
  <c r="K98" i="152"/>
  <c r="J98" i="152"/>
  <c r="L97" i="152"/>
  <c r="K97" i="152"/>
  <c r="J97" i="152"/>
  <c r="L96" i="152"/>
  <c r="K96" i="152"/>
  <c r="L95" i="152"/>
  <c r="K95" i="152"/>
  <c r="J95" i="152"/>
  <c r="L94" i="152"/>
  <c r="K94" i="152"/>
  <c r="J94" i="152" s="1"/>
  <c r="L93" i="152"/>
  <c r="K93" i="152"/>
  <c r="J93" i="152" s="1"/>
  <c r="L92" i="152"/>
  <c r="K92" i="152"/>
  <c r="L91" i="152"/>
  <c r="K91" i="152"/>
  <c r="J91" i="152" s="1"/>
  <c r="L90" i="152"/>
  <c r="K90" i="152"/>
  <c r="J90" i="152"/>
  <c r="L89" i="152"/>
  <c r="K89" i="152"/>
  <c r="L88" i="152"/>
  <c r="K88" i="152"/>
  <c r="J88" i="152"/>
  <c r="L87" i="152"/>
  <c r="K87" i="152"/>
  <c r="J87" i="152" s="1"/>
  <c r="L86" i="152"/>
  <c r="K86" i="152"/>
  <c r="J86" i="152" s="1"/>
  <c r="L85" i="152"/>
  <c r="J85" i="152" s="1"/>
  <c r="K85" i="152"/>
  <c r="L84" i="152"/>
  <c r="J84" i="152" s="1"/>
  <c r="K84" i="152"/>
  <c r="L83" i="152"/>
  <c r="K83" i="152"/>
  <c r="J83" i="152" s="1"/>
  <c r="L82" i="152"/>
  <c r="K82" i="152"/>
  <c r="L81" i="152"/>
  <c r="K81" i="152"/>
  <c r="J81" i="152" s="1"/>
  <c r="L80" i="152"/>
  <c r="K80" i="152"/>
  <c r="L79" i="152"/>
  <c r="K79" i="152"/>
  <c r="J79" i="152"/>
  <c r="L78" i="152"/>
  <c r="K78" i="152"/>
  <c r="L77" i="152"/>
  <c r="K77" i="152"/>
  <c r="J77" i="152" s="1"/>
  <c r="L76" i="152"/>
  <c r="J76" i="152" s="1"/>
  <c r="K76" i="152"/>
  <c r="L75" i="152"/>
  <c r="K75" i="152"/>
  <c r="J75" i="152" s="1"/>
  <c r="L74" i="152"/>
  <c r="K74" i="152"/>
  <c r="J74" i="152" s="1"/>
  <c r="L73" i="152"/>
  <c r="K73" i="152"/>
  <c r="L72" i="152"/>
  <c r="K72" i="152"/>
  <c r="J72" i="152"/>
  <c r="L71" i="152"/>
  <c r="K71" i="152"/>
  <c r="J71" i="152" s="1"/>
  <c r="L70" i="152"/>
  <c r="K70" i="152"/>
  <c r="J70" i="152"/>
  <c r="L69" i="152"/>
  <c r="J69" i="152" s="1"/>
  <c r="K69" i="152"/>
  <c r="L68" i="152"/>
  <c r="K68" i="152"/>
  <c r="L67" i="152"/>
  <c r="K67" i="152"/>
  <c r="L66" i="152"/>
  <c r="K66" i="152"/>
  <c r="L65" i="152"/>
  <c r="K65" i="152"/>
  <c r="J65" i="152"/>
  <c r="L64" i="152"/>
  <c r="K64" i="152"/>
  <c r="J64" i="152" s="1"/>
  <c r="L63" i="152"/>
  <c r="K63" i="152"/>
  <c r="J63" i="152"/>
  <c r="L62" i="152"/>
  <c r="K62" i="152"/>
  <c r="L61" i="152"/>
  <c r="K61" i="152"/>
  <c r="L60" i="152"/>
  <c r="J60" i="152" s="1"/>
  <c r="K60" i="152"/>
  <c r="L59" i="152"/>
  <c r="K59" i="152"/>
  <c r="J59" i="152" s="1"/>
  <c r="L58" i="152"/>
  <c r="K58" i="152"/>
  <c r="J58" i="152" s="1"/>
  <c r="L57" i="152"/>
  <c r="K57" i="152"/>
  <c r="L56" i="152"/>
  <c r="K56" i="152"/>
  <c r="J56" i="152"/>
  <c r="L55" i="152"/>
  <c r="K55" i="152"/>
  <c r="J55" i="152" s="1"/>
  <c r="L54" i="152"/>
  <c r="K54" i="152"/>
  <c r="J54" i="152" s="1"/>
  <c r="L53" i="152"/>
  <c r="K53" i="152"/>
  <c r="L52" i="152"/>
  <c r="K52" i="152"/>
  <c r="J52" i="152"/>
  <c r="L51" i="152"/>
  <c r="K51" i="152"/>
  <c r="J51" i="152" s="1"/>
  <c r="L50" i="152"/>
  <c r="K50" i="152"/>
  <c r="L49" i="152"/>
  <c r="K49" i="152"/>
  <c r="J49" i="152" s="1"/>
  <c r="L48" i="152"/>
  <c r="K48" i="152"/>
  <c r="L47" i="152"/>
  <c r="J47" i="152" s="1"/>
  <c r="K47" i="152"/>
  <c r="L46" i="152"/>
  <c r="K46" i="152"/>
  <c r="J46" i="152" s="1"/>
  <c r="L45" i="152"/>
  <c r="K45" i="152"/>
  <c r="J45" i="152" s="1"/>
  <c r="L44" i="152"/>
  <c r="K44" i="152"/>
  <c r="L43" i="152"/>
  <c r="K43" i="152"/>
  <c r="J43" i="152" s="1"/>
  <c r="L42" i="152"/>
  <c r="K42" i="152"/>
  <c r="J42" i="152" s="1"/>
  <c r="L41" i="152"/>
  <c r="K41" i="152"/>
  <c r="L40" i="152"/>
  <c r="J40" i="152" s="1"/>
  <c r="K40" i="152"/>
  <c r="L39" i="152"/>
  <c r="K39" i="152"/>
  <c r="J39" i="152" s="1"/>
  <c r="L38" i="152"/>
  <c r="K38" i="152"/>
  <c r="J38" i="152" s="1"/>
  <c r="L37" i="152"/>
  <c r="J37" i="152" s="1"/>
  <c r="K37" i="152"/>
  <c r="L36" i="152"/>
  <c r="K36" i="152"/>
  <c r="J36" i="152"/>
  <c r="L35" i="152"/>
  <c r="K35" i="152"/>
  <c r="J35" i="152" s="1"/>
  <c r="L34" i="152"/>
  <c r="K34" i="152"/>
  <c r="J34" i="152" s="1"/>
  <c r="L33" i="152"/>
  <c r="K33" i="152"/>
  <c r="J33" i="152"/>
  <c r="L32" i="152"/>
  <c r="K32" i="152"/>
  <c r="J32" i="152" s="1"/>
  <c r="L31" i="152"/>
  <c r="K31" i="152"/>
  <c r="J31" i="152" s="1"/>
  <c r="L30" i="152"/>
  <c r="K30" i="152"/>
  <c r="J30" i="152" s="1"/>
  <c r="L29" i="152"/>
  <c r="K29" i="152"/>
  <c r="L28" i="152"/>
  <c r="J28" i="152" s="1"/>
  <c r="K28" i="152"/>
  <c r="L27" i="152"/>
  <c r="K27" i="152"/>
  <c r="L26" i="152"/>
  <c r="K26" i="152"/>
  <c r="J26" i="152" s="1"/>
  <c r="L25" i="152"/>
  <c r="K25" i="152"/>
  <c r="J25" i="152" s="1"/>
  <c r="L252" i="153"/>
  <c r="K252" i="153"/>
  <c r="J252" i="153" s="1"/>
  <c r="L251" i="153"/>
  <c r="K251" i="153"/>
  <c r="J251" i="153" s="1"/>
  <c r="L250" i="153"/>
  <c r="K250" i="153"/>
  <c r="J250" i="153"/>
  <c r="L249" i="153"/>
  <c r="K249" i="153"/>
  <c r="J249" i="153" s="1"/>
  <c r="L248" i="153"/>
  <c r="K248" i="153"/>
  <c r="J248" i="153" s="1"/>
  <c r="L247" i="153"/>
  <c r="K247" i="153"/>
  <c r="J247" i="153" s="1"/>
  <c r="L246" i="153"/>
  <c r="K246" i="153"/>
  <c r="J246" i="153" s="1"/>
  <c r="L245" i="153"/>
  <c r="K245" i="153"/>
  <c r="J245" i="153" s="1"/>
  <c r="L244" i="153"/>
  <c r="K244" i="153"/>
  <c r="J244" i="153" s="1"/>
  <c r="L243" i="153"/>
  <c r="K243" i="153"/>
  <c r="J243" i="153" s="1"/>
  <c r="L242" i="153"/>
  <c r="K242" i="153"/>
  <c r="J242" i="153" s="1"/>
  <c r="L241" i="153"/>
  <c r="K241" i="153"/>
  <c r="L240" i="153"/>
  <c r="J240" i="153" s="1"/>
  <c r="K240" i="153"/>
  <c r="L239" i="153"/>
  <c r="K239" i="153"/>
  <c r="J239" i="153" s="1"/>
  <c r="L238" i="153"/>
  <c r="J238" i="153" s="1"/>
  <c r="K238" i="153"/>
  <c r="L237" i="153"/>
  <c r="K237" i="153"/>
  <c r="J237" i="153" s="1"/>
  <c r="L236" i="153"/>
  <c r="J236" i="153" s="1"/>
  <c r="K236" i="153"/>
  <c r="L235" i="153"/>
  <c r="K235" i="153"/>
  <c r="L234" i="153"/>
  <c r="K234" i="153"/>
  <c r="J234" i="153"/>
  <c r="L233" i="153"/>
  <c r="K233" i="153"/>
  <c r="J233" i="153"/>
  <c r="L232" i="153"/>
  <c r="J232" i="153" s="1"/>
  <c r="K232" i="153"/>
  <c r="L231" i="153"/>
  <c r="K231" i="153"/>
  <c r="J231" i="153" s="1"/>
  <c r="L230" i="153"/>
  <c r="K230" i="153"/>
  <c r="J230" i="153"/>
  <c r="L229" i="153"/>
  <c r="K229" i="153"/>
  <c r="J229" i="153" s="1"/>
  <c r="L228" i="153"/>
  <c r="K228" i="153"/>
  <c r="J228" i="153" s="1"/>
  <c r="L227" i="153"/>
  <c r="K227" i="153"/>
  <c r="J227" i="153"/>
  <c r="L226" i="153"/>
  <c r="K226" i="153"/>
  <c r="L225" i="153"/>
  <c r="K225" i="153"/>
  <c r="J225" i="153" s="1"/>
  <c r="L224" i="153"/>
  <c r="K224" i="153"/>
  <c r="L223" i="153"/>
  <c r="K223" i="153"/>
  <c r="J223" i="153" s="1"/>
  <c r="L222" i="153"/>
  <c r="K222" i="153"/>
  <c r="J222" i="153" s="1"/>
  <c r="L221" i="153"/>
  <c r="K221" i="153"/>
  <c r="L220" i="153"/>
  <c r="K220" i="153"/>
  <c r="J220" i="153"/>
  <c r="L219" i="153"/>
  <c r="K219" i="153"/>
  <c r="L218" i="153"/>
  <c r="K218" i="153"/>
  <c r="J218" i="153" s="1"/>
  <c r="L217" i="153"/>
  <c r="K217" i="153"/>
  <c r="J217" i="153"/>
  <c r="L216" i="153"/>
  <c r="K216" i="153"/>
  <c r="J216" i="153" s="1"/>
  <c r="L215" i="153"/>
  <c r="K215" i="153"/>
  <c r="L214" i="153"/>
  <c r="K214" i="153"/>
  <c r="J214" i="153"/>
  <c r="L213" i="153"/>
  <c r="K213" i="153"/>
  <c r="J213" i="153" s="1"/>
  <c r="L212" i="153"/>
  <c r="K212" i="153"/>
  <c r="L211" i="153"/>
  <c r="K211" i="153"/>
  <c r="J211" i="153"/>
  <c r="L210" i="153"/>
  <c r="K210" i="153"/>
  <c r="L209" i="153"/>
  <c r="K209" i="153"/>
  <c r="J209" i="153" s="1"/>
  <c r="L208" i="153"/>
  <c r="J208" i="153" s="1"/>
  <c r="K208" i="153"/>
  <c r="L207" i="153"/>
  <c r="K207" i="153"/>
  <c r="J207" i="153" s="1"/>
  <c r="L206" i="153"/>
  <c r="K206" i="153"/>
  <c r="J206" i="153" s="1"/>
  <c r="L205" i="153"/>
  <c r="K205" i="153"/>
  <c r="J205" i="153" s="1"/>
  <c r="L204" i="153"/>
  <c r="J204" i="153" s="1"/>
  <c r="K204" i="153"/>
  <c r="L203" i="153"/>
  <c r="K203" i="153"/>
  <c r="L202" i="153"/>
  <c r="K202" i="153"/>
  <c r="J202" i="153"/>
  <c r="L201" i="153"/>
  <c r="J201" i="153" s="1"/>
  <c r="K201" i="153"/>
  <c r="L200" i="153"/>
  <c r="K200" i="153"/>
  <c r="J200" i="153" s="1"/>
  <c r="L199" i="153"/>
  <c r="K199" i="153"/>
  <c r="J199" i="153" s="1"/>
  <c r="L198" i="153"/>
  <c r="J198" i="153" s="1"/>
  <c r="K198" i="153"/>
  <c r="L197" i="153"/>
  <c r="K197" i="153"/>
  <c r="J197" i="153" s="1"/>
  <c r="L196" i="153"/>
  <c r="K196" i="153"/>
  <c r="J196" i="153" s="1"/>
  <c r="L195" i="153"/>
  <c r="J195" i="153" s="1"/>
  <c r="K195" i="153"/>
  <c r="L194" i="153"/>
  <c r="K194" i="153"/>
  <c r="L193" i="153"/>
  <c r="K193" i="153"/>
  <c r="J193" i="153" s="1"/>
  <c r="L192" i="153"/>
  <c r="J192" i="153" s="1"/>
  <c r="K192" i="153"/>
  <c r="L191" i="153"/>
  <c r="K191" i="153"/>
  <c r="J191" i="153" s="1"/>
  <c r="L190" i="153"/>
  <c r="K190" i="153"/>
  <c r="J190" i="153" s="1"/>
  <c r="L189" i="153"/>
  <c r="K189" i="153"/>
  <c r="J189" i="153" s="1"/>
  <c r="L188" i="153"/>
  <c r="J188" i="153" s="1"/>
  <c r="K188" i="153"/>
  <c r="L187" i="153"/>
  <c r="K187" i="153"/>
  <c r="L186" i="153"/>
  <c r="K186" i="153"/>
  <c r="J186" i="153"/>
  <c r="L185" i="153"/>
  <c r="J185" i="153" s="1"/>
  <c r="K185" i="153"/>
  <c r="L184" i="153"/>
  <c r="K184" i="153"/>
  <c r="J184" i="153" s="1"/>
  <c r="L183" i="153"/>
  <c r="K183" i="153"/>
  <c r="L182" i="153"/>
  <c r="J182" i="153" s="1"/>
  <c r="K182" i="153"/>
  <c r="L181" i="153"/>
  <c r="K181" i="153"/>
  <c r="J181" i="153" s="1"/>
  <c r="L180" i="153"/>
  <c r="K180" i="153"/>
  <c r="L179" i="153"/>
  <c r="K179" i="153"/>
  <c r="L178" i="153"/>
  <c r="K178" i="153"/>
  <c r="J178" i="153" s="1"/>
  <c r="L177" i="153"/>
  <c r="K177" i="153"/>
  <c r="L176" i="153"/>
  <c r="K176" i="153"/>
  <c r="L175" i="153"/>
  <c r="K175" i="153"/>
  <c r="J175" i="153" s="1"/>
  <c r="L174" i="153"/>
  <c r="K174" i="153"/>
  <c r="J174" i="153"/>
  <c r="L173" i="153"/>
  <c r="K173" i="153"/>
  <c r="J173" i="153" s="1"/>
  <c r="L172" i="153"/>
  <c r="K172" i="153"/>
  <c r="J172" i="153"/>
  <c r="L171" i="153"/>
  <c r="K171" i="153"/>
  <c r="J171" i="153" s="1"/>
  <c r="L170" i="153"/>
  <c r="K170" i="153"/>
  <c r="J170" i="153" s="1"/>
  <c r="L169" i="153"/>
  <c r="K169" i="153"/>
  <c r="J169" i="153"/>
  <c r="L168" i="153"/>
  <c r="K168" i="153"/>
  <c r="J168" i="153" s="1"/>
  <c r="L167" i="153"/>
  <c r="K167" i="153"/>
  <c r="J167" i="153" s="1"/>
  <c r="L166" i="153"/>
  <c r="J166" i="153" s="1"/>
  <c r="K166" i="153"/>
  <c r="L165" i="153"/>
  <c r="K165" i="153"/>
  <c r="L164" i="153"/>
  <c r="K164" i="153"/>
  <c r="L163" i="153"/>
  <c r="K163" i="153"/>
  <c r="J163" i="153" s="1"/>
  <c r="L162" i="153"/>
  <c r="K162" i="153"/>
  <c r="J162" i="153" s="1"/>
  <c r="L161" i="153"/>
  <c r="K161" i="153"/>
  <c r="J161" i="153" s="1"/>
  <c r="L160" i="153"/>
  <c r="K160" i="153"/>
  <c r="J160" i="153" s="1"/>
  <c r="L159" i="153"/>
  <c r="K159" i="153"/>
  <c r="J159" i="153"/>
  <c r="L158" i="153"/>
  <c r="K158" i="153"/>
  <c r="J158" i="153" s="1"/>
  <c r="L157" i="153"/>
  <c r="K157" i="153"/>
  <c r="J157" i="153" s="1"/>
  <c r="L156" i="153"/>
  <c r="K156" i="153"/>
  <c r="J156" i="153" s="1"/>
  <c r="L155" i="153"/>
  <c r="K155" i="153"/>
  <c r="J155" i="153" s="1"/>
  <c r="L154" i="153"/>
  <c r="J154" i="153" s="1"/>
  <c r="K154" i="153"/>
  <c r="L153" i="153"/>
  <c r="K153" i="153"/>
  <c r="J153" i="153"/>
  <c r="L152" i="153"/>
  <c r="K152" i="153"/>
  <c r="J152" i="153"/>
  <c r="L151" i="153"/>
  <c r="K151" i="153"/>
  <c r="L150" i="153"/>
  <c r="K150" i="153"/>
  <c r="J150" i="153"/>
  <c r="L149" i="153"/>
  <c r="K149" i="153"/>
  <c r="J149" i="153"/>
  <c r="L148" i="153"/>
  <c r="K148" i="153"/>
  <c r="J148" i="153" s="1"/>
  <c r="L147" i="153"/>
  <c r="K147" i="153"/>
  <c r="J147" i="153" s="1"/>
  <c r="L146" i="153"/>
  <c r="K146" i="153"/>
  <c r="J146" i="153" s="1"/>
  <c r="L145" i="153"/>
  <c r="K145" i="153"/>
  <c r="L144" i="153"/>
  <c r="J144" i="153" s="1"/>
  <c r="K144" i="153"/>
  <c r="L143" i="153"/>
  <c r="J143" i="153" s="1"/>
  <c r="K143" i="153"/>
  <c r="L142" i="153"/>
  <c r="K142" i="153"/>
  <c r="J142" i="153" s="1"/>
  <c r="L141" i="153"/>
  <c r="K141" i="153"/>
  <c r="J141" i="153" s="1"/>
  <c r="L140" i="153"/>
  <c r="J140" i="153" s="1"/>
  <c r="K140" i="153"/>
  <c r="L139" i="153"/>
  <c r="K139" i="153"/>
  <c r="L138" i="153"/>
  <c r="K138" i="153"/>
  <c r="L137" i="153"/>
  <c r="K137" i="153"/>
  <c r="J137" i="153" s="1"/>
  <c r="L136" i="153"/>
  <c r="K136" i="153"/>
  <c r="J136" i="153" s="1"/>
  <c r="L135" i="153"/>
  <c r="K135" i="153"/>
  <c r="L134" i="153"/>
  <c r="K134" i="153"/>
  <c r="J134" i="153"/>
  <c r="L133" i="153"/>
  <c r="K133" i="153"/>
  <c r="J133" i="153" s="1"/>
  <c r="L132" i="153"/>
  <c r="J132" i="153" s="1"/>
  <c r="K132" i="153"/>
  <c r="L131" i="153"/>
  <c r="K131" i="153"/>
  <c r="L130" i="153"/>
  <c r="K130" i="153"/>
  <c r="L129" i="153"/>
  <c r="K129" i="153"/>
  <c r="J129" i="153" s="1"/>
  <c r="L128" i="153"/>
  <c r="J128" i="153" s="1"/>
  <c r="K128" i="153"/>
  <c r="L127" i="153"/>
  <c r="J127" i="153" s="1"/>
  <c r="K127" i="153"/>
  <c r="L126" i="153"/>
  <c r="K126" i="153"/>
  <c r="J126" i="153" s="1"/>
  <c r="L125" i="153"/>
  <c r="K125" i="153"/>
  <c r="J125" i="153"/>
  <c r="L124" i="153"/>
  <c r="K124" i="153"/>
  <c r="J124" i="153" s="1"/>
  <c r="L123" i="153"/>
  <c r="K123" i="153"/>
  <c r="J123" i="153" s="1"/>
  <c r="L122" i="153"/>
  <c r="K122" i="153"/>
  <c r="J122" i="153" s="1"/>
  <c r="L121" i="153"/>
  <c r="K121" i="153"/>
  <c r="J121" i="153" s="1"/>
  <c r="L120" i="153"/>
  <c r="J120" i="153" s="1"/>
  <c r="K120" i="153"/>
  <c r="L119" i="153"/>
  <c r="K119" i="153"/>
  <c r="J119" i="153" s="1"/>
  <c r="L118" i="153"/>
  <c r="K118" i="153"/>
  <c r="L117" i="153"/>
  <c r="K117" i="153"/>
  <c r="J117" i="153" s="1"/>
  <c r="L116" i="153"/>
  <c r="K116" i="153"/>
  <c r="J116" i="153"/>
  <c r="L115" i="153"/>
  <c r="K115" i="153"/>
  <c r="J115" i="153" s="1"/>
  <c r="L114" i="153"/>
  <c r="K114" i="153"/>
  <c r="J114" i="153" s="1"/>
  <c r="L113" i="153"/>
  <c r="K113" i="153"/>
  <c r="J113" i="153" s="1"/>
  <c r="L112" i="153"/>
  <c r="K112" i="153"/>
  <c r="J112" i="153" s="1"/>
  <c r="L111" i="153"/>
  <c r="K111" i="153"/>
  <c r="J111" i="153"/>
  <c r="L110" i="153"/>
  <c r="K110" i="153"/>
  <c r="J110" i="153" s="1"/>
  <c r="L109" i="153"/>
  <c r="J109" i="153" s="1"/>
  <c r="K109" i="153"/>
  <c r="L108" i="153"/>
  <c r="K108" i="153"/>
  <c r="J108" i="153"/>
  <c r="L107" i="153"/>
  <c r="K107" i="153"/>
  <c r="J107" i="153" s="1"/>
  <c r="L106" i="153"/>
  <c r="K106" i="153"/>
  <c r="J106" i="153" s="1"/>
  <c r="L105" i="153"/>
  <c r="K105" i="153"/>
  <c r="J105" i="153" s="1"/>
  <c r="L104" i="153"/>
  <c r="K104" i="153"/>
  <c r="J104" i="153" s="1"/>
  <c r="L103" i="153"/>
  <c r="K103" i="153"/>
  <c r="J103" i="153" s="1"/>
  <c r="L102" i="153"/>
  <c r="J102" i="153" s="1"/>
  <c r="K102" i="153"/>
  <c r="L101" i="153"/>
  <c r="K101" i="153"/>
  <c r="J101" i="153"/>
  <c r="L100" i="153"/>
  <c r="K100" i="153"/>
  <c r="J100" i="153" s="1"/>
  <c r="L99" i="153"/>
  <c r="K99" i="153"/>
  <c r="J99" i="153"/>
  <c r="L98" i="153"/>
  <c r="K98" i="153"/>
  <c r="J98" i="153" s="1"/>
  <c r="L97" i="153"/>
  <c r="K97" i="153"/>
  <c r="L96" i="153"/>
  <c r="K96" i="153"/>
  <c r="J96" i="153"/>
  <c r="L95" i="153"/>
  <c r="K95" i="153"/>
  <c r="J95" i="153" s="1"/>
  <c r="L94" i="153"/>
  <c r="K94" i="153"/>
  <c r="J94" i="153" s="1"/>
  <c r="L93" i="153"/>
  <c r="K93" i="153"/>
  <c r="L92" i="153"/>
  <c r="K92" i="153"/>
  <c r="J92" i="153" s="1"/>
  <c r="L91" i="153"/>
  <c r="K91" i="153"/>
  <c r="J91" i="153" s="1"/>
  <c r="L90" i="153"/>
  <c r="K90" i="153"/>
  <c r="J90" i="153" s="1"/>
  <c r="L89" i="153"/>
  <c r="K89" i="153"/>
  <c r="L88" i="153"/>
  <c r="K88" i="153"/>
  <c r="L87" i="153"/>
  <c r="K87" i="153"/>
  <c r="J87" i="153"/>
  <c r="L86" i="153"/>
  <c r="K86" i="153"/>
  <c r="L85" i="153"/>
  <c r="K85" i="153"/>
  <c r="J85" i="153" s="1"/>
  <c r="L84" i="153"/>
  <c r="K84" i="153"/>
  <c r="J84" i="153"/>
  <c r="L83" i="153"/>
  <c r="K83" i="153"/>
  <c r="J83" i="153" s="1"/>
  <c r="L82" i="153"/>
  <c r="K82" i="153"/>
  <c r="J82" i="153" s="1"/>
  <c r="L81" i="153"/>
  <c r="K81" i="153"/>
  <c r="J81" i="153" s="1"/>
  <c r="L80" i="153"/>
  <c r="K80" i="153"/>
  <c r="J80" i="153" s="1"/>
  <c r="L79" i="153"/>
  <c r="K79" i="153"/>
  <c r="J79" i="153" s="1"/>
  <c r="L78" i="153"/>
  <c r="K78" i="153"/>
  <c r="J78" i="153" s="1"/>
  <c r="L77" i="153"/>
  <c r="J77" i="153" s="1"/>
  <c r="K77" i="153"/>
  <c r="L76" i="153"/>
  <c r="K76" i="153"/>
  <c r="J76" i="153" s="1"/>
  <c r="L75" i="153"/>
  <c r="K75" i="153"/>
  <c r="J75" i="153" s="1"/>
  <c r="L74" i="153"/>
  <c r="J74" i="153" s="1"/>
  <c r="K74" i="153"/>
  <c r="L73" i="153"/>
  <c r="K73" i="153"/>
  <c r="L72" i="153"/>
  <c r="K72" i="153"/>
  <c r="J72" i="153" s="1"/>
  <c r="L71" i="153"/>
  <c r="K71" i="153"/>
  <c r="J71" i="153" s="1"/>
  <c r="L70" i="153"/>
  <c r="J70" i="153" s="1"/>
  <c r="K70" i="153"/>
  <c r="L69" i="153"/>
  <c r="K69" i="153"/>
  <c r="J69" i="153"/>
  <c r="L68" i="153"/>
  <c r="K68" i="153"/>
  <c r="J68" i="153" s="1"/>
  <c r="L67" i="153"/>
  <c r="K67" i="153"/>
  <c r="J67" i="153" s="1"/>
  <c r="L66" i="153"/>
  <c r="K66" i="153"/>
  <c r="J66" i="153" s="1"/>
  <c r="L65" i="153"/>
  <c r="K65" i="153"/>
  <c r="L64" i="153"/>
  <c r="K64" i="153"/>
  <c r="J64" i="153" s="1"/>
  <c r="L63" i="153"/>
  <c r="K63" i="153"/>
  <c r="J63" i="153" s="1"/>
  <c r="L62" i="153"/>
  <c r="J62" i="153" s="1"/>
  <c r="K62" i="153"/>
  <c r="L61" i="153"/>
  <c r="J61" i="153" s="1"/>
  <c r="K61" i="153"/>
  <c r="L60" i="153"/>
  <c r="K60" i="153"/>
  <c r="J60" i="153" s="1"/>
  <c r="L59" i="153"/>
  <c r="J59" i="153" s="1"/>
  <c r="K59" i="153"/>
  <c r="L58" i="153"/>
  <c r="K58" i="153"/>
  <c r="J58" i="153"/>
  <c r="L57" i="153"/>
  <c r="K57" i="153"/>
  <c r="L56" i="153"/>
  <c r="K56" i="153"/>
  <c r="L55" i="153"/>
  <c r="K55" i="153"/>
  <c r="J55" i="153" s="1"/>
  <c r="L54" i="153"/>
  <c r="J54" i="153" s="1"/>
  <c r="K54" i="153"/>
  <c r="L53" i="153"/>
  <c r="K53" i="153"/>
  <c r="J53" i="153" s="1"/>
  <c r="L52" i="153"/>
  <c r="K52" i="153"/>
  <c r="J52" i="153" s="1"/>
  <c r="L51" i="153"/>
  <c r="K51" i="153"/>
  <c r="J51" i="153" s="1"/>
  <c r="L50" i="153"/>
  <c r="J50" i="153" s="1"/>
  <c r="K50" i="153"/>
  <c r="L49" i="153"/>
  <c r="K49" i="153"/>
  <c r="L48" i="153"/>
  <c r="K48" i="153"/>
  <c r="J48" i="153" s="1"/>
  <c r="L47" i="153"/>
  <c r="J47" i="153" s="1"/>
  <c r="K47" i="153"/>
  <c r="L46" i="153"/>
  <c r="K46" i="153"/>
  <c r="J46" i="153"/>
  <c r="L45" i="153"/>
  <c r="J45" i="153" s="1"/>
  <c r="K45" i="153"/>
  <c r="L44" i="153"/>
  <c r="J44" i="153" s="1"/>
  <c r="K44" i="153"/>
  <c r="L43" i="153"/>
  <c r="K43" i="153"/>
  <c r="J43" i="153"/>
  <c r="L42" i="153"/>
  <c r="K42" i="153"/>
  <c r="J42" i="153"/>
  <c r="L41" i="153"/>
  <c r="K41" i="153"/>
  <c r="J41" i="153" s="1"/>
  <c r="L40" i="153"/>
  <c r="K40" i="153"/>
  <c r="J40" i="153" s="1"/>
  <c r="L39" i="153"/>
  <c r="K39" i="153"/>
  <c r="J39" i="153" s="1"/>
  <c r="L38" i="153"/>
  <c r="J38" i="153" s="1"/>
  <c r="K38" i="153"/>
  <c r="L37" i="153"/>
  <c r="J37" i="153" s="1"/>
  <c r="K37" i="153"/>
  <c r="L36" i="153"/>
  <c r="K36" i="153"/>
  <c r="J36" i="153" s="1"/>
  <c r="L35" i="153"/>
  <c r="J35" i="153" s="1"/>
  <c r="K35" i="153"/>
  <c r="L34" i="153"/>
  <c r="K34" i="153"/>
  <c r="J34" i="153"/>
  <c r="L33" i="153"/>
  <c r="K33" i="153"/>
  <c r="L32" i="153"/>
  <c r="J32" i="153" s="1"/>
  <c r="K32" i="153"/>
  <c r="L31" i="153"/>
  <c r="K31" i="153"/>
  <c r="J31" i="153"/>
  <c r="L30" i="153"/>
  <c r="K30" i="153"/>
  <c r="J30" i="153"/>
  <c r="L29" i="153"/>
  <c r="K29" i="153"/>
  <c r="L28" i="153"/>
  <c r="K28" i="153"/>
  <c r="J28" i="153"/>
  <c r="L27" i="153"/>
  <c r="K27" i="153"/>
  <c r="J27" i="153" s="1"/>
  <c r="L26" i="153"/>
  <c r="K26" i="153"/>
  <c r="J26" i="153" s="1"/>
  <c r="L25" i="153"/>
  <c r="K25" i="153"/>
  <c r="J25" i="153" s="1"/>
  <c r="L252" i="154"/>
  <c r="K252" i="154"/>
  <c r="J252" i="154" s="1"/>
  <c r="L251" i="154"/>
  <c r="K251" i="154"/>
  <c r="J251" i="154"/>
  <c r="L250" i="154"/>
  <c r="K250" i="154"/>
  <c r="L249" i="154"/>
  <c r="J249" i="154" s="1"/>
  <c r="K249" i="154"/>
  <c r="L248" i="154"/>
  <c r="K248" i="154"/>
  <c r="J248" i="154"/>
  <c r="L247" i="154"/>
  <c r="K247" i="154"/>
  <c r="J247" i="154"/>
  <c r="L246" i="154"/>
  <c r="K246" i="154"/>
  <c r="J246" i="154" s="1"/>
  <c r="L245" i="154"/>
  <c r="K245" i="154"/>
  <c r="J245" i="154" s="1"/>
  <c r="L244" i="154"/>
  <c r="K244" i="154"/>
  <c r="J244" i="154"/>
  <c r="L243" i="154"/>
  <c r="K243" i="154"/>
  <c r="J243" i="154" s="1"/>
  <c r="L242" i="154"/>
  <c r="K242" i="154"/>
  <c r="J242" i="154" s="1"/>
  <c r="L241" i="154"/>
  <c r="K241" i="154"/>
  <c r="L240" i="154"/>
  <c r="K240" i="154"/>
  <c r="J240" i="154"/>
  <c r="L239" i="154"/>
  <c r="K239" i="154"/>
  <c r="J239" i="154" s="1"/>
  <c r="L238" i="154"/>
  <c r="K238" i="154"/>
  <c r="J238" i="154" s="1"/>
  <c r="L237" i="154"/>
  <c r="K237" i="154"/>
  <c r="J237" i="154" s="1"/>
  <c r="L236" i="154"/>
  <c r="K236" i="154"/>
  <c r="J236" i="154" s="1"/>
  <c r="L235" i="154"/>
  <c r="K235" i="154"/>
  <c r="J235" i="154"/>
  <c r="L234" i="154"/>
  <c r="K234" i="154"/>
  <c r="L233" i="154"/>
  <c r="J233" i="154" s="1"/>
  <c r="K233" i="154"/>
  <c r="L232" i="154"/>
  <c r="K232" i="154"/>
  <c r="J232" i="154"/>
  <c r="L231" i="154"/>
  <c r="K231" i="154"/>
  <c r="J231" i="154"/>
  <c r="L230" i="154"/>
  <c r="K230" i="154"/>
  <c r="J230" i="154" s="1"/>
  <c r="L229" i="154"/>
  <c r="K229" i="154"/>
  <c r="J229" i="154" s="1"/>
  <c r="L228" i="154"/>
  <c r="K228" i="154"/>
  <c r="J228" i="154"/>
  <c r="L227" i="154"/>
  <c r="K227" i="154"/>
  <c r="J227" i="154" s="1"/>
  <c r="L226" i="154"/>
  <c r="K226" i="154"/>
  <c r="J226" i="154" s="1"/>
  <c r="L225" i="154"/>
  <c r="K225" i="154"/>
  <c r="L224" i="154"/>
  <c r="K224" i="154"/>
  <c r="J224" i="154" s="1"/>
  <c r="L223" i="154"/>
  <c r="J223" i="154" s="1"/>
  <c r="K223" i="154"/>
  <c r="L222" i="154"/>
  <c r="K222" i="154"/>
  <c r="J222" i="154"/>
  <c r="L221" i="154"/>
  <c r="K221" i="154"/>
  <c r="L220" i="154"/>
  <c r="K220" i="154"/>
  <c r="L219" i="154"/>
  <c r="K219" i="154"/>
  <c r="J219" i="154" s="1"/>
  <c r="L218" i="154"/>
  <c r="K218" i="154"/>
  <c r="L217" i="154"/>
  <c r="K217" i="154"/>
  <c r="J217" i="154" s="1"/>
  <c r="L216" i="154"/>
  <c r="K216" i="154"/>
  <c r="J216" i="154" s="1"/>
  <c r="L215" i="154"/>
  <c r="K215" i="154"/>
  <c r="J215" i="154" s="1"/>
  <c r="L214" i="154"/>
  <c r="J214" i="154" s="1"/>
  <c r="K214" i="154"/>
  <c r="L213" i="154"/>
  <c r="K213" i="154"/>
  <c r="L212" i="154"/>
  <c r="K212" i="154"/>
  <c r="J212" i="154" s="1"/>
  <c r="L211" i="154"/>
  <c r="J211" i="154" s="1"/>
  <c r="K211" i="154"/>
  <c r="L210" i="154"/>
  <c r="K210" i="154"/>
  <c r="J210" i="154"/>
  <c r="L209" i="154"/>
  <c r="J209" i="154" s="1"/>
  <c r="K209" i="154"/>
  <c r="L208" i="154"/>
  <c r="J208" i="154" s="1"/>
  <c r="K208" i="154"/>
  <c r="L207" i="154"/>
  <c r="K207" i="154"/>
  <c r="J207" i="154"/>
  <c r="L206" i="154"/>
  <c r="J206" i="154" s="1"/>
  <c r="K206" i="154"/>
  <c r="L205" i="154"/>
  <c r="K205" i="154"/>
  <c r="J205" i="154" s="1"/>
  <c r="L204" i="154"/>
  <c r="K204" i="154"/>
  <c r="J204" i="154" s="1"/>
  <c r="L203" i="154"/>
  <c r="K203" i="154"/>
  <c r="J203" i="154" s="1"/>
  <c r="L202" i="154"/>
  <c r="J202" i="154" s="1"/>
  <c r="K202" i="154"/>
  <c r="L201" i="154"/>
  <c r="J201" i="154" s="1"/>
  <c r="K201" i="154"/>
  <c r="L200" i="154"/>
  <c r="K200" i="154"/>
  <c r="J200" i="154" s="1"/>
  <c r="L199" i="154"/>
  <c r="J199" i="154" s="1"/>
  <c r="K199" i="154"/>
  <c r="L198" i="154"/>
  <c r="K198" i="154"/>
  <c r="J198" i="154"/>
  <c r="L197" i="154"/>
  <c r="K197" i="154"/>
  <c r="L196" i="154"/>
  <c r="J196" i="154" s="1"/>
  <c r="K196" i="154"/>
  <c r="L195" i="154"/>
  <c r="K195" i="154"/>
  <c r="J195" i="154"/>
  <c r="L194" i="154"/>
  <c r="J194" i="154" s="1"/>
  <c r="K194" i="154"/>
  <c r="L193" i="154"/>
  <c r="K193" i="154"/>
  <c r="L192" i="154"/>
  <c r="K192" i="154"/>
  <c r="J192" i="154"/>
  <c r="L191" i="154"/>
  <c r="K191" i="154"/>
  <c r="J191" i="154"/>
  <c r="L190" i="154"/>
  <c r="K190" i="154"/>
  <c r="J190" i="154" s="1"/>
  <c r="L189" i="154"/>
  <c r="K189" i="154"/>
  <c r="J189" i="154" s="1"/>
  <c r="L188" i="154"/>
  <c r="K188" i="154"/>
  <c r="L187" i="154"/>
  <c r="J187" i="154" s="1"/>
  <c r="K187" i="154"/>
  <c r="L186" i="154"/>
  <c r="J186" i="154" s="1"/>
  <c r="K186" i="154"/>
  <c r="L185" i="154"/>
  <c r="K185" i="154"/>
  <c r="J185" i="154" s="1"/>
  <c r="L184" i="154"/>
  <c r="J184" i="154" s="1"/>
  <c r="K184" i="154"/>
  <c r="L183" i="154"/>
  <c r="J183" i="154" s="1"/>
  <c r="K183" i="154"/>
  <c r="L182" i="154"/>
  <c r="K182" i="154"/>
  <c r="J182" i="154"/>
  <c r="L181" i="154"/>
  <c r="K181" i="154"/>
  <c r="J181" i="154" s="1"/>
  <c r="L180" i="154"/>
  <c r="J180" i="154" s="1"/>
  <c r="K180" i="154"/>
  <c r="L179" i="154"/>
  <c r="K179" i="154"/>
  <c r="J179" i="154"/>
  <c r="L178" i="154"/>
  <c r="K178" i="154"/>
  <c r="J178" i="154" s="1"/>
  <c r="L177" i="154"/>
  <c r="K177" i="154"/>
  <c r="L176" i="154"/>
  <c r="K176" i="154"/>
  <c r="J176" i="154"/>
  <c r="L175" i="154"/>
  <c r="K175" i="154"/>
  <c r="J175" i="154" s="1"/>
  <c r="L174" i="154"/>
  <c r="K174" i="154"/>
  <c r="J174" i="154"/>
  <c r="L173" i="154"/>
  <c r="K173" i="154"/>
  <c r="J173" i="154" s="1"/>
  <c r="L172" i="154"/>
  <c r="K172" i="154"/>
  <c r="J172" i="154" s="1"/>
  <c r="L171" i="154"/>
  <c r="J171" i="154" s="1"/>
  <c r="K171" i="154"/>
  <c r="L170" i="154"/>
  <c r="J170" i="154" s="1"/>
  <c r="K170" i="154"/>
  <c r="L169" i="154"/>
  <c r="J169" i="154" s="1"/>
  <c r="K169" i="154"/>
  <c r="L168" i="154"/>
  <c r="J168" i="154" s="1"/>
  <c r="K168" i="154"/>
  <c r="L167" i="154"/>
  <c r="K167" i="154"/>
  <c r="J167" i="154"/>
  <c r="L166" i="154"/>
  <c r="K166" i="154"/>
  <c r="J166" i="154" s="1"/>
  <c r="L165" i="154"/>
  <c r="K165" i="154"/>
  <c r="J165" i="154" s="1"/>
  <c r="L164" i="154"/>
  <c r="K164" i="154"/>
  <c r="J164" i="154"/>
  <c r="L163" i="154"/>
  <c r="K163" i="154"/>
  <c r="J163" i="154" s="1"/>
  <c r="L162" i="154"/>
  <c r="K162" i="154"/>
  <c r="J162" i="154"/>
  <c r="L161" i="154"/>
  <c r="K161" i="154"/>
  <c r="L160" i="154"/>
  <c r="K160" i="154"/>
  <c r="J160" i="154" s="1"/>
  <c r="L159" i="154"/>
  <c r="K159" i="154"/>
  <c r="J159" i="154" s="1"/>
  <c r="L158" i="154"/>
  <c r="J158" i="154" s="1"/>
  <c r="K158" i="154"/>
  <c r="L157" i="154"/>
  <c r="K157" i="154"/>
  <c r="L156" i="154"/>
  <c r="K156" i="154"/>
  <c r="J156" i="154" s="1"/>
  <c r="L155" i="154"/>
  <c r="K155" i="154"/>
  <c r="J155" i="154" s="1"/>
  <c r="L154" i="154"/>
  <c r="K154" i="154"/>
  <c r="L153" i="154"/>
  <c r="K153" i="154"/>
  <c r="J153" i="154"/>
  <c r="L152" i="154"/>
  <c r="K152" i="154"/>
  <c r="J152" i="154" s="1"/>
  <c r="L151" i="154"/>
  <c r="K151" i="154"/>
  <c r="J151" i="154" s="1"/>
  <c r="L150" i="154"/>
  <c r="K150" i="154"/>
  <c r="J150" i="154" s="1"/>
  <c r="L149" i="154"/>
  <c r="K149" i="154"/>
  <c r="L148" i="154"/>
  <c r="K148" i="154"/>
  <c r="J148" i="154" s="1"/>
  <c r="L147" i="154"/>
  <c r="K147" i="154"/>
  <c r="J147" i="154" s="1"/>
  <c r="L146" i="154"/>
  <c r="J146" i="154" s="1"/>
  <c r="K146" i="154"/>
  <c r="L145" i="154"/>
  <c r="J145" i="154" s="1"/>
  <c r="K145" i="154"/>
  <c r="L144" i="154"/>
  <c r="K144" i="154"/>
  <c r="J144" i="154" s="1"/>
  <c r="L143" i="154"/>
  <c r="K143" i="154"/>
  <c r="J143" i="154" s="1"/>
  <c r="L142" i="154"/>
  <c r="K142" i="154"/>
  <c r="J142" i="154" s="1"/>
  <c r="L141" i="154"/>
  <c r="K141" i="154"/>
  <c r="L140" i="154"/>
  <c r="K140" i="154"/>
  <c r="L139" i="154"/>
  <c r="K139" i="154"/>
  <c r="J139" i="154" s="1"/>
  <c r="L138" i="154"/>
  <c r="K138" i="154"/>
  <c r="L137" i="154"/>
  <c r="K137" i="154"/>
  <c r="J137" i="154" s="1"/>
  <c r="L136" i="154"/>
  <c r="K136" i="154"/>
  <c r="J136" i="154" s="1"/>
  <c r="L135" i="154"/>
  <c r="K135" i="154"/>
  <c r="J135" i="154" s="1"/>
  <c r="L134" i="154"/>
  <c r="K134" i="154"/>
  <c r="J134" i="154" s="1"/>
  <c r="L133" i="154"/>
  <c r="K133" i="154"/>
  <c r="L132" i="154"/>
  <c r="K132" i="154"/>
  <c r="J132" i="154" s="1"/>
  <c r="L131" i="154"/>
  <c r="K131" i="154"/>
  <c r="J131" i="154" s="1"/>
  <c r="L130" i="154"/>
  <c r="K130" i="154"/>
  <c r="J130" i="154" s="1"/>
  <c r="L129" i="154"/>
  <c r="J129" i="154" s="1"/>
  <c r="K129" i="154"/>
  <c r="L128" i="154"/>
  <c r="K128" i="154"/>
  <c r="J128" i="154" s="1"/>
  <c r="L127" i="154"/>
  <c r="K127" i="154"/>
  <c r="J127" i="154"/>
  <c r="L126" i="154"/>
  <c r="K126" i="154"/>
  <c r="J126" i="154" s="1"/>
  <c r="L125" i="154"/>
  <c r="K125" i="154"/>
  <c r="L124" i="154"/>
  <c r="K124" i="154"/>
  <c r="J124" i="154" s="1"/>
  <c r="L123" i="154"/>
  <c r="J123" i="154" s="1"/>
  <c r="K123" i="154"/>
  <c r="L122" i="154"/>
  <c r="K122" i="154"/>
  <c r="L121" i="154"/>
  <c r="K121" i="154"/>
  <c r="J121" i="154"/>
  <c r="L120" i="154"/>
  <c r="J120" i="154" s="1"/>
  <c r="K120" i="154"/>
  <c r="L119" i="154"/>
  <c r="K119" i="154"/>
  <c r="J119" i="154" s="1"/>
  <c r="L118" i="154"/>
  <c r="K118" i="154"/>
  <c r="J118" i="154"/>
  <c r="L117" i="154"/>
  <c r="K117" i="154"/>
  <c r="J117" i="154" s="1"/>
  <c r="L116" i="154"/>
  <c r="K116" i="154"/>
  <c r="J116" i="154" s="1"/>
  <c r="L115" i="154"/>
  <c r="K115" i="154"/>
  <c r="J115" i="154"/>
  <c r="L114" i="154"/>
  <c r="K114" i="154"/>
  <c r="J114" i="154" s="1"/>
  <c r="L113" i="154"/>
  <c r="J113" i="154" s="1"/>
  <c r="K113" i="154"/>
  <c r="L112" i="154"/>
  <c r="K112" i="154"/>
  <c r="J112" i="154"/>
  <c r="L111" i="154"/>
  <c r="K111" i="154"/>
  <c r="J111" i="154" s="1"/>
  <c r="L110" i="154"/>
  <c r="K110" i="154"/>
  <c r="J110" i="154" s="1"/>
  <c r="L109" i="154"/>
  <c r="K109" i="154"/>
  <c r="J109" i="154" s="1"/>
  <c r="L108" i="154"/>
  <c r="K108" i="154"/>
  <c r="J108" i="154" s="1"/>
  <c r="L107" i="154"/>
  <c r="K107" i="154"/>
  <c r="J107" i="154" s="1"/>
  <c r="L106" i="154"/>
  <c r="K106" i="154"/>
  <c r="L105" i="154"/>
  <c r="J105" i="154" s="1"/>
  <c r="K105" i="154"/>
  <c r="L104" i="154"/>
  <c r="K104" i="154"/>
  <c r="J104" i="154" s="1"/>
  <c r="L103" i="154"/>
  <c r="K103" i="154"/>
  <c r="J103" i="154"/>
  <c r="L102" i="154"/>
  <c r="K102" i="154"/>
  <c r="J102" i="154" s="1"/>
  <c r="L101" i="154"/>
  <c r="K101" i="154"/>
  <c r="L100" i="154"/>
  <c r="K100" i="154"/>
  <c r="J100" i="154"/>
  <c r="L99" i="154"/>
  <c r="K99" i="154"/>
  <c r="J99" i="154" s="1"/>
  <c r="L98" i="154"/>
  <c r="K98" i="154"/>
  <c r="J98" i="154" s="1"/>
  <c r="L97" i="154"/>
  <c r="K97" i="154"/>
  <c r="L96" i="154"/>
  <c r="K96" i="154"/>
  <c r="J96" i="154" s="1"/>
  <c r="L95" i="154"/>
  <c r="K95" i="154"/>
  <c r="J95" i="154" s="1"/>
  <c r="L94" i="154"/>
  <c r="K94" i="154"/>
  <c r="J94" i="154" s="1"/>
  <c r="L93" i="154"/>
  <c r="K93" i="154"/>
  <c r="L92" i="154"/>
  <c r="K92" i="154"/>
  <c r="L91" i="154"/>
  <c r="K91" i="154"/>
  <c r="J91" i="154"/>
  <c r="L90" i="154"/>
  <c r="K90" i="154"/>
  <c r="L89" i="154"/>
  <c r="K89" i="154"/>
  <c r="J89" i="154" s="1"/>
  <c r="L88" i="154"/>
  <c r="K88" i="154"/>
  <c r="J88" i="154"/>
  <c r="L87" i="154"/>
  <c r="K87" i="154"/>
  <c r="J87" i="154" s="1"/>
  <c r="L86" i="154"/>
  <c r="K86" i="154"/>
  <c r="J86" i="154" s="1"/>
  <c r="L85" i="154"/>
  <c r="K85" i="154"/>
  <c r="J85" i="154" s="1"/>
  <c r="L84" i="154"/>
  <c r="K84" i="154"/>
  <c r="J84" i="154" s="1"/>
  <c r="L83" i="154"/>
  <c r="K83" i="154"/>
  <c r="J83" i="154" s="1"/>
  <c r="L82" i="154"/>
  <c r="K82" i="154"/>
  <c r="J82" i="154" s="1"/>
  <c r="L81" i="154"/>
  <c r="J81" i="154" s="1"/>
  <c r="K81" i="154"/>
  <c r="L80" i="154"/>
  <c r="K80" i="154"/>
  <c r="J80" i="154" s="1"/>
  <c r="L79" i="154"/>
  <c r="K79" i="154"/>
  <c r="J79" i="154" s="1"/>
  <c r="L78" i="154"/>
  <c r="K78" i="154"/>
  <c r="J78" i="154"/>
  <c r="L77" i="154"/>
  <c r="K77" i="154"/>
  <c r="J77" i="154" s="1"/>
  <c r="L76" i="154"/>
  <c r="K76" i="154"/>
  <c r="J76" i="154" s="1"/>
  <c r="L75" i="154"/>
  <c r="K75" i="154"/>
  <c r="J75" i="154" s="1"/>
  <c r="L74" i="154"/>
  <c r="J74" i="154" s="1"/>
  <c r="K74" i="154"/>
  <c r="L73" i="154"/>
  <c r="K73" i="154"/>
  <c r="J73" i="154"/>
  <c r="L72" i="154"/>
  <c r="K72" i="154"/>
  <c r="J72" i="154" s="1"/>
  <c r="L71" i="154"/>
  <c r="J71" i="154" s="1"/>
  <c r="K71" i="154"/>
  <c r="L70" i="154"/>
  <c r="K70" i="154"/>
  <c r="J70" i="154" s="1"/>
  <c r="L69" i="154"/>
  <c r="K69" i="154"/>
  <c r="L68" i="154"/>
  <c r="J68" i="154" s="1"/>
  <c r="K68" i="154"/>
  <c r="L67" i="154"/>
  <c r="K67" i="154"/>
  <c r="J67" i="154" s="1"/>
  <c r="L66" i="154"/>
  <c r="K66" i="154"/>
  <c r="J66" i="154"/>
  <c r="L65" i="154"/>
  <c r="K65" i="154"/>
  <c r="L64" i="154"/>
  <c r="K64" i="154"/>
  <c r="J64" i="154" s="1"/>
  <c r="L63" i="154"/>
  <c r="K63" i="154"/>
  <c r="J63" i="154"/>
  <c r="L62" i="154"/>
  <c r="K62" i="154"/>
  <c r="J62" i="154"/>
  <c r="L61" i="154"/>
  <c r="K61" i="154"/>
  <c r="L60" i="154"/>
  <c r="K60" i="154"/>
  <c r="L59" i="154"/>
  <c r="J59" i="154" s="1"/>
  <c r="K59" i="154"/>
  <c r="L58" i="154"/>
  <c r="K58" i="154"/>
  <c r="L57" i="154"/>
  <c r="K57" i="154"/>
  <c r="J57" i="154" s="1"/>
  <c r="L56" i="154"/>
  <c r="J56" i="154" s="1"/>
  <c r="K56" i="154"/>
  <c r="L55" i="154"/>
  <c r="K55" i="154"/>
  <c r="J55" i="154" s="1"/>
  <c r="L54" i="154"/>
  <c r="K54" i="154"/>
  <c r="J54" i="154"/>
  <c r="L53" i="154"/>
  <c r="K53" i="154"/>
  <c r="J53" i="154" s="1"/>
  <c r="L52" i="154"/>
  <c r="K52" i="154"/>
  <c r="J52" i="154" s="1"/>
  <c r="L51" i="154"/>
  <c r="K51" i="154"/>
  <c r="J51" i="154"/>
  <c r="L50" i="154"/>
  <c r="K50" i="154"/>
  <c r="L49" i="154"/>
  <c r="K49" i="154"/>
  <c r="L48" i="154"/>
  <c r="K48" i="154"/>
  <c r="J48" i="154" s="1"/>
  <c r="L47" i="154"/>
  <c r="J47" i="154" s="1"/>
  <c r="K47" i="154"/>
  <c r="L46" i="154"/>
  <c r="K46" i="154"/>
  <c r="J46" i="154" s="1"/>
  <c r="L45" i="154"/>
  <c r="K45" i="154"/>
  <c r="L44" i="154"/>
  <c r="K44" i="154"/>
  <c r="L43" i="154"/>
  <c r="K43" i="154"/>
  <c r="J43" i="154"/>
  <c r="L42" i="154"/>
  <c r="K42" i="154"/>
  <c r="L41" i="154"/>
  <c r="K41" i="154"/>
  <c r="J41" i="154" s="1"/>
  <c r="L40" i="154"/>
  <c r="K40" i="154"/>
  <c r="J40" i="154"/>
  <c r="L39" i="154"/>
  <c r="K39" i="154"/>
  <c r="J39" i="154" s="1"/>
  <c r="L38" i="154"/>
  <c r="K38" i="154"/>
  <c r="J38" i="154" s="1"/>
  <c r="L37" i="154"/>
  <c r="K37" i="154"/>
  <c r="J37" i="154" s="1"/>
  <c r="L36" i="154"/>
  <c r="K36" i="154"/>
  <c r="J36" i="154" s="1"/>
  <c r="L35" i="154"/>
  <c r="K35" i="154"/>
  <c r="J35" i="154" s="1"/>
  <c r="L34" i="154"/>
  <c r="K34" i="154"/>
  <c r="L33" i="154"/>
  <c r="K33" i="154"/>
  <c r="L32" i="154"/>
  <c r="K32" i="154"/>
  <c r="J32" i="154" s="1"/>
  <c r="L31" i="154"/>
  <c r="K31" i="154"/>
  <c r="J31" i="154"/>
  <c r="L30" i="154"/>
  <c r="K30" i="154"/>
  <c r="J30" i="154" s="1"/>
  <c r="L29" i="154"/>
  <c r="K29" i="154"/>
  <c r="L28" i="154"/>
  <c r="K28" i="154"/>
  <c r="J28" i="154" s="1"/>
  <c r="L27" i="154"/>
  <c r="J27" i="154" s="1"/>
  <c r="K27" i="154"/>
  <c r="L26" i="154"/>
  <c r="J26" i="154" s="1"/>
  <c r="K26" i="154"/>
  <c r="L25" i="154"/>
  <c r="J25" i="154" s="1"/>
  <c r="K25" i="154"/>
  <c r="L252" i="155"/>
  <c r="K252" i="155"/>
  <c r="J252" i="155" s="1"/>
  <c r="L251" i="155"/>
  <c r="K251" i="155"/>
  <c r="J251" i="155"/>
  <c r="L250" i="155"/>
  <c r="K250" i="155"/>
  <c r="J250" i="155" s="1"/>
  <c r="L249" i="155"/>
  <c r="K249" i="155"/>
  <c r="L248" i="155"/>
  <c r="K248" i="155"/>
  <c r="J248" i="155"/>
  <c r="L247" i="155"/>
  <c r="K247" i="155"/>
  <c r="J247" i="155" s="1"/>
  <c r="L246" i="155"/>
  <c r="J246" i="155" s="1"/>
  <c r="K246" i="155"/>
  <c r="L245" i="155"/>
  <c r="J245" i="155" s="1"/>
  <c r="K245" i="155"/>
  <c r="L244" i="155"/>
  <c r="K244" i="155"/>
  <c r="J244" i="155"/>
  <c r="L243" i="155"/>
  <c r="K243" i="155"/>
  <c r="J243" i="155" s="1"/>
  <c r="L242" i="155"/>
  <c r="K242" i="155"/>
  <c r="J242" i="155"/>
  <c r="L241" i="155"/>
  <c r="K241" i="155"/>
  <c r="J241" i="155" s="1"/>
  <c r="L240" i="155"/>
  <c r="K240" i="155"/>
  <c r="J240" i="155" s="1"/>
  <c r="L239" i="155"/>
  <c r="K239" i="155"/>
  <c r="J239" i="155" s="1"/>
  <c r="L238" i="155"/>
  <c r="J238" i="155" s="1"/>
  <c r="K238" i="155"/>
  <c r="L237" i="155"/>
  <c r="K237" i="155"/>
  <c r="J237" i="155"/>
  <c r="L236" i="155"/>
  <c r="K236" i="155"/>
  <c r="J236" i="155" s="1"/>
  <c r="L235" i="155"/>
  <c r="K235" i="155"/>
  <c r="J235" i="155"/>
  <c r="L234" i="155"/>
  <c r="K234" i="155"/>
  <c r="J234" i="155" s="1"/>
  <c r="L233" i="155"/>
  <c r="K233" i="155"/>
  <c r="L232" i="155"/>
  <c r="K232" i="155"/>
  <c r="J232" i="155"/>
  <c r="L231" i="155"/>
  <c r="K231" i="155"/>
  <c r="J231" i="155" s="1"/>
  <c r="L230" i="155"/>
  <c r="J230" i="155" s="1"/>
  <c r="K230" i="155"/>
  <c r="L229" i="155"/>
  <c r="J229" i="155" s="1"/>
  <c r="K229" i="155"/>
  <c r="L228" i="155"/>
  <c r="K228" i="155"/>
  <c r="J228" i="155"/>
  <c r="L227" i="155"/>
  <c r="K227" i="155"/>
  <c r="J227" i="155" s="1"/>
  <c r="L226" i="155"/>
  <c r="K226" i="155"/>
  <c r="J226" i="155"/>
  <c r="L225" i="155"/>
  <c r="K225" i="155"/>
  <c r="J225" i="155" s="1"/>
  <c r="L224" i="155"/>
  <c r="K224" i="155"/>
  <c r="J224" i="155" s="1"/>
  <c r="L223" i="155"/>
  <c r="K223" i="155"/>
  <c r="J223" i="155"/>
  <c r="L222" i="155"/>
  <c r="J222" i="155" s="1"/>
  <c r="K222" i="155"/>
  <c r="L221" i="155"/>
  <c r="J221" i="155" s="1"/>
  <c r="K221" i="155"/>
  <c r="L220" i="155"/>
  <c r="K220" i="155"/>
  <c r="J220" i="155"/>
  <c r="L219" i="155"/>
  <c r="K219" i="155"/>
  <c r="J219" i="155"/>
  <c r="L218" i="155"/>
  <c r="K218" i="155"/>
  <c r="J218" i="155" s="1"/>
  <c r="L217" i="155"/>
  <c r="K217" i="155"/>
  <c r="J217" i="155" s="1"/>
  <c r="L216" i="155"/>
  <c r="K216" i="155"/>
  <c r="J216" i="155"/>
  <c r="L215" i="155"/>
  <c r="K215" i="155"/>
  <c r="J215" i="155" s="1"/>
  <c r="L214" i="155"/>
  <c r="K214" i="155"/>
  <c r="L213" i="155"/>
  <c r="J213" i="155" s="1"/>
  <c r="K213" i="155"/>
  <c r="L212" i="155"/>
  <c r="J212" i="155" s="1"/>
  <c r="K212" i="155"/>
  <c r="L211" i="155"/>
  <c r="K211" i="155"/>
  <c r="J211" i="155"/>
  <c r="L210" i="155"/>
  <c r="K210" i="155"/>
  <c r="J210" i="155"/>
  <c r="L209" i="155"/>
  <c r="K209" i="155"/>
  <c r="J209" i="155" s="1"/>
  <c r="L208" i="155"/>
  <c r="K208" i="155"/>
  <c r="J208" i="155" s="1"/>
  <c r="L207" i="155"/>
  <c r="K207" i="155"/>
  <c r="J207" i="155" s="1"/>
  <c r="L206" i="155"/>
  <c r="J206" i="155" s="1"/>
  <c r="K206" i="155"/>
  <c r="L205" i="155"/>
  <c r="J205" i="155" s="1"/>
  <c r="K205" i="155"/>
  <c r="L204" i="155"/>
  <c r="K204" i="155"/>
  <c r="J204" i="155" s="1"/>
  <c r="L203" i="155"/>
  <c r="J203" i="155" s="1"/>
  <c r="K203" i="155"/>
  <c r="L202" i="155"/>
  <c r="K202" i="155"/>
  <c r="J202" i="155"/>
  <c r="L201" i="155"/>
  <c r="K201" i="155"/>
  <c r="L200" i="155"/>
  <c r="J200" i="155" s="1"/>
  <c r="K200" i="155"/>
  <c r="L199" i="155"/>
  <c r="K199" i="155"/>
  <c r="J199" i="155"/>
  <c r="L198" i="155"/>
  <c r="J198" i="155" s="1"/>
  <c r="K198" i="155"/>
  <c r="L197" i="155"/>
  <c r="J197" i="155" s="1"/>
  <c r="K197" i="155"/>
  <c r="L196" i="155"/>
  <c r="J196" i="155" s="1"/>
  <c r="K196" i="155"/>
  <c r="L195" i="155"/>
  <c r="K195" i="155"/>
  <c r="J195" i="155" s="1"/>
  <c r="L194" i="155"/>
  <c r="J194" i="155" s="1"/>
  <c r="K194" i="155"/>
  <c r="L193" i="155"/>
  <c r="K193" i="155"/>
  <c r="J193" i="155" s="1"/>
  <c r="L192" i="155"/>
  <c r="K192" i="155"/>
  <c r="L191" i="155"/>
  <c r="K191" i="155"/>
  <c r="J191" i="155" s="1"/>
  <c r="L190" i="155"/>
  <c r="J190" i="155" s="1"/>
  <c r="K190" i="155"/>
  <c r="L189" i="155"/>
  <c r="K189" i="155"/>
  <c r="J189" i="155" s="1"/>
  <c r="L188" i="155"/>
  <c r="K188" i="155"/>
  <c r="J188" i="155" s="1"/>
  <c r="L187" i="155"/>
  <c r="J187" i="155" s="1"/>
  <c r="K187" i="155"/>
  <c r="L186" i="155"/>
  <c r="K186" i="155"/>
  <c r="J186" i="155" s="1"/>
  <c r="L185" i="155"/>
  <c r="K185" i="155"/>
  <c r="L184" i="155"/>
  <c r="J184" i="155" s="1"/>
  <c r="K184" i="155"/>
  <c r="L183" i="155"/>
  <c r="K183" i="155"/>
  <c r="J183" i="155" s="1"/>
  <c r="L182" i="155"/>
  <c r="J182" i="155" s="1"/>
  <c r="K182" i="155"/>
  <c r="L181" i="155"/>
  <c r="J181" i="155" s="1"/>
  <c r="K181" i="155"/>
  <c r="L180" i="155"/>
  <c r="K180" i="155"/>
  <c r="J180" i="155" s="1"/>
  <c r="L179" i="155"/>
  <c r="K179" i="155"/>
  <c r="J179" i="155" s="1"/>
  <c r="L178" i="155"/>
  <c r="J178" i="155" s="1"/>
  <c r="K178" i="155"/>
  <c r="L177" i="155"/>
  <c r="K177" i="155"/>
  <c r="L176" i="155"/>
  <c r="K176" i="155"/>
  <c r="J176" i="155" s="1"/>
  <c r="L175" i="155"/>
  <c r="K175" i="155"/>
  <c r="J175" i="155" s="1"/>
  <c r="L174" i="155"/>
  <c r="K174" i="155"/>
  <c r="L173" i="155"/>
  <c r="K173" i="155"/>
  <c r="J173" i="155"/>
  <c r="L172" i="155"/>
  <c r="K172" i="155"/>
  <c r="J172" i="155" s="1"/>
  <c r="L171" i="155"/>
  <c r="K171" i="155"/>
  <c r="J171" i="155" s="1"/>
  <c r="L170" i="155"/>
  <c r="K170" i="155"/>
  <c r="J170" i="155" s="1"/>
  <c r="L169" i="155"/>
  <c r="K169" i="155"/>
  <c r="L168" i="155"/>
  <c r="K168" i="155"/>
  <c r="J168" i="155" s="1"/>
  <c r="L167" i="155"/>
  <c r="K167" i="155"/>
  <c r="J167" i="155" s="1"/>
  <c r="L166" i="155"/>
  <c r="J166" i="155" s="1"/>
  <c r="K166" i="155"/>
  <c r="L165" i="155"/>
  <c r="K165" i="155"/>
  <c r="L164" i="155"/>
  <c r="K164" i="155"/>
  <c r="J164" i="155"/>
  <c r="L163" i="155"/>
  <c r="K163" i="155"/>
  <c r="J163" i="155" s="1"/>
  <c r="L162" i="155"/>
  <c r="K162" i="155"/>
  <c r="J162" i="155" s="1"/>
  <c r="L161" i="155"/>
  <c r="K161" i="155"/>
  <c r="J161" i="155" s="1"/>
  <c r="L160" i="155"/>
  <c r="K160" i="155"/>
  <c r="J160" i="155" s="1"/>
  <c r="L159" i="155"/>
  <c r="K159" i="155"/>
  <c r="J159" i="155"/>
  <c r="L158" i="155"/>
  <c r="J158" i="155" s="1"/>
  <c r="K158" i="155"/>
  <c r="L157" i="155"/>
  <c r="J157" i="155" s="1"/>
  <c r="K157" i="155"/>
  <c r="L156" i="155"/>
  <c r="K156" i="155"/>
  <c r="J156" i="155"/>
  <c r="L155" i="155"/>
  <c r="K155" i="155"/>
  <c r="J155" i="155"/>
  <c r="L154" i="155"/>
  <c r="K154" i="155"/>
  <c r="J154" i="155" s="1"/>
  <c r="L153" i="155"/>
  <c r="K153" i="155"/>
  <c r="J153" i="155" s="1"/>
  <c r="L152" i="155"/>
  <c r="K152" i="155"/>
  <c r="J152" i="155"/>
  <c r="L151" i="155"/>
  <c r="K151" i="155"/>
  <c r="J151" i="155" s="1"/>
  <c r="L150" i="155"/>
  <c r="K150" i="155"/>
  <c r="L149" i="155"/>
  <c r="J149" i="155" s="1"/>
  <c r="K149" i="155"/>
  <c r="L148" i="155"/>
  <c r="J148" i="155" s="1"/>
  <c r="K148" i="155"/>
  <c r="L147" i="155"/>
  <c r="K147" i="155"/>
  <c r="J147" i="155"/>
  <c r="L146" i="155"/>
  <c r="K146" i="155"/>
  <c r="J146" i="155"/>
  <c r="L145" i="155"/>
  <c r="K145" i="155"/>
  <c r="J145" i="155" s="1"/>
  <c r="L144" i="155"/>
  <c r="K144" i="155"/>
  <c r="J144" i="155" s="1"/>
  <c r="L143" i="155"/>
  <c r="K143" i="155"/>
  <c r="J143" i="155" s="1"/>
  <c r="L142" i="155"/>
  <c r="J142" i="155" s="1"/>
  <c r="K142" i="155"/>
  <c r="L141" i="155"/>
  <c r="J141" i="155" s="1"/>
  <c r="K141" i="155"/>
  <c r="L140" i="155"/>
  <c r="K140" i="155"/>
  <c r="J140" i="155" s="1"/>
  <c r="L139" i="155"/>
  <c r="J139" i="155" s="1"/>
  <c r="K139" i="155"/>
  <c r="L138" i="155"/>
  <c r="K138" i="155"/>
  <c r="J138" i="155"/>
  <c r="L137" i="155"/>
  <c r="K137" i="155"/>
  <c r="L136" i="155"/>
  <c r="J136" i="155" s="1"/>
  <c r="K136" i="155"/>
  <c r="L135" i="155"/>
  <c r="K135" i="155"/>
  <c r="J135" i="155"/>
  <c r="L134" i="155"/>
  <c r="J134" i="155" s="1"/>
  <c r="K134" i="155"/>
  <c r="L133" i="155"/>
  <c r="J133" i="155" s="1"/>
  <c r="K133" i="155"/>
  <c r="L132" i="155"/>
  <c r="J132" i="155" s="1"/>
  <c r="K132" i="155"/>
  <c r="L131" i="155"/>
  <c r="K131" i="155"/>
  <c r="J131" i="155" s="1"/>
  <c r="L130" i="155"/>
  <c r="J130" i="155" s="1"/>
  <c r="K130" i="155"/>
  <c r="L129" i="155"/>
  <c r="K129" i="155"/>
  <c r="J129" i="155" s="1"/>
  <c r="L128" i="155"/>
  <c r="K128" i="155"/>
  <c r="L127" i="155"/>
  <c r="K127" i="155"/>
  <c r="J127" i="155" s="1"/>
  <c r="L126" i="155"/>
  <c r="J126" i="155" s="1"/>
  <c r="K126" i="155"/>
  <c r="L125" i="155"/>
  <c r="K125" i="155"/>
  <c r="J125" i="155" s="1"/>
  <c r="L124" i="155"/>
  <c r="K124" i="155"/>
  <c r="J124" i="155" s="1"/>
  <c r="L123" i="155"/>
  <c r="J123" i="155" s="1"/>
  <c r="K123" i="155"/>
  <c r="L122" i="155"/>
  <c r="K122" i="155"/>
  <c r="J122" i="155" s="1"/>
  <c r="L121" i="155"/>
  <c r="K121" i="155"/>
  <c r="L120" i="155"/>
  <c r="J120" i="155" s="1"/>
  <c r="K120" i="155"/>
  <c r="L119" i="155"/>
  <c r="K119" i="155"/>
  <c r="J119" i="155" s="1"/>
  <c r="L118" i="155"/>
  <c r="J118" i="155" s="1"/>
  <c r="K118" i="155"/>
  <c r="L117" i="155"/>
  <c r="J117" i="155" s="1"/>
  <c r="K117" i="155"/>
  <c r="L116" i="155"/>
  <c r="K116" i="155"/>
  <c r="J116" i="155" s="1"/>
  <c r="L115" i="155"/>
  <c r="K115" i="155"/>
  <c r="J115" i="155" s="1"/>
  <c r="L114" i="155"/>
  <c r="J114" i="155" s="1"/>
  <c r="K114" i="155"/>
  <c r="L113" i="155"/>
  <c r="K113" i="155"/>
  <c r="L112" i="155"/>
  <c r="K112" i="155"/>
  <c r="J112" i="155" s="1"/>
  <c r="L111" i="155"/>
  <c r="K111" i="155"/>
  <c r="J111" i="155" s="1"/>
  <c r="L110" i="155"/>
  <c r="K110" i="155"/>
  <c r="L109" i="155"/>
  <c r="K109" i="155"/>
  <c r="J109" i="155"/>
  <c r="L108" i="155"/>
  <c r="K108" i="155"/>
  <c r="J108" i="155" s="1"/>
  <c r="L107" i="155"/>
  <c r="K107" i="155"/>
  <c r="J107" i="155" s="1"/>
  <c r="L106" i="155"/>
  <c r="K106" i="155"/>
  <c r="J106" i="155" s="1"/>
  <c r="L105" i="155"/>
  <c r="K105" i="155"/>
  <c r="L104" i="155"/>
  <c r="K104" i="155"/>
  <c r="J104" i="155" s="1"/>
  <c r="L103" i="155"/>
  <c r="K103" i="155"/>
  <c r="J103" i="155" s="1"/>
  <c r="L102" i="155"/>
  <c r="J102" i="155" s="1"/>
  <c r="K102" i="155"/>
  <c r="L101" i="155"/>
  <c r="K101" i="155"/>
  <c r="L100" i="155"/>
  <c r="K100" i="155"/>
  <c r="J100" i="155"/>
  <c r="L99" i="155"/>
  <c r="K99" i="155"/>
  <c r="J99" i="155" s="1"/>
  <c r="L98" i="155"/>
  <c r="K98" i="155"/>
  <c r="J98" i="155" s="1"/>
  <c r="L97" i="155"/>
  <c r="K97" i="155"/>
  <c r="J97" i="155" s="1"/>
  <c r="L96" i="155"/>
  <c r="K96" i="155"/>
  <c r="J96" i="155" s="1"/>
  <c r="L95" i="155"/>
  <c r="K95" i="155"/>
  <c r="J95" i="155"/>
  <c r="L94" i="155"/>
  <c r="J94" i="155" s="1"/>
  <c r="K94" i="155"/>
  <c r="L93" i="155"/>
  <c r="J93" i="155" s="1"/>
  <c r="K93" i="155"/>
  <c r="L92" i="155"/>
  <c r="K92" i="155"/>
  <c r="J92" i="155"/>
  <c r="L91" i="155"/>
  <c r="K91" i="155"/>
  <c r="L90" i="155"/>
  <c r="J90" i="155" s="1"/>
  <c r="K90" i="155"/>
  <c r="L89" i="155"/>
  <c r="K89" i="155"/>
  <c r="J89" i="155" s="1"/>
  <c r="L88" i="155"/>
  <c r="K88" i="155"/>
  <c r="J88" i="155" s="1"/>
  <c r="L87" i="155"/>
  <c r="J87" i="155" s="1"/>
  <c r="K87" i="155"/>
  <c r="L86" i="155"/>
  <c r="K86" i="155"/>
  <c r="J86" i="155"/>
  <c r="L85" i="155"/>
  <c r="J85" i="155" s="1"/>
  <c r="K85" i="155"/>
  <c r="L84" i="155"/>
  <c r="J84" i="155" s="1"/>
  <c r="K84" i="155"/>
  <c r="L83" i="155"/>
  <c r="K83" i="155"/>
  <c r="J83" i="155"/>
  <c r="L82" i="155"/>
  <c r="K82" i="155"/>
  <c r="J82" i="155"/>
  <c r="L81" i="155"/>
  <c r="K81" i="155"/>
  <c r="J81" i="155" s="1"/>
  <c r="L80" i="155"/>
  <c r="K80" i="155"/>
  <c r="J80" i="155" s="1"/>
  <c r="L79" i="155"/>
  <c r="K79" i="155"/>
  <c r="J79" i="155" s="1"/>
  <c r="L78" i="155"/>
  <c r="J78" i="155" s="1"/>
  <c r="K78" i="155"/>
  <c r="L77" i="155"/>
  <c r="J77" i="155" s="1"/>
  <c r="K77" i="155"/>
  <c r="L76" i="155"/>
  <c r="K76" i="155"/>
  <c r="J76" i="155" s="1"/>
  <c r="L75" i="155"/>
  <c r="J75" i="155" s="1"/>
  <c r="K75" i="155"/>
  <c r="L74" i="155"/>
  <c r="K74" i="155"/>
  <c r="J74" i="155"/>
  <c r="L73" i="155"/>
  <c r="K73" i="155"/>
  <c r="L72" i="155"/>
  <c r="J72" i="155" s="1"/>
  <c r="K72" i="155"/>
  <c r="L71" i="155"/>
  <c r="K71" i="155"/>
  <c r="J71" i="155"/>
  <c r="L70" i="155"/>
  <c r="K70" i="155"/>
  <c r="J70" i="155"/>
  <c r="L69" i="155"/>
  <c r="K69" i="155"/>
  <c r="L68" i="155"/>
  <c r="K68" i="155"/>
  <c r="J68" i="155"/>
  <c r="L67" i="155"/>
  <c r="K67" i="155"/>
  <c r="J67" i="155"/>
  <c r="L66" i="155"/>
  <c r="K66" i="155"/>
  <c r="J66" i="155" s="1"/>
  <c r="L65" i="155"/>
  <c r="K65" i="155"/>
  <c r="J65" i="155" s="1"/>
  <c r="L64" i="155"/>
  <c r="K64" i="155"/>
  <c r="L63" i="155"/>
  <c r="J63" i="155" s="1"/>
  <c r="K63" i="155"/>
  <c r="L62" i="155"/>
  <c r="K62" i="155"/>
  <c r="L61" i="155"/>
  <c r="K61" i="155"/>
  <c r="J61" i="155" s="1"/>
  <c r="L60" i="155"/>
  <c r="J60" i="155" s="1"/>
  <c r="K60" i="155"/>
  <c r="L59" i="155"/>
  <c r="K59" i="155"/>
  <c r="J59" i="155"/>
  <c r="L58" i="155"/>
  <c r="K58" i="155"/>
  <c r="J58" i="155"/>
  <c r="L57" i="155"/>
  <c r="K57" i="155"/>
  <c r="J57" i="155" s="1"/>
  <c r="L56" i="155"/>
  <c r="K56" i="155"/>
  <c r="J56" i="155"/>
  <c r="L55" i="155"/>
  <c r="K55" i="155"/>
  <c r="J55" i="155"/>
  <c r="L54" i="155"/>
  <c r="K54" i="155"/>
  <c r="J54" i="155" s="1"/>
  <c r="L53" i="155"/>
  <c r="K53" i="155"/>
  <c r="L52" i="155"/>
  <c r="K52" i="155"/>
  <c r="J52" i="155"/>
  <c r="L51" i="155"/>
  <c r="K51" i="155"/>
  <c r="J51" i="155" s="1"/>
  <c r="L50" i="155"/>
  <c r="K50" i="155"/>
  <c r="J50" i="155" s="1"/>
  <c r="L49" i="155"/>
  <c r="K49" i="155"/>
  <c r="J49" i="155" s="1"/>
  <c r="L48" i="155"/>
  <c r="K48" i="155"/>
  <c r="J48" i="155" s="1"/>
  <c r="L47" i="155"/>
  <c r="K47" i="155"/>
  <c r="J47" i="155"/>
  <c r="L46" i="155"/>
  <c r="K46" i="155"/>
  <c r="L45" i="155"/>
  <c r="J45" i="155" s="1"/>
  <c r="K45" i="155"/>
  <c r="L44" i="155"/>
  <c r="K44" i="155"/>
  <c r="J44" i="155"/>
  <c r="L43" i="155"/>
  <c r="K43" i="155"/>
  <c r="J43" i="155"/>
  <c r="L42" i="155"/>
  <c r="K42" i="155"/>
  <c r="J42" i="155" s="1"/>
  <c r="L41" i="155"/>
  <c r="K41" i="155"/>
  <c r="J41" i="155" s="1"/>
  <c r="L40" i="155"/>
  <c r="K40" i="155"/>
  <c r="J40" i="155"/>
  <c r="L39" i="155"/>
  <c r="K39" i="155"/>
  <c r="J39" i="155" s="1"/>
  <c r="L38" i="155"/>
  <c r="K38" i="155"/>
  <c r="J38" i="155" s="1"/>
  <c r="L37" i="155"/>
  <c r="K37" i="155"/>
  <c r="L36" i="155"/>
  <c r="K36" i="155"/>
  <c r="J36" i="155" s="1"/>
  <c r="L35" i="155"/>
  <c r="K35" i="155"/>
  <c r="J35" i="155" s="1"/>
  <c r="L34" i="155"/>
  <c r="K34" i="155"/>
  <c r="J34" i="155" s="1"/>
  <c r="L33" i="155"/>
  <c r="K33" i="155"/>
  <c r="L32" i="155"/>
  <c r="K32" i="155"/>
  <c r="J32" i="155" s="1"/>
  <c r="L31" i="155"/>
  <c r="K31" i="155"/>
  <c r="J31" i="155"/>
  <c r="L30" i="155"/>
  <c r="J30" i="155" s="1"/>
  <c r="K30" i="155"/>
  <c r="L29" i="155"/>
  <c r="K29" i="155"/>
  <c r="J29" i="155"/>
  <c r="L28" i="155"/>
  <c r="K28" i="155"/>
  <c r="J28" i="155"/>
  <c r="L27" i="155"/>
  <c r="K27" i="155"/>
  <c r="J27" i="155" s="1"/>
  <c r="L26" i="155"/>
  <c r="K26" i="155"/>
  <c r="J26" i="155" s="1"/>
  <c r="L25" i="155"/>
  <c r="K25" i="155"/>
  <c r="J25" i="155" s="1"/>
  <c r="L252" i="56"/>
  <c r="K252" i="56"/>
  <c r="J252" i="56" s="1"/>
  <c r="L251" i="56"/>
  <c r="K251" i="56"/>
  <c r="J251" i="56" s="1"/>
  <c r="L250" i="56"/>
  <c r="K250" i="56"/>
  <c r="J250" i="56"/>
  <c r="L249" i="56"/>
  <c r="J249" i="56" s="1"/>
  <c r="K249" i="56"/>
  <c r="L248" i="56"/>
  <c r="K248" i="56"/>
  <c r="J248" i="56" s="1"/>
  <c r="L247" i="56"/>
  <c r="K247" i="56"/>
  <c r="J247" i="56"/>
  <c r="L246" i="56"/>
  <c r="K246" i="56"/>
  <c r="J246" i="56"/>
  <c r="L245" i="56"/>
  <c r="K245" i="56"/>
  <c r="L244" i="56"/>
  <c r="K244" i="56"/>
  <c r="J244" i="56" s="1"/>
  <c r="L243" i="56"/>
  <c r="J243" i="56" s="1"/>
  <c r="K243" i="56"/>
  <c r="L242" i="56"/>
  <c r="K242" i="56"/>
  <c r="L241" i="56"/>
  <c r="K241" i="56"/>
  <c r="J241" i="56"/>
  <c r="L240" i="56"/>
  <c r="J240" i="56" s="1"/>
  <c r="K240" i="56"/>
  <c r="L239" i="56"/>
  <c r="K239" i="56"/>
  <c r="L238" i="56"/>
  <c r="K238" i="56"/>
  <c r="J238" i="56"/>
  <c r="L237" i="56"/>
  <c r="K237" i="56"/>
  <c r="L236" i="56"/>
  <c r="K236" i="56"/>
  <c r="J236" i="56" s="1"/>
  <c r="L235" i="56"/>
  <c r="K235" i="56"/>
  <c r="J235" i="56"/>
  <c r="L234" i="56"/>
  <c r="J234" i="56" s="1"/>
  <c r="K234" i="56"/>
  <c r="L233" i="56"/>
  <c r="K233" i="56"/>
  <c r="J233" i="56" s="1"/>
  <c r="L232" i="56"/>
  <c r="K232" i="56"/>
  <c r="J232" i="56"/>
  <c r="L231" i="56"/>
  <c r="K231" i="56"/>
  <c r="J231" i="56"/>
  <c r="L230" i="56"/>
  <c r="K230" i="56"/>
  <c r="J230" i="56" s="1"/>
  <c r="L229" i="56"/>
  <c r="K229" i="56"/>
  <c r="J229" i="56" s="1"/>
  <c r="L228" i="56"/>
  <c r="K228" i="56"/>
  <c r="J228" i="56" s="1"/>
  <c r="L227" i="56"/>
  <c r="K227" i="56"/>
  <c r="J227" i="56" s="1"/>
  <c r="L226" i="56"/>
  <c r="K226" i="56"/>
  <c r="J226" i="56" s="1"/>
  <c r="L225" i="56"/>
  <c r="J225" i="56" s="1"/>
  <c r="K225" i="56"/>
  <c r="L224" i="56"/>
  <c r="K224" i="56"/>
  <c r="J224" i="56"/>
  <c r="L223" i="56"/>
  <c r="K223" i="56"/>
  <c r="J223" i="56" s="1"/>
  <c r="L222" i="56"/>
  <c r="K222" i="56"/>
  <c r="J222" i="56" s="1"/>
  <c r="L221" i="56"/>
  <c r="K221" i="56"/>
  <c r="J221" i="56" s="1"/>
  <c r="L220" i="56"/>
  <c r="J220" i="56" s="1"/>
  <c r="K220" i="56"/>
  <c r="L219" i="56"/>
  <c r="K219" i="56"/>
  <c r="J219" i="56" s="1"/>
  <c r="L218" i="56"/>
  <c r="K218" i="56"/>
  <c r="J218" i="56"/>
  <c r="L217" i="56"/>
  <c r="K217" i="56"/>
  <c r="J217" i="56" s="1"/>
  <c r="L216" i="56"/>
  <c r="K216" i="56"/>
  <c r="J216" i="56" s="1"/>
  <c r="L215" i="56"/>
  <c r="K215" i="56"/>
  <c r="J215" i="56" s="1"/>
  <c r="L214" i="56"/>
  <c r="K214" i="56"/>
  <c r="J214" i="56"/>
  <c r="L213" i="56"/>
  <c r="K213" i="56"/>
  <c r="J213" i="56" s="1"/>
  <c r="L212" i="56"/>
  <c r="K212" i="56"/>
  <c r="J212" i="56" s="1"/>
  <c r="L211" i="56"/>
  <c r="K211" i="56"/>
  <c r="J211" i="56" s="1"/>
  <c r="L210" i="56"/>
  <c r="K210" i="56"/>
  <c r="L209" i="56"/>
  <c r="K209" i="56"/>
  <c r="J209" i="56"/>
  <c r="L208" i="56"/>
  <c r="K208" i="56"/>
  <c r="J208" i="56" s="1"/>
  <c r="L207" i="56"/>
  <c r="K207" i="56"/>
  <c r="J207" i="56" s="1"/>
  <c r="L206" i="56"/>
  <c r="K206" i="56"/>
  <c r="J206" i="56" s="1"/>
  <c r="L205" i="56"/>
  <c r="K205" i="56"/>
  <c r="L204" i="56"/>
  <c r="K204" i="56"/>
  <c r="J204" i="56"/>
  <c r="L203" i="56"/>
  <c r="K203" i="56"/>
  <c r="J203" i="56" s="1"/>
  <c r="L202" i="56"/>
  <c r="J202" i="56" s="1"/>
  <c r="K202" i="56"/>
  <c r="L201" i="56"/>
  <c r="K201" i="56"/>
  <c r="J201" i="56" s="1"/>
  <c r="L200" i="56"/>
  <c r="K200" i="56"/>
  <c r="J200" i="56"/>
  <c r="L199" i="56"/>
  <c r="K199" i="56"/>
  <c r="J199" i="56" s="1"/>
  <c r="L198" i="56"/>
  <c r="J198" i="56" s="1"/>
  <c r="K198" i="56"/>
  <c r="L197" i="56"/>
  <c r="K197" i="56"/>
  <c r="J197" i="56" s="1"/>
  <c r="L196" i="56"/>
  <c r="K196" i="56"/>
  <c r="J196" i="56" s="1"/>
  <c r="L195" i="56"/>
  <c r="K195" i="56"/>
  <c r="J195" i="56" s="1"/>
  <c r="L194" i="56"/>
  <c r="K194" i="56"/>
  <c r="L193" i="56"/>
  <c r="J193" i="56" s="1"/>
  <c r="K193" i="56"/>
  <c r="L192" i="56"/>
  <c r="K192" i="56"/>
  <c r="J192" i="56" s="1"/>
  <c r="L191" i="56"/>
  <c r="K191" i="56"/>
  <c r="J191" i="56"/>
  <c r="L190" i="56"/>
  <c r="K190" i="56"/>
  <c r="J190" i="56" s="1"/>
  <c r="L189" i="56"/>
  <c r="K189" i="56"/>
  <c r="L188" i="56"/>
  <c r="K188" i="56"/>
  <c r="J188" i="56"/>
  <c r="L187" i="56"/>
  <c r="K187" i="56"/>
  <c r="J187" i="56" s="1"/>
  <c r="L186" i="56"/>
  <c r="J186" i="56" s="1"/>
  <c r="K186" i="56"/>
  <c r="L185" i="56"/>
  <c r="K185" i="56"/>
  <c r="J185" i="56" s="1"/>
  <c r="L184" i="56"/>
  <c r="K184" i="56"/>
  <c r="J184" i="56"/>
  <c r="L183" i="56"/>
  <c r="K183" i="56"/>
  <c r="J183" i="56" s="1"/>
  <c r="L182" i="56"/>
  <c r="J182" i="56" s="1"/>
  <c r="K182" i="56"/>
  <c r="L181" i="56"/>
  <c r="K181" i="56"/>
  <c r="J181" i="56" s="1"/>
  <c r="L180" i="56"/>
  <c r="K180" i="56"/>
  <c r="J180" i="56" s="1"/>
  <c r="L179" i="56"/>
  <c r="K179" i="56"/>
  <c r="J179" i="56" s="1"/>
  <c r="L178" i="56"/>
  <c r="K178" i="56"/>
  <c r="L177" i="56"/>
  <c r="J177" i="56" s="1"/>
  <c r="K177" i="56"/>
  <c r="L176" i="56"/>
  <c r="K176" i="56"/>
  <c r="J176" i="56" s="1"/>
  <c r="L175" i="56"/>
  <c r="K175" i="56"/>
  <c r="L174" i="56"/>
  <c r="J174" i="56" s="1"/>
  <c r="K174" i="56"/>
  <c r="L173" i="56"/>
  <c r="K173" i="56"/>
  <c r="J173" i="56" s="1"/>
  <c r="L172" i="56"/>
  <c r="K172" i="56"/>
  <c r="J172" i="56" s="1"/>
  <c r="L171" i="56"/>
  <c r="J171" i="56" s="1"/>
  <c r="K171" i="56"/>
  <c r="L170" i="56"/>
  <c r="K170" i="56"/>
  <c r="J170" i="56" s="1"/>
  <c r="L169" i="56"/>
  <c r="K169" i="56"/>
  <c r="J169" i="56"/>
  <c r="L168" i="56"/>
  <c r="K168" i="56"/>
  <c r="J168" i="56" s="1"/>
  <c r="L167" i="56"/>
  <c r="J167" i="56" s="1"/>
  <c r="K167" i="56"/>
  <c r="L166" i="56"/>
  <c r="K166" i="56"/>
  <c r="J166" i="56" s="1"/>
  <c r="L165" i="56"/>
  <c r="K165" i="56"/>
  <c r="L164" i="56"/>
  <c r="K164" i="56"/>
  <c r="L163" i="56"/>
  <c r="K163" i="56"/>
  <c r="J163" i="56"/>
  <c r="L162" i="56"/>
  <c r="K162" i="56"/>
  <c r="J162" i="56" s="1"/>
  <c r="L161" i="56"/>
  <c r="K161" i="56"/>
  <c r="J161" i="56" s="1"/>
  <c r="L160" i="56"/>
  <c r="K160" i="56"/>
  <c r="J160" i="56"/>
  <c r="L159" i="56"/>
  <c r="K159" i="56"/>
  <c r="J159" i="56" s="1"/>
  <c r="L158" i="56"/>
  <c r="J158" i="56" s="1"/>
  <c r="K158" i="56"/>
  <c r="L157" i="56"/>
  <c r="K157" i="56"/>
  <c r="J157" i="56" s="1"/>
  <c r="L156" i="56"/>
  <c r="K156" i="56"/>
  <c r="J156" i="56" s="1"/>
  <c r="L155" i="56"/>
  <c r="J155" i="56" s="1"/>
  <c r="K155" i="56"/>
  <c r="L154" i="56"/>
  <c r="K154" i="56"/>
  <c r="J154" i="56" s="1"/>
  <c r="L153" i="56"/>
  <c r="K153" i="56"/>
  <c r="J153" i="56"/>
  <c r="L152" i="56"/>
  <c r="K152" i="56"/>
  <c r="J152" i="56" s="1"/>
  <c r="L151" i="56"/>
  <c r="J151" i="56" s="1"/>
  <c r="K151" i="56"/>
  <c r="L150" i="56"/>
  <c r="K150" i="56"/>
  <c r="J150" i="56" s="1"/>
  <c r="L149" i="56"/>
  <c r="K149" i="56"/>
  <c r="L148" i="56"/>
  <c r="K148" i="56"/>
  <c r="L147" i="56"/>
  <c r="K147" i="56"/>
  <c r="J147" i="56"/>
  <c r="L146" i="56"/>
  <c r="K146" i="56"/>
  <c r="J146" i="56" s="1"/>
  <c r="L145" i="56"/>
  <c r="K145" i="56"/>
  <c r="J145" i="56" s="1"/>
  <c r="L144" i="56"/>
  <c r="K144" i="56"/>
  <c r="J144" i="56" s="1"/>
  <c r="L143" i="56"/>
  <c r="K143" i="56"/>
  <c r="J143" i="56" s="1"/>
  <c r="L142" i="56"/>
  <c r="K142" i="56"/>
  <c r="J142" i="56" s="1"/>
  <c r="L141" i="56"/>
  <c r="K141" i="56"/>
  <c r="L140" i="56"/>
  <c r="K140" i="56"/>
  <c r="J140" i="56" s="1"/>
  <c r="L139" i="56"/>
  <c r="K139" i="56"/>
  <c r="J139" i="56" s="1"/>
  <c r="L138" i="56"/>
  <c r="J138" i="56" s="1"/>
  <c r="K138" i="56"/>
  <c r="L137" i="56"/>
  <c r="J137" i="56" s="1"/>
  <c r="K137" i="56"/>
  <c r="L136" i="56"/>
  <c r="K136" i="56"/>
  <c r="J136" i="56" s="1"/>
  <c r="L135" i="56"/>
  <c r="J135" i="56" s="1"/>
  <c r="K135" i="56"/>
  <c r="L134" i="56"/>
  <c r="K134" i="56"/>
  <c r="J134" i="56" s="1"/>
  <c r="L133" i="56"/>
  <c r="K133" i="56"/>
  <c r="J133" i="56" s="1"/>
  <c r="L132" i="56"/>
  <c r="K132" i="56"/>
  <c r="L131" i="56"/>
  <c r="K131" i="56"/>
  <c r="J131" i="56" s="1"/>
  <c r="L130" i="56"/>
  <c r="K130" i="56"/>
  <c r="J130" i="56" s="1"/>
  <c r="L129" i="56"/>
  <c r="K129" i="56"/>
  <c r="J129" i="56" s="1"/>
  <c r="L128" i="56"/>
  <c r="K128" i="56"/>
  <c r="J128" i="56" s="1"/>
  <c r="L127" i="56"/>
  <c r="K127" i="56"/>
  <c r="J127" i="56" s="1"/>
  <c r="L126" i="56"/>
  <c r="J126" i="56" s="1"/>
  <c r="K126" i="56"/>
  <c r="L125" i="56"/>
  <c r="K125" i="56"/>
  <c r="L124" i="56"/>
  <c r="K124" i="56"/>
  <c r="J124" i="56" s="1"/>
  <c r="L123" i="56"/>
  <c r="J123" i="56" s="1"/>
  <c r="K123" i="56"/>
  <c r="L122" i="56"/>
  <c r="K122" i="56"/>
  <c r="J122" i="56" s="1"/>
  <c r="L121" i="56"/>
  <c r="K121" i="56"/>
  <c r="J121" i="56"/>
  <c r="L120" i="56"/>
  <c r="K120" i="56"/>
  <c r="J120" i="56" s="1"/>
  <c r="L119" i="56"/>
  <c r="K119" i="56"/>
  <c r="J119" i="56"/>
  <c r="L118" i="56"/>
  <c r="K118" i="56"/>
  <c r="J118" i="56" s="1"/>
  <c r="L117" i="56"/>
  <c r="K117" i="56"/>
  <c r="L116" i="56"/>
  <c r="K116" i="56"/>
  <c r="L115" i="56"/>
  <c r="K115" i="56"/>
  <c r="J115" i="56"/>
  <c r="L114" i="56"/>
  <c r="K114" i="56"/>
  <c r="J114" i="56" s="1"/>
  <c r="L113" i="56"/>
  <c r="K113" i="56"/>
  <c r="J113" i="56" s="1"/>
  <c r="L112" i="56"/>
  <c r="K112" i="56"/>
  <c r="J112" i="56"/>
  <c r="L111" i="56"/>
  <c r="K111" i="56"/>
  <c r="J111" i="56" s="1"/>
  <c r="L110" i="56"/>
  <c r="J110" i="56" s="1"/>
  <c r="K110" i="56"/>
  <c r="L109" i="56"/>
  <c r="K109" i="56"/>
  <c r="J109" i="56" s="1"/>
  <c r="L108" i="56"/>
  <c r="K108" i="56"/>
  <c r="L107" i="56"/>
  <c r="J107" i="56" s="1"/>
  <c r="K107" i="56"/>
  <c r="L106" i="56"/>
  <c r="K106" i="56"/>
  <c r="J106" i="56" s="1"/>
  <c r="L105" i="56"/>
  <c r="K105" i="56"/>
  <c r="J105" i="56"/>
  <c r="L104" i="56"/>
  <c r="K104" i="56"/>
  <c r="J104" i="56"/>
  <c r="L103" i="56"/>
  <c r="K103" i="56"/>
  <c r="J103" i="56" s="1"/>
  <c r="L102" i="56"/>
  <c r="K102" i="56"/>
  <c r="J102" i="56" s="1"/>
  <c r="L101" i="56"/>
  <c r="K101" i="56"/>
  <c r="J101" i="56" s="1"/>
  <c r="L100" i="56"/>
  <c r="K100" i="56"/>
  <c r="J100" i="56" s="1"/>
  <c r="L99" i="56"/>
  <c r="K99" i="56"/>
  <c r="J99" i="56"/>
  <c r="L98" i="56"/>
  <c r="K98" i="56"/>
  <c r="J98" i="56" s="1"/>
  <c r="L97" i="56"/>
  <c r="K97" i="56"/>
  <c r="J97" i="56"/>
  <c r="L96" i="56"/>
  <c r="K96" i="56"/>
  <c r="J96" i="56"/>
  <c r="L95" i="56"/>
  <c r="K95" i="56"/>
  <c r="J95" i="56"/>
  <c r="L94" i="56"/>
  <c r="K94" i="56"/>
  <c r="J94" i="56" s="1"/>
  <c r="L93" i="56"/>
  <c r="K93" i="56"/>
  <c r="J93" i="56" s="1"/>
  <c r="L92" i="56"/>
  <c r="K92" i="56"/>
  <c r="J92" i="56"/>
  <c r="L91" i="56"/>
  <c r="K91" i="56"/>
  <c r="J91" i="56" s="1"/>
  <c r="L90" i="56"/>
  <c r="K90" i="56"/>
  <c r="J90" i="56" s="1"/>
  <c r="L89" i="56"/>
  <c r="K89" i="56"/>
  <c r="J89" i="56"/>
  <c r="L88" i="56"/>
  <c r="K88" i="56"/>
  <c r="J88" i="56" s="1"/>
  <c r="L87" i="56"/>
  <c r="J87" i="56" s="1"/>
  <c r="K87" i="56"/>
  <c r="L86" i="56"/>
  <c r="K86" i="56"/>
  <c r="J86" i="56"/>
  <c r="L85" i="56"/>
  <c r="K85" i="56"/>
  <c r="L84" i="56"/>
  <c r="K84" i="56"/>
  <c r="L83" i="56"/>
  <c r="K83" i="56"/>
  <c r="J83" i="56"/>
  <c r="L82" i="56"/>
  <c r="J82" i="56" s="1"/>
  <c r="K82" i="56"/>
  <c r="L81" i="56"/>
  <c r="K81" i="56"/>
  <c r="J81" i="56" s="1"/>
  <c r="L80" i="56"/>
  <c r="K80" i="56"/>
  <c r="J80" i="56"/>
  <c r="L79" i="56"/>
  <c r="K79" i="56"/>
  <c r="J79" i="56" s="1"/>
  <c r="L78" i="56"/>
  <c r="J78" i="56" s="1"/>
  <c r="K78" i="56"/>
  <c r="L77" i="56"/>
  <c r="K77" i="56"/>
  <c r="J77" i="56" s="1"/>
  <c r="L76" i="56"/>
  <c r="K76" i="56"/>
  <c r="J76" i="56" s="1"/>
  <c r="L75" i="56"/>
  <c r="J75" i="56" s="1"/>
  <c r="K75" i="56"/>
  <c r="L74" i="56"/>
  <c r="K74" i="56"/>
  <c r="J74" i="56"/>
  <c r="L73" i="56"/>
  <c r="K73" i="56"/>
  <c r="J73" i="56"/>
  <c r="L72" i="56"/>
  <c r="K72" i="56"/>
  <c r="J72" i="56"/>
  <c r="L71" i="56"/>
  <c r="K71" i="56"/>
  <c r="J71" i="56" s="1"/>
  <c r="L70" i="56"/>
  <c r="K70" i="56"/>
  <c r="J70" i="56" s="1"/>
  <c r="L69" i="56"/>
  <c r="K69" i="56"/>
  <c r="J69" i="56" s="1"/>
  <c r="L68" i="56"/>
  <c r="K68" i="56"/>
  <c r="J68" i="56" s="1"/>
  <c r="L67" i="56"/>
  <c r="K67" i="56"/>
  <c r="J67" i="56" s="1"/>
  <c r="L66" i="56"/>
  <c r="K66" i="56"/>
  <c r="J66" i="56" s="1"/>
  <c r="L65" i="56"/>
  <c r="K65" i="56"/>
  <c r="J65" i="56"/>
  <c r="L64" i="56"/>
  <c r="K64" i="56"/>
  <c r="J64" i="56" s="1"/>
  <c r="L63" i="56"/>
  <c r="K63" i="56"/>
  <c r="J63" i="56" s="1"/>
  <c r="L62" i="56"/>
  <c r="J62" i="56" s="1"/>
  <c r="K62" i="56"/>
  <c r="L61" i="56"/>
  <c r="K61" i="56"/>
  <c r="L60" i="56"/>
  <c r="K60" i="56"/>
  <c r="J60" i="56" s="1"/>
  <c r="L59" i="56"/>
  <c r="J59" i="56" s="1"/>
  <c r="K59" i="56"/>
  <c r="L58" i="56"/>
  <c r="K58" i="56"/>
  <c r="L57" i="56"/>
  <c r="K57" i="56"/>
  <c r="J57" i="56" s="1"/>
  <c r="L56" i="56"/>
  <c r="J56" i="56" s="1"/>
  <c r="K56" i="56"/>
  <c r="L55" i="56"/>
  <c r="K55" i="56"/>
  <c r="J55" i="56" s="1"/>
  <c r="L54" i="56"/>
  <c r="J54" i="56" s="1"/>
  <c r="K54" i="56"/>
  <c r="L53" i="56"/>
  <c r="K53" i="56"/>
  <c r="J53" i="56" s="1"/>
  <c r="L52" i="56"/>
  <c r="K52" i="56"/>
  <c r="L51" i="56"/>
  <c r="K51" i="56"/>
  <c r="J51" i="56" s="1"/>
  <c r="L50" i="56"/>
  <c r="K50" i="56"/>
  <c r="L49" i="56"/>
  <c r="K49" i="56"/>
  <c r="J49" i="56" s="1"/>
  <c r="L48" i="56"/>
  <c r="K48" i="56"/>
  <c r="J48" i="56" s="1"/>
  <c r="L47" i="56"/>
  <c r="K47" i="56"/>
  <c r="J47" i="56" s="1"/>
  <c r="L46" i="56"/>
  <c r="K46" i="56"/>
  <c r="J46" i="56" s="1"/>
  <c r="L45" i="56"/>
  <c r="K45" i="56"/>
  <c r="J45" i="56" s="1"/>
  <c r="L44" i="56"/>
  <c r="K44" i="56"/>
  <c r="L43" i="56"/>
  <c r="K43" i="56"/>
  <c r="L42" i="56"/>
  <c r="K42" i="56"/>
  <c r="J42" i="56" s="1"/>
  <c r="L41" i="56"/>
  <c r="K41" i="56"/>
  <c r="J41" i="56" s="1"/>
  <c r="L40" i="56"/>
  <c r="K40" i="56"/>
  <c r="J40" i="56" s="1"/>
  <c r="L39" i="56"/>
  <c r="K39" i="56"/>
  <c r="L38" i="56"/>
  <c r="K38" i="56"/>
  <c r="J38" i="56" s="1"/>
  <c r="L37" i="56"/>
  <c r="K37" i="56"/>
  <c r="L36" i="56"/>
  <c r="K36" i="56"/>
  <c r="J36" i="56" s="1"/>
  <c r="L35" i="56"/>
  <c r="K35" i="56"/>
  <c r="L34" i="56"/>
  <c r="K34" i="56"/>
  <c r="J34" i="56" s="1"/>
  <c r="L33" i="56"/>
  <c r="K33" i="56"/>
  <c r="L32" i="56"/>
  <c r="K32" i="56"/>
  <c r="J32" i="56" s="1"/>
  <c r="L31" i="56"/>
  <c r="K31" i="56"/>
  <c r="J31" i="56" s="1"/>
  <c r="L30" i="56"/>
  <c r="K30" i="56"/>
  <c r="J30" i="56" s="1"/>
  <c r="L29" i="56"/>
  <c r="K29" i="56"/>
  <c r="J29" i="56" s="1"/>
  <c r="L28" i="56"/>
  <c r="K28" i="56"/>
  <c r="J28" i="56" s="1"/>
  <c r="L27" i="56"/>
  <c r="K27" i="56"/>
  <c r="J27" i="56"/>
  <c r="L26" i="56"/>
  <c r="K26" i="56"/>
  <c r="L25" i="56"/>
  <c r="K25" i="56"/>
  <c r="J25" i="56"/>
  <c r="D16" i="156" a="1"/>
  <c r="C16" i="156" a="1"/>
  <c r="J72" i="144" l="1"/>
  <c r="J115" i="144"/>
  <c r="J56" i="144"/>
  <c r="J53" i="144"/>
  <c r="J65" i="144"/>
  <c r="J62" i="144"/>
  <c r="J63" i="144"/>
  <c r="J49" i="144"/>
  <c r="J46" i="144"/>
  <c r="J44" i="144"/>
  <c r="J70" i="144"/>
  <c r="J68" i="144"/>
  <c r="J67" i="144"/>
  <c r="J66" i="144"/>
  <c r="J54" i="144"/>
  <c r="J50" i="144"/>
  <c r="J40" i="144"/>
  <c r="J34" i="144"/>
  <c r="J33" i="144"/>
  <c r="J29" i="144"/>
  <c r="J69" i="144"/>
  <c r="J45" i="144"/>
  <c r="J43" i="144"/>
  <c r="J37" i="144"/>
  <c r="J36" i="144"/>
  <c r="J35" i="144"/>
  <c r="J32" i="144"/>
  <c r="J28" i="144"/>
  <c r="J59" i="144"/>
  <c r="J52" i="144"/>
  <c r="J51" i="144"/>
  <c r="J47" i="144"/>
  <c r="J38" i="144"/>
  <c r="J31" i="144"/>
  <c r="J30" i="144"/>
  <c r="J25" i="144"/>
  <c r="J75" i="143"/>
  <c r="J70" i="143"/>
  <c r="J62" i="143"/>
  <c r="J57" i="143"/>
  <c r="J35" i="143"/>
  <c r="J28" i="143"/>
  <c r="J94" i="143"/>
  <c r="J81" i="143"/>
  <c r="J77" i="143"/>
  <c r="J63" i="143"/>
  <c r="J41" i="143"/>
  <c r="J40" i="143"/>
  <c r="J38" i="143"/>
  <c r="J106" i="143"/>
  <c r="J104" i="143"/>
  <c r="J103" i="143"/>
  <c r="J80" i="143"/>
  <c r="J73" i="143"/>
  <c r="J51" i="143"/>
  <c r="J44" i="143"/>
  <c r="J93" i="143"/>
  <c r="J33" i="143"/>
  <c r="J76" i="143"/>
  <c r="J71" i="143"/>
  <c r="J67" i="143"/>
  <c r="J64" i="143"/>
  <c r="J61" i="143"/>
  <c r="J48" i="143"/>
  <c r="J74" i="143"/>
  <c r="J65" i="143"/>
  <c r="J39" i="143"/>
  <c r="J58" i="143"/>
  <c r="J56" i="143"/>
  <c r="J59" i="143"/>
  <c r="J83" i="143"/>
  <c r="J32" i="143"/>
  <c r="J84" i="143"/>
  <c r="J101" i="143"/>
  <c r="J90" i="143"/>
  <c r="J96" i="143"/>
  <c r="J102" i="143"/>
  <c r="J69" i="143"/>
  <c r="J52" i="143"/>
  <c r="J60" i="143"/>
  <c r="J31" i="142"/>
  <c r="J47" i="142"/>
  <c r="J59" i="142"/>
  <c r="J63" i="142"/>
  <c r="J75" i="142"/>
  <c r="J32" i="142"/>
  <c r="J25" i="142"/>
  <c r="J29" i="142"/>
  <c r="J33" i="142"/>
  <c r="J45" i="142"/>
  <c r="J57" i="142"/>
  <c r="J61" i="142"/>
  <c r="J69" i="142"/>
  <c r="J73" i="142"/>
  <c r="J65" i="142"/>
  <c r="J72" i="142"/>
  <c r="J39" i="142"/>
  <c r="J51" i="142"/>
  <c r="J48" i="142"/>
  <c r="J52" i="142"/>
  <c r="J49" i="142"/>
  <c r="J29" i="141"/>
  <c r="J41" i="141"/>
  <c r="J45" i="141"/>
  <c r="J49" i="141"/>
  <c r="J53" i="141"/>
  <c r="J57" i="141"/>
  <c r="J65" i="141"/>
  <c r="J69" i="141"/>
  <c r="J73" i="141"/>
  <c r="J27" i="141"/>
  <c r="J43" i="141"/>
  <c r="J51" i="141"/>
  <c r="J59" i="141"/>
  <c r="J75" i="141"/>
  <c r="J32" i="141"/>
  <c r="J68" i="141"/>
  <c r="J77" i="141"/>
  <c r="J37" i="141"/>
  <c r="J60" i="141"/>
  <c r="J44" i="141"/>
  <c r="J62" i="141"/>
  <c r="J35" i="141"/>
  <c r="J31" i="140"/>
  <c r="J35" i="140"/>
  <c r="J39" i="140"/>
  <c r="J47" i="140"/>
  <c r="J55" i="140"/>
  <c r="J79" i="140"/>
  <c r="J87" i="140"/>
  <c r="J103" i="140"/>
  <c r="J100" i="140"/>
  <c r="J106" i="140"/>
  <c r="J25" i="140"/>
  <c r="J29" i="140"/>
  <c r="J41" i="140"/>
  <c r="J45" i="140"/>
  <c r="J53" i="140"/>
  <c r="J57" i="140"/>
  <c r="J61" i="140"/>
  <c r="J65" i="140"/>
  <c r="J69" i="140"/>
  <c r="J73" i="140"/>
  <c r="J81" i="140"/>
  <c r="J85" i="140"/>
  <c r="J101" i="140"/>
  <c r="J105" i="140"/>
  <c r="J28" i="140"/>
  <c r="J32" i="140"/>
  <c r="J36" i="140"/>
  <c r="J48" i="140"/>
  <c r="J60" i="140"/>
  <c r="J64" i="140"/>
  <c r="J76" i="140"/>
  <c r="J80" i="140"/>
  <c r="J84" i="140"/>
  <c r="J92" i="140"/>
  <c r="J96" i="140"/>
  <c r="J93" i="140"/>
  <c r="J26" i="140"/>
  <c r="J30" i="140"/>
  <c r="J38" i="140"/>
  <c r="J42" i="140"/>
  <c r="J50" i="140"/>
  <c r="J54" i="140"/>
  <c r="J66" i="140"/>
  <c r="J74" i="140"/>
  <c r="J86" i="140"/>
  <c r="J95" i="140"/>
  <c r="J104" i="140"/>
  <c r="J27" i="140"/>
  <c r="J72" i="140"/>
  <c r="J71" i="140"/>
  <c r="J44" i="140"/>
  <c r="J56" i="140"/>
  <c r="J37" i="140"/>
  <c r="J88" i="140"/>
  <c r="J107" i="140"/>
  <c r="J90" i="140"/>
  <c r="J34" i="140"/>
  <c r="J33" i="140"/>
  <c r="J28" i="139"/>
  <c r="J40" i="139"/>
  <c r="J44" i="139"/>
  <c r="J48" i="139"/>
  <c r="J52" i="139"/>
  <c r="J60" i="139"/>
  <c r="J64" i="139"/>
  <c r="J72" i="139"/>
  <c r="J76" i="139"/>
  <c r="J33" i="139"/>
  <c r="J41" i="139"/>
  <c r="J69" i="139"/>
  <c r="J73" i="139"/>
  <c r="J27" i="139"/>
  <c r="J31" i="139"/>
  <c r="J35" i="139"/>
  <c r="J39" i="139"/>
  <c r="J43" i="139"/>
  <c r="J55" i="139"/>
  <c r="J59" i="139"/>
  <c r="J71" i="139"/>
  <c r="J75" i="139"/>
  <c r="J26" i="139"/>
  <c r="J38" i="139"/>
  <c r="J46" i="139"/>
  <c r="J62" i="139"/>
  <c r="J66" i="139"/>
  <c r="J70" i="139"/>
  <c r="J47" i="139"/>
  <c r="J32" i="139"/>
  <c r="J115" i="139"/>
  <c r="J74" i="139"/>
  <c r="J57" i="139"/>
  <c r="J50" i="139"/>
  <c r="J51" i="139"/>
  <c r="J44" i="56"/>
  <c r="J33" i="56"/>
  <c r="J37" i="56"/>
  <c r="J52" i="56"/>
  <c r="J58" i="56"/>
  <c r="J61" i="56"/>
  <c r="J26" i="56"/>
  <c r="J35" i="56"/>
  <c r="J39" i="56"/>
  <c r="J43" i="56"/>
  <c r="J108" i="56"/>
  <c r="J85" i="56"/>
  <c r="J117" i="56"/>
  <c r="J45" i="154"/>
  <c r="J60" i="154"/>
  <c r="J69" i="154"/>
  <c r="J93" i="154"/>
  <c r="J122" i="154"/>
  <c r="J161" i="154"/>
  <c r="J188" i="154"/>
  <c r="J197" i="154"/>
  <c r="J221" i="154"/>
  <c r="J250" i="154"/>
  <c r="J88" i="153"/>
  <c r="J97" i="153"/>
  <c r="J164" i="153"/>
  <c r="J176" i="153"/>
  <c r="J164" i="56"/>
  <c r="J205" i="56"/>
  <c r="J69" i="155"/>
  <c r="J121" i="155"/>
  <c r="J185" i="155"/>
  <c r="J249" i="155"/>
  <c r="J141" i="154"/>
  <c r="J177" i="153"/>
  <c r="J132" i="56"/>
  <c r="J141" i="56"/>
  <c r="J33" i="154"/>
  <c r="J42" i="154"/>
  <c r="J61" i="154"/>
  <c r="J90" i="154"/>
  <c r="J218" i="154"/>
  <c r="J29" i="153"/>
  <c r="J56" i="153"/>
  <c r="J65" i="153"/>
  <c r="J89" i="153"/>
  <c r="J118" i="153"/>
  <c r="J130" i="153"/>
  <c r="J165" i="153"/>
  <c r="J187" i="153"/>
  <c r="J194" i="153"/>
  <c r="J203" i="153"/>
  <c r="J210" i="153"/>
  <c r="J219" i="153"/>
  <c r="J226" i="153"/>
  <c r="J165" i="56"/>
  <c r="J194" i="56"/>
  <c r="J245" i="56"/>
  <c r="J37" i="155"/>
  <c r="J64" i="155"/>
  <c r="J73" i="155"/>
  <c r="J91" i="155"/>
  <c r="J137" i="155"/>
  <c r="J201" i="155"/>
  <c r="J138" i="154"/>
  <c r="J177" i="154"/>
  <c r="J213" i="154"/>
  <c r="J239" i="56"/>
  <c r="J242" i="56"/>
  <c r="J46" i="155"/>
  <c r="J113" i="155"/>
  <c r="J128" i="155"/>
  <c r="J177" i="155"/>
  <c r="J192" i="155"/>
  <c r="J34" i="154"/>
  <c r="J49" i="154"/>
  <c r="J58" i="154"/>
  <c r="J97" i="154"/>
  <c r="J133" i="154"/>
  <c r="J157" i="154"/>
  <c r="J225" i="154"/>
  <c r="J33" i="153"/>
  <c r="J57" i="153"/>
  <c r="J86" i="153"/>
  <c r="J148" i="56"/>
  <c r="J189" i="56"/>
  <c r="J106" i="154"/>
  <c r="J234" i="154"/>
  <c r="J131" i="153"/>
  <c r="J138" i="153"/>
  <c r="J179" i="153"/>
  <c r="J84" i="56"/>
  <c r="J116" i="56"/>
  <c r="J210" i="56"/>
  <c r="J53" i="155"/>
  <c r="J101" i="155"/>
  <c r="J110" i="155"/>
  <c r="J150" i="155"/>
  <c r="J165" i="155"/>
  <c r="J174" i="155"/>
  <c r="J214" i="155"/>
  <c r="J29" i="154"/>
  <c r="J44" i="154"/>
  <c r="J50" i="154"/>
  <c r="J65" i="154"/>
  <c r="J92" i="154"/>
  <c r="J101" i="154"/>
  <c r="J125" i="154"/>
  <c r="J154" i="154"/>
  <c r="J193" i="154"/>
  <c r="J220" i="154"/>
  <c r="J93" i="153"/>
  <c r="J151" i="153"/>
  <c r="J125" i="56"/>
  <c r="J149" i="56"/>
  <c r="J175" i="56"/>
  <c r="J178" i="56"/>
  <c r="J237" i="56"/>
  <c r="J33" i="155"/>
  <c r="J62" i="155"/>
  <c r="J105" i="155"/>
  <c r="J169" i="155"/>
  <c r="J233" i="155"/>
  <c r="J140" i="154"/>
  <c r="J149" i="154"/>
  <c r="J241" i="154"/>
  <c r="J49" i="153"/>
  <c r="J73" i="153"/>
  <c r="J139" i="153"/>
  <c r="J145" i="153"/>
  <c r="J212" i="153"/>
  <c r="J215" i="153"/>
  <c r="J221" i="153"/>
  <c r="J224" i="153"/>
  <c r="J163" i="152"/>
  <c r="J173" i="152"/>
  <c r="J183" i="152"/>
  <c r="J190" i="152"/>
  <c r="J203" i="152"/>
  <c r="J229" i="152"/>
  <c r="J41" i="151"/>
  <c r="J57" i="151"/>
  <c r="J73" i="151"/>
  <c r="J89" i="151"/>
  <c r="J105" i="151"/>
  <c r="J121" i="151"/>
  <c r="J137" i="151"/>
  <c r="J153" i="151"/>
  <c r="J169" i="151"/>
  <c r="J185" i="151"/>
  <c r="J201" i="151"/>
  <c r="J217" i="151"/>
  <c r="J233" i="151"/>
  <c r="J249" i="151"/>
  <c r="J37" i="150"/>
  <c r="J53" i="150"/>
  <c r="J127" i="150"/>
  <c r="J143" i="150"/>
  <c r="J159" i="150"/>
  <c r="J175" i="150"/>
  <c r="J191" i="150"/>
  <c r="J207" i="150"/>
  <c r="J223" i="150"/>
  <c r="J89" i="149"/>
  <c r="J108" i="149"/>
  <c r="J127" i="149"/>
  <c r="J143" i="149"/>
  <c r="J155" i="149"/>
  <c r="J241" i="153"/>
  <c r="J29" i="152"/>
  <c r="J62" i="152"/>
  <c r="J82" i="152"/>
  <c r="J89" i="152"/>
  <c r="J92" i="152"/>
  <c r="J96" i="152"/>
  <c r="J99" i="152"/>
  <c r="J156" i="152"/>
  <c r="J243" i="152"/>
  <c r="J131" i="151"/>
  <c r="J147" i="151"/>
  <c r="J163" i="151"/>
  <c r="J179" i="151"/>
  <c r="J195" i="151"/>
  <c r="J211" i="151"/>
  <c r="J110" i="152"/>
  <c r="J123" i="152"/>
  <c r="J167" i="152"/>
  <c r="J174" i="152"/>
  <c r="J187" i="152"/>
  <c r="J197" i="152"/>
  <c r="J217" i="152"/>
  <c r="J220" i="152"/>
  <c r="J224" i="152"/>
  <c r="J227" i="152"/>
  <c r="J237" i="152"/>
  <c r="J247" i="152"/>
  <c r="J83" i="150"/>
  <c r="J99" i="150"/>
  <c r="J115" i="150"/>
  <c r="J144" i="150"/>
  <c r="J160" i="150"/>
  <c r="J176" i="150"/>
  <c r="J192" i="150"/>
  <c r="J208" i="150"/>
  <c r="J243" i="150"/>
  <c r="J40" i="149"/>
  <c r="J84" i="149"/>
  <c r="J87" i="149"/>
  <c r="J109" i="149"/>
  <c r="J121" i="149"/>
  <c r="J152" i="149"/>
  <c r="J235" i="153"/>
  <c r="J208" i="152"/>
  <c r="J211" i="152"/>
  <c r="J221" i="152"/>
  <c r="J135" i="151"/>
  <c r="J151" i="151"/>
  <c r="J167" i="151"/>
  <c r="J183" i="151"/>
  <c r="J199" i="151"/>
  <c r="J215" i="151"/>
  <c r="J231" i="151"/>
  <c r="J247" i="151"/>
  <c r="J31" i="149"/>
  <c r="J34" i="149"/>
  <c r="J47" i="149"/>
  <c r="J50" i="149"/>
  <c r="J100" i="149"/>
  <c r="J103" i="149"/>
  <c r="J125" i="149"/>
  <c r="J53" i="152"/>
  <c r="J66" i="152"/>
  <c r="J117" i="152"/>
  <c r="J231" i="152"/>
  <c r="J238" i="152"/>
  <c r="J251" i="152"/>
  <c r="J64" i="150"/>
  <c r="J80" i="150"/>
  <c r="J96" i="150"/>
  <c r="J112" i="150"/>
  <c r="J27" i="152"/>
  <c r="J50" i="152"/>
  <c r="J57" i="152"/>
  <c r="J67" i="152"/>
  <c r="J114" i="152"/>
  <c r="J124" i="152"/>
  <c r="J148" i="152"/>
  <c r="J185" i="152"/>
  <c r="J188" i="152"/>
  <c r="J192" i="152"/>
  <c r="J33" i="151"/>
  <c r="J49" i="151"/>
  <c r="J65" i="151"/>
  <c r="J81" i="151"/>
  <c r="J97" i="151"/>
  <c r="J129" i="151"/>
  <c r="J145" i="151"/>
  <c r="J161" i="151"/>
  <c r="J177" i="151"/>
  <c r="J193" i="151"/>
  <c r="J209" i="151"/>
  <c r="J225" i="151"/>
  <c r="J241" i="151"/>
  <c r="J29" i="150"/>
  <c r="J45" i="150"/>
  <c r="J61" i="150"/>
  <c r="J65" i="150"/>
  <c r="J77" i="150"/>
  <c r="J81" i="150"/>
  <c r="J93" i="150"/>
  <c r="J97" i="150"/>
  <c r="J109" i="150"/>
  <c r="J113" i="150"/>
  <c r="J25" i="149"/>
  <c r="J41" i="149"/>
  <c r="J60" i="149"/>
  <c r="J189" i="152"/>
  <c r="J199" i="152"/>
  <c r="J206" i="152"/>
  <c r="J235" i="152"/>
  <c r="J245" i="152"/>
  <c r="J133" i="151"/>
  <c r="J149" i="151"/>
  <c r="J165" i="151"/>
  <c r="J181" i="151"/>
  <c r="J197" i="151"/>
  <c r="J213" i="151"/>
  <c r="J33" i="150"/>
  <c r="J49" i="150"/>
  <c r="J120" i="150"/>
  <c r="J123" i="150"/>
  <c r="J168" i="150"/>
  <c r="J171" i="150"/>
  <c r="J184" i="150"/>
  <c r="J187" i="150"/>
  <c r="J200" i="150"/>
  <c r="J203" i="150"/>
  <c r="J216" i="150"/>
  <c r="J219" i="150"/>
  <c r="J232" i="150"/>
  <c r="J235" i="150"/>
  <c r="J29" i="149"/>
  <c r="J45" i="149"/>
  <c r="J76" i="149"/>
  <c r="J95" i="149"/>
  <c r="J44" i="152"/>
  <c r="J61" i="152"/>
  <c r="J68" i="152"/>
  <c r="J105" i="152"/>
  <c r="J108" i="152"/>
  <c r="J112" i="152"/>
  <c r="J179" i="152"/>
  <c r="J249" i="152"/>
  <c r="J28" i="151"/>
  <c r="J31" i="151"/>
  <c r="J44" i="151"/>
  <c r="J47" i="151"/>
  <c r="J60" i="151"/>
  <c r="J63" i="151"/>
  <c r="J76" i="151"/>
  <c r="J79" i="151"/>
  <c r="J92" i="151"/>
  <c r="J95" i="151"/>
  <c r="J108" i="151"/>
  <c r="J111" i="151"/>
  <c r="J236" i="151"/>
  <c r="J239" i="151"/>
  <c r="J56" i="150"/>
  <c r="J59" i="150"/>
  <c r="J72" i="150"/>
  <c r="J75" i="150"/>
  <c r="J48" i="148"/>
  <c r="J57" i="148"/>
  <c r="J132" i="148"/>
  <c r="J138" i="148"/>
  <c r="J163" i="148"/>
  <c r="J166" i="148"/>
  <c r="J173" i="148"/>
  <c r="J180" i="148"/>
  <c r="J36" i="147"/>
  <c r="J63" i="147"/>
  <c r="J66" i="147"/>
  <c r="J79" i="147"/>
  <c r="J101" i="147"/>
  <c r="J111" i="147"/>
  <c r="J130" i="147"/>
  <c r="J175" i="147"/>
  <c r="J201" i="147"/>
  <c r="J204" i="147"/>
  <c r="J237" i="149"/>
  <c r="J252" i="149"/>
  <c r="J30" i="148"/>
  <c r="J153" i="147"/>
  <c r="J160" i="147"/>
  <c r="J169" i="147"/>
  <c r="J198" i="147"/>
  <c r="J205" i="147"/>
  <c r="J218" i="147"/>
  <c r="J222" i="147"/>
  <c r="J228" i="147"/>
  <c r="J137" i="149"/>
  <c r="J156" i="149"/>
  <c r="J172" i="149"/>
  <c r="J191" i="149"/>
  <c r="J194" i="149"/>
  <c r="J228" i="149"/>
  <c r="J231" i="149"/>
  <c r="J151" i="148"/>
  <c r="J218" i="148"/>
  <c r="J54" i="147"/>
  <c r="J105" i="147"/>
  <c r="J141" i="149"/>
  <c r="J188" i="149"/>
  <c r="J207" i="149"/>
  <c r="J25" i="148"/>
  <c r="J64" i="148"/>
  <c r="J73" i="148"/>
  <c r="J100" i="148"/>
  <c r="J118" i="148"/>
  <c r="J121" i="148"/>
  <c r="J127" i="148"/>
  <c r="J145" i="148"/>
  <c r="J205" i="148"/>
  <c r="J212" i="148"/>
  <c r="J241" i="148"/>
  <c r="J41" i="147"/>
  <c r="J48" i="147"/>
  <c r="J141" i="147"/>
  <c r="J199" i="147"/>
  <c r="J206" i="147"/>
  <c r="J212" i="147"/>
  <c r="J229" i="147"/>
  <c r="J236" i="147"/>
  <c r="J249" i="147"/>
  <c r="J35" i="146"/>
  <c r="J42" i="146"/>
  <c r="J51" i="146"/>
  <c r="J71" i="146"/>
  <c r="J81" i="146"/>
  <c r="J40" i="148"/>
  <c r="J88" i="148"/>
  <c r="J94" i="148"/>
  <c r="J149" i="148"/>
  <c r="J171" i="148"/>
  <c r="J178" i="148"/>
  <c r="J74" i="147"/>
  <c r="J109" i="147"/>
  <c r="J151" i="147"/>
  <c r="J167" i="147"/>
  <c r="J173" i="147"/>
  <c r="J186" i="147"/>
  <c r="J189" i="147"/>
  <c r="J233" i="147"/>
  <c r="J237" i="147"/>
  <c r="J39" i="146"/>
  <c r="J48" i="146"/>
  <c r="J148" i="149"/>
  <c r="J151" i="149"/>
  <c r="J189" i="149"/>
  <c r="J201" i="149"/>
  <c r="J84" i="147"/>
  <c r="J113" i="147"/>
  <c r="J142" i="147"/>
  <c r="J207" i="147"/>
  <c r="J64" i="146"/>
  <c r="J217" i="149"/>
  <c r="J32" i="148"/>
  <c r="J143" i="148"/>
  <c r="J168" i="148"/>
  <c r="J203" i="148"/>
  <c r="J216" i="148"/>
  <c r="J232" i="148"/>
  <c r="J39" i="147"/>
  <c r="J52" i="147"/>
  <c r="J62" i="147"/>
  <c r="J68" i="147"/>
  <c r="J78" i="147"/>
  <c r="J126" i="147"/>
  <c r="J139" i="147"/>
  <c r="J148" i="147"/>
  <c r="J155" i="147"/>
  <c r="J174" i="147"/>
  <c r="J180" i="147"/>
  <c r="J190" i="147"/>
  <c r="J196" i="147"/>
  <c r="J220" i="147"/>
  <c r="J247" i="147"/>
  <c r="J130" i="149"/>
  <c r="J236" i="149"/>
  <c r="J83" i="148"/>
  <c r="J147" i="148"/>
  <c r="J194" i="148"/>
  <c r="J243" i="148"/>
  <c r="J100" i="147"/>
  <c r="J231" i="147"/>
  <c r="J251" i="147"/>
  <c r="J27" i="146"/>
  <c r="J160" i="146"/>
  <c r="J227" i="146"/>
  <c r="J28" i="145"/>
  <c r="J44" i="145"/>
  <c r="J60" i="145"/>
  <c r="J76" i="145"/>
  <c r="J92" i="145"/>
  <c r="J108" i="145"/>
  <c r="J124" i="145"/>
  <c r="J140" i="145"/>
  <c r="J156" i="145"/>
  <c r="J172" i="145"/>
  <c r="J188" i="145"/>
  <c r="J204" i="145"/>
  <c r="J220" i="145"/>
  <c r="J236" i="145"/>
  <c r="J252" i="145"/>
  <c r="J39" i="144"/>
  <c r="J55" i="144"/>
  <c r="J71" i="144"/>
  <c r="J68" i="143"/>
  <c r="J35" i="142"/>
  <c r="J101" i="146"/>
  <c r="J108" i="146"/>
  <c r="J118" i="146"/>
  <c r="J121" i="146"/>
  <c r="J131" i="146"/>
  <c r="J181" i="146"/>
  <c r="J188" i="146"/>
  <c r="J194" i="146"/>
  <c r="J211" i="146"/>
  <c r="J234" i="146"/>
  <c r="J36" i="143"/>
  <c r="J46" i="143"/>
  <c r="J50" i="143"/>
  <c r="J105" i="143"/>
  <c r="J26" i="142"/>
  <c r="J66" i="142"/>
  <c r="J69" i="146"/>
  <c r="J98" i="146"/>
  <c r="J115" i="146"/>
  <c r="J138" i="146"/>
  <c r="J155" i="146"/>
  <c r="J178" i="146"/>
  <c r="J251" i="146"/>
  <c r="J37" i="143"/>
  <c r="J66" i="143"/>
  <c r="J85" i="143"/>
  <c r="J88" i="143"/>
  <c r="J122" i="146"/>
  <c r="J241" i="146"/>
  <c r="J65" i="145"/>
  <c r="J81" i="145"/>
  <c r="J97" i="145"/>
  <c r="J129" i="145"/>
  <c r="J145" i="145"/>
  <c r="J161" i="145"/>
  <c r="J177" i="145"/>
  <c r="J209" i="145"/>
  <c r="J225" i="145"/>
  <c r="J241" i="145"/>
  <c r="J60" i="144"/>
  <c r="J25" i="143"/>
  <c r="J34" i="143"/>
  <c r="J47" i="143"/>
  <c r="J54" i="143"/>
  <c r="J92" i="143"/>
  <c r="J53" i="142"/>
  <c r="J99" i="146"/>
  <c r="J162" i="146"/>
  <c r="J179" i="146"/>
  <c r="J202" i="146"/>
  <c r="J208" i="146"/>
  <c r="J219" i="146"/>
  <c r="J78" i="145"/>
  <c r="J94" i="145"/>
  <c r="J110" i="145"/>
  <c r="J126" i="145"/>
  <c r="J206" i="145"/>
  <c r="J222" i="145"/>
  <c r="J238" i="145"/>
  <c r="J26" i="144"/>
  <c r="J41" i="144"/>
  <c r="J57" i="144"/>
  <c r="J73" i="144"/>
  <c r="J89" i="143"/>
  <c r="J37" i="142"/>
  <c r="J67" i="142"/>
  <c r="J67" i="146"/>
  <c r="J74" i="146"/>
  <c r="J80" i="146"/>
  <c r="J90" i="146"/>
  <c r="J106" i="146"/>
  <c r="J123" i="146"/>
  <c r="J146" i="146"/>
  <c r="J169" i="146"/>
  <c r="J186" i="146"/>
  <c r="J242" i="146"/>
  <c r="J34" i="145"/>
  <c r="J37" i="145"/>
  <c r="J50" i="145"/>
  <c r="J53" i="145"/>
  <c r="J98" i="145"/>
  <c r="J101" i="145"/>
  <c r="J130" i="145"/>
  <c r="J133" i="145"/>
  <c r="J146" i="145"/>
  <c r="J149" i="145"/>
  <c r="J48" i="144"/>
  <c r="J61" i="144"/>
  <c r="J64" i="144"/>
  <c r="J41" i="142"/>
  <c r="J64" i="142"/>
  <c r="J133" i="146"/>
  <c r="J140" i="146"/>
  <c r="J150" i="146"/>
  <c r="J153" i="146"/>
  <c r="J163" i="146"/>
  <c r="J213" i="146"/>
  <c r="J220" i="146"/>
  <c r="J226" i="146"/>
  <c r="J246" i="146"/>
  <c r="J249" i="146"/>
  <c r="J31" i="145"/>
  <c r="J47" i="145"/>
  <c r="J79" i="145"/>
  <c r="J95" i="145"/>
  <c r="J111" i="145"/>
  <c r="J127" i="145"/>
  <c r="J143" i="145"/>
  <c r="J159" i="145"/>
  <c r="J175" i="145"/>
  <c r="J191" i="145"/>
  <c r="J207" i="145"/>
  <c r="J223" i="145"/>
  <c r="J239" i="145"/>
  <c r="J27" i="144"/>
  <c r="J42" i="144"/>
  <c r="J58" i="144"/>
  <c r="J55" i="143"/>
  <c r="J100" i="143"/>
  <c r="J58" i="142"/>
  <c r="J42" i="143"/>
  <c r="J49" i="143"/>
  <c r="J55" i="142"/>
  <c r="J62" i="142"/>
  <c r="J58" i="141"/>
  <c r="J81" i="141"/>
  <c r="J43" i="140"/>
  <c r="J97" i="140"/>
  <c r="J37" i="139"/>
  <c r="J54" i="139"/>
  <c r="J62" i="137"/>
  <c r="J29" i="136"/>
  <c r="J37" i="136"/>
  <c r="J41" i="136"/>
  <c r="J45" i="136"/>
  <c r="J49" i="136"/>
  <c r="J53" i="136"/>
  <c r="J57" i="136"/>
  <c r="J61" i="136"/>
  <c r="J32" i="132"/>
  <c r="J36" i="132"/>
  <c r="J44" i="132"/>
  <c r="J48" i="132"/>
  <c r="J64" i="132"/>
  <c r="J68" i="110"/>
  <c r="J28" i="141"/>
  <c r="J68" i="140"/>
  <c r="J78" i="140"/>
  <c r="J68" i="139"/>
  <c r="J27" i="122"/>
  <c r="J31" i="122"/>
  <c r="J35" i="122"/>
  <c r="J39" i="122"/>
  <c r="J43" i="122"/>
  <c r="J40" i="110"/>
  <c r="J44" i="110"/>
  <c r="J48" i="110"/>
  <c r="J52" i="110"/>
  <c r="J56" i="110"/>
  <c r="J44" i="108"/>
  <c r="J89" i="105"/>
  <c r="J93" i="105"/>
  <c r="J97" i="105"/>
  <c r="J105" i="105"/>
  <c r="J109" i="105"/>
  <c r="J113" i="105"/>
  <c r="J117" i="105"/>
  <c r="J225" i="105"/>
  <c r="J229" i="105"/>
  <c r="J233" i="105"/>
  <c r="J245" i="105"/>
  <c r="J249" i="105"/>
  <c r="J40" i="140"/>
  <c r="J51" i="140"/>
  <c r="J58" i="140"/>
  <c r="J98" i="140"/>
  <c r="J34" i="139"/>
  <c r="J65" i="139"/>
  <c r="J26" i="138"/>
  <c r="J30" i="138"/>
  <c r="J34" i="138"/>
  <c r="J38" i="138"/>
  <c r="J42" i="138"/>
  <c r="J45" i="138"/>
  <c r="J48" i="138"/>
  <c r="J54" i="138"/>
  <c r="J61" i="138"/>
  <c r="J68" i="138"/>
  <c r="J74" i="138"/>
  <c r="J25" i="130"/>
  <c r="J37" i="130"/>
  <c r="J41" i="130"/>
  <c r="J49" i="130"/>
  <c r="J53" i="130"/>
  <c r="J57" i="130"/>
  <c r="J69" i="130"/>
  <c r="J84" i="130"/>
  <c r="J25" i="128"/>
  <c r="J33" i="141"/>
  <c r="J40" i="141"/>
  <c r="J50" i="141"/>
  <c r="J62" i="140"/>
  <c r="J75" i="140"/>
  <c r="J91" i="140"/>
  <c r="J113" i="111"/>
  <c r="J121" i="111"/>
  <c r="J177" i="111"/>
  <c r="J181" i="111"/>
  <c r="J185" i="111"/>
  <c r="J193" i="111"/>
  <c r="J213" i="111"/>
  <c r="J225" i="111"/>
  <c r="J229" i="111"/>
  <c r="J241" i="111"/>
  <c r="J249" i="111"/>
  <c r="J33" i="108"/>
  <c r="J37" i="108"/>
  <c r="J222" i="105"/>
  <c r="J30" i="141"/>
  <c r="J70" i="141"/>
  <c r="J76" i="141"/>
  <c r="J82" i="140"/>
  <c r="J102" i="140"/>
  <c r="J25" i="139"/>
  <c r="J27" i="136"/>
  <c r="J31" i="136"/>
  <c r="J39" i="136"/>
  <c r="J43" i="136"/>
  <c r="J47" i="136"/>
  <c r="J51" i="136"/>
  <c r="J55" i="136"/>
  <c r="J59" i="136"/>
  <c r="J63" i="136"/>
  <c r="J30" i="128"/>
  <c r="J34" i="141"/>
  <c r="J47" i="141"/>
  <c r="J63" i="141"/>
  <c r="J59" i="140"/>
  <c r="J63" i="140"/>
  <c r="J89" i="140"/>
  <c r="J29" i="139"/>
  <c r="J49" i="139"/>
  <c r="J56" i="139"/>
  <c r="J67" i="141"/>
  <c r="J74" i="141"/>
  <c r="J49" i="140"/>
  <c r="J53" i="139"/>
  <c r="J63" i="139"/>
  <c r="J81" i="131"/>
  <c r="J40" i="129"/>
  <c r="J44" i="129"/>
  <c r="J56" i="129"/>
  <c r="J246" i="111"/>
  <c r="J67" i="110"/>
  <c r="J31" i="141"/>
  <c r="J77" i="140"/>
  <c r="J30" i="139"/>
  <c r="J36" i="139"/>
  <c r="J67" i="139"/>
  <c r="J39" i="128"/>
  <c r="J51" i="128"/>
  <c r="J59" i="128"/>
  <c r="J75" i="128"/>
  <c r="J47" i="108"/>
  <c r="J63" i="108"/>
  <c r="J27" i="138"/>
  <c r="J31" i="138"/>
  <c r="J39" i="138"/>
  <c r="J43" i="138"/>
  <c r="J28" i="138"/>
  <c r="J36" i="138"/>
  <c r="J44" i="138"/>
  <c r="J51" i="138"/>
  <c r="J58" i="138"/>
  <c r="J65" i="138"/>
  <c r="J69" i="138"/>
  <c r="J50" i="138"/>
  <c r="J52" i="138"/>
  <c r="J56" i="138"/>
  <c r="J59" i="138"/>
  <c r="J63" i="138"/>
  <c r="J66" i="138"/>
  <c r="J70" i="138"/>
  <c r="J25" i="138"/>
  <c r="J33" i="138"/>
  <c r="J37" i="138"/>
  <c r="J41" i="138"/>
  <c r="J47" i="138"/>
  <c r="J60" i="138"/>
  <c r="J64" i="138"/>
  <c r="J67" i="138"/>
  <c r="J49" i="138"/>
  <c r="J29" i="138"/>
  <c r="J57" i="138"/>
  <c r="J35" i="138"/>
  <c r="J32" i="138"/>
  <c r="J28" i="137"/>
  <c r="J32" i="137"/>
  <c r="J36" i="137"/>
  <c r="J48" i="137"/>
  <c r="J52" i="137"/>
  <c r="J56" i="137"/>
  <c r="J60" i="137"/>
  <c r="J30" i="137"/>
  <c r="J61" i="137"/>
  <c r="J33" i="137"/>
  <c r="J65" i="137"/>
  <c r="J68" i="137"/>
  <c r="J72" i="137"/>
  <c r="J88" i="137"/>
  <c r="J64" i="137"/>
  <c r="J70" i="137"/>
  <c r="J86" i="137"/>
  <c r="J27" i="137"/>
  <c r="J31" i="137"/>
  <c r="J29" i="137"/>
  <c r="J40" i="137"/>
  <c r="J44" i="137"/>
  <c r="J53" i="137"/>
  <c r="J57" i="137"/>
  <c r="J73" i="137"/>
  <c r="J87" i="137"/>
  <c r="J42" i="137"/>
  <c r="J67" i="137"/>
  <c r="J71" i="137"/>
  <c r="J55" i="137"/>
  <c r="J41" i="137"/>
  <c r="J34" i="137"/>
  <c r="J25" i="137"/>
  <c r="J66" i="137"/>
  <c r="J69" i="137"/>
  <c r="J28" i="136"/>
  <c r="J32" i="136"/>
  <c r="J44" i="136"/>
  <c r="J48" i="136"/>
  <c r="J60" i="136"/>
  <c r="J64" i="136"/>
  <c r="J80" i="136"/>
  <c r="J94" i="136"/>
  <c r="J30" i="136"/>
  <c r="J34" i="136"/>
  <c r="J46" i="136"/>
  <c r="J50" i="136"/>
  <c r="J62" i="136"/>
  <c r="J66" i="136"/>
  <c r="J95" i="136"/>
  <c r="J78" i="136"/>
  <c r="J72" i="136"/>
  <c r="J26" i="136"/>
  <c r="J40" i="136"/>
  <c r="J56" i="136"/>
  <c r="J38" i="136"/>
  <c r="J70" i="136"/>
  <c r="J74" i="136"/>
  <c r="J68" i="136"/>
  <c r="J42" i="136"/>
  <c r="J52" i="136"/>
  <c r="J36" i="136"/>
  <c r="J54" i="136"/>
  <c r="J58" i="136"/>
  <c r="J35" i="136"/>
  <c r="J35" i="135"/>
  <c r="J71" i="135"/>
  <c r="J75" i="135"/>
  <c r="J79" i="135"/>
  <c r="J83" i="135"/>
  <c r="J95" i="135"/>
  <c r="J77" i="135"/>
  <c r="J81" i="135"/>
  <c r="J85" i="135"/>
  <c r="J84" i="135"/>
  <c r="J82" i="135"/>
  <c r="J96" i="135"/>
  <c r="J50" i="135"/>
  <c r="J68" i="135"/>
  <c r="J36" i="135"/>
  <c r="J48" i="135"/>
  <c r="J52" i="135"/>
  <c r="J54" i="135"/>
  <c r="J64" i="135"/>
  <c r="J34" i="135"/>
  <c r="J38" i="135"/>
  <c r="J66" i="135"/>
  <c r="J32" i="135"/>
  <c r="J70" i="135"/>
  <c r="J80" i="135"/>
  <c r="J94" i="134"/>
  <c r="J92" i="134"/>
  <c r="J28" i="134"/>
  <c r="J32" i="134"/>
  <c r="J36" i="134"/>
  <c r="J40" i="134"/>
  <c r="J44" i="134"/>
  <c r="J52" i="134"/>
  <c r="J56" i="134"/>
  <c r="J60" i="134"/>
  <c r="J64" i="134"/>
  <c r="J68" i="134"/>
  <c r="J72" i="134"/>
  <c r="J76" i="134"/>
  <c r="J80" i="134"/>
  <c r="J95" i="134"/>
  <c r="J27" i="134"/>
  <c r="J39" i="134"/>
  <c r="J43" i="134"/>
  <c r="J47" i="134"/>
  <c r="J55" i="134"/>
  <c r="J59" i="134"/>
  <c r="J63" i="134"/>
  <c r="J71" i="134"/>
  <c r="J79" i="134"/>
  <c r="J91" i="134"/>
  <c r="J96" i="134"/>
  <c r="J83" i="134"/>
  <c r="J93" i="134"/>
  <c r="J26" i="134"/>
  <c r="J30" i="134"/>
  <c r="J34" i="134"/>
  <c r="J38" i="134"/>
  <c r="J46" i="134"/>
  <c r="J50" i="134"/>
  <c r="J54" i="134"/>
  <c r="J58" i="134"/>
  <c r="J62" i="134"/>
  <c r="J66" i="134"/>
  <c r="J70" i="134"/>
  <c r="J74" i="134"/>
  <c r="J82" i="134"/>
  <c r="J29" i="134"/>
  <c r="J31" i="134"/>
  <c r="J45" i="134"/>
  <c r="J25" i="134"/>
  <c r="J77" i="134"/>
  <c r="J67" i="134"/>
  <c r="J35" i="134"/>
  <c r="J42" i="134"/>
  <c r="J51" i="134"/>
  <c r="J61" i="134"/>
  <c r="J37" i="134"/>
  <c r="J48" i="134"/>
  <c r="J29" i="133"/>
  <c r="J33" i="133"/>
  <c r="J37" i="133"/>
  <c r="J45" i="133"/>
  <c r="J49" i="133"/>
  <c r="J28" i="133"/>
  <c r="J36" i="133"/>
  <c r="J40" i="133"/>
  <c r="J44" i="133"/>
  <c r="J48" i="133"/>
  <c r="J52" i="133"/>
  <c r="J56" i="133"/>
  <c r="J60" i="133"/>
  <c r="J64" i="133"/>
  <c r="J68" i="133"/>
  <c r="J72" i="133"/>
  <c r="J47" i="132"/>
  <c r="J55" i="132"/>
  <c r="J53" i="133"/>
  <c r="J76" i="133"/>
  <c r="J77" i="133"/>
  <c r="J81" i="133"/>
  <c r="J78" i="133"/>
  <c r="J27" i="133"/>
  <c r="J35" i="133"/>
  <c r="J39" i="133"/>
  <c r="J43" i="133"/>
  <c r="J51" i="133"/>
  <c r="J55" i="133"/>
  <c r="J59" i="133"/>
  <c r="J67" i="133"/>
  <c r="J71" i="133"/>
  <c r="J75" i="133"/>
  <c r="J80" i="133"/>
  <c r="J41" i="133"/>
  <c r="J47" i="133"/>
  <c r="J57" i="133"/>
  <c r="J34" i="133"/>
  <c r="J73" i="133"/>
  <c r="J38" i="133"/>
  <c r="J70" i="133"/>
  <c r="J31" i="133"/>
  <c r="J79" i="133"/>
  <c r="J32" i="133"/>
  <c r="J66" i="133"/>
  <c r="J25" i="133"/>
  <c r="J50" i="133"/>
  <c r="J63" i="133"/>
  <c r="J38" i="132"/>
  <c r="J50" i="132"/>
  <c r="J58" i="132"/>
  <c r="J39" i="132"/>
  <c r="J43" i="132"/>
  <c r="J45" i="132"/>
  <c r="J53" i="132"/>
  <c r="J57" i="132"/>
  <c r="J65" i="132"/>
  <c r="J66" i="132"/>
  <c r="J62" i="132"/>
  <c r="J52" i="132"/>
  <c r="J40" i="132"/>
  <c r="J46" i="132"/>
  <c r="J27" i="132"/>
  <c r="J41" i="132"/>
  <c r="J24" i="132"/>
  <c r="J31" i="132"/>
  <c r="J34" i="132"/>
  <c r="J42" i="132"/>
  <c r="J60" i="132"/>
  <c r="J54" i="132"/>
  <c r="J51" i="132"/>
  <c r="J26" i="132"/>
  <c r="J49" i="132"/>
  <c r="J56" i="132"/>
  <c r="J59" i="132"/>
  <c r="J63" i="132"/>
  <c r="J81" i="132"/>
  <c r="J30" i="132"/>
  <c r="J79" i="131"/>
  <c r="J89" i="131"/>
  <c r="J80" i="131"/>
  <c r="J26" i="130"/>
  <c r="J42" i="130"/>
  <c r="J46" i="130"/>
  <c r="J50" i="130"/>
  <c r="J58" i="130"/>
  <c r="J62" i="130"/>
  <c r="J66" i="130"/>
  <c r="J74" i="130"/>
  <c r="J85" i="130"/>
  <c r="J28" i="130"/>
  <c r="J65" i="130"/>
  <c r="J72" i="130"/>
  <c r="J73" i="130"/>
  <c r="J86" i="130"/>
  <c r="J27" i="130"/>
  <c r="J31" i="130"/>
  <c r="J39" i="130"/>
  <c r="J43" i="130"/>
  <c r="J47" i="130"/>
  <c r="J55" i="130"/>
  <c r="J59" i="130"/>
  <c r="J63" i="130"/>
  <c r="J71" i="130"/>
  <c r="J75" i="130"/>
  <c r="J33" i="130"/>
  <c r="J34" i="130"/>
  <c r="J32" i="130"/>
  <c r="J61" i="130"/>
  <c r="J67" i="130"/>
  <c r="J52" i="130"/>
  <c r="J51" i="130"/>
  <c r="J38" i="130"/>
  <c r="J45" i="130"/>
  <c r="J29" i="130"/>
  <c r="J70" i="130"/>
  <c r="J54" i="130"/>
  <c r="J35" i="130"/>
  <c r="J61" i="129"/>
  <c r="J71" i="129"/>
  <c r="J79" i="129"/>
  <c r="J60" i="129"/>
  <c r="J27" i="129"/>
  <c r="J35" i="129"/>
  <c r="J39" i="129"/>
  <c r="J51" i="129"/>
  <c r="J55" i="129"/>
  <c r="J67" i="129"/>
  <c r="J64" i="129"/>
  <c r="J90" i="129"/>
  <c r="J72" i="129"/>
  <c r="J29" i="129"/>
  <c r="J26" i="129"/>
  <c r="J34" i="129"/>
  <c r="J38" i="129"/>
  <c r="J42" i="129"/>
  <c r="J54" i="129"/>
  <c r="J58" i="129"/>
  <c r="J66" i="129"/>
  <c r="J70" i="129"/>
  <c r="J28" i="129"/>
  <c r="J25" i="129"/>
  <c r="J48" i="129"/>
  <c r="J73" i="129"/>
  <c r="J45" i="129"/>
  <c r="J49" i="129"/>
  <c r="J30" i="129"/>
  <c r="J37" i="129"/>
  <c r="J47" i="129"/>
  <c r="J50" i="129"/>
  <c r="J63" i="129"/>
  <c r="J74" i="129"/>
  <c r="J78" i="129"/>
  <c r="J57" i="129"/>
  <c r="J41" i="129"/>
  <c r="J68" i="129"/>
  <c r="J32" i="129"/>
  <c r="J52" i="129"/>
  <c r="J65" i="129"/>
  <c r="J76" i="129"/>
  <c r="J69" i="129"/>
  <c r="J80" i="129"/>
  <c r="J33" i="129"/>
  <c r="J36" i="129"/>
  <c r="J46" i="129"/>
  <c r="J53" i="129"/>
  <c r="J62" i="129"/>
  <c r="J77" i="129"/>
  <c r="J31" i="129"/>
  <c r="J38" i="128"/>
  <c r="J47" i="128"/>
  <c r="J56" i="128"/>
  <c r="J65" i="128"/>
  <c r="J74" i="128"/>
  <c r="J31" i="128"/>
  <c r="J40" i="128"/>
  <c r="J49" i="128"/>
  <c r="J58" i="128"/>
  <c r="J67" i="128"/>
  <c r="J32" i="128"/>
  <c r="J33" i="128"/>
  <c r="J43" i="128"/>
  <c r="J42" i="128"/>
  <c r="J26" i="128"/>
  <c r="J52" i="128"/>
  <c r="J79" i="128"/>
  <c r="J35" i="128"/>
  <c r="J63" i="128"/>
  <c r="J37" i="128"/>
  <c r="J46" i="128"/>
  <c r="J72" i="128"/>
  <c r="J27" i="128"/>
  <c r="J80" i="128"/>
  <c r="J55" i="128"/>
  <c r="J81" i="128"/>
  <c r="J36" i="128"/>
  <c r="J53" i="128"/>
  <c r="J62" i="128"/>
  <c r="J71" i="128"/>
  <c r="J76" i="128"/>
  <c r="J29" i="128"/>
  <c r="J28" i="128"/>
  <c r="J44" i="128"/>
  <c r="J60" i="128"/>
  <c r="J45" i="128"/>
  <c r="J61" i="128"/>
  <c r="J77" i="128"/>
  <c r="J54" i="128"/>
  <c r="J70" i="128"/>
  <c r="J41" i="128"/>
  <c r="J57" i="128"/>
  <c r="J87" i="127"/>
  <c r="J29" i="127"/>
  <c r="J33" i="127"/>
  <c r="J45" i="127"/>
  <c r="J49" i="127"/>
  <c r="J61" i="127"/>
  <c r="J65" i="127"/>
  <c r="J69" i="127"/>
  <c r="J77" i="127"/>
  <c r="J81" i="127"/>
  <c r="J85" i="127"/>
  <c r="J26" i="127"/>
  <c r="J30" i="127"/>
  <c r="J34" i="127"/>
  <c r="J38" i="127"/>
  <c r="J42" i="127"/>
  <c r="J46" i="127"/>
  <c r="J86" i="127"/>
  <c r="J90" i="127"/>
  <c r="J28" i="127"/>
  <c r="J36" i="127"/>
  <c r="J44" i="127"/>
  <c r="J48" i="127"/>
  <c r="J52" i="127"/>
  <c r="J60" i="127"/>
  <c r="J64" i="127"/>
  <c r="J68" i="127"/>
  <c r="J72" i="127"/>
  <c r="J94" i="127"/>
  <c r="J91" i="127"/>
  <c r="J93" i="127"/>
  <c r="J27" i="127"/>
  <c r="J31" i="127"/>
  <c r="J35" i="127"/>
  <c r="J39" i="127"/>
  <c r="J43" i="127"/>
  <c r="J51" i="127"/>
  <c r="J55" i="127"/>
  <c r="J59" i="127"/>
  <c r="J67" i="127"/>
  <c r="J71" i="127"/>
  <c r="J75" i="127"/>
  <c r="J50" i="127"/>
  <c r="J54" i="127"/>
  <c r="J58" i="127"/>
  <c r="J62" i="127"/>
  <c r="J66" i="127"/>
  <c r="J70" i="127"/>
  <c r="J74" i="127"/>
  <c r="J78" i="127"/>
  <c r="J79" i="127"/>
  <c r="J82" i="127"/>
  <c r="J83" i="127"/>
  <c r="J76" i="127"/>
  <c r="J80" i="127"/>
  <c r="J84" i="127"/>
  <c r="J88" i="127"/>
  <c r="J92" i="127"/>
  <c r="J89" i="127"/>
  <c r="J25" i="127"/>
  <c r="J37" i="127"/>
  <c r="J53" i="127"/>
  <c r="J73" i="127"/>
  <c r="J63" i="127"/>
  <c r="J41" i="127"/>
  <c r="J57" i="127"/>
  <c r="J47" i="127"/>
  <c r="J95" i="127"/>
  <c r="J32" i="127"/>
  <c r="J39" i="125"/>
  <c r="J42" i="126"/>
  <c r="J54" i="126"/>
  <c r="J58" i="126"/>
  <c r="J90" i="126"/>
  <c r="J39" i="126"/>
  <c r="J55" i="126"/>
  <c r="J71" i="126"/>
  <c r="J75" i="126"/>
  <c r="J91" i="126"/>
  <c r="J44" i="126"/>
  <c r="J48" i="126"/>
  <c r="J88" i="126"/>
  <c r="J98" i="126"/>
  <c r="J30" i="126"/>
  <c r="J41" i="126"/>
  <c r="J45" i="126"/>
  <c r="J57" i="126"/>
  <c r="J61" i="126"/>
  <c r="J65" i="126"/>
  <c r="J69" i="126"/>
  <c r="J73" i="126"/>
  <c r="J77" i="126"/>
  <c r="J33" i="126"/>
  <c r="J26" i="126"/>
  <c r="J27" i="126"/>
  <c r="J31" i="126"/>
  <c r="J49" i="126"/>
  <c r="J64" i="126"/>
  <c r="J72" i="126"/>
  <c r="J76" i="126"/>
  <c r="J25" i="126"/>
  <c r="J29" i="126"/>
  <c r="J40" i="126"/>
  <c r="J62" i="126"/>
  <c r="J66" i="126"/>
  <c r="J34" i="126"/>
  <c r="J38" i="126"/>
  <c r="J50" i="126"/>
  <c r="J80" i="126"/>
  <c r="J35" i="126"/>
  <c r="J81" i="126"/>
  <c r="J85" i="126"/>
  <c r="J36" i="126"/>
  <c r="J56" i="126"/>
  <c r="J59" i="126"/>
  <c r="J86" i="126"/>
  <c r="J99" i="126"/>
  <c r="J46" i="126"/>
  <c r="J60" i="126"/>
  <c r="J79" i="126"/>
  <c r="J87" i="126"/>
  <c r="J51" i="126"/>
  <c r="J83" i="126"/>
  <c r="J53" i="126"/>
  <c r="J84" i="126"/>
  <c r="J43" i="126"/>
  <c r="J70" i="126"/>
  <c r="J67" i="126"/>
  <c r="J37" i="126"/>
  <c r="J52" i="126"/>
  <c r="J28" i="126"/>
  <c r="J32" i="126"/>
  <c r="J47" i="126"/>
  <c r="J63" i="126"/>
  <c r="J78" i="126"/>
  <c r="J82" i="126"/>
  <c r="J89" i="126"/>
  <c r="J74" i="126"/>
  <c r="J68" i="126"/>
  <c r="J27" i="125"/>
  <c r="J43" i="125"/>
  <c r="J85" i="125"/>
  <c r="J26" i="125"/>
  <c r="J42" i="125"/>
  <c r="J46" i="125"/>
  <c r="J50" i="125"/>
  <c r="J58" i="125"/>
  <c r="J62" i="125"/>
  <c r="J66" i="125"/>
  <c r="J25" i="125"/>
  <c r="J29" i="125"/>
  <c r="J53" i="125"/>
  <c r="J57" i="125"/>
  <c r="J73" i="125"/>
  <c r="J26" i="124"/>
  <c r="J30" i="124"/>
  <c r="J46" i="124"/>
  <c r="J58" i="124"/>
  <c r="J62" i="124"/>
  <c r="J70" i="124"/>
  <c r="J82" i="124"/>
  <c r="J72" i="124"/>
  <c r="J77" i="125"/>
  <c r="J30" i="125"/>
  <c r="J82" i="125"/>
  <c r="J86" i="125"/>
  <c r="J90" i="125"/>
  <c r="J94" i="125"/>
  <c r="J31" i="125"/>
  <c r="J71" i="125"/>
  <c r="J75" i="125"/>
  <c r="J79" i="125"/>
  <c r="J83" i="125"/>
  <c r="J28" i="125"/>
  <c r="J36" i="125"/>
  <c r="J44" i="125"/>
  <c r="J48" i="125"/>
  <c r="J60" i="125"/>
  <c r="J64" i="125"/>
  <c r="J68" i="125"/>
  <c r="J72" i="125"/>
  <c r="J76" i="125"/>
  <c r="J80" i="125"/>
  <c r="J84" i="125"/>
  <c r="J81" i="125"/>
  <c r="J35" i="125"/>
  <c r="J52" i="125"/>
  <c r="J67" i="125"/>
  <c r="J33" i="125"/>
  <c r="J37" i="125"/>
  <c r="J41" i="125"/>
  <c r="J47" i="125"/>
  <c r="J38" i="125"/>
  <c r="J65" i="125"/>
  <c r="J69" i="125"/>
  <c r="J54" i="125"/>
  <c r="J61" i="125"/>
  <c r="J34" i="125"/>
  <c r="J40" i="125"/>
  <c r="J51" i="125"/>
  <c r="J87" i="125"/>
  <c r="J91" i="125"/>
  <c r="J95" i="125"/>
  <c r="J55" i="125"/>
  <c r="J88" i="125"/>
  <c r="J92" i="125"/>
  <c r="J45" i="125"/>
  <c r="J59" i="125"/>
  <c r="J63" i="125"/>
  <c r="J70" i="125"/>
  <c r="J74" i="125"/>
  <c r="J56" i="125"/>
  <c r="J78" i="125"/>
  <c r="J89" i="125"/>
  <c r="J93" i="125"/>
  <c r="J49" i="125"/>
  <c r="J80" i="124"/>
  <c r="J31" i="124"/>
  <c r="J35" i="124"/>
  <c r="J43" i="124"/>
  <c r="J55" i="124"/>
  <c r="J63" i="124"/>
  <c r="J71" i="124"/>
  <c r="J79" i="124"/>
  <c r="J37" i="124"/>
  <c r="J49" i="124"/>
  <c r="J53" i="124"/>
  <c r="J73" i="124"/>
  <c r="J81" i="124"/>
  <c r="J38" i="124"/>
  <c r="J47" i="124"/>
  <c r="J56" i="124"/>
  <c r="J67" i="124"/>
  <c r="J76" i="124"/>
  <c r="J75" i="124"/>
  <c r="J84" i="124"/>
  <c r="J74" i="124"/>
  <c r="J83" i="124"/>
  <c r="J85" i="124"/>
  <c r="J61" i="124"/>
  <c r="J27" i="124"/>
  <c r="J36" i="124"/>
  <c r="J45" i="124"/>
  <c r="J54" i="124"/>
  <c r="J39" i="124"/>
  <c r="J32" i="124"/>
  <c r="J42" i="124"/>
  <c r="J59" i="124"/>
  <c r="J65" i="124"/>
  <c r="J68" i="124"/>
  <c r="J40" i="124"/>
  <c r="J66" i="124"/>
  <c r="J33" i="124"/>
  <c r="J50" i="124"/>
  <c r="J51" i="124"/>
  <c r="J77" i="124"/>
  <c r="J60" i="124"/>
  <c r="J69" i="124"/>
  <c r="J34" i="124"/>
  <c r="J29" i="124"/>
  <c r="J78" i="124"/>
  <c r="J81" i="123"/>
  <c r="J43" i="123"/>
  <c r="J32" i="123"/>
  <c r="J52" i="123"/>
  <c r="J68" i="123"/>
  <c r="J83" i="123"/>
  <c r="J82" i="123"/>
  <c r="J87" i="123"/>
  <c r="J76" i="123"/>
  <c r="J72" i="123"/>
  <c r="J39" i="123"/>
  <c r="J48" i="123"/>
  <c r="J66" i="123"/>
  <c r="J75" i="123"/>
  <c r="J31" i="123"/>
  <c r="J51" i="123"/>
  <c r="J60" i="123"/>
  <c r="J78" i="123"/>
  <c r="J35" i="123"/>
  <c r="J44" i="123"/>
  <c r="J53" i="123"/>
  <c r="J62" i="123"/>
  <c r="J46" i="123"/>
  <c r="J64" i="123"/>
  <c r="J74" i="123"/>
  <c r="J49" i="123"/>
  <c r="J58" i="123"/>
  <c r="J67" i="123"/>
  <c r="J50" i="123"/>
  <c r="J70" i="123"/>
  <c r="J27" i="123"/>
  <c r="J54" i="123"/>
  <c r="J29" i="123"/>
  <c r="J56" i="123"/>
  <c r="J28" i="123"/>
  <c r="J40" i="123"/>
  <c r="J65" i="123"/>
  <c r="J86" i="123"/>
  <c r="J38" i="123"/>
  <c r="J42" i="123"/>
  <c r="J26" i="123"/>
  <c r="J34" i="123"/>
  <c r="J18" i="123" s="1"/>
  <c r="J59" i="123"/>
  <c r="J45" i="123"/>
  <c r="J77" i="123"/>
  <c r="J47" i="123"/>
  <c r="J55" i="123"/>
  <c r="J71" i="123"/>
  <c r="J79" i="123"/>
  <c r="J84" i="123"/>
  <c r="J57" i="123"/>
  <c r="J25" i="123"/>
  <c r="J30" i="123"/>
  <c r="J63" i="123"/>
  <c r="J36" i="123"/>
  <c r="J33" i="123"/>
  <c r="J41" i="123"/>
  <c r="J73" i="123"/>
  <c r="J26" i="122"/>
  <c r="J30" i="122"/>
  <c r="J34" i="122"/>
  <c r="J42" i="122"/>
  <c r="J46" i="122"/>
  <c r="J50" i="122"/>
  <c r="J58" i="122"/>
  <c r="J62" i="122"/>
  <c r="J66" i="122"/>
  <c r="J70" i="122"/>
  <c r="J78" i="122"/>
  <c r="J82" i="122"/>
  <c r="J86" i="122"/>
  <c r="J90" i="122"/>
  <c r="J36" i="122"/>
  <c r="J29" i="122"/>
  <c r="J37" i="122"/>
  <c r="J45" i="122"/>
  <c r="J49" i="122"/>
  <c r="J53" i="122"/>
  <c r="J61" i="122"/>
  <c r="J69" i="122"/>
  <c r="J85" i="122"/>
  <c r="J89" i="122"/>
  <c r="J95" i="122"/>
  <c r="J97" i="122"/>
  <c r="J93" i="122"/>
  <c r="J94" i="122"/>
  <c r="J99" i="122"/>
  <c r="J47" i="122"/>
  <c r="J51" i="122"/>
  <c r="J55" i="122"/>
  <c r="J63" i="122"/>
  <c r="J71" i="122"/>
  <c r="J75" i="122"/>
  <c r="J79" i="122"/>
  <c r="J83" i="122"/>
  <c r="J87" i="122"/>
  <c r="J40" i="122"/>
  <c r="J44" i="122"/>
  <c r="J48" i="122"/>
  <c r="J52" i="122"/>
  <c r="J56" i="122"/>
  <c r="J60" i="122"/>
  <c r="J68" i="122"/>
  <c r="J72" i="122"/>
  <c r="J80" i="122"/>
  <c r="J88" i="122"/>
  <c r="J92" i="122"/>
  <c r="J96" i="122"/>
  <c r="J98" i="122"/>
  <c r="J25" i="122"/>
  <c r="J77" i="122"/>
  <c r="J33" i="122"/>
  <c r="J57" i="122"/>
  <c r="J91" i="122"/>
  <c r="J41" i="122"/>
  <c r="J67" i="122"/>
  <c r="J59" i="122"/>
  <c r="J73" i="122"/>
  <c r="J38" i="122"/>
  <c r="J54" i="122"/>
  <c r="J64" i="122"/>
  <c r="J74" i="122"/>
  <c r="J84" i="122"/>
  <c r="J32" i="122"/>
  <c r="J28" i="121"/>
  <c r="J36" i="121"/>
  <c r="J40" i="121"/>
  <c r="J44" i="121"/>
  <c r="J48" i="121"/>
  <c r="J27" i="120"/>
  <c r="J35" i="120"/>
  <c r="J43" i="120"/>
  <c r="J51" i="120"/>
  <c r="J56" i="120"/>
  <c r="J64" i="120"/>
  <c r="J68" i="120"/>
  <c r="J25" i="121"/>
  <c r="J29" i="121"/>
  <c r="J33" i="121"/>
  <c r="J56" i="121"/>
  <c r="J26" i="121"/>
  <c r="J30" i="121"/>
  <c r="J34" i="121"/>
  <c r="J37" i="121"/>
  <c r="J41" i="121"/>
  <c r="J45" i="121"/>
  <c r="J53" i="121"/>
  <c r="J57" i="121"/>
  <c r="J61" i="121"/>
  <c r="J69" i="121"/>
  <c r="J74" i="121"/>
  <c r="J78" i="121"/>
  <c r="J86" i="121"/>
  <c r="J27" i="121"/>
  <c r="J31" i="121"/>
  <c r="J35" i="121"/>
  <c r="J38" i="121"/>
  <c r="J42" i="121"/>
  <c r="J46" i="121"/>
  <c r="J50" i="121"/>
  <c r="J54" i="121"/>
  <c r="J58" i="121"/>
  <c r="J62" i="121"/>
  <c r="J66" i="121"/>
  <c r="J70" i="121"/>
  <c r="J75" i="121"/>
  <c r="J79" i="121"/>
  <c r="J83" i="121"/>
  <c r="J87" i="121"/>
  <c r="J64" i="121"/>
  <c r="J72" i="121"/>
  <c r="J81" i="121"/>
  <c r="J89" i="121"/>
  <c r="J52" i="121"/>
  <c r="J65" i="121"/>
  <c r="J68" i="121"/>
  <c r="J49" i="121"/>
  <c r="J32" i="121"/>
  <c r="J82" i="121"/>
  <c r="J85" i="121"/>
  <c r="J72" i="120"/>
  <c r="J25" i="120"/>
  <c r="J29" i="120"/>
  <c r="J33" i="120"/>
  <c r="J37" i="120"/>
  <c r="J45" i="120"/>
  <c r="J49" i="120"/>
  <c r="J53" i="120"/>
  <c r="J70" i="120"/>
  <c r="J74" i="120"/>
  <c r="J78" i="120"/>
  <c r="J25" i="119"/>
  <c r="J29" i="119"/>
  <c r="J33" i="119"/>
  <c r="J37" i="119"/>
  <c r="J45" i="119"/>
  <c r="J49" i="119"/>
  <c r="J53" i="119"/>
  <c r="J32" i="120"/>
  <c r="J57" i="119"/>
  <c r="J26" i="120"/>
  <c r="J34" i="120"/>
  <c r="J42" i="120"/>
  <c r="J50" i="120"/>
  <c r="J55" i="120"/>
  <c r="J59" i="120"/>
  <c r="J86" i="120"/>
  <c r="J40" i="120"/>
  <c r="J65" i="120"/>
  <c r="J38" i="120"/>
  <c r="J57" i="120"/>
  <c r="J66" i="120"/>
  <c r="J75" i="120"/>
  <c r="J31" i="120"/>
  <c r="J47" i="120"/>
  <c r="J52" i="120"/>
  <c r="J28" i="120"/>
  <c r="J44" i="120"/>
  <c r="J62" i="120"/>
  <c r="J71" i="120"/>
  <c r="J80" i="120"/>
  <c r="J73" i="120"/>
  <c r="J48" i="120"/>
  <c r="J58" i="120"/>
  <c r="J67" i="120"/>
  <c r="J76" i="120"/>
  <c r="J39" i="120"/>
  <c r="J60" i="120"/>
  <c r="J77" i="120"/>
  <c r="J61" i="120"/>
  <c r="J79" i="120"/>
  <c r="J63" i="120"/>
  <c r="J30" i="120"/>
  <c r="J46" i="120"/>
  <c r="J68" i="119"/>
  <c r="J72" i="119"/>
  <c r="J76" i="119"/>
  <c r="J80" i="119"/>
  <c r="J84" i="119"/>
  <c r="J88" i="119"/>
  <c r="J61" i="119"/>
  <c r="J65" i="119"/>
  <c r="J31" i="119"/>
  <c r="J35" i="119"/>
  <c r="J43" i="119"/>
  <c r="J47" i="119"/>
  <c r="J51" i="119"/>
  <c r="J59" i="119"/>
  <c r="J63" i="119"/>
  <c r="J66" i="119"/>
  <c r="J78" i="119"/>
  <c r="J82" i="119"/>
  <c r="J90" i="119"/>
  <c r="J77" i="119"/>
  <c r="J81" i="119"/>
  <c r="J85" i="119"/>
  <c r="J89" i="119"/>
  <c r="J28" i="119"/>
  <c r="J32" i="119"/>
  <c r="J36" i="119"/>
  <c r="J44" i="119"/>
  <c r="J48" i="119"/>
  <c r="J56" i="119"/>
  <c r="J60" i="119"/>
  <c r="J71" i="119"/>
  <c r="J79" i="119"/>
  <c r="J83" i="119"/>
  <c r="J87" i="119"/>
  <c r="J74" i="119"/>
  <c r="J75" i="119"/>
  <c r="J26" i="119"/>
  <c r="J30" i="119"/>
  <c r="J34" i="119"/>
  <c r="J38" i="119"/>
  <c r="J42" i="119"/>
  <c r="J46" i="119"/>
  <c r="J50" i="119"/>
  <c r="J54" i="119"/>
  <c r="J62" i="119"/>
  <c r="J69" i="119"/>
  <c r="J73" i="119"/>
  <c r="J39" i="119"/>
  <c r="J27" i="119"/>
  <c r="J40" i="119"/>
  <c r="J64" i="119"/>
  <c r="J58" i="119"/>
  <c r="J55" i="119"/>
  <c r="J70" i="119"/>
  <c r="J86" i="119"/>
  <c r="J30" i="118"/>
  <c r="J34" i="118"/>
  <c r="J38" i="118"/>
  <c r="J54" i="118"/>
  <c r="J58" i="118"/>
  <c r="J62" i="118"/>
  <c r="J66" i="118"/>
  <c r="J36" i="118"/>
  <c r="J31" i="118"/>
  <c r="J35" i="118"/>
  <c r="J39" i="118"/>
  <c r="J47" i="118"/>
  <c r="J63" i="118"/>
  <c r="J67" i="118"/>
  <c r="J71" i="118"/>
  <c r="J52" i="118"/>
  <c r="J40" i="118"/>
  <c r="J25" i="118"/>
  <c r="J29" i="118"/>
  <c r="J33" i="118"/>
  <c r="J37" i="118"/>
  <c r="J41" i="118"/>
  <c r="J45" i="118"/>
  <c r="J49" i="118"/>
  <c r="J56" i="118"/>
  <c r="J60" i="118"/>
  <c r="J68" i="118"/>
  <c r="J72" i="118"/>
  <c r="J42" i="118"/>
  <c r="J46" i="118"/>
  <c r="J50" i="118"/>
  <c r="J53" i="118"/>
  <c r="J57" i="118"/>
  <c r="J27" i="118"/>
  <c r="J61" i="118"/>
  <c r="J65" i="118"/>
  <c r="J69" i="118"/>
  <c r="J73" i="118"/>
  <c r="J28" i="118"/>
  <c r="J70" i="118"/>
  <c r="J44" i="118"/>
  <c r="J55" i="118"/>
  <c r="J26" i="118"/>
  <c r="J25" i="116"/>
  <c r="J29" i="116"/>
  <c r="J33" i="116"/>
  <c r="J41" i="116"/>
  <c r="J45" i="116"/>
  <c r="J49" i="116"/>
  <c r="J53" i="116"/>
  <c r="J57" i="116"/>
  <c r="J61" i="116"/>
  <c r="J65" i="116"/>
  <c r="J69" i="116"/>
  <c r="J73" i="116"/>
  <c r="J92" i="116"/>
  <c r="J96" i="116"/>
  <c r="J95" i="116"/>
  <c r="J93" i="116"/>
  <c r="J28" i="116"/>
  <c r="J32" i="116"/>
  <c r="J44" i="116"/>
  <c r="J48" i="116"/>
  <c r="J52" i="116"/>
  <c r="J60" i="116"/>
  <c r="J64" i="116"/>
  <c r="J68" i="116"/>
  <c r="J77" i="116"/>
  <c r="J89" i="116"/>
  <c r="J76" i="116"/>
  <c r="J94" i="116"/>
  <c r="J32" i="117"/>
  <c r="J34" i="117"/>
  <c r="J38" i="117"/>
  <c r="J45" i="117"/>
  <c r="J48" i="117"/>
  <c r="J50" i="117"/>
  <c r="J54" i="117"/>
  <c r="J57" i="117"/>
  <c r="J60" i="117"/>
  <c r="J64" i="117"/>
  <c r="J68" i="117"/>
  <c r="J72" i="117"/>
  <c r="J76" i="117"/>
  <c r="J80" i="117"/>
  <c r="J26" i="117"/>
  <c r="J29" i="117"/>
  <c r="J35" i="117"/>
  <c r="J39" i="117"/>
  <c r="J46" i="117"/>
  <c r="J51" i="117"/>
  <c r="J55" i="117"/>
  <c r="J58" i="117"/>
  <c r="J61" i="117"/>
  <c r="J65" i="117"/>
  <c r="J73" i="117"/>
  <c r="J77" i="117"/>
  <c r="J27" i="117"/>
  <c r="J30" i="117"/>
  <c r="J36" i="117"/>
  <c r="J40" i="117"/>
  <c r="J43" i="117"/>
  <c r="J47" i="117"/>
  <c r="J52" i="117"/>
  <c r="J62" i="117"/>
  <c r="J66" i="117"/>
  <c r="J78" i="117"/>
  <c r="J28" i="117"/>
  <c r="J33" i="117"/>
  <c r="J37" i="117"/>
  <c r="J42" i="117"/>
  <c r="J44" i="117"/>
  <c r="J49" i="117"/>
  <c r="J53" i="117"/>
  <c r="J56" i="117"/>
  <c r="J63" i="117"/>
  <c r="J67" i="117"/>
  <c r="J70" i="117"/>
  <c r="J71" i="117"/>
  <c r="J75" i="117"/>
  <c r="J79" i="117"/>
  <c r="J74" i="117"/>
  <c r="J69" i="117"/>
  <c r="J31" i="117"/>
  <c r="J26" i="116"/>
  <c r="J30" i="116"/>
  <c r="J34" i="116"/>
  <c r="J42" i="116"/>
  <c r="J46" i="116"/>
  <c r="J50" i="116"/>
  <c r="J54" i="116"/>
  <c r="J58" i="116"/>
  <c r="J62" i="116"/>
  <c r="J66" i="116"/>
  <c r="J70" i="116"/>
  <c r="J74" i="116"/>
  <c r="J78" i="116"/>
  <c r="J82" i="116"/>
  <c r="J80" i="116"/>
  <c r="J90" i="116"/>
  <c r="J81" i="116"/>
  <c r="J91" i="116"/>
  <c r="J37" i="116"/>
  <c r="J38" i="116"/>
  <c r="J36" i="116"/>
  <c r="J58" i="115"/>
  <c r="J55" i="115"/>
  <c r="J50" i="115"/>
  <c r="J26" i="115"/>
  <c r="J34" i="115"/>
  <c r="J67" i="115"/>
  <c r="J71" i="115"/>
  <c r="J27" i="115"/>
  <c r="J39" i="115"/>
  <c r="J43" i="115"/>
  <c r="J47" i="115"/>
  <c r="J28" i="115"/>
  <c r="J31" i="115"/>
  <c r="J40" i="115"/>
  <c r="J44" i="115"/>
  <c r="J48" i="115"/>
  <c r="J51" i="115"/>
  <c r="J54" i="115"/>
  <c r="J61" i="115"/>
  <c r="J25" i="115"/>
  <c r="J33" i="115"/>
  <c r="J41" i="115"/>
  <c r="J49" i="115"/>
  <c r="J56" i="115"/>
  <c r="J62" i="115"/>
  <c r="J70" i="115"/>
  <c r="J79" i="115"/>
  <c r="J36" i="115"/>
  <c r="J64" i="115"/>
  <c r="J68" i="115"/>
  <c r="J30" i="115"/>
  <c r="J37" i="115"/>
  <c r="J52" i="115"/>
  <c r="J45" i="115"/>
  <c r="J65" i="115"/>
  <c r="J38" i="115"/>
  <c r="J53" i="115"/>
  <c r="J42" i="115"/>
  <c r="J46" i="115"/>
  <c r="J57" i="115"/>
  <c r="J60" i="115"/>
  <c r="J66" i="115"/>
  <c r="J63" i="115"/>
  <c r="J35" i="115"/>
  <c r="J32" i="115"/>
  <c r="J27" i="114"/>
  <c r="J31" i="114"/>
  <c r="J35" i="114"/>
  <c r="J39" i="114"/>
  <c r="J43" i="114"/>
  <c r="J47" i="114"/>
  <c r="J51" i="114"/>
  <c r="J55" i="114"/>
  <c r="J59" i="114"/>
  <c r="J63" i="114"/>
  <c r="J67" i="114"/>
  <c r="J71" i="114"/>
  <c r="J26" i="114"/>
  <c r="J30" i="114"/>
  <c r="J34" i="114"/>
  <c r="J42" i="114"/>
  <c r="J46" i="114"/>
  <c r="J50" i="114"/>
  <c r="J62" i="114"/>
  <c r="J66" i="114"/>
  <c r="J75" i="114"/>
  <c r="J79" i="114"/>
  <c r="J25" i="114"/>
  <c r="J29" i="114"/>
  <c r="J37" i="114"/>
  <c r="J41" i="114"/>
  <c r="J49" i="114"/>
  <c r="J53" i="114"/>
  <c r="J57" i="114"/>
  <c r="J69" i="114"/>
  <c r="J73" i="114"/>
  <c r="J28" i="114"/>
  <c r="J32" i="114"/>
  <c r="J40" i="114"/>
  <c r="J44" i="114"/>
  <c r="J48" i="114"/>
  <c r="J52" i="114"/>
  <c r="J56" i="114"/>
  <c r="J60" i="114"/>
  <c r="J68" i="114"/>
  <c r="J72" i="114"/>
  <c r="J76" i="114"/>
  <c r="J61" i="114"/>
  <c r="J64" i="114"/>
  <c r="J54" i="114"/>
  <c r="J58" i="114"/>
  <c r="J45" i="114"/>
  <c r="J70" i="114"/>
  <c r="J38" i="114"/>
  <c r="J74" i="114"/>
  <c r="J78" i="114"/>
  <c r="J77" i="114"/>
  <c r="J36" i="114"/>
  <c r="J48" i="113"/>
  <c r="J52" i="113"/>
  <c r="J56" i="113"/>
  <c r="J60" i="113"/>
  <c r="J64" i="113"/>
  <c r="J68" i="113"/>
  <c r="J72" i="113"/>
  <c r="J41" i="113"/>
  <c r="J45" i="113"/>
  <c r="J27" i="113"/>
  <c r="J31" i="113"/>
  <c r="J35" i="113"/>
  <c r="J39" i="113"/>
  <c r="J76" i="113"/>
  <c r="J28" i="113"/>
  <c r="J32" i="113"/>
  <c r="J36" i="113"/>
  <c r="J40" i="113"/>
  <c r="J44" i="113"/>
  <c r="J47" i="113"/>
  <c r="J51" i="113"/>
  <c r="J55" i="113"/>
  <c r="J59" i="113"/>
  <c r="J63" i="113"/>
  <c r="J67" i="113"/>
  <c r="J71" i="113"/>
  <c r="J75" i="113"/>
  <c r="J25" i="113"/>
  <c r="J33" i="113"/>
  <c r="J37" i="113"/>
  <c r="J26" i="113"/>
  <c r="J30" i="113"/>
  <c r="J42" i="113"/>
  <c r="J53" i="113"/>
  <c r="J57" i="113"/>
  <c r="J61" i="113"/>
  <c r="J69" i="113"/>
  <c r="J73" i="113"/>
  <c r="J77" i="113"/>
  <c r="J43" i="113"/>
  <c r="J46" i="113"/>
  <c r="J50" i="113"/>
  <c r="J54" i="113"/>
  <c r="J58" i="113"/>
  <c r="J62" i="113"/>
  <c r="J66" i="113"/>
  <c r="J70" i="113"/>
  <c r="J74" i="113"/>
  <c r="J49" i="113"/>
  <c r="J38" i="113"/>
  <c r="J34" i="113"/>
  <c r="J26" i="112"/>
  <c r="J33" i="112"/>
  <c r="J37" i="112"/>
  <c r="J40" i="112"/>
  <c r="J25" i="112"/>
  <c r="J35" i="112"/>
  <c r="J39" i="112"/>
  <c r="J42" i="112"/>
  <c r="J51" i="112"/>
  <c r="J45" i="112"/>
  <c r="J49" i="112"/>
  <c r="J52" i="112"/>
  <c r="J59" i="112"/>
  <c r="J34" i="112"/>
  <c r="J38" i="112"/>
  <c r="J41" i="112"/>
  <c r="J44" i="112"/>
  <c r="J46" i="112"/>
  <c r="J50" i="112"/>
  <c r="J53" i="112"/>
  <c r="J56" i="112"/>
  <c r="J60" i="112"/>
  <c r="J64" i="112"/>
  <c r="J54" i="112"/>
  <c r="J57" i="112"/>
  <c r="J36" i="112"/>
  <c r="J48" i="112"/>
  <c r="J55" i="112"/>
  <c r="J58" i="112"/>
  <c r="J62" i="112"/>
  <c r="J63" i="112"/>
  <c r="J31" i="112"/>
  <c r="J43" i="112"/>
  <c r="J32" i="112"/>
  <c r="J30" i="112"/>
  <c r="J28" i="112"/>
  <c r="J27" i="112"/>
  <c r="J29" i="111"/>
  <c r="J28" i="111"/>
  <c r="J64" i="111"/>
  <c r="J84" i="111"/>
  <c r="J88" i="111"/>
  <c r="J96" i="111"/>
  <c r="J100" i="111"/>
  <c r="J108" i="111"/>
  <c r="J116" i="111"/>
  <c r="J164" i="111"/>
  <c r="J212" i="111"/>
  <c r="J216" i="111"/>
  <c r="J220" i="111"/>
  <c r="J224" i="111"/>
  <c r="J248" i="111"/>
  <c r="J252" i="111"/>
  <c r="J30" i="111"/>
  <c r="J142" i="111"/>
  <c r="J150" i="111"/>
  <c r="J230" i="111"/>
  <c r="J59" i="111"/>
  <c r="J71" i="111"/>
  <c r="J87" i="111"/>
  <c r="J91" i="111"/>
  <c r="J99" i="111"/>
  <c r="J103" i="111"/>
  <c r="J107" i="111"/>
  <c r="J119" i="111"/>
  <c r="J131" i="111"/>
  <c r="J135" i="111"/>
  <c r="J139" i="111"/>
  <c r="J143" i="111"/>
  <c r="J167" i="111"/>
  <c r="J171" i="111"/>
  <c r="J183" i="111"/>
  <c r="J187" i="111"/>
  <c r="J199" i="111"/>
  <c r="J33" i="111"/>
  <c r="J132" i="111"/>
  <c r="J155" i="111"/>
  <c r="J125" i="111"/>
  <c r="J77" i="111"/>
  <c r="J27" i="111"/>
  <c r="J110" i="111"/>
  <c r="J122" i="111"/>
  <c r="J126" i="111"/>
  <c r="J39" i="111"/>
  <c r="J43" i="111"/>
  <c r="J55" i="111"/>
  <c r="J158" i="111"/>
  <c r="J174" i="111"/>
  <c r="J190" i="111"/>
  <c r="J194" i="111"/>
  <c r="J198" i="111"/>
  <c r="J215" i="111"/>
  <c r="J219" i="111"/>
  <c r="J223" i="111"/>
  <c r="J235" i="111"/>
  <c r="J38" i="111"/>
  <c r="J46" i="111"/>
  <c r="J50" i="111"/>
  <c r="J58" i="111"/>
  <c r="J148" i="111"/>
  <c r="J152" i="111"/>
  <c r="J243" i="111"/>
  <c r="J247" i="111"/>
  <c r="J251" i="111"/>
  <c r="J78" i="111"/>
  <c r="J36" i="111"/>
  <c r="J40" i="111"/>
  <c r="J52" i="111"/>
  <c r="J49" i="111"/>
  <c r="J57" i="111"/>
  <c r="J68" i="111"/>
  <c r="J80" i="111"/>
  <c r="J151" i="111"/>
  <c r="J35" i="111"/>
  <c r="J54" i="111"/>
  <c r="J62" i="111"/>
  <c r="J70" i="111"/>
  <c r="J196" i="111"/>
  <c r="J200" i="111"/>
  <c r="J204" i="111"/>
  <c r="J228" i="111"/>
  <c r="J232" i="111"/>
  <c r="J25" i="111"/>
  <c r="J81" i="111"/>
  <c r="J85" i="111"/>
  <c r="J209" i="111"/>
  <c r="J129" i="111"/>
  <c r="J140" i="111"/>
  <c r="J233" i="111"/>
  <c r="J75" i="111"/>
  <c r="J82" i="111"/>
  <c r="J86" i="111"/>
  <c r="J221" i="111"/>
  <c r="J237" i="111"/>
  <c r="J141" i="111"/>
  <c r="J168" i="111"/>
  <c r="J214" i="111"/>
  <c r="J238" i="111"/>
  <c r="J34" i="111"/>
  <c r="J61" i="111"/>
  <c r="J65" i="111"/>
  <c r="J118" i="111"/>
  <c r="J145" i="111"/>
  <c r="J153" i="111"/>
  <c r="J203" i="111"/>
  <c r="J207" i="111"/>
  <c r="J242" i="111"/>
  <c r="J76" i="111"/>
  <c r="J79" i="111"/>
  <c r="J112" i="111"/>
  <c r="J130" i="111"/>
  <c r="J211" i="111"/>
  <c r="J222" i="111"/>
  <c r="J66" i="111"/>
  <c r="J89" i="111"/>
  <c r="J93" i="111"/>
  <c r="J97" i="111"/>
  <c r="J123" i="111"/>
  <c r="J134" i="111"/>
  <c r="J144" i="111"/>
  <c r="J162" i="111"/>
  <c r="J166" i="111"/>
  <c r="J189" i="111"/>
  <c r="J226" i="111"/>
  <c r="J240" i="111"/>
  <c r="J244" i="111"/>
  <c r="J67" i="111"/>
  <c r="J94" i="111"/>
  <c r="J98" i="111"/>
  <c r="J102" i="111"/>
  <c r="J120" i="111"/>
  <c r="J178" i="111"/>
  <c r="J182" i="111"/>
  <c r="J197" i="111"/>
  <c r="J208" i="111"/>
  <c r="J231" i="111"/>
  <c r="J245" i="111"/>
  <c r="J157" i="111"/>
  <c r="J205" i="111"/>
  <c r="J111" i="111"/>
  <c r="J154" i="111"/>
  <c r="J161" i="111"/>
  <c r="J165" i="111"/>
  <c r="J169" i="111"/>
  <c r="J180" i="111"/>
  <c r="J184" i="111"/>
  <c r="J195" i="111"/>
  <c r="J206" i="111"/>
  <c r="J210" i="111"/>
  <c r="J236" i="111"/>
  <c r="J48" i="111"/>
  <c r="J45" i="111"/>
  <c r="J32" i="111"/>
  <c r="J31" i="111"/>
  <c r="J74" i="111"/>
  <c r="J83" i="111"/>
  <c r="J105" i="111"/>
  <c r="J115" i="111"/>
  <c r="J128" i="111"/>
  <c r="J44" i="111"/>
  <c r="J47" i="111"/>
  <c r="J56" i="111"/>
  <c r="J239" i="111"/>
  <c r="J41" i="111"/>
  <c r="J60" i="111"/>
  <c r="J63" i="111"/>
  <c r="J69" i="111"/>
  <c r="J72" i="111"/>
  <c r="J133" i="111"/>
  <c r="J136" i="111"/>
  <c r="J146" i="111"/>
  <c r="J156" i="111"/>
  <c r="J159" i="111"/>
  <c r="J172" i="111"/>
  <c r="J175" i="111"/>
  <c r="J188" i="111"/>
  <c r="J191" i="111"/>
  <c r="J201" i="111"/>
  <c r="J217" i="111"/>
  <c r="J227" i="111"/>
  <c r="J234" i="111"/>
  <c r="J51" i="111"/>
  <c r="J73" i="111"/>
  <c r="J92" i="111"/>
  <c r="J95" i="111"/>
  <c r="J101" i="111"/>
  <c r="J104" i="111"/>
  <c r="J114" i="111"/>
  <c r="J124" i="111"/>
  <c r="J127" i="111"/>
  <c r="J137" i="111"/>
  <c r="J147" i="111"/>
  <c r="J160" i="111"/>
  <c r="J163" i="111"/>
  <c r="J176" i="111"/>
  <c r="J179" i="111"/>
  <c r="J192" i="111"/>
  <c r="J202" i="111"/>
  <c r="J26" i="110"/>
  <c r="J30" i="110"/>
  <c r="J70" i="110"/>
  <c r="J25" i="110"/>
  <c r="J29" i="110"/>
  <c r="J37" i="110"/>
  <c r="J41" i="110"/>
  <c r="J45" i="110"/>
  <c r="J49" i="110"/>
  <c r="J57" i="110"/>
  <c r="J61" i="110"/>
  <c r="J65" i="110"/>
  <c r="J53" i="110"/>
  <c r="J71" i="110"/>
  <c r="J72" i="110"/>
  <c r="J60" i="110"/>
  <c r="J69" i="110"/>
  <c r="J33" i="110"/>
  <c r="J51" i="109"/>
  <c r="J55" i="109"/>
  <c r="J59" i="109"/>
  <c r="J48" i="109"/>
  <c r="J52" i="109"/>
  <c r="J56" i="109"/>
  <c r="J60" i="109"/>
  <c r="J33" i="109"/>
  <c r="J37" i="109"/>
  <c r="J41" i="109"/>
  <c r="J45" i="109"/>
  <c r="J49" i="109"/>
  <c r="J53" i="109"/>
  <c r="J61" i="109"/>
  <c r="J27" i="109"/>
  <c r="J30" i="109"/>
  <c r="J34" i="109"/>
  <c r="J54" i="109"/>
  <c r="J62" i="109"/>
  <c r="J25" i="109"/>
  <c r="J50" i="109"/>
  <c r="J29" i="109"/>
  <c r="J39" i="109"/>
  <c r="J47" i="109"/>
  <c r="J63" i="109"/>
  <c r="J26" i="109"/>
  <c r="J40" i="109"/>
  <c r="J44" i="109"/>
  <c r="J24" i="109"/>
  <c r="J32" i="109"/>
  <c r="J36" i="109"/>
  <c r="J28" i="109"/>
  <c r="J38" i="109"/>
  <c r="J42" i="109"/>
  <c r="J46" i="109"/>
  <c r="J57" i="109"/>
  <c r="J43" i="109"/>
  <c r="J35" i="109"/>
  <c r="J31" i="109"/>
  <c r="J24" i="108"/>
  <c r="J28" i="108"/>
  <c r="J32" i="108"/>
  <c r="J36" i="108"/>
  <c r="J49" i="108"/>
  <c r="J54" i="108"/>
  <c r="J31" i="108"/>
  <c r="J46" i="108"/>
  <c r="J29" i="108"/>
  <c r="J48" i="108"/>
  <c r="J26" i="108"/>
  <c r="J30" i="108"/>
  <c r="J38" i="108"/>
  <c r="J42" i="108"/>
  <c r="J57" i="108"/>
  <c r="J25" i="108"/>
  <c r="J34" i="108"/>
  <c r="J35" i="108"/>
  <c r="J39" i="108"/>
  <c r="J50" i="108"/>
  <c r="J43" i="108"/>
  <c r="J53" i="108"/>
  <c r="J27" i="108"/>
  <c r="J61" i="108"/>
  <c r="J41" i="108"/>
  <c r="J45" i="108"/>
  <c r="J55" i="108"/>
  <c r="J59" i="108"/>
  <c r="J62" i="108"/>
  <c r="J58" i="108"/>
  <c r="J94" i="107"/>
  <c r="J98" i="107"/>
  <c r="J106" i="107"/>
  <c r="J110" i="107"/>
  <c r="J114" i="107"/>
  <c r="J118" i="107"/>
  <c r="J126" i="107"/>
  <c r="J130" i="107"/>
  <c r="J134" i="107"/>
  <c r="J242" i="107"/>
  <c r="J137" i="107"/>
  <c r="J157" i="107"/>
  <c r="J177" i="107"/>
  <c r="J185" i="107"/>
  <c r="J246" i="107"/>
  <c r="J176" i="107"/>
  <c r="J232" i="107"/>
  <c r="J241" i="107"/>
  <c r="J245" i="107"/>
  <c r="J201" i="107"/>
  <c r="J83" i="107"/>
  <c r="J103" i="107"/>
  <c r="J107" i="107"/>
  <c r="J131" i="107"/>
  <c r="J235" i="107"/>
  <c r="J223" i="107"/>
  <c r="J96" i="107"/>
  <c r="J104" i="107"/>
  <c r="J108" i="107"/>
  <c r="J112" i="107"/>
  <c r="J120" i="107"/>
  <c r="J128" i="107"/>
  <c r="J244" i="107"/>
  <c r="J252" i="107"/>
  <c r="J158" i="107"/>
  <c r="J178" i="107"/>
  <c r="J29" i="107"/>
  <c r="J33" i="107"/>
  <c r="J37" i="107"/>
  <c r="J41" i="107"/>
  <c r="J45" i="107"/>
  <c r="J49" i="107"/>
  <c r="J53" i="107"/>
  <c r="J65" i="107"/>
  <c r="J69" i="107"/>
  <c r="J73" i="107"/>
  <c r="J77" i="107"/>
  <c r="J81" i="107"/>
  <c r="J84" i="107"/>
  <c r="J152" i="107"/>
  <c r="J156" i="107"/>
  <c r="J168" i="107"/>
  <c r="J172" i="107"/>
  <c r="J196" i="107"/>
  <c r="J204" i="107"/>
  <c r="J208" i="107"/>
  <c r="J239" i="107"/>
  <c r="J30" i="107"/>
  <c r="J34" i="107"/>
  <c r="J38" i="107"/>
  <c r="J42" i="107"/>
  <c r="J141" i="107"/>
  <c r="J145" i="107"/>
  <c r="J153" i="107"/>
  <c r="J169" i="107"/>
  <c r="J173" i="107"/>
  <c r="J221" i="107"/>
  <c r="J236" i="107"/>
  <c r="J27" i="107"/>
  <c r="J55" i="107"/>
  <c r="J59" i="107"/>
  <c r="J67" i="107"/>
  <c r="J71" i="107"/>
  <c r="J75" i="107"/>
  <c r="J190" i="107"/>
  <c r="J198" i="107"/>
  <c r="J206" i="107"/>
  <c r="J210" i="107"/>
  <c r="J214" i="107"/>
  <c r="J249" i="107"/>
  <c r="J28" i="107"/>
  <c r="J32" i="107"/>
  <c r="J36" i="107"/>
  <c r="J40" i="107"/>
  <c r="J44" i="107"/>
  <c r="J48" i="107"/>
  <c r="J52" i="107"/>
  <c r="J64" i="107"/>
  <c r="J68" i="107"/>
  <c r="J72" i="107"/>
  <c r="J76" i="107"/>
  <c r="J80" i="107"/>
  <c r="J123" i="107"/>
  <c r="J139" i="107"/>
  <c r="J151" i="107"/>
  <c r="J171" i="107"/>
  <c r="J195" i="107"/>
  <c r="J211" i="107"/>
  <c r="J215" i="107"/>
  <c r="J231" i="107"/>
  <c r="J31" i="107"/>
  <c r="J91" i="107"/>
  <c r="J102" i="107"/>
  <c r="J133" i="107"/>
  <c r="J149" i="107"/>
  <c r="J164" i="107"/>
  <c r="J179" i="107"/>
  <c r="J183" i="107"/>
  <c r="J187" i="107"/>
  <c r="J226" i="107"/>
  <c r="J233" i="107"/>
  <c r="J248" i="107"/>
  <c r="J88" i="107"/>
  <c r="J95" i="107"/>
  <c r="J119" i="107"/>
  <c r="J142" i="107"/>
  <c r="J146" i="107"/>
  <c r="J150" i="107"/>
  <c r="J165" i="107"/>
  <c r="J184" i="107"/>
  <c r="J191" i="107"/>
  <c r="J227" i="107"/>
  <c r="J238" i="107"/>
  <c r="J93" i="107"/>
  <c r="J100" i="107"/>
  <c r="J116" i="107"/>
  <c r="J162" i="107"/>
  <c r="J181" i="107"/>
  <c r="J192" i="107"/>
  <c r="J212" i="107"/>
  <c r="J224" i="107"/>
  <c r="J228" i="107"/>
  <c r="J250" i="107"/>
  <c r="J62" i="107"/>
  <c r="J66" i="107"/>
  <c r="J70" i="107"/>
  <c r="J78" i="107"/>
  <c r="J97" i="107"/>
  <c r="J101" i="107"/>
  <c r="J105" i="107"/>
  <c r="J109" i="107"/>
  <c r="J132" i="107"/>
  <c r="J155" i="107"/>
  <c r="J193" i="107"/>
  <c r="J197" i="107"/>
  <c r="J205" i="107"/>
  <c r="J209" i="107"/>
  <c r="J213" i="107"/>
  <c r="J247" i="107"/>
  <c r="J86" i="107"/>
  <c r="J125" i="107"/>
  <c r="J129" i="107"/>
  <c r="J140" i="107"/>
  <c r="J148" i="107"/>
  <c r="J182" i="107"/>
  <c r="J225" i="107"/>
  <c r="J229" i="107"/>
  <c r="J240" i="107"/>
  <c r="J251" i="107"/>
  <c r="J57" i="107"/>
  <c r="J174" i="107"/>
  <c r="J188" i="107"/>
  <c r="J144" i="107"/>
  <c r="J160" i="107"/>
  <c r="J199" i="107"/>
  <c r="J217" i="107"/>
  <c r="J113" i="107"/>
  <c r="J189" i="107"/>
  <c r="J203" i="107"/>
  <c r="J218" i="107"/>
  <c r="J87" i="107"/>
  <c r="J117" i="107"/>
  <c r="J127" i="107"/>
  <c r="J161" i="107"/>
  <c r="J200" i="107"/>
  <c r="J207" i="107"/>
  <c r="J222" i="107"/>
  <c r="J243" i="107"/>
  <c r="J124" i="107"/>
  <c r="J135" i="107"/>
  <c r="J230" i="107"/>
  <c r="J92" i="107"/>
  <c r="J99" i="107"/>
  <c r="J121" i="107"/>
  <c r="J166" i="107"/>
  <c r="J180" i="107"/>
  <c r="J194" i="107"/>
  <c r="J219" i="107"/>
  <c r="J237" i="107"/>
  <c r="J136" i="107"/>
  <c r="J170" i="107"/>
  <c r="J82" i="107"/>
  <c r="J89" i="107"/>
  <c r="J115" i="107"/>
  <c r="J163" i="107"/>
  <c r="J167" i="107"/>
  <c r="J216" i="107"/>
  <c r="J220" i="107"/>
  <c r="J111" i="107"/>
  <c r="J56" i="107"/>
  <c r="J159" i="107"/>
  <c r="J60" i="107"/>
  <c r="J35" i="107"/>
  <c r="J39" i="107"/>
  <c r="J143" i="107"/>
  <c r="J43" i="107"/>
  <c r="J46" i="107"/>
  <c r="J50" i="107"/>
  <c r="J54" i="107"/>
  <c r="J61" i="107"/>
  <c r="J90" i="107"/>
  <c r="J138" i="107"/>
  <c r="J234" i="107"/>
  <c r="J25" i="107"/>
  <c r="J51" i="107"/>
  <c r="J79" i="107"/>
  <c r="J85" i="107"/>
  <c r="J122" i="107"/>
  <c r="J175" i="107"/>
  <c r="J63" i="107"/>
  <c r="J47" i="107"/>
  <c r="J69" i="106"/>
  <c r="J93" i="106"/>
  <c r="J97" i="106"/>
  <c r="J105" i="106"/>
  <c r="J109" i="106"/>
  <c r="J113" i="106"/>
  <c r="J121" i="106"/>
  <c r="J125" i="106"/>
  <c r="J133" i="106"/>
  <c r="J137" i="106"/>
  <c r="J141" i="106"/>
  <c r="J149" i="106"/>
  <c r="J161" i="106"/>
  <c r="J165" i="106"/>
  <c r="J169" i="106"/>
  <c r="J173" i="106"/>
  <c r="J181" i="106"/>
  <c r="J185" i="106"/>
  <c r="J189" i="106"/>
  <c r="J206" i="106"/>
  <c r="J210" i="106"/>
  <c r="J238" i="106"/>
  <c r="J242" i="106"/>
  <c r="J250" i="106"/>
  <c r="J71" i="106"/>
  <c r="J251" i="106"/>
  <c r="J208" i="106"/>
  <c r="J224" i="106"/>
  <c r="J228" i="106"/>
  <c r="J244" i="106"/>
  <c r="J252" i="106"/>
  <c r="J193" i="106"/>
  <c r="J79" i="106"/>
  <c r="J83" i="106"/>
  <c r="J87" i="106"/>
  <c r="J131" i="106"/>
  <c r="J135" i="106"/>
  <c r="J147" i="106"/>
  <c r="J197" i="106"/>
  <c r="J28" i="106"/>
  <c r="J32" i="106"/>
  <c r="J36" i="106"/>
  <c r="J40" i="106"/>
  <c r="J48" i="106"/>
  <c r="J52" i="106"/>
  <c r="J56" i="106"/>
  <c r="J60" i="106"/>
  <c r="J64" i="106"/>
  <c r="J68" i="106"/>
  <c r="J128" i="106"/>
  <c r="J148" i="106"/>
  <c r="J152" i="106"/>
  <c r="J156" i="106"/>
  <c r="J160" i="106"/>
  <c r="J164" i="106"/>
  <c r="J168" i="106"/>
  <c r="J172" i="106"/>
  <c r="J176" i="106"/>
  <c r="J78" i="106"/>
  <c r="J82" i="106"/>
  <c r="J90" i="106"/>
  <c r="J94" i="106"/>
  <c r="J98" i="106"/>
  <c r="J106" i="106"/>
  <c r="J110" i="106"/>
  <c r="J114" i="106"/>
  <c r="J118" i="106"/>
  <c r="J162" i="106"/>
  <c r="J202" i="106"/>
  <c r="J222" i="106"/>
  <c r="J31" i="106"/>
  <c r="J35" i="106"/>
  <c r="J39" i="106"/>
  <c r="J47" i="106"/>
  <c r="J55" i="106"/>
  <c r="J134" i="106"/>
  <c r="J138" i="106"/>
  <c r="J142" i="106"/>
  <c r="J233" i="106"/>
  <c r="J237" i="106"/>
  <c r="J241" i="106"/>
  <c r="J245" i="106"/>
  <c r="J249" i="106"/>
  <c r="J196" i="106"/>
  <c r="J91" i="106"/>
  <c r="J107" i="106"/>
  <c r="J84" i="106"/>
  <c r="J88" i="106"/>
  <c r="J96" i="106"/>
  <c r="J100" i="106"/>
  <c r="J108" i="106"/>
  <c r="J112" i="106"/>
  <c r="J116" i="106"/>
  <c r="J120" i="106"/>
  <c r="J151" i="106"/>
  <c r="J175" i="106"/>
  <c r="J179" i="106"/>
  <c r="J183" i="106"/>
  <c r="J191" i="106"/>
  <c r="J25" i="106"/>
  <c r="J41" i="106"/>
  <c r="J45" i="106"/>
  <c r="J49" i="106"/>
  <c r="J57" i="106"/>
  <c r="J61" i="106"/>
  <c r="J65" i="106"/>
  <c r="J227" i="106"/>
  <c r="J33" i="106"/>
  <c r="J174" i="106"/>
  <c r="J34" i="106"/>
  <c r="J38" i="106"/>
  <c r="J50" i="106"/>
  <c r="J58" i="106"/>
  <c r="J62" i="106"/>
  <c r="J66" i="106"/>
  <c r="J85" i="106"/>
  <c r="J89" i="106"/>
  <c r="J124" i="106"/>
  <c r="J140" i="106"/>
  <c r="J144" i="106"/>
  <c r="J163" i="106"/>
  <c r="J167" i="106"/>
  <c r="J178" i="106"/>
  <c r="J205" i="106"/>
  <c r="J209" i="106"/>
  <c r="J213" i="106"/>
  <c r="J217" i="106"/>
  <c r="J221" i="106"/>
  <c r="J236" i="106"/>
  <c r="J51" i="106"/>
  <c r="J59" i="106"/>
  <c r="J126" i="106"/>
  <c r="J195" i="106"/>
  <c r="J199" i="106"/>
  <c r="J146" i="106"/>
  <c r="J211" i="106"/>
  <c r="J215" i="106"/>
  <c r="J29" i="106"/>
  <c r="J44" i="106"/>
  <c r="J72" i="106"/>
  <c r="J76" i="106"/>
  <c r="J95" i="106"/>
  <c r="J111" i="106"/>
  <c r="J115" i="106"/>
  <c r="J119" i="106"/>
  <c r="J127" i="106"/>
  <c r="J130" i="106"/>
  <c r="J150" i="106"/>
  <c r="J154" i="106"/>
  <c r="J158" i="106"/>
  <c r="J180" i="106"/>
  <c r="J184" i="106"/>
  <c r="J188" i="106"/>
  <c r="J192" i="106"/>
  <c r="J200" i="106"/>
  <c r="J204" i="106"/>
  <c r="J239" i="106"/>
  <c r="J243" i="106"/>
  <c r="J27" i="106"/>
  <c r="J223" i="106"/>
  <c r="J42" i="106"/>
  <c r="J46" i="106"/>
  <c r="J53" i="106"/>
  <c r="J104" i="106"/>
  <c r="J122" i="106"/>
  <c r="J132" i="106"/>
  <c r="J136" i="106"/>
  <c r="J139" i="106"/>
  <c r="J143" i="106"/>
  <c r="J153" i="106"/>
  <c r="J157" i="106"/>
  <c r="J186" i="106"/>
  <c r="J190" i="106"/>
  <c r="J194" i="106"/>
  <c r="J201" i="106"/>
  <c r="J212" i="106"/>
  <c r="J216" i="106"/>
  <c r="J220" i="106"/>
  <c r="J231" i="106"/>
  <c r="J234" i="106"/>
  <c r="J248" i="106"/>
  <c r="J101" i="106"/>
  <c r="J232" i="106"/>
  <c r="J43" i="106"/>
  <c r="J73" i="106"/>
  <c r="J77" i="106"/>
  <c r="J80" i="106"/>
  <c r="J123" i="106"/>
  <c r="J187" i="106"/>
  <c r="J225" i="106"/>
  <c r="J26" i="106"/>
  <c r="J214" i="106"/>
  <c r="J218" i="106"/>
  <c r="J229" i="106"/>
  <c r="J30" i="106"/>
  <c r="J37" i="106"/>
  <c r="J63" i="106"/>
  <c r="J67" i="106"/>
  <c r="J74" i="106"/>
  <c r="J81" i="106"/>
  <c r="J92" i="106"/>
  <c r="J99" i="106"/>
  <c r="J103" i="106"/>
  <c r="J117" i="106"/>
  <c r="J145" i="106"/>
  <c r="J159" i="106"/>
  <c r="J170" i="106"/>
  <c r="J207" i="106"/>
  <c r="J226" i="106"/>
  <c r="J240" i="106"/>
  <c r="J247" i="106"/>
  <c r="J246" i="106"/>
  <c r="J235" i="106"/>
  <c r="J75" i="106"/>
  <c r="J70" i="106"/>
  <c r="J129" i="106"/>
  <c r="J171" i="106"/>
  <c r="J177" i="106"/>
  <c r="J219" i="106"/>
  <c r="J166" i="106"/>
  <c r="J155" i="106"/>
  <c r="J203" i="106"/>
  <c r="J198" i="106"/>
  <c r="J84" i="105"/>
  <c r="J96" i="105"/>
  <c r="J121" i="105"/>
  <c r="J65" i="105"/>
  <c r="J54" i="105"/>
  <c r="J130" i="105"/>
  <c r="J134" i="105"/>
  <c r="J138" i="105"/>
  <c r="J150" i="105"/>
  <c r="J154" i="105"/>
  <c r="J178" i="105"/>
  <c r="J182" i="105"/>
  <c r="J202" i="105"/>
  <c r="J95" i="105"/>
  <c r="J99" i="105"/>
  <c r="J230" i="105"/>
  <c r="J234" i="105"/>
  <c r="J238" i="105"/>
  <c r="J246" i="105"/>
  <c r="J217" i="105"/>
  <c r="J92" i="105"/>
  <c r="J219" i="105"/>
  <c r="J251" i="105"/>
  <c r="J213" i="105"/>
  <c r="J25" i="105"/>
  <c r="J33" i="105"/>
  <c r="J37" i="105"/>
  <c r="J41" i="105"/>
  <c r="J53" i="105"/>
  <c r="J57" i="105"/>
  <c r="J128" i="105"/>
  <c r="J140" i="105"/>
  <c r="J144" i="105"/>
  <c r="J148" i="105"/>
  <c r="J152" i="105"/>
  <c r="J156" i="105"/>
  <c r="J160" i="105"/>
  <c r="J164" i="105"/>
  <c r="J168" i="105"/>
  <c r="J172" i="105"/>
  <c r="J176" i="105"/>
  <c r="J188" i="105"/>
  <c r="J192" i="105"/>
  <c r="J200" i="105"/>
  <c r="J204" i="105"/>
  <c r="J208" i="105"/>
  <c r="J212" i="105"/>
  <c r="J216" i="105"/>
  <c r="J43" i="105"/>
  <c r="J47" i="105"/>
  <c r="J26" i="105"/>
  <c r="J30" i="105"/>
  <c r="J34" i="105"/>
  <c r="J38" i="105"/>
  <c r="J42" i="105"/>
  <c r="J73" i="105"/>
  <c r="J104" i="105"/>
  <c r="J108" i="105"/>
  <c r="J51" i="105"/>
  <c r="J78" i="105"/>
  <c r="J112" i="105"/>
  <c r="J235" i="105"/>
  <c r="J28" i="105"/>
  <c r="J32" i="105"/>
  <c r="J36" i="105"/>
  <c r="J40" i="105"/>
  <c r="J44" i="105"/>
  <c r="J59" i="105"/>
  <c r="J86" i="105"/>
  <c r="J133" i="105"/>
  <c r="J157" i="105"/>
  <c r="J165" i="105"/>
  <c r="J190" i="105"/>
  <c r="J145" i="105"/>
  <c r="J161" i="105"/>
  <c r="J52" i="105"/>
  <c r="J79" i="105"/>
  <c r="J83" i="105"/>
  <c r="J181" i="105"/>
  <c r="J185" i="105"/>
  <c r="J201" i="105"/>
  <c r="J69" i="105"/>
  <c r="J124" i="105"/>
  <c r="J139" i="105"/>
  <c r="J143" i="105"/>
  <c r="J183" i="105"/>
  <c r="J214" i="105"/>
  <c r="J197" i="105"/>
  <c r="J153" i="105"/>
  <c r="J94" i="105"/>
  <c r="J209" i="105"/>
  <c r="J227" i="105"/>
  <c r="J180" i="105"/>
  <c r="J88" i="105"/>
  <c r="J131" i="105"/>
  <c r="J35" i="105"/>
  <c r="J102" i="105"/>
  <c r="J106" i="105"/>
  <c r="J110" i="105"/>
  <c r="J122" i="105"/>
  <c r="J137" i="105"/>
  <c r="J141" i="105"/>
  <c r="J198" i="105"/>
  <c r="J224" i="105"/>
  <c r="J64" i="105"/>
  <c r="J126" i="105"/>
  <c r="J90" i="105"/>
  <c r="J72" i="105"/>
  <c r="J170" i="105"/>
  <c r="J27" i="105"/>
  <c r="J62" i="105"/>
  <c r="J81" i="105"/>
  <c r="J146" i="105"/>
  <c r="J243" i="105"/>
  <c r="J67" i="105"/>
  <c r="J207" i="105"/>
  <c r="J75" i="105"/>
  <c r="J241" i="105"/>
  <c r="J66" i="105"/>
  <c r="J232" i="105"/>
  <c r="J163" i="105"/>
  <c r="J111" i="105"/>
  <c r="J50" i="105"/>
  <c r="J63" i="105"/>
  <c r="J70" i="105"/>
  <c r="J74" i="105"/>
  <c r="J85" i="105"/>
  <c r="J132" i="105"/>
  <c r="J166" i="105"/>
  <c r="J184" i="105"/>
  <c r="J221" i="105"/>
  <c r="J244" i="105"/>
  <c r="J248" i="105"/>
  <c r="J48" i="105"/>
  <c r="J61" i="105"/>
  <c r="J58" i="105"/>
  <c r="J31" i="105"/>
  <c r="J218" i="105"/>
  <c r="J151" i="105"/>
  <c r="J196" i="105"/>
  <c r="J116" i="105"/>
  <c r="J45" i="105"/>
  <c r="J107" i="105"/>
  <c r="J118" i="105"/>
  <c r="J125" i="105"/>
  <c r="J142" i="105"/>
  <c r="J149" i="105"/>
  <c r="J169" i="105"/>
  <c r="J173" i="105"/>
  <c r="J193" i="105"/>
  <c r="J123" i="105"/>
  <c r="J71" i="105"/>
  <c r="J46" i="105"/>
  <c r="J49" i="105"/>
  <c r="J91" i="105"/>
  <c r="J101" i="105"/>
  <c r="J115" i="105"/>
  <c r="J136" i="105"/>
  <c r="J177" i="105"/>
  <c r="J211" i="105"/>
  <c r="J237" i="105"/>
  <c r="J55" i="105"/>
  <c r="J206" i="105"/>
  <c r="J223" i="105"/>
  <c r="J236" i="105"/>
  <c r="J220" i="105"/>
  <c r="J240" i="105"/>
  <c r="J203" i="105"/>
  <c r="J239" i="105"/>
  <c r="J39" i="105"/>
  <c r="J87" i="105"/>
  <c r="J135" i="105"/>
  <c r="J29" i="105"/>
  <c r="J77" i="105"/>
  <c r="J100" i="105"/>
  <c r="J103" i="105"/>
  <c r="J120" i="105"/>
  <c r="J129" i="105"/>
  <c r="J158" i="105"/>
  <c r="J174" i="105"/>
  <c r="J186" i="105"/>
  <c r="J228" i="105"/>
  <c r="J167" i="105"/>
  <c r="J119" i="105"/>
  <c r="J247" i="105"/>
  <c r="J199" i="105"/>
  <c r="J205" i="105"/>
  <c r="J242" i="105"/>
  <c r="J215" i="105"/>
  <c r="J231" i="105"/>
  <c r="J189" i="105"/>
  <c r="J226" i="105"/>
  <c r="J50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71" i="142"/>
  <c r="J46" i="140"/>
  <c r="J162" i="148"/>
  <c r="J103" i="147"/>
  <c r="J127" i="147"/>
  <c r="J47" i="147"/>
  <c r="J234" i="147"/>
  <c r="J38" i="146"/>
  <c r="J107" i="146"/>
  <c r="J139" i="146"/>
  <c r="J171" i="146"/>
  <c r="J203" i="146"/>
  <c r="J235" i="146"/>
  <c r="J115" i="148"/>
  <c r="J191" i="147"/>
  <c r="J70" i="146"/>
  <c r="J61" i="141"/>
  <c r="J52" i="140"/>
  <c r="J195" i="148"/>
  <c r="J31" i="147"/>
  <c r="J95" i="147"/>
  <c r="J143" i="147"/>
  <c r="J102" i="146"/>
  <c r="J134" i="146"/>
  <c r="J166" i="146"/>
  <c r="J198" i="146"/>
  <c r="J230" i="146"/>
  <c r="J31" i="143"/>
  <c r="J27" i="142"/>
  <c r="J55" i="141"/>
  <c r="J83" i="140"/>
  <c r="J98" i="143"/>
  <c r="J42" i="139"/>
  <c r="J39" i="141"/>
  <c r="J67" i="140"/>
  <c r="J82" i="143"/>
  <c r="J43" i="142"/>
  <c r="J71" i="141"/>
  <c r="J99" i="140"/>
  <c r="J58" i="139"/>
  <c r="J53" i="138"/>
  <c r="J95" i="143"/>
  <c r="J38" i="142"/>
  <c r="J66" i="141"/>
  <c r="J94" i="140"/>
  <c r="J42" i="141"/>
  <c r="J70" i="140"/>
  <c r="J62" i="138"/>
  <c r="J46" i="138"/>
  <c r="J50" i="137"/>
  <c r="J24" i="138"/>
  <c r="J61" i="139"/>
  <c r="J33" i="136"/>
  <c r="J61" i="135"/>
  <c r="J33" i="134"/>
  <c r="J75" i="134"/>
  <c r="J45" i="139"/>
  <c r="J35" i="137"/>
  <c r="J40" i="138"/>
  <c r="J55" i="138"/>
  <c r="J87" i="138"/>
  <c r="J76" i="136"/>
  <c r="J57" i="134"/>
  <c r="J53" i="134"/>
  <c r="J42" i="133"/>
  <c r="J61" i="132"/>
  <c r="J78" i="134"/>
  <c r="J35" i="132"/>
  <c r="J30" i="130"/>
  <c r="J69" i="134"/>
  <c r="J59" i="129"/>
  <c r="J56" i="127"/>
  <c r="J43" i="129"/>
  <c r="J75" i="129"/>
  <c r="J40" i="127"/>
  <c r="J32" i="125"/>
  <c r="J81" i="122"/>
  <c r="J41" i="120"/>
  <c r="J25" i="124"/>
  <c r="J33" i="114"/>
  <c r="J85" i="123"/>
  <c r="J76" i="122"/>
  <c r="J39" i="121"/>
  <c r="J71" i="121"/>
  <c r="J36" i="120"/>
  <c r="J41" i="124"/>
  <c r="J69" i="123"/>
  <c r="J65" i="122"/>
  <c r="J60" i="121"/>
  <c r="J69" i="120"/>
  <c r="J72" i="116"/>
  <c r="J57" i="124"/>
  <c r="J37" i="123"/>
  <c r="J28" i="122"/>
  <c r="J55" i="121"/>
  <c r="J80" i="123"/>
  <c r="J77" i="121"/>
  <c r="J41" i="119"/>
  <c r="J59" i="118"/>
  <c r="J40" i="116"/>
  <c r="J59" i="115"/>
  <c r="J48" i="118"/>
  <c r="J67" i="116"/>
  <c r="J67" i="119"/>
  <c r="J43" i="118"/>
  <c r="J25" i="117"/>
  <c r="J56" i="116"/>
  <c r="J29" i="115"/>
  <c r="J170" i="111"/>
  <c r="J32" i="118"/>
  <c r="J52" i="119"/>
  <c r="J64" i="118"/>
  <c r="J59" i="117"/>
  <c r="J51" i="116"/>
  <c r="J69" i="115"/>
  <c r="J61" i="112"/>
  <c r="J37" i="111"/>
  <c r="J106" i="111"/>
  <c r="J138" i="111"/>
  <c r="J26" i="111"/>
  <c r="J29" i="112"/>
  <c r="J90" i="111"/>
  <c r="J66" i="110"/>
  <c r="J65" i="113"/>
  <c r="J47" i="112"/>
  <c r="J53" i="111"/>
  <c r="J65" i="114"/>
  <c r="J186" i="111"/>
  <c r="J218" i="111"/>
  <c r="J250" i="111"/>
  <c r="J42" i="111"/>
  <c r="J117" i="111"/>
  <c r="J149" i="111"/>
  <c r="J29" i="113"/>
  <c r="J26" i="107"/>
  <c r="J154" i="107"/>
  <c r="J54" i="106"/>
  <c r="J182" i="106"/>
  <c r="J162" i="105"/>
  <c r="J58" i="109"/>
  <c r="J210" i="105"/>
  <c r="J114" i="105"/>
  <c r="J40" i="108"/>
  <c r="J74" i="107"/>
  <c r="J202" i="107"/>
  <c r="J102" i="106"/>
  <c r="J230" i="106"/>
  <c r="J194" i="105"/>
  <c r="J58" i="107"/>
  <c r="J186" i="107"/>
  <c r="J86" i="106"/>
  <c r="J98" i="105"/>
  <c r="J38" i="110"/>
  <c r="J82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J18" i="118" l="1"/>
  <c r="J17" i="109"/>
  <c r="A6" i="157"/>
  <c r="O17" i="105"/>
  <c r="N17" i="56"/>
  <c r="D4" i="156" l="1"/>
  <c r="H12" i="156" s="1"/>
  <c r="D2" i="156"/>
  <c r="A234" i="157"/>
  <c r="A7" i="157"/>
  <c r="A235" i="157" s="1"/>
  <c r="D4" i="157"/>
  <c r="E4" i="157" s="1"/>
  <c r="F4" i="157" s="1"/>
  <c r="D2" i="157"/>
  <c r="B27" i="157" s="1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L17" i="106" s="1"/>
  <c r="K24" i="106"/>
  <c r="K17" i="106" s="1"/>
  <c r="O10" i="106" s="1"/>
  <c r="L24" i="107"/>
  <c r="K24" i="107"/>
  <c r="L17" i="108"/>
  <c r="K17" i="108"/>
  <c r="O10" i="108" s="1"/>
  <c r="K17" i="109"/>
  <c r="L24" i="110"/>
  <c r="K24" i="110"/>
  <c r="L24" i="111"/>
  <c r="L17" i="111" s="1"/>
  <c r="K24" i="111"/>
  <c r="L24" i="112"/>
  <c r="L17" i="112" s="1"/>
  <c r="K24" i="112"/>
  <c r="K17" i="112" s="1"/>
  <c r="O10" i="112" s="1"/>
  <c r="L24" i="113"/>
  <c r="K24" i="113"/>
  <c r="K17" i="113" s="1"/>
  <c r="L24" i="114"/>
  <c r="K24" i="114"/>
  <c r="L24" i="115"/>
  <c r="K24" i="115"/>
  <c r="K17" i="115" s="1"/>
  <c r="O10" i="115" s="1"/>
  <c r="L24" i="116"/>
  <c r="K24" i="116"/>
  <c r="K17" i="116" s="1"/>
  <c r="O10" i="116" s="1"/>
  <c r="L24" i="117"/>
  <c r="L17" i="117" s="1"/>
  <c r="K24" i="117"/>
  <c r="K17" i="117" s="1"/>
  <c r="O10" i="117" s="1"/>
  <c r="L24" i="118"/>
  <c r="K24" i="118"/>
  <c r="K17" i="118" s="1"/>
  <c r="O10" i="118" s="1"/>
  <c r="L24" i="119"/>
  <c r="L17" i="119" s="1"/>
  <c r="K24" i="119"/>
  <c r="L24" i="120"/>
  <c r="L17" i="120" s="1"/>
  <c r="K24" i="120"/>
  <c r="K17" i="120" s="1"/>
  <c r="O10" i="120" s="1"/>
  <c r="L24" i="121"/>
  <c r="L17" i="121" s="1"/>
  <c r="K24" i="121"/>
  <c r="L24" i="122"/>
  <c r="L17" i="122" s="1"/>
  <c r="K24" i="122"/>
  <c r="K17" i="122" s="1"/>
  <c r="O10" i="122" s="1"/>
  <c r="L24" i="123"/>
  <c r="L17" i="123" s="1"/>
  <c r="K24" i="123"/>
  <c r="K17" i="123" s="1"/>
  <c r="O10" i="123" s="1"/>
  <c r="L24" i="124"/>
  <c r="K24" i="124"/>
  <c r="L24" i="125"/>
  <c r="K24" i="125"/>
  <c r="L24" i="126"/>
  <c r="L17" i="126" s="1"/>
  <c r="K24" i="126"/>
  <c r="K17" i="126" s="1"/>
  <c r="O10" i="126" s="1"/>
  <c r="L24" i="127"/>
  <c r="K24" i="127"/>
  <c r="L24" i="128"/>
  <c r="L17" i="128" s="1"/>
  <c r="K24" i="128"/>
  <c r="K17" i="128" s="1"/>
  <c r="O10" i="128" s="1"/>
  <c r="L24" i="129"/>
  <c r="L17" i="129" s="1"/>
  <c r="K24" i="129"/>
  <c r="L24" i="130"/>
  <c r="L17" i="130" s="1"/>
  <c r="K24" i="130"/>
  <c r="K17" i="131"/>
  <c r="K17" i="132"/>
  <c r="O10" i="132" s="1"/>
  <c r="L24" i="133"/>
  <c r="K24" i="133"/>
  <c r="K17" i="133" s="1"/>
  <c r="O10" i="133" s="1"/>
  <c r="L24" i="134"/>
  <c r="L17" i="134" s="1"/>
  <c r="K24" i="134"/>
  <c r="K17" i="134" s="1"/>
  <c r="O10" i="134" s="1"/>
  <c r="L24" i="135"/>
  <c r="L17" i="135" s="1"/>
  <c r="K24" i="135"/>
  <c r="K17" i="135" s="1"/>
  <c r="L24" i="136"/>
  <c r="L17" i="136" s="1"/>
  <c r="K24" i="136"/>
  <c r="L24" i="137"/>
  <c r="K24" i="137"/>
  <c r="K17" i="137" s="1"/>
  <c r="O10" i="137" s="1"/>
  <c r="K17" i="138"/>
  <c r="O10" i="138" s="1"/>
  <c r="L24" i="139"/>
  <c r="L17" i="139" s="1"/>
  <c r="K24" i="139"/>
  <c r="L24" i="140"/>
  <c r="L17" i="140" s="1"/>
  <c r="K24" i="140"/>
  <c r="K17" i="140" s="1"/>
  <c r="O10" i="140" s="1"/>
  <c r="L24" i="141"/>
  <c r="L17" i="141" s="1"/>
  <c r="K24" i="141"/>
  <c r="L24" i="142"/>
  <c r="K24" i="142"/>
  <c r="L24" i="143"/>
  <c r="K24" i="143"/>
  <c r="L24" i="144"/>
  <c r="L17" i="144" s="1"/>
  <c r="K24" i="144"/>
  <c r="K17" i="144" s="1"/>
  <c r="O10" i="144" s="1"/>
  <c r="P10" i="145" s="1" a="1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L17" i="105" s="1"/>
  <c r="K24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 s="1"/>
  <c r="L18" i="106"/>
  <c r="K18" i="106"/>
  <c r="O11" i="106" s="1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0" i="106" s="1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 s="1"/>
  <c r="L18" i="107"/>
  <c r="K18" i="107"/>
  <c r="O11" i="107" s="1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0" i="107" s="1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 s="1"/>
  <c r="L18" i="108"/>
  <c r="K18" i="108"/>
  <c r="O11" i="108" s="1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 s="1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L11" i="109"/>
  <c r="L18" i="109"/>
  <c r="K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L10" i="109"/>
  <c r="L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L11" i="110" s="1"/>
  <c r="N18" i="110"/>
  <c r="L18" i="110"/>
  <c r="K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L10" i="110" s="1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L11" i="111" s="1"/>
  <c r="N18" i="111"/>
  <c r="L18" i="111"/>
  <c r="K18" i="111"/>
  <c r="O11" i="111" s="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L10" i="111" s="1"/>
  <c r="N17" i="111"/>
  <c r="K17" i="111"/>
  <c r="O10" i="111" s="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L11" i="112" s="1"/>
  <c r="N18" i="112"/>
  <c r="L18" i="112"/>
  <c r="K18" i="112"/>
  <c r="O11" i="112" s="1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L10" i="112" s="1"/>
  <c r="N17" i="112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L11" i="113" s="1"/>
  <c r="O18" i="113"/>
  <c r="N18" i="113"/>
  <c r="L18" i="113"/>
  <c r="K18" i="113"/>
  <c r="O11" i="113" s="1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L10" i="113" s="1"/>
  <c r="L12" i="113" s="1"/>
  <c r="O17" i="113"/>
  <c r="N17" i="113"/>
  <c r="L17" i="113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L11" i="114" s="1"/>
  <c r="O18" i="114"/>
  <c r="N18" i="114"/>
  <c r="L18" i="114"/>
  <c r="K18" i="114"/>
  <c r="O11" i="114" s="1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L10" i="114" s="1"/>
  <c r="O17" i="114"/>
  <c r="N17" i="114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L11" i="115" s="1"/>
  <c r="O18" i="115"/>
  <c r="N18" i="115"/>
  <c r="L18" i="115"/>
  <c r="K18" i="115"/>
  <c r="O11" i="115" s="1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L10" i="115" s="1"/>
  <c r="O17" i="115"/>
  <c r="N17" i="115"/>
  <c r="L17" i="115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L18" i="116"/>
  <c r="K18" i="116"/>
  <c r="O11" i="116" s="1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L10" i="116" s="1"/>
  <c r="O17" i="116"/>
  <c r="N17" i="116"/>
  <c r="L17" i="116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L11" i="117" s="1"/>
  <c r="P18" i="117"/>
  <c r="O18" i="117"/>
  <c r="N18" i="117"/>
  <c r="L18" i="117"/>
  <c r="K18" i="117"/>
  <c r="O11" i="117" s="1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L10" i="117" s="1"/>
  <c r="P17" i="117"/>
  <c r="O17" i="117"/>
  <c r="N17" i="117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L11" i="118" s="1"/>
  <c r="P18" i="118"/>
  <c r="O18" i="118"/>
  <c r="N18" i="118"/>
  <c r="L18" i="118"/>
  <c r="K18" i="118"/>
  <c r="O11" i="118" s="1"/>
  <c r="AL17" i="118"/>
  <c r="AK17" i="118"/>
  <c r="AJ17" i="118"/>
  <c r="AI17" i="118"/>
  <c r="AH17" i="118"/>
  <c r="AG17" i="118"/>
  <c r="AF17" i="118"/>
  <c r="AE17" i="118"/>
  <c r="AD17" i="118"/>
  <c r="AC17" i="118"/>
  <c r="AB17" i="118"/>
  <c r="AA17" i="118"/>
  <c r="Y17" i="118"/>
  <c r="X17" i="118"/>
  <c r="W17" i="118"/>
  <c r="V17" i="118"/>
  <c r="U17" i="118"/>
  <c r="T17" i="118"/>
  <c r="S17" i="118"/>
  <c r="R17" i="118"/>
  <c r="Q17" i="118"/>
  <c r="L10" i="118" s="1"/>
  <c r="P17" i="118"/>
  <c r="O17" i="118"/>
  <c r="N17" i="118"/>
  <c r="L17" i="118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K18" i="119"/>
  <c r="O11" i="119" s="1"/>
  <c r="J18" i="119"/>
  <c r="AL17" i="119"/>
  <c r="AK17" i="119"/>
  <c r="AJ17" i="119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S17" i="119"/>
  <c r="R17" i="119"/>
  <c r="Q17" i="119"/>
  <c r="L10" i="119" s="1"/>
  <c r="P17" i="119"/>
  <c r="O17" i="119"/>
  <c r="N17" i="119"/>
  <c r="K17" i="119"/>
  <c r="O10" i="119" s="1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L18" i="120"/>
  <c r="K18" i="120"/>
  <c r="O11" i="120" s="1"/>
  <c r="J18" i="120"/>
  <c r="AL17" i="120"/>
  <c r="AK17" i="120"/>
  <c r="AJ17" i="120"/>
  <c r="AI17" i="120"/>
  <c r="AH17" i="120"/>
  <c r="AG17" i="120"/>
  <c r="AF17" i="120"/>
  <c r="AE17" i="120"/>
  <c r="AD17" i="120"/>
  <c r="AC17" i="120"/>
  <c r="AB17" i="120"/>
  <c r="AA17" i="120"/>
  <c r="Y17" i="120"/>
  <c r="X17" i="120"/>
  <c r="W17" i="120"/>
  <c r="V17" i="120"/>
  <c r="U17" i="120"/>
  <c r="T17" i="120"/>
  <c r="S17" i="120"/>
  <c r="R17" i="120"/>
  <c r="Q17" i="120"/>
  <c r="L10" i="120" s="1"/>
  <c r="P17" i="120"/>
  <c r="O17" i="120"/>
  <c r="N17" i="120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T18" i="121"/>
  <c r="S18" i="121"/>
  <c r="R18" i="121"/>
  <c r="Q18" i="121"/>
  <c r="L11" i="121" s="1"/>
  <c r="P18" i="121"/>
  <c r="O18" i="121"/>
  <c r="N18" i="121"/>
  <c r="L18" i="121"/>
  <c r="K18" i="121"/>
  <c r="O11" i="121" s="1"/>
  <c r="J18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L10" i="121" s="1"/>
  <c r="P17" i="121"/>
  <c r="O17" i="121"/>
  <c r="N17" i="121"/>
  <c r="K17" i="121"/>
  <c r="O10" i="121" s="1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P18" i="122"/>
  <c r="O18" i="122"/>
  <c r="N18" i="122"/>
  <c r="L18" i="122"/>
  <c r="K18" i="122"/>
  <c r="O11" i="122" s="1"/>
  <c r="J18" i="122"/>
  <c r="AL17" i="122"/>
  <c r="AK17" i="122"/>
  <c r="AJ17" i="122"/>
  <c r="AI17" i="122"/>
  <c r="AH17" i="122"/>
  <c r="AG17" i="122"/>
  <c r="AF17" i="122"/>
  <c r="AE17" i="122"/>
  <c r="AD17" i="122"/>
  <c r="AC17" i="122"/>
  <c r="AB17" i="122"/>
  <c r="AA17" i="122"/>
  <c r="Y17" i="122"/>
  <c r="X17" i="122"/>
  <c r="W17" i="122"/>
  <c r="V17" i="122"/>
  <c r="U17" i="122"/>
  <c r="T17" i="122"/>
  <c r="S17" i="122"/>
  <c r="R17" i="122"/>
  <c r="L10" i="122" s="1"/>
  <c r="Q17" i="122"/>
  <c r="P17" i="122"/>
  <c r="O17" i="122"/>
  <c r="N17" i="122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L11" i="123"/>
  <c r="Q18" i="123"/>
  <c r="P18" i="123"/>
  <c r="O18" i="123"/>
  <c r="N18" i="123"/>
  <c r="L18" i="123"/>
  <c r="O11" i="123"/>
  <c r="AL17" i="123"/>
  <c r="AK17" i="123"/>
  <c r="AJ17" i="123"/>
  <c r="AI17" i="123"/>
  <c r="AH17" i="123"/>
  <c r="AG17" i="123"/>
  <c r="AF17" i="123"/>
  <c r="AE17" i="123"/>
  <c r="AD17" i="123"/>
  <c r="AC17" i="123"/>
  <c r="AB17" i="123"/>
  <c r="AA17" i="123"/>
  <c r="L10" i="123"/>
  <c r="Q17" i="123"/>
  <c r="P17" i="123"/>
  <c r="O17" i="123"/>
  <c r="N17" i="123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L11" i="124" s="1"/>
  <c r="Q18" i="124"/>
  <c r="P18" i="124"/>
  <c r="O18" i="124"/>
  <c r="N18" i="124"/>
  <c r="L18" i="124"/>
  <c r="K18" i="124"/>
  <c r="O11" i="124" s="1"/>
  <c r="J18" i="124"/>
  <c r="AL17" i="124"/>
  <c r="AK17" i="124"/>
  <c r="AJ17" i="124"/>
  <c r="AI17" i="124"/>
  <c r="AH17" i="124"/>
  <c r="AG17" i="124"/>
  <c r="AF17" i="124"/>
  <c r="AE17" i="124"/>
  <c r="AD17" i="124"/>
  <c r="AC17" i="124"/>
  <c r="AB17" i="124"/>
  <c r="AA17" i="124"/>
  <c r="Y17" i="124"/>
  <c r="X17" i="124"/>
  <c r="W17" i="124"/>
  <c r="V17" i="124"/>
  <c r="U17" i="124"/>
  <c r="T17" i="124"/>
  <c r="R17" i="124"/>
  <c r="L10" i="124" s="1"/>
  <c r="Q17" i="124"/>
  <c r="P17" i="124"/>
  <c r="O17" i="124"/>
  <c r="N17" i="124"/>
  <c r="L17" i="124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N18" i="125"/>
  <c r="L18" i="125"/>
  <c r="K18" i="125"/>
  <c r="O11" i="125" s="1"/>
  <c r="J18" i="125"/>
  <c r="AL17" i="125"/>
  <c r="AK17" i="125"/>
  <c r="AJ17" i="125"/>
  <c r="AI17" i="125"/>
  <c r="AH17" i="125"/>
  <c r="AG17" i="125"/>
  <c r="AF17" i="125"/>
  <c r="AE17" i="125"/>
  <c r="AD17" i="125"/>
  <c r="AC17" i="125"/>
  <c r="AB17" i="125"/>
  <c r="AA17" i="125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L17" i="125"/>
  <c r="K17" i="125"/>
  <c r="O10" i="125" s="1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T18" i="126"/>
  <c r="S18" i="126"/>
  <c r="L11" i="126" s="1"/>
  <c r="R18" i="126"/>
  <c r="Q18" i="126"/>
  <c r="P18" i="126"/>
  <c r="O18" i="126"/>
  <c r="N18" i="126"/>
  <c r="L18" i="126"/>
  <c r="K18" i="126"/>
  <c r="O11" i="126" s="1"/>
  <c r="AL17" i="126"/>
  <c r="AK17" i="126"/>
  <c r="AJ17" i="126"/>
  <c r="AI17" i="126"/>
  <c r="AH17" i="126"/>
  <c r="AG17" i="126"/>
  <c r="AF17" i="126"/>
  <c r="AE17" i="126"/>
  <c r="AD17" i="126"/>
  <c r="AC17" i="126"/>
  <c r="AB17" i="126"/>
  <c r="AA17" i="126"/>
  <c r="Y17" i="126"/>
  <c r="X17" i="126"/>
  <c r="W17" i="126"/>
  <c r="V17" i="126"/>
  <c r="U17" i="126"/>
  <c r="T17" i="126"/>
  <c r="S17" i="126"/>
  <c r="L10" i="126" s="1"/>
  <c r="R17" i="126"/>
  <c r="Q17" i="126"/>
  <c r="P17" i="126"/>
  <c r="O17" i="126"/>
  <c r="N17" i="126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N18" i="127"/>
  <c r="L18" i="127"/>
  <c r="K18" i="127"/>
  <c r="O11" i="127" s="1"/>
  <c r="J18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T17" i="127"/>
  <c r="S17" i="127"/>
  <c r="L10" i="127" s="1"/>
  <c r="R17" i="127"/>
  <c r="Q17" i="127"/>
  <c r="P17" i="127"/>
  <c r="O17" i="127"/>
  <c r="N17" i="127"/>
  <c r="L17" i="127"/>
  <c r="K17" i="127"/>
  <c r="O10" i="127" s="1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L18" i="128"/>
  <c r="K18" i="128"/>
  <c r="O11" i="128" s="1"/>
  <c r="J18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L11" i="129" s="1"/>
  <c r="L12" i="129" s="1"/>
  <c r="R18" i="129"/>
  <c r="Q18" i="129"/>
  <c r="P18" i="129"/>
  <c r="O18" i="129"/>
  <c r="N18" i="129"/>
  <c r="L18" i="129"/>
  <c r="K18" i="129"/>
  <c r="O11" i="129" s="1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Y17" i="129"/>
  <c r="X17" i="129"/>
  <c r="W17" i="129"/>
  <c r="V17" i="129"/>
  <c r="U17" i="129"/>
  <c r="T17" i="129"/>
  <c r="R17" i="129"/>
  <c r="Q17" i="129"/>
  <c r="P17" i="129"/>
  <c r="O17" i="129"/>
  <c r="N17" i="129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X18" i="130"/>
  <c r="W18" i="130"/>
  <c r="V18" i="130"/>
  <c r="U18" i="130"/>
  <c r="T18" i="130"/>
  <c r="L11" i="130" s="1"/>
  <c r="S18" i="130"/>
  <c r="R18" i="130"/>
  <c r="Q18" i="130"/>
  <c r="P18" i="130"/>
  <c r="O18" i="130"/>
  <c r="N18" i="130"/>
  <c r="L18" i="130"/>
  <c r="K18" i="130"/>
  <c r="O11" i="130" s="1"/>
  <c r="J18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Y17" i="130"/>
  <c r="X17" i="130"/>
  <c r="W17" i="130"/>
  <c r="V17" i="130"/>
  <c r="U17" i="130"/>
  <c r="T17" i="130"/>
  <c r="L10" i="130" s="1"/>
  <c r="S17" i="130"/>
  <c r="R17" i="130"/>
  <c r="Q17" i="130"/>
  <c r="P17" i="130"/>
  <c r="O17" i="130"/>
  <c r="N17" i="130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P18" i="131"/>
  <c r="O18" i="131"/>
  <c r="N18" i="131"/>
  <c r="L18" i="131"/>
  <c r="K18" i="131"/>
  <c r="O11" i="131" s="1"/>
  <c r="J18" i="131"/>
  <c r="AL17" i="131"/>
  <c r="AK17" i="131"/>
  <c r="AJ17" i="131"/>
  <c r="AI17" i="131"/>
  <c r="AH17" i="131"/>
  <c r="AG17" i="131"/>
  <c r="AF17" i="131"/>
  <c r="AE17" i="131"/>
  <c r="AD17" i="131"/>
  <c r="AC17" i="131"/>
  <c r="AB17" i="131"/>
  <c r="AA17" i="131"/>
  <c r="Y17" i="131"/>
  <c r="X17" i="131"/>
  <c r="W17" i="131"/>
  <c r="V17" i="131"/>
  <c r="U17" i="131"/>
  <c r="T17" i="131"/>
  <c r="L10" i="131" s="1"/>
  <c r="S17" i="131"/>
  <c r="R17" i="131"/>
  <c r="Q17" i="131"/>
  <c r="P17" i="131"/>
  <c r="O17" i="131"/>
  <c r="N17" i="131"/>
  <c r="L17" i="131"/>
  <c r="O10" i="131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K18" i="132"/>
  <c r="O11" i="132" s="1"/>
  <c r="AL17" i="132"/>
  <c r="AK17" i="132"/>
  <c r="AJ17" i="132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L10" i="132" s="1"/>
  <c r="S17" i="132"/>
  <c r="R17" i="132"/>
  <c r="Q17" i="132"/>
  <c r="P17" i="132"/>
  <c r="O17" i="132"/>
  <c r="N17" i="132"/>
  <c r="L17" i="132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K18" i="133"/>
  <c r="O11" i="133" s="1"/>
  <c r="J18" i="133"/>
  <c r="AL17" i="133"/>
  <c r="AK17" i="133"/>
  <c r="AJ17" i="133"/>
  <c r="AI17" i="133"/>
  <c r="AH17" i="133"/>
  <c r="AG17" i="133"/>
  <c r="AF17" i="133"/>
  <c r="AE17" i="133"/>
  <c r="AD17" i="133"/>
  <c r="AC17" i="133"/>
  <c r="AB17" i="133"/>
  <c r="AA17" i="133"/>
  <c r="Y17" i="133"/>
  <c r="X17" i="133"/>
  <c r="W17" i="133"/>
  <c r="V17" i="133"/>
  <c r="U17" i="133"/>
  <c r="T17" i="133"/>
  <c r="L10" i="133" s="1"/>
  <c r="S17" i="133"/>
  <c r="R17" i="133"/>
  <c r="Q17" i="133"/>
  <c r="P17" i="133"/>
  <c r="O17" i="133"/>
  <c r="N17" i="133"/>
  <c r="L17" i="133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R18" i="134"/>
  <c r="Q18" i="134"/>
  <c r="P18" i="134"/>
  <c r="O18" i="134"/>
  <c r="N18" i="134"/>
  <c r="L18" i="134"/>
  <c r="K18" i="134"/>
  <c r="O11" i="134" s="1"/>
  <c r="AL17" i="134"/>
  <c r="AK17" i="134"/>
  <c r="AJ17" i="134"/>
  <c r="AI17" i="134"/>
  <c r="AH17" i="134"/>
  <c r="AG17" i="134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L10" i="134" s="1"/>
  <c r="S17" i="134"/>
  <c r="S19" i="134" s="1"/>
  <c r="R17" i="134"/>
  <c r="Q17" i="134"/>
  <c r="P17" i="134"/>
  <c r="O17" i="134"/>
  <c r="N17" i="134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L11" i="135" s="1"/>
  <c r="L12" i="135" s="1"/>
  <c r="T18" i="135"/>
  <c r="S18" i="135"/>
  <c r="R18" i="135"/>
  <c r="Q18" i="135"/>
  <c r="P18" i="135"/>
  <c r="O18" i="135"/>
  <c r="N18" i="135"/>
  <c r="L18" i="135"/>
  <c r="O11" i="135"/>
  <c r="J18" i="135"/>
  <c r="AL17" i="135"/>
  <c r="AK17" i="135"/>
  <c r="AJ17" i="135"/>
  <c r="AI17" i="135"/>
  <c r="AH17" i="135"/>
  <c r="AG17" i="135"/>
  <c r="AF17" i="135"/>
  <c r="AE17" i="135"/>
  <c r="AD17" i="135"/>
  <c r="AC17" i="135"/>
  <c r="AB17" i="135"/>
  <c r="AA17" i="135"/>
  <c r="Y17" i="135"/>
  <c r="X17" i="135"/>
  <c r="W17" i="135"/>
  <c r="V17" i="135"/>
  <c r="T17" i="135"/>
  <c r="S17" i="135"/>
  <c r="R17" i="135"/>
  <c r="Q17" i="135"/>
  <c r="P17" i="135"/>
  <c r="O17" i="135"/>
  <c r="N17" i="135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O18" i="136"/>
  <c r="N18" i="136"/>
  <c r="L18" i="136"/>
  <c r="K18" i="136"/>
  <c r="O11" i="136" s="1"/>
  <c r="J18" i="136"/>
  <c r="AL17" i="136"/>
  <c r="AK17" i="136"/>
  <c r="AJ17" i="136"/>
  <c r="AI17" i="136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L10" i="136" s="1"/>
  <c r="T17" i="136"/>
  <c r="S17" i="136"/>
  <c r="R17" i="136"/>
  <c r="Q17" i="136"/>
  <c r="P17" i="136"/>
  <c r="O17" i="136"/>
  <c r="N17" i="136"/>
  <c r="K17" i="136"/>
  <c r="O10" i="136" s="1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N18" i="137"/>
  <c r="L18" i="137"/>
  <c r="K18" i="137"/>
  <c r="O11" i="137" s="1"/>
  <c r="AL17" i="137"/>
  <c r="AK17" i="137"/>
  <c r="AJ17" i="137"/>
  <c r="AI17" i="137"/>
  <c r="AH17" i="137"/>
  <c r="AG17" i="137"/>
  <c r="AF17" i="137"/>
  <c r="AE17" i="137"/>
  <c r="AD17" i="137"/>
  <c r="AC17" i="137"/>
  <c r="AB17" i="137"/>
  <c r="AA17" i="137"/>
  <c r="Y17" i="137"/>
  <c r="X17" i="137"/>
  <c r="W17" i="137"/>
  <c r="V17" i="137"/>
  <c r="U17" i="137"/>
  <c r="L10" i="137" s="1"/>
  <c r="T17" i="137"/>
  <c r="S17" i="137"/>
  <c r="R17" i="137"/>
  <c r="Q17" i="137"/>
  <c r="P17" i="137"/>
  <c r="O17" i="137"/>
  <c r="N17" i="137"/>
  <c r="L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Q18" i="138"/>
  <c r="P18" i="138"/>
  <c r="O18" i="138"/>
  <c r="N18" i="138"/>
  <c r="L18" i="138"/>
  <c r="K18" i="138"/>
  <c r="O11" i="138" s="1"/>
  <c r="J18" i="138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Y17" i="138"/>
  <c r="X17" i="138"/>
  <c r="W17" i="138"/>
  <c r="V17" i="138"/>
  <c r="U17" i="138"/>
  <c r="L10" i="138" s="1"/>
  <c r="T17" i="138"/>
  <c r="S17" i="138"/>
  <c r="R17" i="138"/>
  <c r="Q17" i="138"/>
  <c r="P17" i="138"/>
  <c r="O17" i="138"/>
  <c r="N17" i="138"/>
  <c r="L17" i="138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L11" i="139" s="1"/>
  <c r="U18" i="139"/>
  <c r="T18" i="139"/>
  <c r="S18" i="139"/>
  <c r="R18" i="139"/>
  <c r="Q18" i="139"/>
  <c r="P18" i="139"/>
  <c r="O18" i="139"/>
  <c r="N18" i="139"/>
  <c r="L18" i="139"/>
  <c r="K18" i="139"/>
  <c r="O11" i="139" s="1"/>
  <c r="J18" i="139"/>
  <c r="AL17" i="139"/>
  <c r="AK17" i="139"/>
  <c r="AJ17" i="139"/>
  <c r="AI17" i="139"/>
  <c r="AH17" i="139"/>
  <c r="AG17" i="139"/>
  <c r="AF17" i="139"/>
  <c r="AE17" i="139"/>
  <c r="AD17" i="139"/>
  <c r="AC17" i="139"/>
  <c r="AB17" i="139"/>
  <c r="AA17" i="139"/>
  <c r="Y17" i="139"/>
  <c r="X17" i="139"/>
  <c r="W17" i="139"/>
  <c r="V17" i="139"/>
  <c r="L10" i="139" s="1"/>
  <c r="U17" i="139"/>
  <c r="T17" i="139"/>
  <c r="S17" i="139"/>
  <c r="R17" i="139"/>
  <c r="Q17" i="139"/>
  <c r="P17" i="139"/>
  <c r="O17" i="139"/>
  <c r="N17" i="139"/>
  <c r="K17" i="139"/>
  <c r="O10" i="139" s="1"/>
  <c r="AL18" i="140"/>
  <c r="AK18" i="140"/>
  <c r="AJ18" i="140"/>
  <c r="AI18" i="140"/>
  <c r="AH18" i="140"/>
  <c r="AG18" i="140"/>
  <c r="AF18" i="140"/>
  <c r="AE18" i="140"/>
  <c r="AD18" i="140"/>
  <c r="AC18" i="140"/>
  <c r="AB18" i="140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K18" i="140"/>
  <c r="O11" i="140" s="1"/>
  <c r="J18" i="140"/>
  <c r="AL17" i="140"/>
  <c r="AK17" i="140"/>
  <c r="AJ17" i="140"/>
  <c r="AI17" i="140"/>
  <c r="AH17" i="140"/>
  <c r="AG17" i="140"/>
  <c r="AF17" i="140"/>
  <c r="AE17" i="140"/>
  <c r="AD17" i="140"/>
  <c r="AC17" i="140"/>
  <c r="AB17" i="140"/>
  <c r="AA17" i="140"/>
  <c r="Y17" i="140"/>
  <c r="X17" i="140"/>
  <c r="W17" i="140"/>
  <c r="V17" i="140"/>
  <c r="L10" i="140" s="1"/>
  <c r="U17" i="140"/>
  <c r="T17" i="140"/>
  <c r="S17" i="140"/>
  <c r="R17" i="140"/>
  <c r="Q17" i="140"/>
  <c r="P17" i="140"/>
  <c r="O17" i="140"/>
  <c r="N17" i="140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O18" i="141"/>
  <c r="N18" i="141"/>
  <c r="L18" i="141"/>
  <c r="K18" i="141"/>
  <c r="O11" i="141" s="1"/>
  <c r="J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L10" i="141" s="1"/>
  <c r="U17" i="141"/>
  <c r="T17" i="141"/>
  <c r="S17" i="141"/>
  <c r="R17" i="141"/>
  <c r="Q17" i="141"/>
  <c r="P17" i="141"/>
  <c r="O17" i="141"/>
  <c r="N17" i="141"/>
  <c r="K17" i="141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L18" i="142"/>
  <c r="K18" i="142"/>
  <c r="O11" i="142" s="1"/>
  <c r="J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L10" i="142" s="1"/>
  <c r="U17" i="142"/>
  <c r="T17" i="142"/>
  <c r="S17" i="142"/>
  <c r="R17" i="142"/>
  <c r="Q17" i="142"/>
  <c r="P17" i="142"/>
  <c r="O17" i="142"/>
  <c r="N17" i="142"/>
  <c r="L17" i="142"/>
  <c r="K17" i="142"/>
  <c r="O10" i="142" s="1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L11" i="143" s="1"/>
  <c r="V18" i="143"/>
  <c r="U18" i="143"/>
  <c r="T18" i="143"/>
  <c r="S18" i="143"/>
  <c r="R18" i="143"/>
  <c r="Q18" i="143"/>
  <c r="P18" i="143"/>
  <c r="O18" i="143"/>
  <c r="N18" i="143"/>
  <c r="L18" i="143"/>
  <c r="K18" i="143"/>
  <c r="O11" i="143" s="1"/>
  <c r="J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V17" i="143"/>
  <c r="U17" i="143"/>
  <c r="T17" i="143"/>
  <c r="S17" i="143"/>
  <c r="R17" i="143"/>
  <c r="Q17" i="143"/>
  <c r="P17" i="143"/>
  <c r="O17" i="143"/>
  <c r="N17" i="143"/>
  <c r="L17" i="143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P18" i="144"/>
  <c r="O18" i="144"/>
  <c r="N18" i="144"/>
  <c r="L18" i="144"/>
  <c r="K18" i="144"/>
  <c r="O11" i="144" s="1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L10" i="144" s="1"/>
  <c r="V17" i="144"/>
  <c r="U17" i="144"/>
  <c r="T17" i="144"/>
  <c r="S17" i="144"/>
  <c r="R17" i="144"/>
  <c r="Q17" i="144"/>
  <c r="P17" i="144"/>
  <c r="O17" i="144"/>
  <c r="N17" i="144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O11" i="145" s="1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O10" i="145" s="1"/>
  <c r="J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 s="1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 s="1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 s="1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 s="1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 s="1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 s="1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 s="1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 s="1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 s="1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 s="1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 s="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 s="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 s="1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 s="1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 s="1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 s="1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 s="1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 s="1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 s="1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 s="1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L11" i="105"/>
  <c r="L18" i="105"/>
  <c r="K18" i="105"/>
  <c r="O11" i="105" s="1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P10" i="155" a="1"/>
  <c r="P11" i="120" a="1"/>
  <c r="P10" i="133" a="1"/>
  <c r="P11" i="116" a="1"/>
  <c r="P10" i="132" a="1"/>
  <c r="P10" i="154" a="1"/>
  <c r="P11" i="115" a="1"/>
  <c r="P10" i="129" a="1"/>
  <c r="P10" i="128" a="1"/>
  <c r="P11" i="113" a="1"/>
  <c r="P10" i="140" a="1"/>
  <c r="P11" i="152" a="1"/>
  <c r="P11" i="137" a="1"/>
  <c r="P11" i="141" a="1"/>
  <c r="P11" i="122" a="1"/>
  <c r="P11" i="148" a="1"/>
  <c r="P11" i="129" a="1"/>
  <c r="P11" i="146" a="1"/>
  <c r="P11" i="138" a="1"/>
  <c r="P10" i="146" a="1"/>
  <c r="P11" i="131" a="1"/>
  <c r="P10" i="152" a="1"/>
  <c r="P11" i="130" a="1"/>
  <c r="P10" i="116" a="1"/>
  <c r="P11" i="140" a="1"/>
  <c r="P11" i="133" a="1"/>
  <c r="P10" i="119" a="1"/>
  <c r="P11" i="123" a="1"/>
  <c r="P10" i="126" a="1"/>
  <c r="P11" i="144" a="1"/>
  <c r="P11" i="128" a="1"/>
  <c r="D17" i="156" a="1"/>
  <c r="P10" i="120" a="1"/>
  <c r="J10" i="156" a="1"/>
  <c r="P11" i="135" a="1"/>
  <c r="P10" i="107" a="1"/>
  <c r="P11" i="117" a="1"/>
  <c r="P10" i="112" a="1"/>
  <c r="P10" i="150" a="1"/>
  <c r="P10" i="151" a="1"/>
  <c r="P11" i="134" a="1"/>
  <c r="P11" i="154" a="1"/>
  <c r="P10" i="139" a="1"/>
  <c r="P10" i="153" a="1"/>
  <c r="P11" i="121" a="1"/>
  <c r="P10" i="149" a="1"/>
  <c r="P11" i="151" a="1"/>
  <c r="P11" i="132" a="1"/>
  <c r="P10" i="137" a="1"/>
  <c r="P11" i="153" a="1"/>
  <c r="P11" i="119" a="1"/>
  <c r="P10" i="148" a="1"/>
  <c r="P10" i="117" a="1"/>
  <c r="P10" i="141" a="1"/>
  <c r="P10" i="122" a="1"/>
  <c r="P11" i="109" a="1"/>
  <c r="P11" i="114" a="1"/>
  <c r="P11" i="125" a="1"/>
  <c r="P10" i="147" a="1"/>
  <c r="P11" i="145" a="1"/>
  <c r="P10" i="121" a="1"/>
  <c r="P10" i="134" a="1"/>
  <c r="P10" i="143" a="1"/>
  <c r="P11" i="106" a="1"/>
  <c r="P11" i="118" a="1"/>
  <c r="P11" i="142" a="1"/>
  <c r="P11" i="155" a="1"/>
  <c r="P11" i="124" a="1"/>
  <c r="P11" i="127" a="1"/>
  <c r="P10" i="135" a="1"/>
  <c r="P11" i="147" a="1"/>
  <c r="P10" i="127" a="1"/>
  <c r="P10" i="138" a="1"/>
  <c r="P11" i="136" a="1"/>
  <c r="P11" i="108" a="1"/>
  <c r="P10" i="109" a="1"/>
  <c r="P10" i="118" a="1"/>
  <c r="P11" i="107" a="1"/>
  <c r="P10" i="123" a="1"/>
  <c r="P10" i="113" a="1"/>
  <c r="P11" i="139" a="1"/>
  <c r="P11" i="150" a="1"/>
  <c r="P11" i="143" a="1"/>
  <c r="P11" i="149" a="1"/>
  <c r="P11" i="126" a="1"/>
  <c r="D22" i="156" a="1"/>
  <c r="P11" i="112" a="1"/>
  <c r="P10" i="124" a="1"/>
  <c r="C22" i="156" a="1"/>
  <c r="L12" i="144" l="1"/>
  <c r="L12" i="141"/>
  <c r="L12" i="111"/>
  <c r="L12" i="118"/>
  <c r="J24" i="144"/>
  <c r="J17" i="144" s="1"/>
  <c r="J19" i="144" s="1"/>
  <c r="G146" i="144" s="1"/>
  <c r="L12" i="138"/>
  <c r="X19" i="135"/>
  <c r="V19" i="135"/>
  <c r="W19" i="135"/>
  <c r="K19" i="135"/>
  <c r="D50" i="64" s="1"/>
  <c r="K17" i="130"/>
  <c r="O10" i="130" s="1"/>
  <c r="O12" i="130" s="1"/>
  <c r="K17" i="129"/>
  <c r="O10" i="129" s="1"/>
  <c r="K17" i="124"/>
  <c r="O10" i="124" s="1"/>
  <c r="O12" i="124" s="1"/>
  <c r="L12" i="117"/>
  <c r="O12" i="117"/>
  <c r="J24" i="114"/>
  <c r="J24" i="113"/>
  <c r="J17" i="113" s="1"/>
  <c r="J19" i="113" s="1"/>
  <c r="L12" i="107"/>
  <c r="N19" i="105"/>
  <c r="L10" i="105"/>
  <c r="L12" i="105" s="1"/>
  <c r="E2" i="157"/>
  <c r="O11" i="109"/>
  <c r="O10" i="109"/>
  <c r="O10" i="110"/>
  <c r="O11" i="110"/>
  <c r="B11" i="157"/>
  <c r="B49" i="157"/>
  <c r="B93" i="157"/>
  <c r="Q10" i="151" s="1"/>
  <c r="J24" i="147"/>
  <c r="J24" i="152"/>
  <c r="U19" i="112"/>
  <c r="AJ19" i="109"/>
  <c r="AD19" i="108"/>
  <c r="AE19" i="108"/>
  <c r="J24" i="129"/>
  <c r="J17" i="129" s="1"/>
  <c r="J24" i="120"/>
  <c r="J17" i="120" s="1"/>
  <c r="J19" i="120" s="1"/>
  <c r="J24" i="112"/>
  <c r="J17" i="112" s="1"/>
  <c r="J19" i="112" s="1"/>
  <c r="J24" i="110"/>
  <c r="J24" i="155"/>
  <c r="J24" i="140"/>
  <c r="J17" i="140" s="1"/>
  <c r="J19" i="140" s="1"/>
  <c r="G133" i="140" s="1"/>
  <c r="Q19" i="155"/>
  <c r="AH19" i="155"/>
  <c r="J19" i="154"/>
  <c r="AB19" i="154"/>
  <c r="J24" i="153"/>
  <c r="U19" i="106"/>
  <c r="AL19" i="106"/>
  <c r="J24" i="135"/>
  <c r="J24" i="143"/>
  <c r="J24" i="124"/>
  <c r="J17" i="124" s="1"/>
  <c r="J19" i="124" s="1"/>
  <c r="J24" i="111"/>
  <c r="J17" i="111" s="1"/>
  <c r="J19" i="111" s="1"/>
  <c r="J24" i="125"/>
  <c r="J17" i="125" s="1"/>
  <c r="J19" i="125" s="1"/>
  <c r="J24" i="128"/>
  <c r="J17" i="128" s="1"/>
  <c r="J19" i="128" s="1"/>
  <c r="O12" i="151"/>
  <c r="O12" i="127"/>
  <c r="O12" i="119"/>
  <c r="O12" i="148"/>
  <c r="O12" i="140"/>
  <c r="O12" i="132"/>
  <c r="O12" i="116"/>
  <c r="O12" i="153"/>
  <c r="O12" i="145"/>
  <c r="O12" i="137"/>
  <c r="O12" i="121"/>
  <c r="O12" i="150"/>
  <c r="O12" i="142"/>
  <c r="O12" i="134"/>
  <c r="O12" i="126"/>
  <c r="O12" i="118"/>
  <c r="O12" i="155"/>
  <c r="O12" i="147"/>
  <c r="O12" i="139"/>
  <c r="O12" i="131"/>
  <c r="O12" i="123"/>
  <c r="O12" i="115"/>
  <c r="O12" i="152"/>
  <c r="O12" i="144"/>
  <c r="O12" i="136"/>
  <c r="O12" i="128"/>
  <c r="O12" i="120"/>
  <c r="N19" i="152"/>
  <c r="O12" i="149"/>
  <c r="T19" i="145"/>
  <c r="N19" i="144"/>
  <c r="R19" i="142"/>
  <c r="AI19" i="142"/>
  <c r="AC19" i="141"/>
  <c r="O12" i="133"/>
  <c r="O12" i="125"/>
  <c r="O12" i="111"/>
  <c r="O12" i="108"/>
  <c r="J24" i="105"/>
  <c r="J17" i="105" s="1"/>
  <c r="J19" i="105" s="1"/>
  <c r="H274" i="106" s="1"/>
  <c r="J24" i="148"/>
  <c r="J24" i="119"/>
  <c r="J17" i="119" s="1"/>
  <c r="J19" i="119" s="1"/>
  <c r="H117" i="120" s="1"/>
  <c r="J24" i="117"/>
  <c r="J24" i="121"/>
  <c r="J17" i="121" s="1"/>
  <c r="J19" i="121" s="1"/>
  <c r="J18" i="109"/>
  <c r="U19" i="115"/>
  <c r="AL19" i="115"/>
  <c r="K19" i="113"/>
  <c r="D23" i="64" s="1"/>
  <c r="O10" i="113"/>
  <c r="AC19" i="113"/>
  <c r="V19" i="112"/>
  <c r="P19" i="111"/>
  <c r="AK19" i="109"/>
  <c r="O12" i="112"/>
  <c r="AD19" i="136"/>
  <c r="Q19" i="134"/>
  <c r="AJ19" i="129"/>
  <c r="W19" i="127"/>
  <c r="AJ19" i="121"/>
  <c r="W19" i="119"/>
  <c r="Q19" i="118"/>
  <c r="K19" i="141"/>
  <c r="D57" i="64" s="1"/>
  <c r="O10" i="141"/>
  <c r="O12" i="154"/>
  <c r="O12" i="146"/>
  <c r="O12" i="138"/>
  <c r="O12" i="122"/>
  <c r="T19" i="106"/>
  <c r="AK19" i="106"/>
  <c r="J24" i="149"/>
  <c r="J24" i="145"/>
  <c r="J24" i="142"/>
  <c r="J17" i="142" s="1"/>
  <c r="J19" i="142" s="1"/>
  <c r="G132" i="142" s="1"/>
  <c r="J24" i="136"/>
  <c r="J17" i="136" s="1"/>
  <c r="J19" i="136" s="1"/>
  <c r="J24" i="133"/>
  <c r="J17" i="133" s="1"/>
  <c r="J19" i="133" s="1"/>
  <c r="J24" i="118"/>
  <c r="J24" i="116"/>
  <c r="J17" i="116" s="1"/>
  <c r="J19" i="116" s="1"/>
  <c r="J24" i="115"/>
  <c r="J17" i="115" s="1"/>
  <c r="J19" i="115" s="1"/>
  <c r="J17" i="108"/>
  <c r="J19" i="108" s="1"/>
  <c r="H83" i="108" s="1"/>
  <c r="O12" i="106"/>
  <c r="J24" i="56"/>
  <c r="J17" i="56" s="1"/>
  <c r="K18" i="56"/>
  <c r="O11" i="56" s="1"/>
  <c r="B12" i="156"/>
  <c r="B10" i="156"/>
  <c r="B11" i="156"/>
  <c r="J24" i="150"/>
  <c r="J24" i="146"/>
  <c r="AH19" i="131"/>
  <c r="P19" i="152"/>
  <c r="AI19" i="139"/>
  <c r="AG19" i="128"/>
  <c r="AI19" i="123"/>
  <c r="W19" i="145"/>
  <c r="W19" i="137"/>
  <c r="AJ19" i="131"/>
  <c r="W19" i="129"/>
  <c r="AI19" i="144"/>
  <c r="AK19" i="139"/>
  <c r="AI19" i="136"/>
  <c r="V19" i="134"/>
  <c r="AK19" i="131"/>
  <c r="V19" i="126"/>
  <c r="N19" i="122"/>
  <c r="AB19" i="148"/>
  <c r="U19" i="123"/>
  <c r="J24" i="130"/>
  <c r="AH19" i="115"/>
  <c r="W19" i="110"/>
  <c r="AD19" i="138"/>
  <c r="AG19" i="114"/>
  <c r="T19" i="139"/>
  <c r="R19" i="136"/>
  <c r="AA19" i="132"/>
  <c r="X19" i="129"/>
  <c r="AG19" i="125"/>
  <c r="T19" i="123"/>
  <c r="U19" i="155"/>
  <c r="O19" i="146"/>
  <c r="J24" i="151"/>
  <c r="U19" i="153"/>
  <c r="P19" i="144"/>
  <c r="AI19" i="131"/>
  <c r="AA19" i="127"/>
  <c r="AA19" i="119"/>
  <c r="AI19" i="115"/>
  <c r="AJ19" i="155"/>
  <c r="AF19" i="149"/>
  <c r="AD19" i="130"/>
  <c r="AA19" i="113"/>
  <c r="AA19" i="105"/>
  <c r="AC19" i="143"/>
  <c r="P19" i="141"/>
  <c r="X19" i="137"/>
  <c r="AG19" i="133"/>
  <c r="T19" i="131"/>
  <c r="AA19" i="124"/>
  <c r="AK19" i="123"/>
  <c r="X19" i="121"/>
  <c r="O19" i="154"/>
  <c r="AB19" i="116"/>
  <c r="U19" i="129"/>
  <c r="AI19" i="147"/>
  <c r="V19" i="145"/>
  <c r="P19" i="136"/>
  <c r="V19" i="129"/>
  <c r="T19" i="126"/>
  <c r="T19" i="118"/>
  <c r="Q19" i="144"/>
  <c r="AF19" i="141"/>
  <c r="Q19" i="128"/>
  <c r="AD19" i="122"/>
  <c r="N19" i="146"/>
  <c r="V19" i="142"/>
  <c r="AG19" i="141"/>
  <c r="AE19" i="138"/>
  <c r="AC19" i="135"/>
  <c r="P19" i="133"/>
  <c r="N19" i="130"/>
  <c r="AE19" i="122"/>
  <c r="R19" i="120"/>
  <c r="AA19" i="116"/>
  <c r="AH19" i="117"/>
  <c r="AH19" i="139"/>
  <c r="U19" i="137"/>
  <c r="O19" i="128"/>
  <c r="AC19" i="146"/>
  <c r="V19" i="137"/>
  <c r="AC19" i="130"/>
  <c r="P19" i="128"/>
  <c r="S19" i="155"/>
  <c r="Q19" i="152"/>
  <c r="AL19" i="142"/>
  <c r="AJ19" i="139"/>
  <c r="Q19" i="136"/>
  <c r="N19" i="154"/>
  <c r="T19" i="147"/>
  <c r="AA19" i="140"/>
  <c r="N19" i="138"/>
  <c r="AE19" i="130"/>
  <c r="P19" i="125"/>
  <c r="AI19" i="120"/>
  <c r="AG19" i="112"/>
  <c r="AA19" i="111"/>
  <c r="W19" i="113"/>
  <c r="Q19" i="112"/>
  <c r="AH19" i="112"/>
  <c r="AB19" i="111"/>
  <c r="U19" i="110"/>
  <c r="X19" i="113"/>
  <c r="V19" i="110"/>
  <c r="AH19" i="106"/>
  <c r="J24" i="139"/>
  <c r="J17" i="139" s="1"/>
  <c r="J19" i="139" s="1"/>
  <c r="G140" i="139" s="1"/>
  <c r="H140" i="139" s="1"/>
  <c r="J17" i="138"/>
  <c r="J24" i="127"/>
  <c r="J17" i="127" s="1"/>
  <c r="J19" i="127" s="1"/>
  <c r="J24" i="106"/>
  <c r="J17" i="106" s="1"/>
  <c r="J19" i="106" s="1"/>
  <c r="J24" i="107"/>
  <c r="J17" i="107" s="1"/>
  <c r="J19" i="107" s="1"/>
  <c r="J24" i="154"/>
  <c r="AI19" i="133"/>
  <c r="AI19" i="117"/>
  <c r="L19" i="113"/>
  <c r="J23" i="64" s="1"/>
  <c r="AD19" i="113"/>
  <c r="W19" i="112"/>
  <c r="Q19" i="111"/>
  <c r="V19" i="131"/>
  <c r="N19" i="119"/>
  <c r="AJ19" i="149"/>
  <c r="AD19" i="140"/>
  <c r="AD19" i="116"/>
  <c r="Y19" i="150"/>
  <c r="W19" i="147"/>
  <c r="P19" i="130"/>
  <c r="AG19" i="122"/>
  <c r="T19" i="120"/>
  <c r="L19" i="148"/>
  <c r="W19" i="139"/>
  <c r="AC19" i="132"/>
  <c r="P19" i="122"/>
  <c r="AF19" i="151"/>
  <c r="AD19" i="148"/>
  <c r="T19" i="114"/>
  <c r="AG19" i="130"/>
  <c r="AL19" i="152"/>
  <c r="S19" i="149"/>
  <c r="Q19" i="146"/>
  <c r="AD19" i="132"/>
  <c r="AJ19" i="125"/>
  <c r="W19" i="115"/>
  <c r="N19" i="113"/>
  <c r="AC19" i="153"/>
  <c r="AG19" i="143"/>
  <c r="AC19" i="137"/>
  <c r="N19" i="124"/>
  <c r="P19" i="119"/>
  <c r="W19" i="152"/>
  <c r="AF19" i="116"/>
  <c r="AI19" i="151"/>
  <c r="AC19" i="150"/>
  <c r="V19" i="149"/>
  <c r="P19" i="148"/>
  <c r="P19" i="140"/>
  <c r="AI19" i="135"/>
  <c r="V19" i="133"/>
  <c r="P19" i="132"/>
  <c r="T19" i="130"/>
  <c r="AI19" i="127"/>
  <c r="AC19" i="118"/>
  <c r="V19" i="117"/>
  <c r="P19" i="116"/>
  <c r="AG19" i="116"/>
  <c r="AA19" i="115"/>
  <c r="Q19" i="113"/>
  <c r="AG19" i="151"/>
  <c r="T19" i="149"/>
  <c r="AA19" i="142"/>
  <c r="AE19" i="140"/>
  <c r="R19" i="138"/>
  <c r="AK19" i="125"/>
  <c r="X19" i="123"/>
  <c r="AC19" i="121"/>
  <c r="AG19" i="119"/>
  <c r="T19" i="117"/>
  <c r="AH19" i="143"/>
  <c r="U19" i="141"/>
  <c r="Y19" i="115"/>
  <c r="P19" i="113"/>
  <c r="J19" i="155"/>
  <c r="AL19" i="154"/>
  <c r="AF19" i="153"/>
  <c r="AF19" i="145"/>
  <c r="Y19" i="144"/>
  <c r="S19" i="143"/>
  <c r="L19" i="142"/>
  <c r="J58" i="64" s="1"/>
  <c r="AD19" i="142"/>
  <c r="W19" i="141"/>
  <c r="Q19" i="140"/>
  <c r="AJ19" i="135"/>
  <c r="AD19" i="134"/>
  <c r="W19" i="133"/>
  <c r="Q19" i="132"/>
  <c r="AD19" i="118"/>
  <c r="W19" i="117"/>
  <c r="Q19" i="116"/>
  <c r="V19" i="152"/>
  <c r="P19" i="143"/>
  <c r="T19" i="141"/>
  <c r="AK19" i="111"/>
  <c r="AC19" i="147"/>
  <c r="P19" i="145"/>
  <c r="AG19" i="145"/>
  <c r="AA19" i="144"/>
  <c r="T19" i="143"/>
  <c r="N19" i="142"/>
  <c r="AE19" i="142"/>
  <c r="V19" i="138"/>
  <c r="P19" i="137"/>
  <c r="AG19" i="137"/>
  <c r="T19" i="135"/>
  <c r="AK19" i="135"/>
  <c r="N19" i="126"/>
  <c r="AE19" i="126"/>
  <c r="X19" i="125"/>
  <c r="R19" i="124"/>
  <c r="AI19" i="124"/>
  <c r="K19" i="123"/>
  <c r="D35" i="64" s="1"/>
  <c r="AC19" i="123"/>
  <c r="V19" i="122"/>
  <c r="P19" i="121"/>
  <c r="AG19" i="121"/>
  <c r="AA19" i="120"/>
  <c r="T19" i="119"/>
  <c r="AK19" i="119"/>
  <c r="N19" i="118"/>
  <c r="AE19" i="118"/>
  <c r="R19" i="116"/>
  <c r="K19" i="115"/>
  <c r="D25" i="64" s="1"/>
  <c r="U19" i="108"/>
  <c r="P19" i="151"/>
  <c r="V19" i="144"/>
  <c r="AK19" i="141"/>
  <c r="X19" i="139"/>
  <c r="K19" i="137"/>
  <c r="AA19" i="134"/>
  <c r="AA19" i="126"/>
  <c r="K19" i="121"/>
  <c r="D32" i="64" s="1"/>
  <c r="AD19" i="110"/>
  <c r="O19" i="124"/>
  <c r="W19" i="154"/>
  <c r="Q19" i="153"/>
  <c r="AH19" i="153"/>
  <c r="AB19" i="120"/>
  <c r="O19" i="118"/>
  <c r="Y19" i="117"/>
  <c r="S19" i="116"/>
  <c r="L19" i="115"/>
  <c r="J25" i="64" s="1"/>
  <c r="AE19" i="112"/>
  <c r="X19" i="111"/>
  <c r="R19" i="110"/>
  <c r="AI19" i="110"/>
  <c r="L19" i="106"/>
  <c r="J14" i="64" s="1"/>
  <c r="AI19" i="154"/>
  <c r="N19" i="140"/>
  <c r="P19" i="127"/>
  <c r="AE19" i="124"/>
  <c r="R19" i="122"/>
  <c r="AK19" i="117"/>
  <c r="AD19" i="153"/>
  <c r="Y19" i="111"/>
  <c r="T19" i="107"/>
  <c r="N19" i="106"/>
  <c r="AA19" i="150"/>
  <c r="N19" i="148"/>
  <c r="AI19" i="138"/>
  <c r="V19" i="136"/>
  <c r="AG19" i="127"/>
  <c r="T19" i="125"/>
  <c r="AI19" i="122"/>
  <c r="V19" i="120"/>
  <c r="AA19" i="118"/>
  <c r="AJ19" i="111"/>
  <c r="J24" i="123"/>
  <c r="J17" i="123" s="1"/>
  <c r="J24" i="141"/>
  <c r="J17" i="141" s="1"/>
  <c r="J19" i="141" s="1"/>
  <c r="G137" i="141" s="1"/>
  <c r="J24" i="137"/>
  <c r="J24" i="134"/>
  <c r="J17" i="131"/>
  <c r="J19" i="131" s="1"/>
  <c r="J24" i="126"/>
  <c r="J24" i="122"/>
  <c r="J17" i="122" s="1"/>
  <c r="AI19" i="105"/>
  <c r="P19" i="105"/>
  <c r="Q19" i="105"/>
  <c r="O19" i="105"/>
  <c r="K17" i="56"/>
  <c r="O10" i="56" s="1"/>
  <c r="O12" i="56" s="1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Q19" i="143"/>
  <c r="AJ19" i="136"/>
  <c r="X19" i="105"/>
  <c r="AE19" i="153"/>
  <c r="R19" i="151"/>
  <c r="K19" i="150"/>
  <c r="D68" i="64" s="1"/>
  <c r="AK19" i="150"/>
  <c r="AE19" i="149"/>
  <c r="R19" i="147"/>
  <c r="K19" i="146"/>
  <c r="D63" i="64" s="1"/>
  <c r="AK19" i="146"/>
  <c r="AK19" i="142"/>
  <c r="AE19" i="141"/>
  <c r="X19" i="140"/>
  <c r="R19" i="139"/>
  <c r="AK19" i="138"/>
  <c r="AE19" i="137"/>
  <c r="X19" i="136"/>
  <c r="R19" i="135"/>
  <c r="AK19" i="134"/>
  <c r="R19" i="133"/>
  <c r="AE19" i="133"/>
  <c r="X19" i="132"/>
  <c r="R19" i="131"/>
  <c r="AK19" i="130"/>
  <c r="AE19" i="129"/>
  <c r="X19" i="128"/>
  <c r="R19" i="127"/>
  <c r="AK19" i="126"/>
  <c r="AE19" i="125"/>
  <c r="X19" i="124"/>
  <c r="R19" i="123"/>
  <c r="AK19" i="120"/>
  <c r="R19" i="119"/>
  <c r="AE19" i="119"/>
  <c r="X19" i="118"/>
  <c r="AK19" i="118"/>
  <c r="R19" i="117"/>
  <c r="AE19" i="117"/>
  <c r="X19" i="116"/>
  <c r="R19" i="115"/>
  <c r="AH19" i="113"/>
  <c r="AH19" i="111"/>
  <c r="AB19" i="110"/>
  <c r="U19" i="109"/>
  <c r="AB19" i="108"/>
  <c r="AK19" i="107"/>
  <c r="R19" i="106"/>
  <c r="AE19" i="106"/>
  <c r="W19" i="142"/>
  <c r="Q19" i="139"/>
  <c r="AD19" i="133"/>
  <c r="Q19" i="131"/>
  <c r="L19" i="140"/>
  <c r="Y19" i="140"/>
  <c r="AL19" i="140"/>
  <c r="S19" i="139"/>
  <c r="AF19" i="139"/>
  <c r="L19" i="138"/>
  <c r="J53" i="64" s="1"/>
  <c r="Y19" i="138"/>
  <c r="AL19" i="138"/>
  <c r="AF19" i="137"/>
  <c r="L19" i="136"/>
  <c r="J51" i="64" s="1"/>
  <c r="Y19" i="136"/>
  <c r="AL19" i="136"/>
  <c r="S19" i="135"/>
  <c r="AF19" i="135"/>
  <c r="L19" i="134"/>
  <c r="J48" i="64" s="1"/>
  <c r="Y19" i="134"/>
  <c r="AL19" i="134"/>
  <c r="AF19" i="133"/>
  <c r="L19" i="132"/>
  <c r="J46" i="64" s="1"/>
  <c r="Y19" i="132"/>
  <c r="S19" i="131"/>
  <c r="AF19" i="131"/>
  <c r="L19" i="130"/>
  <c r="J44" i="64" s="1"/>
  <c r="Y19" i="130"/>
  <c r="S19" i="129"/>
  <c r="AF19" i="129"/>
  <c r="S19" i="125"/>
  <c r="AF19" i="123"/>
  <c r="L19" i="122"/>
  <c r="J34" i="64" s="1"/>
  <c r="AL19" i="122"/>
  <c r="S19" i="121"/>
  <c r="Y19" i="120"/>
  <c r="AL19" i="120"/>
  <c r="AF19" i="119"/>
  <c r="L19" i="118"/>
  <c r="J29" i="64" s="1"/>
  <c r="Y19" i="118"/>
  <c r="AL19" i="118"/>
  <c r="AF19" i="117"/>
  <c r="L19" i="116"/>
  <c r="AL19" i="116"/>
  <c r="AF19" i="115"/>
  <c r="AC19" i="114"/>
  <c r="P19" i="112"/>
  <c r="AC19" i="112"/>
  <c r="AI19" i="111"/>
  <c r="AI19" i="109"/>
  <c r="AC19" i="108"/>
  <c r="AE19" i="152"/>
  <c r="AK19" i="147"/>
  <c r="AE19" i="146"/>
  <c r="X19" i="145"/>
  <c r="AK19" i="145"/>
  <c r="R19" i="144"/>
  <c r="AE19" i="144"/>
  <c r="X19" i="143"/>
  <c r="AK19" i="143"/>
  <c r="R19" i="105"/>
  <c r="R19" i="154"/>
  <c r="AE19" i="148"/>
  <c r="Y19" i="155"/>
  <c r="L19" i="153"/>
  <c r="J72" i="64" s="1"/>
  <c r="AL19" i="153"/>
  <c r="AF19" i="146"/>
  <c r="AL19" i="141"/>
  <c r="AF19" i="138"/>
  <c r="AL19" i="137"/>
  <c r="Y19" i="135"/>
  <c r="L19" i="133"/>
  <c r="J47" i="64" s="1"/>
  <c r="Y19" i="131"/>
  <c r="L19" i="129"/>
  <c r="J42" i="64" s="1"/>
  <c r="AL19" i="129"/>
  <c r="S19" i="128"/>
  <c r="AF19" i="128"/>
  <c r="L19" i="127"/>
  <c r="J40" i="64" s="1"/>
  <c r="AF19" i="124"/>
  <c r="AL19" i="123"/>
  <c r="AF19" i="118"/>
  <c r="K19" i="153"/>
  <c r="D72" i="64" s="1"/>
  <c r="AL19" i="155"/>
  <c r="AF19" i="154"/>
  <c r="Y19" i="153"/>
  <c r="Y19" i="147"/>
  <c r="S19" i="136"/>
  <c r="AG19" i="105"/>
  <c r="AA19" i="155"/>
  <c r="N19" i="153"/>
  <c r="AG19" i="152"/>
  <c r="AA19" i="151"/>
  <c r="T19" i="150"/>
  <c r="N19" i="149"/>
  <c r="AG19" i="148"/>
  <c r="AA19" i="147"/>
  <c r="T19" i="146"/>
  <c r="AG19" i="144"/>
  <c r="AA19" i="143"/>
  <c r="T19" i="142"/>
  <c r="AG19" i="140"/>
  <c r="AA19" i="139"/>
  <c r="T19" i="138"/>
  <c r="N19" i="137"/>
  <c r="AG19" i="136"/>
  <c r="AA19" i="135"/>
  <c r="T19" i="134"/>
  <c r="AG19" i="132"/>
  <c r="AA19" i="131"/>
  <c r="AH19" i="105"/>
  <c r="AB19" i="155"/>
  <c r="U19" i="154"/>
  <c r="O19" i="153"/>
  <c r="U19" i="152"/>
  <c r="AH19" i="152"/>
  <c r="O19" i="151"/>
  <c r="O19" i="149"/>
  <c r="AH19" i="146"/>
  <c r="AH19" i="144"/>
  <c r="AB19" i="143"/>
  <c r="U19" i="142"/>
  <c r="O19" i="141"/>
  <c r="U19" i="140"/>
  <c r="AH19" i="140"/>
  <c r="AB19" i="139"/>
  <c r="U19" i="138"/>
  <c r="O19" i="137"/>
  <c r="AB19" i="137"/>
  <c r="U19" i="136"/>
  <c r="O19" i="135"/>
  <c r="AB19" i="135"/>
  <c r="U19" i="134"/>
  <c r="AH19" i="134"/>
  <c r="O19" i="133"/>
  <c r="AB19" i="133"/>
  <c r="AH19" i="132"/>
  <c r="U19" i="130"/>
  <c r="AH19" i="128"/>
  <c r="AB19" i="125"/>
  <c r="U19" i="122"/>
  <c r="AB19" i="121"/>
  <c r="O19" i="119"/>
  <c r="U19" i="118"/>
  <c r="AH19" i="118"/>
  <c r="O19" i="117"/>
  <c r="AB19" i="117"/>
  <c r="U19" i="116"/>
  <c r="AH19" i="116"/>
  <c r="O19" i="115"/>
  <c r="AB19" i="115"/>
  <c r="AK19" i="114"/>
  <c r="AE19" i="113"/>
  <c r="X19" i="112"/>
  <c r="R19" i="111"/>
  <c r="X19" i="110"/>
  <c r="R19" i="109"/>
  <c r="X19" i="108"/>
  <c r="AI19" i="116"/>
  <c r="AC19" i="115"/>
  <c r="Y19" i="114"/>
  <c r="AL19" i="112"/>
  <c r="S19" i="111"/>
  <c r="L19" i="110"/>
  <c r="AL19" i="110"/>
  <c r="S19" i="109"/>
  <c r="L19" i="108"/>
  <c r="J16" i="64" s="1"/>
  <c r="Y19" i="108"/>
  <c r="AD19" i="129"/>
  <c r="W19" i="128"/>
  <c r="AJ19" i="128"/>
  <c r="AD19" i="127"/>
  <c r="W19" i="124"/>
  <c r="AD19" i="123"/>
  <c r="W19" i="118"/>
  <c r="Q19" i="117"/>
  <c r="W19" i="116"/>
  <c r="AJ19" i="116"/>
  <c r="Q19" i="115"/>
  <c r="AD19" i="115"/>
  <c r="AG19" i="113"/>
  <c r="AG19" i="111"/>
  <c r="AA19" i="110"/>
  <c r="T19" i="109"/>
  <c r="AG19" i="109"/>
  <c r="N19" i="108"/>
  <c r="Q19" i="106"/>
  <c r="AD19" i="106"/>
  <c r="AL19" i="109"/>
  <c r="P19" i="109"/>
  <c r="AB19" i="109"/>
  <c r="AC19" i="109"/>
  <c r="S19" i="114"/>
  <c r="AB19" i="114"/>
  <c r="AJ19" i="114"/>
  <c r="O19" i="114"/>
  <c r="W19" i="114"/>
  <c r="U19" i="114"/>
  <c r="AL19" i="114"/>
  <c r="N19" i="114"/>
  <c r="V19" i="114"/>
  <c r="AE19" i="114"/>
  <c r="AJ19" i="105"/>
  <c r="AC19" i="105"/>
  <c r="AH19" i="107"/>
  <c r="R19" i="107"/>
  <c r="AA19" i="107"/>
  <c r="AI19" i="107"/>
  <c r="Q19" i="107"/>
  <c r="O19" i="116"/>
  <c r="K19" i="118"/>
  <c r="O19" i="139"/>
  <c r="O19" i="131"/>
  <c r="O19" i="123"/>
  <c r="N19" i="112"/>
  <c r="K19" i="109"/>
  <c r="D18" i="64" s="1"/>
  <c r="N19" i="141"/>
  <c r="N19" i="133"/>
  <c r="N19" i="117"/>
  <c r="K19" i="132"/>
  <c r="D46" i="64" s="1"/>
  <c r="U19" i="135"/>
  <c r="AL19" i="135"/>
  <c r="AI19" i="119"/>
  <c r="T19" i="153"/>
  <c r="K19" i="147"/>
  <c r="D64" i="64" s="1"/>
  <c r="N19" i="125"/>
  <c r="K19" i="108"/>
  <c r="D16" i="64" s="1"/>
  <c r="K19" i="155"/>
  <c r="D74" i="64" s="1"/>
  <c r="AC19" i="155"/>
  <c r="W19" i="149"/>
  <c r="Q19" i="148"/>
  <c r="AH19" i="148"/>
  <c r="O19" i="145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AB19" i="144"/>
  <c r="O19" i="142"/>
  <c r="AF19" i="142"/>
  <c r="R19" i="140"/>
  <c r="AI19" i="140"/>
  <c r="U19" i="105"/>
  <c r="K19" i="152"/>
  <c r="D71" i="64" s="1"/>
  <c r="AC19" i="152"/>
  <c r="V19" i="151"/>
  <c r="AA19" i="149"/>
  <c r="T19" i="148"/>
  <c r="AK19" i="148"/>
  <c r="X19" i="146"/>
  <c r="U19" i="127"/>
  <c r="AL19" i="127"/>
  <c r="Y19" i="125"/>
  <c r="L19" i="123"/>
  <c r="J35" i="64" s="1"/>
  <c r="W19" i="109"/>
  <c r="AA19" i="154"/>
  <c r="AK19" i="153"/>
  <c r="L19" i="152"/>
  <c r="AD19" i="152"/>
  <c r="W19" i="151"/>
  <c r="J19" i="149"/>
  <c r="AB19" i="149"/>
  <c r="U19" i="148"/>
  <c r="AL19" i="148"/>
  <c r="AA19" i="133"/>
  <c r="T19" i="132"/>
  <c r="AK19" i="132"/>
  <c r="N19" i="131"/>
  <c r="AE19" i="131"/>
  <c r="X19" i="130"/>
  <c r="K19" i="128"/>
  <c r="D41" i="64" s="1"/>
  <c r="AC19" i="128"/>
  <c r="V19" i="127"/>
  <c r="P19" i="126"/>
  <c r="AG19" i="126"/>
  <c r="AA19" i="125"/>
  <c r="T19" i="124"/>
  <c r="AK19" i="124"/>
  <c r="N19" i="123"/>
  <c r="AE19" i="123"/>
  <c r="X19" i="122"/>
  <c r="R19" i="121"/>
  <c r="AI19" i="121"/>
  <c r="K19" i="120"/>
  <c r="D31" i="64" s="1"/>
  <c r="AC19" i="120"/>
  <c r="V19" i="119"/>
  <c r="P19" i="118"/>
  <c r="AG19" i="118"/>
  <c r="AA19" i="117"/>
  <c r="T19" i="116"/>
  <c r="AK19" i="116"/>
  <c r="N19" i="115"/>
  <c r="AE19" i="115"/>
  <c r="X19" i="114"/>
  <c r="R19" i="113"/>
  <c r="AI19" i="113"/>
  <c r="AB19" i="112"/>
  <c r="AC19" i="107"/>
  <c r="R19" i="155"/>
  <c r="AI19" i="155"/>
  <c r="V19" i="153"/>
  <c r="Y19" i="151"/>
  <c r="S19" i="150"/>
  <c r="AJ19" i="150"/>
  <c r="Q19" i="147"/>
  <c r="AH19" i="147"/>
  <c r="U19" i="145"/>
  <c r="AL19" i="145"/>
  <c r="Y19" i="143"/>
  <c r="V19" i="140"/>
  <c r="P19" i="139"/>
  <c r="AG19" i="139"/>
  <c r="AA19" i="138"/>
  <c r="T19" i="137"/>
  <c r="AK19" i="137"/>
  <c r="N19" i="136"/>
  <c r="AE19" i="136"/>
  <c r="R19" i="134"/>
  <c r="AI19" i="134"/>
  <c r="K19" i="133"/>
  <c r="D47" i="64" s="1"/>
  <c r="AC19" i="133"/>
  <c r="V19" i="132"/>
  <c r="P19" i="131"/>
  <c r="AG19" i="131"/>
  <c r="AA19" i="130"/>
  <c r="T19" i="129"/>
  <c r="AK19" i="129"/>
  <c r="X19" i="127"/>
  <c r="R19" i="126"/>
  <c r="AI19" i="126"/>
  <c r="K19" i="125"/>
  <c r="D37" i="64" s="1"/>
  <c r="AC19" i="125"/>
  <c r="V19" i="124"/>
  <c r="P19" i="123"/>
  <c r="AG19" i="123"/>
  <c r="AA19" i="122"/>
  <c r="T19" i="121"/>
  <c r="AK19" i="121"/>
  <c r="N19" i="120"/>
  <c r="AE19" i="120"/>
  <c r="X19" i="119"/>
  <c r="R19" i="118"/>
  <c r="AI19" i="118"/>
  <c r="K19" i="117"/>
  <c r="D28" i="64" s="1"/>
  <c r="AC19" i="117"/>
  <c r="T19" i="113"/>
  <c r="AK19" i="113"/>
  <c r="L19" i="112"/>
  <c r="J21" i="64" s="1"/>
  <c r="AD19" i="112"/>
  <c r="K19" i="111"/>
  <c r="D20" i="64" s="1"/>
  <c r="P19" i="110"/>
  <c r="AG19" i="110"/>
  <c r="AA19" i="109"/>
  <c r="T19" i="108"/>
  <c r="AK19" i="108"/>
  <c r="N19" i="107"/>
  <c r="AE19" i="107"/>
  <c r="X19" i="134"/>
  <c r="V19" i="123"/>
  <c r="AL19" i="108"/>
  <c r="L19" i="105"/>
  <c r="J13" i="64" s="1"/>
  <c r="V19" i="155"/>
  <c r="O19" i="140"/>
  <c r="AF19" i="140"/>
  <c r="S19" i="138"/>
  <c r="AJ19" i="138"/>
  <c r="AD19" i="105"/>
  <c r="T19" i="152"/>
  <c r="AK19" i="152"/>
  <c r="R19" i="149"/>
  <c r="AI19" i="149"/>
  <c r="K19" i="148"/>
  <c r="D66" i="64" s="1"/>
  <c r="AC19" i="148"/>
  <c r="V19" i="147"/>
  <c r="P19" i="146"/>
  <c r="AG19" i="146"/>
  <c r="AA19" i="145"/>
  <c r="T19" i="144"/>
  <c r="AK19" i="144"/>
  <c r="N19" i="143"/>
  <c r="AE19" i="143"/>
  <c r="X19" i="142"/>
  <c r="R19" i="141"/>
  <c r="AI19" i="141"/>
  <c r="AB19" i="140"/>
  <c r="O19" i="138"/>
  <c r="AF19" i="114"/>
  <c r="V19" i="109"/>
  <c r="X19" i="154"/>
  <c r="R19" i="153"/>
  <c r="AI19" i="153"/>
  <c r="S19" i="151"/>
  <c r="AJ19" i="151"/>
  <c r="W19" i="131"/>
  <c r="Q19" i="130"/>
  <c r="AH19" i="130"/>
  <c r="AB19" i="129"/>
  <c r="T19" i="128"/>
  <c r="AK19" i="128"/>
  <c r="N19" i="127"/>
  <c r="AE19" i="127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E19" i="145"/>
  <c r="X19" i="144"/>
  <c r="R19" i="143"/>
  <c r="AI19" i="143"/>
  <c r="K19" i="142"/>
  <c r="D58" i="64" s="1"/>
  <c r="AC19" i="142"/>
  <c r="V19" i="141"/>
  <c r="Y19" i="139"/>
  <c r="L19" i="137"/>
  <c r="J52" i="64" s="1"/>
  <c r="AD19" i="137"/>
  <c r="Q19" i="135"/>
  <c r="AH19" i="135"/>
  <c r="T19" i="133"/>
  <c r="AK19" i="133"/>
  <c r="N19" i="132"/>
  <c r="AE19" i="132"/>
  <c r="X19" i="131"/>
  <c r="AC19" i="129"/>
  <c r="O19" i="127"/>
  <c r="AF19" i="127"/>
  <c r="X19" i="126"/>
  <c r="R19" i="125"/>
  <c r="AI19" i="125"/>
  <c r="AC19" i="124"/>
  <c r="S19" i="120"/>
  <c r="AJ19" i="120"/>
  <c r="K19" i="119"/>
  <c r="AC19" i="119"/>
  <c r="V19" i="118"/>
  <c r="P19" i="117"/>
  <c r="AG19" i="117"/>
  <c r="Y19" i="116"/>
  <c r="S19" i="115"/>
  <c r="AJ19" i="115"/>
  <c r="AD19" i="114"/>
  <c r="V19" i="113"/>
  <c r="O19" i="112"/>
  <c r="AF19" i="112"/>
  <c r="W19" i="111"/>
  <c r="AB19" i="107"/>
  <c r="V19" i="105"/>
  <c r="W19" i="105"/>
  <c r="P19" i="155"/>
  <c r="AG19" i="155"/>
  <c r="AB19" i="128"/>
  <c r="S19" i="124"/>
  <c r="AJ19" i="124"/>
  <c r="O19" i="136"/>
  <c r="AF19" i="136"/>
  <c r="S19" i="117"/>
  <c r="AJ19" i="117"/>
  <c r="K19" i="116"/>
  <c r="AC19" i="116"/>
  <c r="V19" i="115"/>
  <c r="P19" i="114"/>
  <c r="Y19" i="113"/>
  <c r="R19" i="112"/>
  <c r="AI19" i="112"/>
  <c r="L19" i="154"/>
  <c r="AD19" i="154"/>
  <c r="O19" i="152"/>
  <c r="AF19" i="152"/>
  <c r="X19" i="151"/>
  <c r="R19" i="150"/>
  <c r="AI19" i="150"/>
  <c r="K19" i="149"/>
  <c r="D67" i="64" s="1"/>
  <c r="AC19" i="149"/>
  <c r="V19" i="148"/>
  <c r="Y19" i="146"/>
  <c r="R19" i="145"/>
  <c r="AI19" i="145"/>
  <c r="K19" i="144"/>
  <c r="D61" i="64" s="1"/>
  <c r="AC19" i="144"/>
  <c r="V19" i="143"/>
  <c r="P19" i="142"/>
  <c r="AG19" i="142"/>
  <c r="AA19" i="141"/>
  <c r="S19" i="140"/>
  <c r="AJ19" i="140"/>
  <c r="W19" i="138"/>
  <c r="AB19" i="136"/>
  <c r="O19" i="134"/>
  <c r="AF19" i="134"/>
  <c r="X19" i="133"/>
  <c r="R19" i="132"/>
  <c r="AI19" i="132"/>
  <c r="K19" i="131"/>
  <c r="AC19" i="131"/>
  <c r="V19" i="130"/>
  <c r="P19" i="129"/>
  <c r="AG19" i="129"/>
  <c r="Y19" i="128"/>
  <c r="K19" i="126"/>
  <c r="D39" i="64" s="1"/>
  <c r="AC19" i="126"/>
  <c r="V19" i="125"/>
  <c r="P19" i="124"/>
  <c r="AG19" i="124"/>
  <c r="AA19" i="123"/>
  <c r="Q19" i="114"/>
  <c r="AH19" i="114"/>
  <c r="S19" i="110"/>
  <c r="AJ19" i="110"/>
  <c r="L19" i="109"/>
  <c r="J18" i="64" s="1"/>
  <c r="AD19" i="109"/>
  <c r="V19" i="108"/>
  <c r="O19" i="107"/>
  <c r="AF19" i="107"/>
  <c r="AE19" i="154"/>
  <c r="L19" i="149"/>
  <c r="J67" i="64" s="1"/>
  <c r="P19" i="147"/>
  <c r="AG19" i="147"/>
  <c r="AA19" i="146"/>
  <c r="S19" i="145"/>
  <c r="AJ19" i="145"/>
  <c r="L19" i="144"/>
  <c r="J61" i="64" s="1"/>
  <c r="AD19" i="144"/>
  <c r="AB19" i="141"/>
  <c r="T19" i="140"/>
  <c r="AK19" i="140"/>
  <c r="N19" i="139"/>
  <c r="AE19" i="139"/>
  <c r="X19" i="138"/>
  <c r="R19" i="137"/>
  <c r="AI19" i="137"/>
  <c r="K19" i="136"/>
  <c r="D51" i="64" s="1"/>
  <c r="AC19" i="136"/>
  <c r="P19" i="134"/>
  <c r="AG19" i="134"/>
  <c r="S19" i="132"/>
  <c r="AJ19" i="132"/>
  <c r="W19" i="130"/>
  <c r="Q19" i="129"/>
  <c r="AH19" i="129"/>
  <c r="AA19" i="128"/>
  <c r="T19" i="127"/>
  <c r="AK19" i="127"/>
  <c r="Q19" i="124"/>
  <c r="AH19" i="124"/>
  <c r="T19" i="122"/>
  <c r="AK19" i="122"/>
  <c r="N19" i="121"/>
  <c r="AE19" i="121"/>
  <c r="Q19" i="119"/>
  <c r="AH19" i="119"/>
  <c r="U19" i="117"/>
  <c r="AL19" i="117"/>
  <c r="X19" i="115"/>
  <c r="R19" i="114"/>
  <c r="AI19" i="114"/>
  <c r="AB19" i="113"/>
  <c r="T19" i="112"/>
  <c r="AK19" i="112"/>
  <c r="AC19" i="111"/>
  <c r="T19" i="110"/>
  <c r="AK19" i="110"/>
  <c r="N19" i="109"/>
  <c r="AE19" i="109"/>
  <c r="W19" i="108"/>
  <c r="P19" i="107"/>
  <c r="AG19" i="107"/>
  <c r="U19" i="107"/>
  <c r="AL19" i="107"/>
  <c r="AE19" i="105"/>
  <c r="W19" i="155"/>
  <c r="AA19" i="153"/>
  <c r="R19" i="152"/>
  <c r="AI19" i="152"/>
  <c r="J19" i="151"/>
  <c r="AB19" i="151"/>
  <c r="U19" i="150"/>
  <c r="AL19" i="150"/>
  <c r="U19" i="139"/>
  <c r="AL19" i="139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 s="1"/>
  <c r="AD19" i="146"/>
  <c r="AA19" i="152"/>
  <c r="N19" i="151"/>
  <c r="AE19" i="151"/>
  <c r="X19" i="150"/>
  <c r="T19" i="105"/>
  <c r="AK19" i="105"/>
  <c r="L19" i="155"/>
  <c r="J74" i="64" s="1"/>
  <c r="AD19" i="155"/>
  <c r="V19" i="154"/>
  <c r="X19" i="152"/>
  <c r="Q19" i="151"/>
  <c r="AH19" i="151"/>
  <c r="J19" i="150"/>
  <c r="AB19" i="150"/>
  <c r="U19" i="149"/>
  <c r="X19" i="147"/>
  <c r="R19" i="146"/>
  <c r="AI19" i="146"/>
  <c r="J19" i="145"/>
  <c r="AB19" i="145"/>
  <c r="U19" i="144"/>
  <c r="AL19" i="144"/>
  <c r="O19" i="143"/>
  <c r="AF19" i="143"/>
  <c r="Y19" i="142"/>
  <c r="S19" i="141"/>
  <c r="AJ19" i="141"/>
  <c r="K19" i="140"/>
  <c r="AC19" i="140"/>
  <c r="V19" i="139"/>
  <c r="P19" i="138"/>
  <c r="AG19" i="138"/>
  <c r="T19" i="136"/>
  <c r="AK19" i="136"/>
  <c r="N19" i="135"/>
  <c r="AE19" i="135"/>
  <c r="AB19" i="132"/>
  <c r="O19" i="130"/>
  <c r="AF19" i="130"/>
  <c r="R19" i="128"/>
  <c r="AI19" i="128"/>
  <c r="Q19" i="127"/>
  <c r="AH19" i="127"/>
  <c r="U19" i="126"/>
  <c r="AL19" i="126"/>
  <c r="Y19" i="124"/>
  <c r="K19" i="122"/>
  <c r="D34" i="64" s="1"/>
  <c r="AC19" i="122"/>
  <c r="V19" i="121"/>
  <c r="P19" i="120"/>
  <c r="AG19" i="120"/>
  <c r="Y19" i="119"/>
  <c r="L19" i="117"/>
  <c r="J28" i="64" s="1"/>
  <c r="AD19" i="117"/>
  <c r="V19" i="116"/>
  <c r="P19" i="115"/>
  <c r="AG19" i="115"/>
  <c r="S19" i="113"/>
  <c r="AJ19" i="113"/>
  <c r="K19" i="112"/>
  <c r="T19" i="111"/>
  <c r="K19" i="110"/>
  <c r="AC19" i="110"/>
  <c r="O19" i="108"/>
  <c r="X19" i="107"/>
  <c r="AD19" i="107"/>
  <c r="O19" i="148"/>
  <c r="AF19" i="148"/>
  <c r="U19" i="147"/>
  <c r="AL19" i="147"/>
  <c r="Y19" i="137"/>
  <c r="O19" i="129"/>
  <c r="W19" i="125"/>
  <c r="Q19" i="122"/>
  <c r="AH19" i="122"/>
  <c r="W19" i="121"/>
  <c r="S19" i="119"/>
  <c r="AJ19" i="119"/>
  <c r="S19" i="127"/>
  <c r="AJ19" i="127"/>
  <c r="W19" i="140"/>
  <c r="L19" i="139"/>
  <c r="J55" i="64" s="1"/>
  <c r="AD19" i="139"/>
  <c r="AB19" i="124"/>
  <c r="S19" i="105"/>
  <c r="T19" i="155"/>
  <c r="AK19" i="155"/>
  <c r="Q19" i="141"/>
  <c r="AH19" i="141"/>
  <c r="AB19" i="130"/>
  <c r="R19" i="129"/>
  <c r="AI19" i="129"/>
  <c r="AB19" i="142"/>
  <c r="L19" i="141"/>
  <c r="AD19" i="141"/>
  <c r="Q19" i="138"/>
  <c r="AH19" i="138"/>
  <c r="K19" i="134"/>
  <c r="D48" i="64" s="1"/>
  <c r="AC19" i="134"/>
  <c r="S19" i="133"/>
  <c r="AJ19" i="133"/>
  <c r="O19" i="132"/>
  <c r="AF19" i="132"/>
  <c r="U19" i="131"/>
  <c r="AL19" i="131"/>
  <c r="N19" i="129"/>
  <c r="U19" i="128"/>
  <c r="AL19" i="128"/>
  <c r="W19" i="126"/>
  <c r="L19" i="124"/>
  <c r="J36" i="64" s="1"/>
  <c r="AD19" i="124"/>
  <c r="Q19" i="123"/>
  <c r="AH19" i="123"/>
  <c r="O19" i="144"/>
  <c r="AF19" i="144"/>
  <c r="U19" i="143"/>
  <c r="AL19" i="143"/>
  <c r="Y19" i="133"/>
  <c r="U19" i="113"/>
  <c r="AL19" i="113"/>
  <c r="Y19" i="112"/>
  <c r="O19" i="110"/>
  <c r="AF19" i="110"/>
  <c r="O19" i="109"/>
  <c r="AF19" i="109"/>
  <c r="P19" i="108"/>
  <c r="AG19" i="108"/>
  <c r="S19" i="107"/>
  <c r="AJ19" i="107"/>
  <c r="V19" i="106"/>
  <c r="AB19" i="106"/>
  <c r="Y19" i="145"/>
  <c r="K19" i="139"/>
  <c r="D55" i="64" s="1"/>
  <c r="AC19" i="139"/>
  <c r="AA19" i="137"/>
  <c r="AH19" i="136"/>
  <c r="N19" i="134"/>
  <c r="AE19" i="134"/>
  <c r="AJ19" i="134"/>
  <c r="U19" i="133"/>
  <c r="AL19" i="133"/>
  <c r="Y19" i="126"/>
  <c r="L19" i="125"/>
  <c r="J37" i="64" s="1"/>
  <c r="AD19" i="125"/>
  <c r="S19" i="123"/>
  <c r="AJ19" i="123"/>
  <c r="W19" i="122"/>
  <c r="L19" i="121"/>
  <c r="J32" i="64" s="1"/>
  <c r="AD19" i="121"/>
  <c r="AA19" i="112"/>
  <c r="L19" i="111"/>
  <c r="J20" i="64" s="1"/>
  <c r="AD19" i="111"/>
  <c r="Q19" i="108"/>
  <c r="AH19" i="108"/>
  <c r="W19" i="106"/>
  <c r="K19" i="154"/>
  <c r="D73" i="64" s="1"/>
  <c r="AC19" i="154"/>
  <c r="P19" i="153"/>
  <c r="AG19" i="153"/>
  <c r="S19" i="146"/>
  <c r="AJ19" i="146"/>
  <c r="W19" i="136"/>
  <c r="L19" i="135"/>
  <c r="J50" i="64" s="1"/>
  <c r="AD19" i="135"/>
  <c r="Y19" i="127"/>
  <c r="U19" i="120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AJ19" i="143"/>
  <c r="Q19" i="137"/>
  <c r="AH19" i="137"/>
  <c r="O19" i="125"/>
  <c r="AF19" i="125"/>
  <c r="Y19" i="122"/>
  <c r="AA19" i="121"/>
  <c r="O19" i="121"/>
  <c r="AF19" i="121"/>
  <c r="Q19" i="120"/>
  <c r="AH19" i="120"/>
  <c r="AB19" i="119"/>
  <c r="O19" i="111"/>
  <c r="AF19" i="111"/>
  <c r="S19" i="108"/>
  <c r="AJ19" i="108"/>
  <c r="V19" i="107"/>
  <c r="Y19" i="106"/>
  <c r="AB19" i="138"/>
  <c r="AB19" i="127"/>
  <c r="W19" i="107"/>
  <c r="AA19" i="106"/>
  <c r="AB19" i="105"/>
  <c r="P19" i="154"/>
  <c r="AG19" i="154"/>
  <c r="L19" i="150"/>
  <c r="J68" i="64" s="1"/>
  <c r="AD19" i="150"/>
  <c r="Q19" i="149"/>
  <c r="AH19" i="149"/>
  <c r="Y19" i="141"/>
  <c r="S19" i="130"/>
  <c r="AJ19" i="130"/>
  <c r="Y19" i="107"/>
  <c r="K19" i="106"/>
  <c r="D14" i="64" s="1"/>
  <c r="AC19" i="106"/>
  <c r="S19" i="142"/>
  <c r="AJ19" i="142"/>
  <c r="W19" i="132"/>
  <c r="L19" i="131"/>
  <c r="J45" i="64" s="1"/>
  <c r="AD19" i="131"/>
  <c r="L19" i="128"/>
  <c r="J41" i="64" s="1"/>
  <c r="AD19" i="128"/>
  <c r="O19" i="126"/>
  <c r="AF19" i="126"/>
  <c r="U19" i="124"/>
  <c r="AL19" i="124"/>
  <c r="Y19" i="123"/>
  <c r="W19" i="144"/>
  <c r="L19" i="143"/>
  <c r="J60" i="64" s="1"/>
  <c r="AD19" i="143"/>
  <c r="Q19" i="133"/>
  <c r="AH19" i="133"/>
  <c r="S19" i="106"/>
  <c r="AJ19" i="106"/>
  <c r="Y19" i="105"/>
  <c r="O19" i="155"/>
  <c r="AF19" i="155"/>
  <c r="S19" i="154"/>
  <c r="AJ19" i="154"/>
  <c r="W19" i="153"/>
  <c r="Y19" i="152"/>
  <c r="K19" i="151"/>
  <c r="D69" i="64" s="1"/>
  <c r="AC19" i="151"/>
  <c r="P19" i="150"/>
  <c r="AG19" i="150"/>
  <c r="AK19" i="149"/>
  <c r="X19" i="148"/>
  <c r="N19" i="147"/>
  <c r="AE19" i="147"/>
  <c r="U19" i="146"/>
  <c r="AL19" i="146"/>
  <c r="K19" i="145"/>
  <c r="D62" i="64" s="1"/>
  <c r="AC19" i="145"/>
  <c r="Q19" i="145"/>
  <c r="AH19" i="145"/>
  <c r="S19" i="144"/>
  <c r="AJ19" i="144"/>
  <c r="AB19" i="134"/>
  <c r="Q19" i="126"/>
  <c r="AH19" i="126"/>
  <c r="U19" i="125"/>
  <c r="AL19" i="125"/>
  <c r="AB19" i="123"/>
  <c r="O19" i="122"/>
  <c r="AF19" i="122"/>
  <c r="U19" i="121"/>
  <c r="AL19" i="121"/>
  <c r="U19" i="111"/>
  <c r="AL19" i="111"/>
  <c r="O19" i="106"/>
  <c r="AF19" i="106"/>
  <c r="T19" i="154"/>
  <c r="AK19" i="154"/>
  <c r="X19" i="153"/>
  <c r="L19" i="151"/>
  <c r="J69" i="64" s="1"/>
  <c r="AD19" i="151"/>
  <c r="Q19" i="150"/>
  <c r="AH19" i="150"/>
  <c r="Y19" i="148"/>
  <c r="O19" i="147"/>
  <c r="AF19" i="147"/>
  <c r="V19" i="146"/>
  <c r="J19" i="146"/>
  <c r="AB19" i="146"/>
  <c r="L19" i="145"/>
  <c r="J62" i="64" s="1"/>
  <c r="AD19" i="145"/>
  <c r="Q19" i="142"/>
  <c r="AH19" i="142"/>
  <c r="X19" i="141"/>
  <c r="K19" i="138"/>
  <c r="D53" i="64" s="1"/>
  <c r="AC19" i="138"/>
  <c r="S19" i="137"/>
  <c r="AJ19" i="137"/>
  <c r="AA19" i="136"/>
  <c r="P19" i="135"/>
  <c r="AG19" i="135"/>
  <c r="W19" i="134"/>
  <c r="U19" i="132"/>
  <c r="AL19" i="132"/>
  <c r="AB19" i="131"/>
  <c r="R19" i="130"/>
  <c r="AI19" i="130"/>
  <c r="Y19" i="129"/>
  <c r="K19" i="127"/>
  <c r="AC19" i="127"/>
  <c r="L19" i="126"/>
  <c r="J39" i="64" s="1"/>
  <c r="AD19" i="126"/>
  <c r="Q19" i="125"/>
  <c r="AH19" i="125"/>
  <c r="W19" i="123"/>
  <c r="X19" i="120"/>
  <c r="L19" i="120"/>
  <c r="AD19" i="120"/>
  <c r="X19" i="117"/>
  <c r="N19" i="116"/>
  <c r="AE19" i="116"/>
  <c r="T19" i="115"/>
  <c r="AK19" i="115"/>
  <c r="AA19" i="114"/>
  <c r="O19" i="113"/>
  <c r="AF19" i="113"/>
  <c r="S19" i="112"/>
  <c r="AJ19" i="112"/>
  <c r="V19" i="111"/>
  <c r="Y19" i="110"/>
  <c r="Y19" i="109"/>
  <c r="AA19" i="108"/>
  <c r="AF19" i="108"/>
  <c r="P19" i="106"/>
  <c r="AG19" i="106"/>
  <c r="AD19" i="149"/>
  <c r="AL19" i="149"/>
  <c r="AA19" i="129"/>
  <c r="N19" i="128"/>
  <c r="V19" i="128"/>
  <c r="AE19" i="128"/>
  <c r="S19" i="126"/>
  <c r="AB19" i="126"/>
  <c r="AJ19" i="126"/>
  <c r="Q19" i="121"/>
  <c r="Y19" i="121"/>
  <c r="AH19" i="121"/>
  <c r="O19" i="120"/>
  <c r="W19" i="120"/>
  <c r="AF19" i="120"/>
  <c r="S19" i="118"/>
  <c r="AB19" i="118"/>
  <c r="AJ19" i="118"/>
  <c r="AL19" i="130"/>
  <c r="S19" i="122"/>
  <c r="AB19" i="122"/>
  <c r="AJ19" i="122"/>
  <c r="L19" i="119"/>
  <c r="J30" i="64" s="1"/>
  <c r="U19" i="119"/>
  <c r="AD19" i="119"/>
  <c r="AL19" i="119"/>
  <c r="J18" i="56"/>
  <c r="G6" i="117"/>
  <c r="L9" i="117" s="1"/>
  <c r="G6" i="121"/>
  <c r="J9" i="121" s="1"/>
  <c r="G6" i="125"/>
  <c r="J9" i="125" s="1"/>
  <c r="G6" i="129"/>
  <c r="J9" i="129" s="1"/>
  <c r="G6" i="133"/>
  <c r="G6" i="137"/>
  <c r="J9" i="137" s="1"/>
  <c r="G6" i="141"/>
  <c r="J9" i="141" s="1"/>
  <c r="G6" i="56"/>
  <c r="J9" i="56" s="1"/>
  <c r="J66" i="64"/>
  <c r="G6" i="106"/>
  <c r="J9" i="106" s="1"/>
  <c r="J12" i="107"/>
  <c r="H12" i="107"/>
  <c r="G6" i="107"/>
  <c r="J9" i="107" s="1"/>
  <c r="H12" i="108"/>
  <c r="G6" i="108"/>
  <c r="L9" i="108" s="1"/>
  <c r="B18" i="64"/>
  <c r="H12" i="109"/>
  <c r="I16" i="109" s="1"/>
  <c r="G6" i="109"/>
  <c r="J9" i="109" s="1"/>
  <c r="B19" i="64"/>
  <c r="H12" i="110"/>
  <c r="I16" i="110" s="1"/>
  <c r="G6" i="110"/>
  <c r="J9" i="110" s="1"/>
  <c r="J12" i="111"/>
  <c r="H278" i="111" s="1"/>
  <c r="H12" i="111"/>
  <c r="G6" i="111"/>
  <c r="J9" i="111" s="1"/>
  <c r="J12" i="112"/>
  <c r="H12" i="112"/>
  <c r="G6" i="112"/>
  <c r="J9" i="112" s="1"/>
  <c r="H12" i="113"/>
  <c r="G6" i="113"/>
  <c r="J9" i="113" s="1"/>
  <c r="J12" i="114"/>
  <c r="H12" i="114"/>
  <c r="G6" i="114"/>
  <c r="J9" i="114" s="1"/>
  <c r="G6" i="115"/>
  <c r="J9" i="115" s="1"/>
  <c r="J12" i="116"/>
  <c r="H12" i="116"/>
  <c r="H104" i="117" s="1"/>
  <c r="G6" i="116"/>
  <c r="J9" i="116" s="1"/>
  <c r="B29" i="64"/>
  <c r="G6" i="118"/>
  <c r="J9" i="118" s="1"/>
  <c r="J12" i="119"/>
  <c r="H112" i="119" s="1"/>
  <c r="H12" i="119"/>
  <c r="G6" i="119"/>
  <c r="J9" i="119" s="1"/>
  <c r="J12" i="120"/>
  <c r="H12" i="120"/>
  <c r="G6" i="120"/>
  <c r="J9" i="120" s="1"/>
  <c r="J12" i="121"/>
  <c r="G119" i="121" s="1"/>
  <c r="H12" i="121"/>
  <c r="J12" i="122"/>
  <c r="H12" i="122"/>
  <c r="G6" i="122"/>
  <c r="J12" i="123"/>
  <c r="H12" i="123"/>
  <c r="G6" i="123"/>
  <c r="J9" i="123" s="1"/>
  <c r="J12" i="124"/>
  <c r="G118" i="124" s="1"/>
  <c r="H12" i="124"/>
  <c r="G6" i="124"/>
  <c r="J8" i="124" s="1"/>
  <c r="J12" i="125"/>
  <c r="H12" i="125"/>
  <c r="J12" i="126"/>
  <c r="H12" i="126"/>
  <c r="G6" i="126"/>
  <c r="J12" i="127"/>
  <c r="G111" i="127" s="1"/>
  <c r="H12" i="127"/>
  <c r="G6" i="127"/>
  <c r="J9" i="127" s="1"/>
  <c r="J12" i="128"/>
  <c r="H12" i="128"/>
  <c r="G6" i="128"/>
  <c r="J9" i="128" s="1"/>
  <c r="J12" i="129"/>
  <c r="H12" i="129"/>
  <c r="J12" i="130"/>
  <c r="H12" i="130"/>
  <c r="G6" i="130"/>
  <c r="J9" i="130" s="1"/>
  <c r="J12" i="131"/>
  <c r="H12" i="131"/>
  <c r="G6" i="131"/>
  <c r="J9" i="131" s="1"/>
  <c r="J12" i="132"/>
  <c r="G109" i="132" s="1"/>
  <c r="H12" i="132"/>
  <c r="G6" i="132"/>
  <c r="J9" i="132" s="1"/>
  <c r="J12" i="133"/>
  <c r="H12" i="133"/>
  <c r="J12" i="134"/>
  <c r="H12" i="134"/>
  <c r="J9" i="134"/>
  <c r="H12" i="135"/>
  <c r="G6" i="135"/>
  <c r="J9" i="135" s="1"/>
  <c r="J12" i="136"/>
  <c r="H12" i="136"/>
  <c r="G6" i="136"/>
  <c r="J9" i="136" s="1"/>
  <c r="J12" i="137"/>
  <c r="H12" i="137"/>
  <c r="J12" i="138"/>
  <c r="H12" i="138"/>
  <c r="G6" i="138"/>
  <c r="J9" i="138" s="1"/>
  <c r="J12" i="139"/>
  <c r="H12" i="139"/>
  <c r="G6" i="139"/>
  <c r="J9" i="139" s="1"/>
  <c r="B56" i="64"/>
  <c r="H12" i="140"/>
  <c r="G6" i="140"/>
  <c r="J8" i="140" s="1"/>
  <c r="B57" i="64"/>
  <c r="B58" i="64"/>
  <c r="G6" i="142"/>
  <c r="J8" i="142" s="1"/>
  <c r="B60" i="64"/>
  <c r="G6" i="143"/>
  <c r="B61" i="64"/>
  <c r="G6" i="144"/>
  <c r="J9" i="144" s="1"/>
  <c r="J12" i="145"/>
  <c r="B62" i="64" s="1"/>
  <c r="H12" i="145"/>
  <c r="G6" i="145"/>
  <c r="J9" i="145" s="1"/>
  <c r="J12" i="146"/>
  <c r="B63" i="64" s="1"/>
  <c r="H12" i="146"/>
  <c r="G6" i="146"/>
  <c r="J9" i="146" s="1"/>
  <c r="J12" i="147"/>
  <c r="B64" i="64" s="1"/>
  <c r="H12" i="147"/>
  <c r="G6" i="147"/>
  <c r="J9" i="147" s="1"/>
  <c r="J12" i="148"/>
  <c r="B66" i="64" s="1"/>
  <c r="H12" i="148"/>
  <c r="G6" i="148"/>
  <c r="J8" i="148" s="1"/>
  <c r="J12" i="149"/>
  <c r="B67" i="64" s="1"/>
  <c r="H12" i="149"/>
  <c r="G6" i="149"/>
  <c r="J9" i="149" s="1"/>
  <c r="J12" i="150"/>
  <c r="B68" i="64" s="1"/>
  <c r="H12" i="150"/>
  <c r="G6" i="150"/>
  <c r="L9" i="150" s="1"/>
  <c r="J12" i="151"/>
  <c r="B69" i="64" s="1"/>
  <c r="H12" i="151"/>
  <c r="G6" i="151"/>
  <c r="J9" i="151" s="1"/>
  <c r="J12" i="152"/>
  <c r="B71" i="64" s="1"/>
  <c r="H12" i="152"/>
  <c r="G6" i="152"/>
  <c r="J9" i="152" s="1"/>
  <c r="J12" i="153"/>
  <c r="B72" i="64" s="1"/>
  <c r="H12" i="153"/>
  <c r="G6" i="153"/>
  <c r="J9" i="153" s="1"/>
  <c r="J12" i="154"/>
  <c r="B73" i="64" s="1"/>
  <c r="H12" i="154"/>
  <c r="G6" i="154"/>
  <c r="J9" i="154" s="1"/>
  <c r="J12" i="155"/>
  <c r="B74" i="64" s="1"/>
  <c r="H12" i="155"/>
  <c r="G6" i="155"/>
  <c r="J9" i="155" s="1"/>
  <c r="J12" i="105"/>
  <c r="H283" i="105" s="1"/>
  <c r="G6" i="105"/>
  <c r="J9" i="105" s="1"/>
  <c r="L17" i="107"/>
  <c r="L19" i="107" s="1"/>
  <c r="J15" i="64" s="1"/>
  <c r="K17" i="107"/>
  <c r="L17" i="114"/>
  <c r="K17" i="114"/>
  <c r="K17" i="105"/>
  <c r="H12" i="56"/>
  <c r="J12" i="56"/>
  <c r="B12" i="64" s="1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N19" i="56" s="1"/>
  <c r="L10" i="56" s="1"/>
  <c r="L12" i="56" s="1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14"/>
  <c r="J19" i="114" s="1"/>
  <c r="L12" i="130"/>
  <c r="L12" i="132"/>
  <c r="L12" i="106"/>
  <c r="L12" i="137"/>
  <c r="L12" i="108"/>
  <c r="L12" i="146"/>
  <c r="L12" i="153"/>
  <c r="L12" i="152"/>
  <c r="L12" i="120"/>
  <c r="L12" i="121"/>
  <c r="L12" i="154"/>
  <c r="L12" i="126"/>
  <c r="L12" i="155"/>
  <c r="L12" i="151"/>
  <c r="L12" i="123"/>
  <c r="L12" i="133"/>
  <c r="L12" i="114"/>
  <c r="L12" i="128"/>
  <c r="L12" i="124"/>
  <c r="L12" i="131"/>
  <c r="L12" i="125"/>
  <c r="L12" i="122"/>
  <c r="L12" i="119"/>
  <c r="L12" i="134"/>
  <c r="L12" i="139"/>
  <c r="L12" i="116"/>
  <c r="L12" i="136"/>
  <c r="L12" i="127"/>
  <c r="L12" i="140"/>
  <c r="L12" i="142"/>
  <c r="L12" i="112"/>
  <c r="L12" i="145"/>
  <c r="L12" i="149"/>
  <c r="L12" i="147"/>
  <c r="L12" i="148"/>
  <c r="L12" i="110"/>
  <c r="L12" i="150"/>
  <c r="L12" i="109"/>
  <c r="L17" i="56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D7" i="157" a="1"/>
  <c r="C23" i="156" a="1"/>
  <c r="C6" i="157" a="1"/>
  <c r="P10" i="125" a="1"/>
  <c r="P10" i="110" a="1"/>
  <c r="J11" i="156" a="1"/>
  <c r="P10" i="130" a="1"/>
  <c r="D6" i="157" a="1"/>
  <c r="P10" i="131" a="1"/>
  <c r="F6" i="157" a="1"/>
  <c r="D23" i="156" a="1"/>
  <c r="P10" i="114" a="1"/>
  <c r="P11" i="110" a="1"/>
  <c r="P10" i="111" a="1"/>
  <c r="I10" i="156" a="1"/>
  <c r="E6" i="157" a="1"/>
  <c r="P11" i="111" a="1"/>
  <c r="I11" i="156" a="1"/>
  <c r="P10" i="142" a="1"/>
  <c r="C17" i="156" a="1"/>
  <c r="H132" i="142" l="1"/>
  <c r="H133" i="142" s="1"/>
  <c r="G133" i="142"/>
  <c r="H137" i="141"/>
  <c r="H138" i="141" s="1"/>
  <c r="G138" i="141"/>
  <c r="H133" i="140"/>
  <c r="H134" i="140" s="1"/>
  <c r="G134" i="140"/>
  <c r="B55" i="64"/>
  <c r="F55" i="64" s="1"/>
  <c r="G138" i="139"/>
  <c r="G113" i="127"/>
  <c r="G108" i="128"/>
  <c r="G114" i="133"/>
  <c r="G116" i="134"/>
  <c r="G121" i="136"/>
  <c r="G118" i="137"/>
  <c r="H103" i="113"/>
  <c r="H111" i="114"/>
  <c r="H115" i="114" s="1"/>
  <c r="H277" i="107"/>
  <c r="H81" i="108"/>
  <c r="G112" i="128"/>
  <c r="G117" i="129"/>
  <c r="G117" i="123"/>
  <c r="H119" i="120"/>
  <c r="H121" i="120" s="1"/>
  <c r="B26" i="64"/>
  <c r="H103" i="116"/>
  <c r="D19" i="64"/>
  <c r="F19" i="64" s="1"/>
  <c r="H89" i="110"/>
  <c r="H98" i="112"/>
  <c r="H280" i="111"/>
  <c r="H99" i="115"/>
  <c r="H101" i="116"/>
  <c r="H279" i="107"/>
  <c r="H79" i="108"/>
  <c r="H82" i="108" s="1"/>
  <c r="H84" i="108" s="1"/>
  <c r="G121" i="121"/>
  <c r="G116" i="122"/>
  <c r="H116" i="114"/>
  <c r="H95" i="115"/>
  <c r="B47" i="64"/>
  <c r="G112" i="133"/>
  <c r="H113" i="114"/>
  <c r="H97" i="115"/>
  <c r="H98" i="115" s="1"/>
  <c r="H100" i="115" s="1"/>
  <c r="H275" i="107"/>
  <c r="H278" i="106"/>
  <c r="J17" i="117"/>
  <c r="H99" i="118" s="1"/>
  <c r="H102" i="118" s="1"/>
  <c r="J19" i="138"/>
  <c r="B53" i="64"/>
  <c r="G116" i="138"/>
  <c r="J17" i="137"/>
  <c r="J18" i="137"/>
  <c r="B52" i="64"/>
  <c r="G120" i="137"/>
  <c r="G121" i="137" s="1"/>
  <c r="B51" i="64"/>
  <c r="G119" i="136"/>
  <c r="P12" i="135"/>
  <c r="O10" i="135"/>
  <c r="O12" i="135" s="1"/>
  <c r="J17" i="135"/>
  <c r="J19" i="135" s="1"/>
  <c r="B50" i="64"/>
  <c r="F50" i="64" s="1"/>
  <c r="B48" i="64"/>
  <c r="G118" i="134"/>
  <c r="G119" i="134" s="1"/>
  <c r="J18" i="134"/>
  <c r="J17" i="134"/>
  <c r="G121" i="131"/>
  <c r="G107" i="132"/>
  <c r="G110" i="132" s="1"/>
  <c r="J17" i="132"/>
  <c r="J18" i="132"/>
  <c r="B46" i="64"/>
  <c r="F46" i="64" s="1"/>
  <c r="B45" i="64"/>
  <c r="G119" i="131"/>
  <c r="K19" i="130"/>
  <c r="D44" i="64" s="1"/>
  <c r="Q10" i="131" s="1"/>
  <c r="J17" i="130"/>
  <c r="J19" i="130" s="1"/>
  <c r="G117" i="131" s="1"/>
  <c r="K19" i="129"/>
  <c r="D42" i="64" s="1"/>
  <c r="Q10" i="130" s="1"/>
  <c r="H113" i="130" s="1"/>
  <c r="O12" i="129"/>
  <c r="Q10" i="129"/>
  <c r="B44" i="64"/>
  <c r="G113" i="130"/>
  <c r="J18" i="129"/>
  <c r="B42" i="64"/>
  <c r="G119" i="129"/>
  <c r="G120" i="129" s="1"/>
  <c r="B41" i="64"/>
  <c r="F41" i="64" s="1"/>
  <c r="G110" i="128"/>
  <c r="G111" i="128" s="1"/>
  <c r="G113" i="128" s="1"/>
  <c r="B40" i="64"/>
  <c r="G125" i="125"/>
  <c r="G116" i="126"/>
  <c r="B39" i="64"/>
  <c r="G118" i="126"/>
  <c r="J18" i="126"/>
  <c r="J17" i="126"/>
  <c r="G120" i="124"/>
  <c r="G121" i="125"/>
  <c r="B37" i="64"/>
  <c r="G123" i="125"/>
  <c r="K19" i="124"/>
  <c r="D36" i="64" s="1"/>
  <c r="F36" i="64" s="1"/>
  <c r="Q10" i="124"/>
  <c r="Q10" i="125" s="1"/>
  <c r="B36" i="64"/>
  <c r="J19" i="123"/>
  <c r="J19" i="122"/>
  <c r="B35" i="64"/>
  <c r="F35" i="64" s="1"/>
  <c r="B34" i="64"/>
  <c r="G118" i="122"/>
  <c r="H122" i="120"/>
  <c r="H123" i="120" s="1"/>
  <c r="G117" i="121"/>
  <c r="G120" i="121" s="1"/>
  <c r="G122" i="121" s="1"/>
  <c r="B32" i="64"/>
  <c r="B31" i="64"/>
  <c r="H115" i="119"/>
  <c r="B30" i="64"/>
  <c r="J17" i="118"/>
  <c r="J19" i="118" s="1"/>
  <c r="H105" i="116"/>
  <c r="H101" i="117"/>
  <c r="H105" i="117" s="1"/>
  <c r="B28" i="64"/>
  <c r="B25" i="64"/>
  <c r="K10" i="156" s="1"/>
  <c r="L19" i="114"/>
  <c r="J24" i="64" s="1"/>
  <c r="B24" i="64"/>
  <c r="H117" i="114"/>
  <c r="H102" i="112"/>
  <c r="H99" i="113"/>
  <c r="H102" i="113" s="1"/>
  <c r="H104" i="113" s="1"/>
  <c r="B23" i="64"/>
  <c r="F23" i="64" s="1"/>
  <c r="B21" i="64"/>
  <c r="H100" i="112"/>
  <c r="B20" i="64"/>
  <c r="O12" i="110"/>
  <c r="J19" i="109"/>
  <c r="B16" i="64"/>
  <c r="F16" i="64" s="1"/>
  <c r="B15" i="64"/>
  <c r="B14" i="64"/>
  <c r="F14" i="64" s="1"/>
  <c r="H276" i="106"/>
  <c r="H277" i="106" s="1"/>
  <c r="H279" i="106" s="1"/>
  <c r="B13" i="64"/>
  <c r="H284" i="105"/>
  <c r="J12" i="156" s="1"/>
  <c r="C18" i="156" s="1"/>
  <c r="O10" i="105"/>
  <c r="O12" i="105" s="1"/>
  <c r="O12" i="109"/>
  <c r="Q11" i="109"/>
  <c r="Q10" i="109"/>
  <c r="J18" i="110"/>
  <c r="Q10" i="110" s="1"/>
  <c r="Q11" i="110" s="1"/>
  <c r="J17" i="110"/>
  <c r="Q11" i="111" s="1"/>
  <c r="Q10" i="111" s="1"/>
  <c r="P12" i="137"/>
  <c r="Q12" i="137" s="1"/>
  <c r="P12" i="139"/>
  <c r="Q12" i="139" s="1"/>
  <c r="P12" i="147"/>
  <c r="Q12" i="147" s="1"/>
  <c r="P12" i="155"/>
  <c r="Q12" i="155" s="1"/>
  <c r="Q11" i="137"/>
  <c r="P12" i="149"/>
  <c r="Q12" i="149" s="1"/>
  <c r="P12" i="112"/>
  <c r="Q12" i="112" s="1"/>
  <c r="Q10" i="155"/>
  <c r="Q10" i="147"/>
  <c r="P12" i="109"/>
  <c r="P12" i="120"/>
  <c r="Q12" i="120" s="1"/>
  <c r="Q10" i="139"/>
  <c r="P12" i="152"/>
  <c r="Q12" i="152" s="1"/>
  <c r="P12" i="107"/>
  <c r="P12" i="118"/>
  <c r="Q12" i="118" s="1"/>
  <c r="P12" i="127"/>
  <c r="Q12" i="127" s="1"/>
  <c r="P12" i="154"/>
  <c r="Q12" i="154" s="1"/>
  <c r="P12" i="142" s="1"/>
  <c r="P12" i="114" s="1"/>
  <c r="P12" i="128"/>
  <c r="Q12" i="128" s="1"/>
  <c r="P12" i="116"/>
  <c r="Q12" i="116" s="1"/>
  <c r="P12" i="124"/>
  <c r="Q12" i="124" s="1"/>
  <c r="P12" i="121"/>
  <c r="Q12" i="121" s="1"/>
  <c r="P12" i="132"/>
  <c r="Q12" i="132" s="1"/>
  <c r="P12" i="117"/>
  <c r="Q12" i="117" s="1"/>
  <c r="P12" i="113"/>
  <c r="P12" i="129"/>
  <c r="P12" i="140"/>
  <c r="Q12" i="140" s="1"/>
  <c r="P12" i="148"/>
  <c r="Q12" i="148" s="1"/>
  <c r="P12" i="133"/>
  <c r="Q12" i="133" s="1"/>
  <c r="P12" i="145"/>
  <c r="Q12" i="145" s="1"/>
  <c r="P12" i="141"/>
  <c r="P12" i="153"/>
  <c r="Q12" i="153" s="1"/>
  <c r="P12" i="122"/>
  <c r="Q12" i="122" s="1"/>
  <c r="P12" i="119"/>
  <c r="Q12" i="119" s="1"/>
  <c r="P12" i="138"/>
  <c r="Q12" i="138" s="1"/>
  <c r="P12" i="146"/>
  <c r="Q12" i="146" s="1"/>
  <c r="P12" i="126"/>
  <c r="Q12" i="126" s="1"/>
  <c r="P12" i="123"/>
  <c r="Q12" i="123" s="1"/>
  <c r="P12" i="134"/>
  <c r="Q12" i="134" s="1"/>
  <c r="P12" i="143"/>
  <c r="P12" i="150"/>
  <c r="Q12" i="150" s="1"/>
  <c r="P12" i="151"/>
  <c r="Q12" i="151" s="1"/>
  <c r="E16" i="156"/>
  <c r="O12" i="113"/>
  <c r="Q10" i="113"/>
  <c r="O12" i="141"/>
  <c r="Q10" i="141"/>
  <c r="K19" i="114"/>
  <c r="D24" i="64" s="1"/>
  <c r="O10" i="114"/>
  <c r="K19" i="107"/>
  <c r="D15" i="64" s="1"/>
  <c r="O10" i="107"/>
  <c r="F32" i="64"/>
  <c r="F8" i="113"/>
  <c r="F16" i="113" s="1"/>
  <c r="F8" i="114"/>
  <c r="F16" i="114" s="1"/>
  <c r="F8" i="115"/>
  <c r="F16" i="115" s="1"/>
  <c r="F8" i="116"/>
  <c r="F16" i="116" s="1"/>
  <c r="F8" i="117"/>
  <c r="F16" i="117" s="1"/>
  <c r="F8" i="131"/>
  <c r="F16" i="131" s="1"/>
  <c r="F8" i="145"/>
  <c r="F16" i="145" s="1"/>
  <c r="F8" i="118"/>
  <c r="F16" i="118" s="1"/>
  <c r="F8" i="132"/>
  <c r="F16" i="132" s="1"/>
  <c r="F8" i="146"/>
  <c r="F16" i="146" s="1"/>
  <c r="F8" i="105"/>
  <c r="F16" i="105" s="1"/>
  <c r="F8" i="119"/>
  <c r="F16" i="119" s="1"/>
  <c r="F8" i="133"/>
  <c r="F16" i="133" s="1"/>
  <c r="F8" i="147"/>
  <c r="F16" i="147" s="1"/>
  <c r="F8" i="106"/>
  <c r="F16" i="106" s="1"/>
  <c r="F8" i="120"/>
  <c r="F16" i="120" s="1"/>
  <c r="F8" i="134"/>
  <c r="F16" i="134" s="1"/>
  <c r="F8" i="148"/>
  <c r="F16" i="148" s="1"/>
  <c r="F8" i="107"/>
  <c r="F16" i="107" s="1"/>
  <c r="F8" i="121"/>
  <c r="F16" i="121" s="1"/>
  <c r="F8" i="135"/>
  <c r="F16" i="135" s="1"/>
  <c r="F8" i="149"/>
  <c r="F16" i="149" s="1"/>
  <c r="F8" i="108"/>
  <c r="F16" i="108" s="1"/>
  <c r="F8" i="122"/>
  <c r="F16" i="122" s="1"/>
  <c r="F8" i="136"/>
  <c r="F16" i="136" s="1"/>
  <c r="F8" i="150"/>
  <c r="F16" i="150" s="1"/>
  <c r="F8" i="109"/>
  <c r="F16" i="109" s="1"/>
  <c r="F8" i="123"/>
  <c r="F16" i="123" s="1"/>
  <c r="F8" i="137"/>
  <c r="F16" i="137" s="1"/>
  <c r="F8" i="151"/>
  <c r="F16" i="151" s="1"/>
  <c r="F8" i="110"/>
  <c r="F16" i="110" s="1"/>
  <c r="F8" i="124"/>
  <c r="F16" i="124" s="1"/>
  <c r="F8" i="138"/>
  <c r="F16" i="138" s="1"/>
  <c r="F8" i="152"/>
  <c r="F16" i="152" s="1"/>
  <c r="F8" i="111"/>
  <c r="F16" i="111" s="1"/>
  <c r="F8" i="125"/>
  <c r="F16" i="125" s="1"/>
  <c r="F8" i="139"/>
  <c r="F16" i="139" s="1"/>
  <c r="F8" i="153"/>
  <c r="F16" i="153" s="1"/>
  <c r="F8" i="112"/>
  <c r="F16" i="112" s="1"/>
  <c r="F8" i="126"/>
  <c r="F16" i="126" s="1"/>
  <c r="F8" i="140"/>
  <c r="F16" i="140" s="1"/>
  <c r="F8" i="154"/>
  <c r="F16" i="154" s="1"/>
  <c r="F8" i="127"/>
  <c r="F16" i="127" s="1"/>
  <c r="F8" i="141"/>
  <c r="F16" i="141" s="1"/>
  <c r="F8" i="155"/>
  <c r="F16" i="155" s="1"/>
  <c r="F8" i="128"/>
  <c r="F16" i="128" s="1"/>
  <c r="F8" i="142"/>
  <c r="F16" i="142" s="1"/>
  <c r="F8" i="56"/>
  <c r="F16" i="56" s="1"/>
  <c r="F8" i="129"/>
  <c r="F16" i="129" s="1"/>
  <c r="F8" i="143"/>
  <c r="F16" i="143" s="1"/>
  <c r="F8" i="130"/>
  <c r="F16" i="130" s="1"/>
  <c r="F8" i="144"/>
  <c r="F16" i="144" s="1"/>
  <c r="J8" i="105"/>
  <c r="J8" i="107"/>
  <c r="L9" i="109"/>
  <c r="L9" i="125"/>
  <c r="J9" i="150"/>
  <c r="F57" i="64"/>
  <c r="J8" i="150"/>
  <c r="J8" i="154"/>
  <c r="AG19" i="56"/>
  <c r="AF19" i="56"/>
  <c r="P19" i="56"/>
  <c r="J9" i="142"/>
  <c r="J8" i="128"/>
  <c r="L9" i="135"/>
  <c r="L9" i="128"/>
  <c r="J8" i="121"/>
  <c r="C10" i="156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72" i="64"/>
  <c r="J8" i="110"/>
  <c r="J8" i="109"/>
  <c r="J8" i="132"/>
  <c r="J9" i="143"/>
  <c r="J8" i="143"/>
  <c r="L9" i="138"/>
  <c r="J8" i="120"/>
  <c r="L9" i="142"/>
  <c r="J8" i="138"/>
  <c r="L9" i="120"/>
  <c r="L9" i="143"/>
  <c r="J8" i="125"/>
  <c r="L9" i="127"/>
  <c r="L9" i="118"/>
  <c r="J8" i="153"/>
  <c r="J8" i="119"/>
  <c r="L9" i="145"/>
  <c r="L9" i="111"/>
  <c r="L9" i="105"/>
  <c r="L9" i="119"/>
  <c r="J8" i="127"/>
  <c r="J8" i="111"/>
  <c r="L9" i="107"/>
  <c r="W19" i="56"/>
  <c r="L9" i="148"/>
  <c r="K19" i="105"/>
  <c r="H285" i="105" s="1"/>
  <c r="F62" i="64"/>
  <c r="J8" i="133"/>
  <c r="L9" i="133"/>
  <c r="F39" i="64"/>
  <c r="J8" i="113"/>
  <c r="F37" i="64"/>
  <c r="F51" i="64"/>
  <c r="AI19" i="56"/>
  <c r="R19" i="56"/>
  <c r="F61" i="64"/>
  <c r="AA19" i="56"/>
  <c r="F34" i="64"/>
  <c r="L9" i="126"/>
  <c r="J8" i="116"/>
  <c r="L9" i="151"/>
  <c r="J9" i="126"/>
  <c r="J8" i="151"/>
  <c r="J8" i="126"/>
  <c r="L9" i="116"/>
  <c r="O19" i="56"/>
  <c r="J8" i="117"/>
  <c r="J8" i="134"/>
  <c r="J9" i="117"/>
  <c r="F28" i="64"/>
  <c r="F74" i="64"/>
  <c r="F71" i="64"/>
  <c r="L9" i="136"/>
  <c r="L9" i="134"/>
  <c r="L9" i="122"/>
  <c r="L9" i="147"/>
  <c r="J8" i="147"/>
  <c r="J8" i="155"/>
  <c r="L9" i="155"/>
  <c r="J19" i="56"/>
  <c r="J21" i="56" s="1"/>
  <c r="AK19" i="56"/>
  <c r="AC19" i="56"/>
  <c r="T19" i="56"/>
  <c r="U19" i="56"/>
  <c r="L19" i="56"/>
  <c r="J12" i="64" s="1"/>
  <c r="AH19" i="56"/>
  <c r="AE19" i="56"/>
  <c r="V19" i="56"/>
  <c r="F73" i="64"/>
  <c r="F63" i="64"/>
  <c r="F47" i="64"/>
  <c r="F58" i="64"/>
  <c r="F31" i="64"/>
  <c r="L9" i="139"/>
  <c r="AJ19" i="56"/>
  <c r="AB19" i="56"/>
  <c r="S19" i="56"/>
  <c r="AD19" i="56"/>
  <c r="Y19" i="56"/>
  <c r="Q19" i="56"/>
  <c r="J73" i="64"/>
  <c r="J71" i="64"/>
  <c r="J56" i="64"/>
  <c r="J31" i="64"/>
  <c r="J57" i="64"/>
  <c r="J19" i="64"/>
  <c r="J26" i="64"/>
  <c r="J64" i="64"/>
  <c r="D21" i="64"/>
  <c r="D29" i="64"/>
  <c r="F29" i="64" s="1"/>
  <c r="D26" i="64"/>
  <c r="F26" i="64" s="1"/>
  <c r="D56" i="64"/>
  <c r="F56" i="64" s="1"/>
  <c r="D40" i="64"/>
  <c r="X19" i="56"/>
  <c r="AL19" i="56"/>
  <c r="K19" i="56"/>
  <c r="H281" i="105" s="1"/>
  <c r="J9" i="133"/>
  <c r="J8" i="123"/>
  <c r="J8" i="118"/>
  <c r="L9" i="137"/>
  <c r="J8" i="152"/>
  <c r="J8" i="139"/>
  <c r="J8" i="122"/>
  <c r="J8" i="135"/>
  <c r="L9" i="123"/>
  <c r="J9" i="122"/>
  <c r="L9" i="121"/>
  <c r="J8" i="137"/>
  <c r="J9" i="148"/>
  <c r="J8" i="136"/>
  <c r="L9" i="152"/>
  <c r="L9" i="153"/>
  <c r="J8" i="145"/>
  <c r="F69" i="64"/>
  <c r="F64" i="64"/>
  <c r="F25" i="64"/>
  <c r="F20" i="64"/>
  <c r="F18" i="64"/>
  <c r="F66" i="64"/>
  <c r="H66" i="64" s="1"/>
  <c r="F67" i="64"/>
  <c r="F68" i="64"/>
  <c r="D52" i="64"/>
  <c r="D45" i="64"/>
  <c r="D30" i="64"/>
  <c r="F30" i="64" s="1"/>
  <c r="L9" i="144"/>
  <c r="L9" i="130"/>
  <c r="L9" i="110"/>
  <c r="J8" i="144"/>
  <c r="L9" i="112"/>
  <c r="J8" i="112"/>
  <c r="J8" i="141"/>
  <c r="L9" i="132"/>
  <c r="J8" i="108"/>
  <c r="J8" i="130"/>
  <c r="L9" i="140"/>
  <c r="J9" i="108"/>
  <c r="L9" i="113"/>
  <c r="L9" i="124"/>
  <c r="L9" i="149"/>
  <c r="J9" i="124"/>
  <c r="L9" i="115"/>
  <c r="J9" i="140"/>
  <c r="J8" i="115"/>
  <c r="J8" i="149"/>
  <c r="L9" i="141"/>
  <c r="L9" i="129"/>
  <c r="L9" i="114"/>
  <c r="J8" i="146"/>
  <c r="J8" i="56"/>
  <c r="L9" i="56"/>
  <c r="J8" i="129"/>
  <c r="J8" i="114"/>
  <c r="L9" i="106"/>
  <c r="L9" i="146"/>
  <c r="J8" i="106"/>
  <c r="L9" i="131"/>
  <c r="J8" i="131"/>
  <c r="L9" i="154"/>
  <c r="E8" i="157" a="1"/>
  <c r="G6" i="157" a="1"/>
  <c r="F8" i="157" a="1"/>
  <c r="C7" i="157" a="1"/>
  <c r="D8" i="157" a="1"/>
  <c r="P10" i="136" a="1"/>
  <c r="G8" i="157" a="1"/>
  <c r="P10" i="115" a="1"/>
  <c r="P10" i="106" a="1"/>
  <c r="P10" i="105" a="1"/>
  <c r="F7" i="157" a="1"/>
  <c r="P10" i="108" a="1"/>
  <c r="P11" i="105" a="1"/>
  <c r="G234" i="157" a="1"/>
  <c r="H8" i="157" a="1"/>
  <c r="G235" i="157" a="1"/>
  <c r="G7" i="157" a="1"/>
  <c r="C8" i="157" a="1"/>
  <c r="E7" i="157" a="1"/>
  <c r="G118" i="138" l="1"/>
  <c r="G136" i="139"/>
  <c r="G139" i="139" s="1"/>
  <c r="H110" i="119"/>
  <c r="H114" i="119" s="1"/>
  <c r="H103" i="118"/>
  <c r="H104" i="116"/>
  <c r="G118" i="123"/>
  <c r="G115" i="123"/>
  <c r="H104" i="118"/>
  <c r="J19" i="117"/>
  <c r="H106" i="117" s="1"/>
  <c r="H107" i="117" s="1"/>
  <c r="J21" i="109"/>
  <c r="H85" i="110"/>
  <c r="H88" i="110" s="1"/>
  <c r="H90" i="110" s="1"/>
  <c r="H106" i="116"/>
  <c r="G121" i="135"/>
  <c r="G117" i="136"/>
  <c r="G120" i="136" s="1"/>
  <c r="G122" i="136" s="1"/>
  <c r="H278" i="107"/>
  <c r="H280" i="107" s="1"/>
  <c r="F53" i="64"/>
  <c r="H55" i="64" s="1"/>
  <c r="J19" i="137"/>
  <c r="F52" i="64"/>
  <c r="Q12" i="135"/>
  <c r="Q10" i="135"/>
  <c r="F48" i="64"/>
  <c r="H48" i="64" s="1"/>
  <c r="J19" i="134"/>
  <c r="J19" i="132"/>
  <c r="G120" i="131"/>
  <c r="G122" i="131" s="1"/>
  <c r="F45" i="64"/>
  <c r="H46" i="64" s="1"/>
  <c r="F44" i="64"/>
  <c r="P12" i="131"/>
  <c r="Q12" i="131" s="1"/>
  <c r="G115" i="130"/>
  <c r="F42" i="64"/>
  <c r="H42" i="64" s="1"/>
  <c r="P12" i="130"/>
  <c r="Q12" i="130" s="1"/>
  <c r="Q12" i="129"/>
  <c r="J19" i="129"/>
  <c r="G111" i="130" s="1"/>
  <c r="F40" i="64"/>
  <c r="G119" i="126"/>
  <c r="J19" i="126"/>
  <c r="G109" i="127" s="1"/>
  <c r="G112" i="127" s="1"/>
  <c r="G114" i="127" s="1"/>
  <c r="G124" i="125"/>
  <c r="G126" i="125" s="1"/>
  <c r="G119" i="123"/>
  <c r="G120" i="123" s="1"/>
  <c r="G116" i="124"/>
  <c r="G119" i="124" s="1"/>
  <c r="G121" i="124" s="1"/>
  <c r="P12" i="125"/>
  <c r="Q12" i="125" s="1"/>
  <c r="G120" i="122"/>
  <c r="H116" i="119"/>
  <c r="L12" i="115"/>
  <c r="F24" i="64"/>
  <c r="H25" i="64" s="1"/>
  <c r="F21" i="64"/>
  <c r="H23" i="64" s="1"/>
  <c r="H101" i="112"/>
  <c r="J19" i="110"/>
  <c r="Q12" i="109"/>
  <c r="F15" i="64"/>
  <c r="H15" i="64" s="1"/>
  <c r="H286" i="105"/>
  <c r="K11" i="156"/>
  <c r="K12" i="156" s="1"/>
  <c r="I12" i="156"/>
  <c r="Q10" i="105" s="1"/>
  <c r="Q11" i="105" s="1"/>
  <c r="P12" i="106" s="1"/>
  <c r="Q12" i="106" s="1"/>
  <c r="P12" i="110"/>
  <c r="Q12" i="110" s="1"/>
  <c r="P12" i="111"/>
  <c r="Q12" i="111" s="1"/>
  <c r="H32" i="64"/>
  <c r="Q10" i="142"/>
  <c r="P12" i="108" s="1"/>
  <c r="P12" i="115" s="1"/>
  <c r="D18" i="156"/>
  <c r="D24" i="156"/>
  <c r="D13" i="64"/>
  <c r="F13" i="64" s="1"/>
  <c r="H14" i="64" s="1"/>
  <c r="D12" i="64"/>
  <c r="H12" i="64" s="1"/>
  <c r="O12" i="107"/>
  <c r="Q10" i="107"/>
  <c r="O12" i="114"/>
  <c r="Q10" i="114"/>
  <c r="H57" i="64"/>
  <c r="Q12" i="141"/>
  <c r="Q12" i="142"/>
  <c r="Q12" i="113"/>
  <c r="H41" i="64"/>
  <c r="H58" i="64"/>
  <c r="H36" i="64"/>
  <c r="H35" i="64"/>
  <c r="H73" i="64"/>
  <c r="C11" i="156"/>
  <c r="D10" i="156"/>
  <c r="A237" i="157"/>
  <c r="A10" i="157"/>
  <c r="I4" i="157"/>
  <c r="E22" i="156"/>
  <c r="C24" i="156"/>
  <c r="C12" i="156" s="1"/>
  <c r="H63" i="64"/>
  <c r="H72" i="64"/>
  <c r="H28" i="64"/>
  <c r="H64" i="64"/>
  <c r="H34" i="64"/>
  <c r="H62" i="64"/>
  <c r="H29" i="64"/>
  <c r="H51" i="64"/>
  <c r="H39" i="64"/>
  <c r="H71" i="64"/>
  <c r="J21" i="136"/>
  <c r="J21" i="113"/>
  <c r="J21" i="127"/>
  <c r="J21" i="152"/>
  <c r="J21" i="144"/>
  <c r="J21" i="107"/>
  <c r="J21" i="117"/>
  <c r="J21" i="124"/>
  <c r="J21" i="138"/>
  <c r="J21" i="115"/>
  <c r="J21" i="112"/>
  <c r="J21" i="108"/>
  <c r="J21" i="118"/>
  <c r="J21" i="121"/>
  <c r="J21" i="149"/>
  <c r="J21" i="119"/>
  <c r="J21" i="142"/>
  <c r="J21" i="114"/>
  <c r="J21" i="131"/>
  <c r="J21" i="140"/>
  <c r="J21" i="148"/>
  <c r="J21" i="111"/>
  <c r="J21" i="151"/>
  <c r="J21" i="128"/>
  <c r="J21" i="105"/>
  <c r="J21" i="146"/>
  <c r="J21" i="122"/>
  <c r="J21" i="123"/>
  <c r="J21" i="106"/>
  <c r="J21" i="116"/>
  <c r="J21" i="134"/>
  <c r="J21" i="130"/>
  <c r="J21" i="150"/>
  <c r="J21" i="145"/>
  <c r="J21" i="133"/>
  <c r="J21" i="155"/>
  <c r="J21" i="147"/>
  <c r="J21" i="135"/>
  <c r="J21" i="139"/>
  <c r="J21" i="120"/>
  <c r="J21" i="154"/>
  <c r="J21" i="125"/>
  <c r="J21" i="141"/>
  <c r="J21" i="153"/>
  <c r="H56" i="64"/>
  <c r="H74" i="64"/>
  <c r="H20" i="64"/>
  <c r="H47" i="64"/>
  <c r="H37" i="64"/>
  <c r="H68" i="64"/>
  <c r="H40" i="64"/>
  <c r="H67" i="64"/>
  <c r="H26" i="64"/>
  <c r="H31" i="64"/>
  <c r="H30" i="64"/>
  <c r="H18" i="64"/>
  <c r="H19" i="64"/>
  <c r="H69" i="64"/>
  <c r="E235" i="157" a="1"/>
  <c r="H234" i="157" a="1"/>
  <c r="D236" i="157" a="1"/>
  <c r="G236" i="157" a="1"/>
  <c r="E9" i="157" a="1"/>
  <c r="D234" i="157" a="1"/>
  <c r="C236" i="157" a="1"/>
  <c r="E234" i="157" a="1"/>
  <c r="H7" i="157" a="1"/>
  <c r="F236" i="157" a="1"/>
  <c r="D9" i="157" a="1"/>
  <c r="C235" i="157" a="1"/>
  <c r="F234" i="157" a="1"/>
  <c r="E236" i="157" a="1"/>
  <c r="F9" i="157" a="1"/>
  <c r="D235" i="157" a="1"/>
  <c r="C234" i="157" a="1"/>
  <c r="H9" i="157" a="1"/>
  <c r="G9" i="157" a="1"/>
  <c r="H235" i="157" a="1"/>
  <c r="H6" i="157" a="1"/>
  <c r="F235" i="157" a="1"/>
  <c r="I9" i="157" a="1"/>
  <c r="C9" i="157" a="1"/>
  <c r="H236" i="157" a="1"/>
  <c r="G141" i="139" l="1"/>
  <c r="G143" i="139" s="1"/>
  <c r="H141" i="139"/>
  <c r="G122" i="137"/>
  <c r="G123" i="137" s="1"/>
  <c r="G114" i="138"/>
  <c r="G117" i="138" s="1"/>
  <c r="G119" i="138" s="1"/>
  <c r="J21" i="110"/>
  <c r="H276" i="111"/>
  <c r="H279" i="111" s="1"/>
  <c r="H281" i="111" s="1"/>
  <c r="H53" i="64"/>
  <c r="J21" i="137"/>
  <c r="H52" i="64"/>
  <c r="G120" i="134"/>
  <c r="G121" i="134" s="1"/>
  <c r="G117" i="135"/>
  <c r="G120" i="135" s="1"/>
  <c r="G122" i="135" s="1"/>
  <c r="Q10" i="136"/>
  <c r="P12" i="136"/>
  <c r="Q12" i="136" s="1"/>
  <c r="H50" i="64"/>
  <c r="G111" i="132"/>
  <c r="G112" i="132" s="1"/>
  <c r="G110" i="133"/>
  <c r="G113" i="133" s="1"/>
  <c r="G115" i="133" s="1"/>
  <c r="J21" i="132"/>
  <c r="H45" i="64"/>
  <c r="H44" i="64"/>
  <c r="G121" i="129"/>
  <c r="G122" i="129" s="1"/>
  <c r="G114" i="130"/>
  <c r="G116" i="130" s="1"/>
  <c r="J21" i="129"/>
  <c r="J21" i="126"/>
  <c r="G120" i="126"/>
  <c r="G121" i="126" s="1"/>
  <c r="H24" i="64"/>
  <c r="H21" i="64"/>
  <c r="H103" i="112"/>
  <c r="H16" i="64"/>
  <c r="Q10" i="106"/>
  <c r="P12" i="105"/>
  <c r="Q12" i="105" s="1"/>
  <c r="F12" i="64"/>
  <c r="H13" i="64" s="1"/>
  <c r="Q10" i="108"/>
  <c r="E23" i="156"/>
  <c r="E24" i="156" s="1"/>
  <c r="Q10" i="115"/>
  <c r="E17" i="156"/>
  <c r="E18" i="156" s="1"/>
  <c r="D12" i="156"/>
  <c r="D11" i="156"/>
  <c r="Q12" i="108"/>
  <c r="Q12" i="115"/>
  <c r="Q12" i="114"/>
  <c r="Q12" i="107"/>
  <c r="C13" i="156"/>
  <c r="J4" i="157"/>
  <c r="A238" i="157"/>
  <c r="A11" i="157"/>
  <c r="E10" i="156"/>
  <c r="H10" i="157" a="1"/>
  <c r="H237" i="157" a="1"/>
  <c r="G237" i="157" a="1"/>
  <c r="I237" i="157" a="1"/>
  <c r="E10" i="157" a="1"/>
  <c r="I236" i="157" a="1"/>
  <c r="I10" i="157" a="1"/>
  <c r="D10" i="157" a="1"/>
  <c r="J10" i="157" a="1"/>
  <c r="I8" i="157" a="1"/>
  <c r="C10" i="157" a="1"/>
  <c r="F10" i="157" a="1"/>
  <c r="I6" i="157" a="1"/>
  <c r="I234" i="157" a="1"/>
  <c r="C237" i="157" a="1"/>
  <c r="G10" i="157" a="1"/>
  <c r="E237" i="157" a="1"/>
  <c r="F237" i="157" a="1"/>
  <c r="D237" i="157" a="1"/>
  <c r="I235" i="157" a="1"/>
  <c r="I7" i="157" a="1"/>
  <c r="D13" i="156" l="1"/>
  <c r="E11" i="156"/>
  <c r="E12" i="156"/>
  <c r="A239" i="157"/>
  <c r="A12" i="157"/>
  <c r="E238" i="157" a="1"/>
  <c r="J7" i="157" a="1"/>
  <c r="F11" i="157" a="1"/>
  <c r="D11" i="157" a="1"/>
  <c r="J9" i="157" a="1"/>
  <c r="E11" i="157" a="1"/>
  <c r="C11" i="157" a="1"/>
  <c r="J236" i="157" a="1"/>
  <c r="J238" i="157" a="1"/>
  <c r="C238" i="157" a="1"/>
  <c r="I11" i="157" a="1"/>
  <c r="J234" i="157" a="1"/>
  <c r="I238" i="157" a="1"/>
  <c r="J8" i="157" a="1"/>
  <c r="J235" i="157" a="1"/>
  <c r="J6" i="157" a="1"/>
  <c r="J237" i="157" a="1"/>
  <c r="H11" i="157" a="1"/>
  <c r="D238" i="157" a="1"/>
  <c r="H238" i="157" a="1"/>
  <c r="G238" i="157" a="1"/>
  <c r="F238" i="157" a="1"/>
  <c r="G11" i="157" a="1"/>
  <c r="J11" i="157" a="1"/>
  <c r="E13" i="156" l="1"/>
  <c r="A240" i="157"/>
  <c r="A13" i="157"/>
  <c r="J12" i="157" a="1"/>
  <c r="D12" i="157" a="1"/>
  <c r="D239" i="157" a="1"/>
  <c r="G239" i="157" a="1"/>
  <c r="I239" i="157" a="1"/>
  <c r="E12" i="157" a="1"/>
  <c r="H239" i="157" a="1"/>
  <c r="H12" i="157" a="1"/>
  <c r="I12" i="157" a="1"/>
  <c r="C12" i="157" a="1"/>
  <c r="J239" i="157" a="1"/>
  <c r="F239" i="157" a="1"/>
  <c r="F12" i="157" a="1"/>
  <c r="G12" i="157" a="1"/>
  <c r="E239" i="157" a="1"/>
  <c r="C239" i="157" a="1"/>
  <c r="A241" i="157"/>
  <c r="A14" i="157"/>
  <c r="E13" i="157" a="1"/>
  <c r="I240" i="157" a="1"/>
  <c r="J13" i="157" a="1"/>
  <c r="D240" i="157" a="1"/>
  <c r="F240" i="157" a="1"/>
  <c r="D13" i="157" a="1"/>
  <c r="J240" i="157" a="1"/>
  <c r="H13" i="157" a="1"/>
  <c r="I13" i="157" a="1"/>
  <c r="E240" i="157" a="1"/>
  <c r="H240" i="157" a="1"/>
  <c r="G13" i="157" a="1"/>
  <c r="C13" i="157" a="1"/>
  <c r="G240" i="157" a="1"/>
  <c r="C240" i="157" a="1"/>
  <c r="F13" i="157" a="1"/>
  <c r="A242" i="157"/>
  <c r="A15" i="157"/>
  <c r="C241" i="157" a="1"/>
  <c r="I241" i="157" a="1"/>
  <c r="G241" i="157" a="1"/>
  <c r="G14" i="157" a="1"/>
  <c r="D241" i="157" a="1"/>
  <c r="J14" i="157" a="1"/>
  <c r="D14" i="157" a="1"/>
  <c r="C14" i="157" a="1"/>
  <c r="H241" i="157" a="1"/>
  <c r="E241" i="157" a="1"/>
  <c r="F14" i="157" a="1"/>
  <c r="F241" i="157" a="1"/>
  <c r="I14" i="157" a="1"/>
  <c r="H14" i="157" a="1"/>
  <c r="E14" i="157" a="1"/>
  <c r="J241" i="157" a="1"/>
  <c r="A243" i="157"/>
  <c r="A16" i="157"/>
  <c r="H242" i="157" a="1"/>
  <c r="J242" i="157" a="1"/>
  <c r="F242" i="157" a="1"/>
  <c r="C15" i="157" a="1"/>
  <c r="D242" i="157" a="1"/>
  <c r="G242" i="157" a="1"/>
  <c r="I242" i="157" a="1"/>
  <c r="D15" i="157" a="1"/>
  <c r="E15" i="157" a="1"/>
  <c r="C242" i="157" a="1"/>
  <c r="E242" i="157" a="1"/>
  <c r="G15" i="157" a="1"/>
  <c r="H15" i="157" a="1"/>
  <c r="I15" i="157" a="1"/>
  <c r="F15" i="157" a="1"/>
  <c r="J15" i="157" a="1"/>
  <c r="A244" i="157"/>
  <c r="A17" i="157"/>
  <c r="C16" i="157" a="1"/>
  <c r="E16" i="157" a="1"/>
  <c r="I16" i="157" a="1"/>
  <c r="F243" i="157" a="1"/>
  <c r="F16" i="157" a="1"/>
  <c r="H16" i="157" a="1"/>
  <c r="D243" i="157" a="1"/>
  <c r="G16" i="157" a="1"/>
  <c r="H243" i="157" a="1"/>
  <c r="G243" i="157" a="1"/>
  <c r="E243" i="157" a="1"/>
  <c r="J243" i="157" a="1"/>
  <c r="C243" i="157" a="1"/>
  <c r="D16" i="157" a="1"/>
  <c r="J16" i="157" a="1"/>
  <c r="I243" i="157" a="1"/>
  <c r="A245" i="157"/>
  <c r="A18" i="157"/>
  <c r="C17" i="157" a="1"/>
  <c r="E244" i="157" a="1"/>
  <c r="H244" i="157" a="1"/>
  <c r="E17" i="157" a="1"/>
  <c r="J17" i="157" a="1"/>
  <c r="C244" i="157" a="1"/>
  <c r="J244" i="157" a="1"/>
  <c r="H17" i="157" a="1"/>
  <c r="F244" i="157" a="1"/>
  <c r="D17" i="157" a="1"/>
  <c r="G244" i="157" a="1"/>
  <c r="F17" i="157" a="1"/>
  <c r="G17" i="157" a="1"/>
  <c r="I17" i="157" a="1"/>
  <c r="I244" i="157" a="1"/>
  <c r="D244" i="157" a="1"/>
  <c r="A246" i="157"/>
  <c r="A19" i="157"/>
  <c r="E18" i="157" a="1"/>
  <c r="G18" i="157" a="1"/>
  <c r="G245" i="157" a="1"/>
  <c r="C245" i="157" a="1"/>
  <c r="E245" i="157" a="1"/>
  <c r="C18" i="157" a="1"/>
  <c r="F18" i="157" a="1"/>
  <c r="F245" i="157" a="1"/>
  <c r="I245" i="157" a="1"/>
  <c r="J245" i="157" a="1"/>
  <c r="D245" i="157" a="1"/>
  <c r="H18" i="157" a="1"/>
  <c r="J18" i="157" a="1"/>
  <c r="I18" i="157" a="1"/>
  <c r="D18" i="157" a="1"/>
  <c r="H245" i="157" a="1"/>
  <c r="A247" i="157"/>
  <c r="A20" i="157"/>
  <c r="I246" i="157" a="1"/>
  <c r="G246" i="157" a="1"/>
  <c r="I19" i="157" a="1"/>
  <c r="D19" i="157" a="1"/>
  <c r="E19" i="157" a="1"/>
  <c r="H246" i="157" a="1"/>
  <c r="C246" i="157" a="1"/>
  <c r="F19" i="157" a="1"/>
  <c r="D246" i="157" a="1"/>
  <c r="J246" i="157" a="1"/>
  <c r="E246" i="157" a="1"/>
  <c r="C19" i="157" a="1"/>
  <c r="J19" i="157" a="1"/>
  <c r="F246" i="157" a="1"/>
  <c r="G19" i="157" a="1"/>
  <c r="H19" i="157" a="1"/>
  <c r="A248" i="157"/>
  <c r="A21" i="157"/>
  <c r="G247" i="157" a="1"/>
  <c r="F247" i="157" a="1"/>
  <c r="C247" i="157" a="1"/>
  <c r="C20" i="157" a="1"/>
  <c r="J247" i="157" a="1"/>
  <c r="I247" i="157" a="1"/>
  <c r="H20" i="157" a="1"/>
  <c r="I20" i="157" a="1"/>
  <c r="E247" i="157" a="1"/>
  <c r="E20" i="157" a="1"/>
  <c r="H247" i="157" a="1"/>
  <c r="F20" i="157" a="1"/>
  <c r="J20" i="157" a="1"/>
  <c r="D247" i="157" a="1"/>
  <c r="D20" i="157" a="1"/>
  <c r="G20" i="157" a="1"/>
  <c r="A249" i="157"/>
  <c r="A22" i="157"/>
  <c r="H21" i="157" a="1"/>
  <c r="G21" i="157" a="1"/>
  <c r="F248" i="157" a="1"/>
  <c r="D21" i="157" a="1"/>
  <c r="C248" i="157" a="1"/>
  <c r="I21" i="157" a="1"/>
  <c r="H248" i="157" a="1"/>
  <c r="I248" i="157" a="1"/>
  <c r="J21" i="157" a="1"/>
  <c r="F21" i="157" a="1"/>
  <c r="J248" i="157" a="1"/>
  <c r="C21" i="157" a="1"/>
  <c r="G248" i="157" a="1"/>
  <c r="D248" i="157" a="1"/>
  <c r="E248" i="157" a="1"/>
  <c r="E21" i="157" a="1"/>
  <c r="A250" i="157"/>
  <c r="A23" i="157"/>
  <c r="D22" i="157" a="1"/>
  <c r="J22" i="157" a="1"/>
  <c r="J249" i="157" a="1"/>
  <c r="F22" i="157" a="1"/>
  <c r="H22" i="157" a="1"/>
  <c r="C249" i="157" a="1"/>
  <c r="C22" i="157" a="1"/>
  <c r="I249" i="157" a="1"/>
  <c r="E249" i="157" a="1"/>
  <c r="F249" i="157" a="1"/>
  <c r="I22" i="157" a="1"/>
  <c r="G22" i="157" a="1"/>
  <c r="G249" i="157" a="1"/>
  <c r="D249" i="157" a="1"/>
  <c r="H249" i="157" a="1"/>
  <c r="E22" i="157" a="1"/>
  <c r="A251" i="157"/>
  <c r="A24" i="157"/>
  <c r="I23" i="157" a="1"/>
  <c r="E250" i="157" a="1"/>
  <c r="D250" i="157" a="1"/>
  <c r="C250" i="157" a="1"/>
  <c r="G23" i="157" a="1"/>
  <c r="I250" i="157" a="1"/>
  <c r="J23" i="157" a="1"/>
  <c r="D23" i="157" a="1"/>
  <c r="H23" i="157" a="1"/>
  <c r="C23" i="157" a="1"/>
  <c r="F250" i="157" a="1"/>
  <c r="H250" i="157" a="1"/>
  <c r="J250" i="157" a="1"/>
  <c r="E23" i="157" a="1"/>
  <c r="F23" i="157" a="1"/>
  <c r="G250" i="157" a="1"/>
  <c r="A252" i="157"/>
  <c r="A25" i="157"/>
  <c r="H251" i="157" a="1"/>
  <c r="I24" i="157" a="1"/>
  <c r="G251" i="157" a="1"/>
  <c r="E251" i="157" a="1"/>
  <c r="J251" i="157" a="1"/>
  <c r="E24" i="157" a="1"/>
  <c r="D251" i="157" a="1"/>
  <c r="C24" i="157" a="1"/>
  <c r="D24" i="157" a="1"/>
  <c r="I251" i="157" a="1"/>
  <c r="J24" i="157" a="1"/>
  <c r="C251" i="157" a="1"/>
  <c r="H24" i="157" a="1"/>
  <c r="G24" i="157" a="1"/>
  <c r="F24" i="157" a="1"/>
  <c r="F251" i="157" a="1"/>
  <c r="A253" i="157"/>
  <c r="A26" i="157"/>
  <c r="G25" i="157" a="1"/>
  <c r="J25" i="157" a="1"/>
  <c r="I25" i="157" a="1"/>
  <c r="E252" i="157" a="1"/>
  <c r="F25" i="157" a="1"/>
  <c r="H25" i="157" a="1"/>
  <c r="E25" i="157" a="1"/>
  <c r="C252" i="157" a="1"/>
  <c r="H252" i="157" a="1"/>
  <c r="D25" i="157" a="1"/>
  <c r="J252" i="157" a="1"/>
  <c r="C25" i="157" a="1"/>
  <c r="I252" i="157" a="1"/>
  <c r="D252" i="157" a="1"/>
  <c r="G252" i="157" a="1"/>
  <c r="F252" i="157" a="1"/>
  <c r="A254" i="157"/>
  <c r="A27" i="157"/>
  <c r="F26" i="157" a="1"/>
  <c r="F253" i="157" a="1"/>
  <c r="H253" i="157" a="1"/>
  <c r="D253" i="157" a="1"/>
  <c r="E253" i="157" a="1"/>
  <c r="E26" i="157" a="1"/>
  <c r="C253" i="157" a="1"/>
  <c r="D26" i="157" a="1"/>
  <c r="H26" i="157" a="1"/>
  <c r="J26" i="157" a="1"/>
  <c r="G26" i="157" a="1"/>
  <c r="I253" i="157" a="1"/>
  <c r="J253" i="157" a="1"/>
  <c r="I26" i="157" a="1"/>
  <c r="C26" i="157" a="1"/>
  <c r="G253" i="157" a="1"/>
  <c r="A255" i="157"/>
  <c r="A28" i="157"/>
  <c r="D254" i="157" a="1"/>
  <c r="G254" i="157" a="1"/>
  <c r="F254" i="157" a="1"/>
  <c r="I27" i="157" a="1"/>
  <c r="F27" i="157" a="1"/>
  <c r="I254" i="157" a="1"/>
  <c r="J254" i="157" a="1"/>
  <c r="E27" i="157" a="1"/>
  <c r="H254" i="157" a="1"/>
  <c r="J27" i="157" a="1"/>
  <c r="E254" i="157" a="1"/>
  <c r="C27" i="157" a="1"/>
  <c r="D27" i="157" a="1"/>
  <c r="H27" i="157" a="1"/>
  <c r="G27" i="157" a="1"/>
  <c r="C254" i="157" a="1"/>
  <c r="A256" i="157"/>
  <c r="A29" i="157"/>
  <c r="J28" i="157" a="1"/>
  <c r="G28" i="157" a="1"/>
  <c r="C255" i="157" a="1"/>
  <c r="E28" i="157" a="1"/>
  <c r="D28" i="157" a="1"/>
  <c r="I255" i="157" a="1"/>
  <c r="G255" i="157" a="1"/>
  <c r="H28" i="157" a="1"/>
  <c r="J255" i="157" a="1"/>
  <c r="E255" i="157" a="1"/>
  <c r="F255" i="157" a="1"/>
  <c r="F28" i="157" a="1"/>
  <c r="D255" i="157" a="1"/>
  <c r="H255" i="157" a="1"/>
  <c r="I28" i="157" a="1"/>
  <c r="C28" i="157" a="1"/>
  <c r="A257" i="157"/>
  <c r="A30" i="157"/>
  <c r="E256" i="157" a="1"/>
  <c r="F256" i="157" a="1"/>
  <c r="J29" i="157" a="1"/>
  <c r="G29" i="157" a="1"/>
  <c r="E29" i="157" a="1"/>
  <c r="H256" i="157" a="1"/>
  <c r="D256" i="157" a="1"/>
  <c r="D29" i="157" a="1"/>
  <c r="G256" i="157" a="1"/>
  <c r="J256" i="157" a="1"/>
  <c r="C256" i="157" a="1"/>
  <c r="F29" i="157" a="1"/>
  <c r="H29" i="157" a="1"/>
  <c r="I29" i="157" a="1"/>
  <c r="C29" i="157" a="1"/>
  <c r="I256" i="157" a="1"/>
  <c r="A258" i="157"/>
  <c r="A31" i="157"/>
  <c r="G257" i="157" a="1"/>
  <c r="H257" i="157" a="1"/>
  <c r="F257" i="157" a="1"/>
  <c r="J257" i="157" a="1"/>
  <c r="F30" i="157" a="1"/>
  <c r="E30" i="157" a="1"/>
  <c r="J30" i="157" a="1"/>
  <c r="E257" i="157" a="1"/>
  <c r="C257" i="157" a="1"/>
  <c r="I30" i="157" a="1"/>
  <c r="C30" i="157" a="1"/>
  <c r="D30" i="157" a="1"/>
  <c r="H30" i="157" a="1"/>
  <c r="D257" i="157" a="1"/>
  <c r="I257" i="157" a="1"/>
  <c r="G30" i="157" a="1"/>
  <c r="A259" i="157"/>
  <c r="A32" i="157"/>
  <c r="F258" i="157" a="1"/>
  <c r="G31" i="157" a="1"/>
  <c r="G258" i="157" a="1"/>
  <c r="C31" i="157" a="1"/>
  <c r="E31" i="157" a="1"/>
  <c r="F31" i="157" a="1"/>
  <c r="E258" i="157" a="1"/>
  <c r="J31" i="157" a="1"/>
  <c r="I258" i="157" a="1"/>
  <c r="C258" i="157" a="1"/>
  <c r="J258" i="157" a="1"/>
  <c r="H31" i="157" a="1"/>
  <c r="D258" i="157" a="1"/>
  <c r="I31" i="157" a="1"/>
  <c r="D31" i="157" a="1"/>
  <c r="H258" i="157" a="1"/>
  <c r="A260" i="157"/>
  <c r="A33" i="157"/>
  <c r="D32" i="157" a="1"/>
  <c r="J259" i="157" a="1"/>
  <c r="I259" i="157" a="1"/>
  <c r="C32" i="157" a="1"/>
  <c r="F32" i="157" a="1"/>
  <c r="C259" i="157" a="1"/>
  <c r="G259" i="157" a="1"/>
  <c r="E259" i="157" a="1"/>
  <c r="E32" i="157" a="1"/>
  <c r="I32" i="157" a="1"/>
  <c r="H32" i="157" a="1"/>
  <c r="D259" i="157" a="1"/>
  <c r="H259" i="157" a="1"/>
  <c r="F259" i="157" a="1"/>
  <c r="G32" i="157" a="1"/>
  <c r="J32" i="157" a="1"/>
  <c r="A261" i="157"/>
  <c r="A34" i="157"/>
  <c r="D260" i="157" a="1"/>
  <c r="C33" i="157" a="1"/>
  <c r="F33" i="157" a="1"/>
  <c r="E33" i="157" a="1"/>
  <c r="G33" i="157" a="1"/>
  <c r="E260" i="157" a="1"/>
  <c r="J260" i="157" a="1"/>
  <c r="H33" i="157" a="1"/>
  <c r="J33" i="157" a="1"/>
  <c r="C260" i="157" a="1"/>
  <c r="D33" i="157" a="1"/>
  <c r="I260" i="157" a="1"/>
  <c r="H260" i="157" a="1"/>
  <c r="F260" i="157" a="1"/>
  <c r="I33" i="157" a="1"/>
  <c r="G260" i="157" a="1"/>
  <c r="A262" i="157"/>
  <c r="A35" i="157"/>
  <c r="J261" i="157" a="1"/>
  <c r="D34" i="157" a="1"/>
  <c r="H34" i="157" a="1"/>
  <c r="D261" i="157" a="1"/>
  <c r="E34" i="157" a="1"/>
  <c r="I34" i="157" a="1"/>
  <c r="E261" i="157" a="1"/>
  <c r="F261" i="157" a="1"/>
  <c r="I261" i="157" a="1"/>
  <c r="G34" i="157" a="1"/>
  <c r="J34" i="157" a="1"/>
  <c r="G261" i="157" a="1"/>
  <c r="F34" i="157" a="1"/>
  <c r="C261" i="157" a="1"/>
  <c r="C34" i="157" a="1"/>
  <c r="H261" i="157" a="1"/>
  <c r="A263" i="157"/>
  <c r="A36" i="157"/>
  <c r="H35" i="157" a="1"/>
  <c r="I35" i="157" a="1"/>
  <c r="F35" i="157" a="1"/>
  <c r="I262" i="157" a="1"/>
  <c r="D262" i="157" a="1"/>
  <c r="C262" i="157" a="1"/>
  <c r="G262" i="157" a="1"/>
  <c r="H262" i="157" a="1"/>
  <c r="J262" i="157" a="1"/>
  <c r="E35" i="157" a="1"/>
  <c r="F262" i="157" a="1"/>
  <c r="J35" i="157" a="1"/>
  <c r="E262" i="157" a="1"/>
  <c r="D35" i="157" a="1"/>
  <c r="G35" i="157" a="1"/>
  <c r="C35" i="157" a="1"/>
  <c r="A264" i="157"/>
  <c r="A37" i="157"/>
  <c r="E263" i="157" a="1"/>
  <c r="J36" i="157" a="1"/>
  <c r="H263" i="157" a="1"/>
  <c r="F36" i="157" a="1"/>
  <c r="I36" i="157" a="1"/>
  <c r="D263" i="157" a="1"/>
  <c r="E36" i="157" a="1"/>
  <c r="F263" i="157" a="1"/>
  <c r="C36" i="157" a="1"/>
  <c r="H36" i="157" a="1"/>
  <c r="C263" i="157" a="1"/>
  <c r="D36" i="157" a="1"/>
  <c r="I263" i="157" a="1"/>
  <c r="G36" i="157" a="1"/>
  <c r="J263" i="157" a="1"/>
  <c r="G263" i="157" a="1"/>
  <c r="A265" i="157"/>
  <c r="A38" i="157"/>
  <c r="H264" i="157" a="1"/>
  <c r="H37" i="157" a="1"/>
  <c r="F37" i="157" a="1"/>
  <c r="C264" i="157" a="1"/>
  <c r="D264" i="157" a="1"/>
  <c r="G264" i="157" a="1"/>
  <c r="I264" i="157" a="1"/>
  <c r="C37" i="157" a="1"/>
  <c r="F264" i="157" a="1"/>
  <c r="D37" i="157" a="1"/>
  <c r="I37" i="157" a="1"/>
  <c r="E37" i="157" a="1"/>
  <c r="J264" i="157" a="1"/>
  <c r="J37" i="157" a="1"/>
  <c r="E264" i="157" a="1"/>
  <c r="G37" i="157" a="1"/>
  <c r="A266" i="157"/>
  <c r="A39" i="157"/>
  <c r="I38" i="157" a="1"/>
  <c r="E265" i="157" a="1"/>
  <c r="G265" i="157" a="1"/>
  <c r="G38" i="157" a="1"/>
  <c r="J38" i="157" a="1"/>
  <c r="E38" i="157" a="1"/>
  <c r="F265" i="157" a="1"/>
  <c r="C265" i="157" a="1"/>
  <c r="C38" i="157" a="1"/>
  <c r="D265" i="157" a="1"/>
  <c r="I265" i="157" a="1"/>
  <c r="H265" i="157" a="1"/>
  <c r="H38" i="157" a="1"/>
  <c r="D38" i="157" a="1"/>
  <c r="F38" i="157" a="1"/>
  <c r="J265" i="157" a="1"/>
  <c r="A267" i="157"/>
  <c r="A40" i="157"/>
  <c r="G266" i="157" a="1"/>
  <c r="F266" i="157" a="1"/>
  <c r="C39" i="157" a="1"/>
  <c r="I39" i="157" a="1"/>
  <c r="I266" i="157" a="1"/>
  <c r="J266" i="157" a="1"/>
  <c r="C266" i="157" a="1"/>
  <c r="J39" i="157" a="1"/>
  <c r="D39" i="157" a="1"/>
  <c r="E266" i="157" a="1"/>
  <c r="F39" i="157" a="1"/>
  <c r="G39" i="157" a="1"/>
  <c r="H266" i="157" a="1"/>
  <c r="D266" i="157" a="1"/>
  <c r="H39" i="157" a="1"/>
  <c r="E39" i="157" a="1"/>
  <c r="A268" i="157"/>
  <c r="A41" i="157"/>
  <c r="E40" i="157" a="1"/>
  <c r="D267" i="157" a="1"/>
  <c r="H40" i="157" a="1"/>
  <c r="J40" i="157" a="1"/>
  <c r="I267" i="157" a="1"/>
  <c r="H267" i="157" a="1"/>
  <c r="F40" i="157" a="1"/>
  <c r="D40" i="157" a="1"/>
  <c r="E267" i="157" a="1"/>
  <c r="J267" i="157" a="1"/>
  <c r="C267" i="157" a="1"/>
  <c r="G40" i="157" a="1"/>
  <c r="G267" i="157" a="1"/>
  <c r="F267" i="157" a="1"/>
  <c r="I40" i="157" a="1"/>
  <c r="C40" i="157" a="1"/>
  <c r="A269" i="157"/>
  <c r="A42" i="157"/>
  <c r="D41" i="157" a="1"/>
  <c r="I41" i="157" a="1"/>
  <c r="C41" i="157" a="1"/>
  <c r="G41" i="157" a="1"/>
  <c r="D268" i="157" a="1"/>
  <c r="E268" i="157" a="1"/>
  <c r="E41" i="157" a="1"/>
  <c r="H41" i="157" a="1"/>
  <c r="I268" i="157" a="1"/>
  <c r="G268" i="157" a="1"/>
  <c r="H268" i="157" a="1"/>
  <c r="F268" i="157" a="1"/>
  <c r="F41" i="157" a="1"/>
  <c r="J268" i="157" a="1"/>
  <c r="C268" i="157" a="1"/>
  <c r="J41" i="157" a="1"/>
  <c r="A270" i="157"/>
  <c r="A43" i="157"/>
  <c r="D269" i="157" a="1"/>
  <c r="F269" i="157" a="1"/>
  <c r="G269" i="157" a="1"/>
  <c r="E269" i="157" a="1"/>
  <c r="G42" i="157" a="1"/>
  <c r="I269" i="157" a="1"/>
  <c r="H42" i="157" a="1"/>
  <c r="C42" i="157" a="1"/>
  <c r="E42" i="157" a="1"/>
  <c r="D42" i="157" a="1"/>
  <c r="I42" i="157" a="1"/>
  <c r="H269" i="157" a="1"/>
  <c r="J42" i="157" a="1"/>
  <c r="F42" i="157" a="1"/>
  <c r="J269" i="157" a="1"/>
  <c r="C269" i="157" a="1"/>
  <c r="A271" i="157"/>
  <c r="A44" i="157"/>
  <c r="H270" i="157" a="1"/>
  <c r="E43" i="157" a="1"/>
  <c r="F270" i="157" a="1"/>
  <c r="J270" i="157" a="1"/>
  <c r="C43" i="157" a="1"/>
  <c r="D43" i="157" a="1"/>
  <c r="E270" i="157" a="1"/>
  <c r="C270" i="157" a="1"/>
  <c r="I43" i="157" a="1"/>
  <c r="F43" i="157" a="1"/>
  <c r="J43" i="157" a="1"/>
  <c r="D270" i="157" a="1"/>
  <c r="H43" i="157" a="1"/>
  <c r="G270" i="157" a="1"/>
  <c r="G43" i="157" a="1"/>
  <c r="I270" i="157" a="1"/>
  <c r="A272" i="157"/>
  <c r="A45" i="157"/>
  <c r="C271" i="157" a="1"/>
  <c r="I271" i="157" a="1"/>
  <c r="D271" i="157" a="1"/>
  <c r="F44" i="157" a="1"/>
  <c r="D44" i="157" a="1"/>
  <c r="C44" i="157" a="1"/>
  <c r="F271" i="157" a="1"/>
  <c r="J271" i="157" a="1"/>
  <c r="G271" i="157" a="1"/>
  <c r="H44" i="157" a="1"/>
  <c r="I44" i="157" a="1"/>
  <c r="G44" i="157" a="1"/>
  <c r="H271" i="157" a="1"/>
  <c r="E44" i="157" a="1"/>
  <c r="E271" i="157" a="1"/>
  <c r="J44" i="157" a="1"/>
  <c r="A273" i="157"/>
  <c r="A46" i="157"/>
  <c r="C45" i="157" a="1"/>
  <c r="F45" i="157" a="1"/>
  <c r="J272" i="157" a="1"/>
  <c r="F272" i="157" a="1"/>
  <c r="H45" i="157" a="1"/>
  <c r="E45" i="157" a="1"/>
  <c r="J45" i="157" a="1"/>
  <c r="H272" i="157" a="1"/>
  <c r="E272" i="157" a="1"/>
  <c r="G45" i="157" a="1"/>
  <c r="D45" i="157" a="1"/>
  <c r="D272" i="157" a="1"/>
  <c r="G272" i="157" a="1"/>
  <c r="I272" i="157" a="1"/>
  <c r="I45" i="157" a="1"/>
  <c r="C272" i="157" a="1"/>
  <c r="A274" i="157"/>
  <c r="A47" i="157"/>
  <c r="E46" i="157" a="1"/>
  <c r="C273" i="157" a="1"/>
  <c r="D46" i="157" a="1"/>
  <c r="D273" i="157" a="1"/>
  <c r="G46" i="157" a="1"/>
  <c r="J273" i="157" a="1"/>
  <c r="F273" i="157" a="1"/>
  <c r="C46" i="157" a="1"/>
  <c r="G273" i="157" a="1"/>
  <c r="H273" i="157" a="1"/>
  <c r="J46" i="157" a="1"/>
  <c r="F46" i="157" a="1"/>
  <c r="E273" i="157" a="1"/>
  <c r="H46" i="157" a="1"/>
  <c r="I273" i="157" a="1"/>
  <c r="I46" i="157" a="1"/>
  <c r="A48" i="157"/>
  <c r="A275" i="157"/>
  <c r="D274" i="157" a="1"/>
  <c r="J274" i="157" a="1"/>
  <c r="G274" i="157" a="1"/>
  <c r="E47" i="157" a="1"/>
  <c r="I274" i="157" a="1"/>
  <c r="H274" i="157" a="1"/>
  <c r="H47" i="157" a="1"/>
  <c r="J47" i="157" a="1"/>
  <c r="I47" i="157" a="1"/>
  <c r="E274" i="157" a="1"/>
  <c r="G47" i="157" a="1"/>
  <c r="F274" i="157" a="1"/>
  <c r="C274" i="157" a="1"/>
  <c r="F47" i="157" a="1"/>
  <c r="C47" i="157" a="1"/>
  <c r="D47" i="157" a="1"/>
  <c r="A276" i="157"/>
  <c r="A49" i="157"/>
  <c r="F48" i="157" a="1"/>
  <c r="H275" i="157" a="1"/>
  <c r="F275" i="157" a="1"/>
  <c r="H48" i="157" a="1"/>
  <c r="I48" i="157" a="1"/>
  <c r="J275" i="157" a="1"/>
  <c r="I275" i="157" a="1"/>
  <c r="E275" i="157" a="1"/>
  <c r="D275" i="157" a="1"/>
  <c r="D48" i="157" a="1"/>
  <c r="G275" i="157" a="1"/>
  <c r="E48" i="157" a="1"/>
  <c r="J48" i="157" a="1"/>
  <c r="G48" i="157" a="1"/>
  <c r="C48" i="157" a="1"/>
  <c r="C275" i="157" a="1"/>
  <c r="A277" i="157"/>
  <c r="A50" i="157"/>
  <c r="H276" i="157" a="1"/>
  <c r="J49" i="157" a="1"/>
  <c r="C49" i="157" a="1"/>
  <c r="D276" i="157" a="1"/>
  <c r="E276" i="157" a="1"/>
  <c r="I49" i="157" a="1"/>
  <c r="D49" i="157" a="1"/>
  <c r="E49" i="157" a="1"/>
  <c r="G49" i="157" a="1"/>
  <c r="H49" i="157" a="1"/>
  <c r="J276" i="157" a="1"/>
  <c r="F49" i="157" a="1"/>
  <c r="I276" i="157" a="1"/>
  <c r="F276" i="157" a="1"/>
  <c r="G276" i="157" a="1"/>
  <c r="C276" i="157" a="1"/>
  <c r="A278" i="157"/>
  <c r="A51" i="157"/>
  <c r="G277" i="157" a="1"/>
  <c r="C277" i="157" a="1"/>
  <c r="E50" i="157" a="1"/>
  <c r="E277" i="157" a="1"/>
  <c r="I277" i="157" a="1"/>
  <c r="F277" i="157" a="1"/>
  <c r="J277" i="157" a="1"/>
  <c r="I50" i="157" a="1"/>
  <c r="C50" i="157" a="1"/>
  <c r="D277" i="157" a="1"/>
  <c r="H277" i="157" a="1"/>
  <c r="F50" i="157" a="1"/>
  <c r="D50" i="157" a="1"/>
  <c r="J50" i="157" a="1"/>
  <c r="H50" i="157" a="1"/>
  <c r="G50" i="157" a="1"/>
  <c r="A279" i="157"/>
  <c r="A52" i="157"/>
  <c r="G51" i="157" a="1"/>
  <c r="F51" i="157" a="1"/>
  <c r="E278" i="157" a="1"/>
  <c r="I51" i="157" a="1"/>
  <c r="D51" i="157" a="1"/>
  <c r="D278" i="157" a="1"/>
  <c r="H51" i="157" a="1"/>
  <c r="J51" i="157" a="1"/>
  <c r="G278" i="157" a="1"/>
  <c r="H278" i="157" a="1"/>
  <c r="E51" i="157" a="1"/>
  <c r="C51" i="157" a="1"/>
  <c r="C278" i="157" a="1"/>
  <c r="J278" i="157" a="1"/>
  <c r="I278" i="157" a="1"/>
  <c r="F278" i="157" a="1"/>
  <c r="A280" i="157"/>
  <c r="A53" i="157"/>
  <c r="E279" i="157" a="1"/>
  <c r="D279" i="157" a="1"/>
  <c r="C52" i="157" a="1"/>
  <c r="F279" i="157" a="1"/>
  <c r="D52" i="157" a="1"/>
  <c r="F52" i="157" a="1"/>
  <c r="G52" i="157" a="1"/>
  <c r="J52" i="157" a="1"/>
  <c r="E52" i="157" a="1"/>
  <c r="H279" i="157" a="1"/>
  <c r="H52" i="157" a="1"/>
  <c r="I279" i="157" a="1"/>
  <c r="I52" i="157" a="1"/>
  <c r="J279" i="157" a="1"/>
  <c r="G279" i="157" a="1"/>
  <c r="C279" i="157" a="1"/>
  <c r="A281" i="157"/>
  <c r="A54" i="157"/>
  <c r="H53" i="157" a="1"/>
  <c r="G53" i="157" a="1"/>
  <c r="D280" i="157" a="1"/>
  <c r="G280" i="157" a="1"/>
  <c r="J280" i="157" a="1"/>
  <c r="C280" i="157" a="1"/>
  <c r="H280" i="157" a="1"/>
  <c r="I280" i="157" a="1"/>
  <c r="J53" i="157" a="1"/>
  <c r="E280" i="157" a="1"/>
  <c r="E53" i="157" a="1"/>
  <c r="C53" i="157" a="1"/>
  <c r="D53" i="157" a="1"/>
  <c r="F53" i="157" a="1"/>
  <c r="F280" i="157" a="1"/>
  <c r="I53" i="157" a="1"/>
  <c r="A282" i="157"/>
  <c r="A55" i="157"/>
  <c r="I54" i="157" a="1"/>
  <c r="D54" i="157" a="1"/>
  <c r="J54" i="157" a="1"/>
  <c r="F54" i="157" a="1"/>
  <c r="J281" i="157" a="1"/>
  <c r="G281" i="157" a="1"/>
  <c r="F281" i="157" a="1"/>
  <c r="E281" i="157" a="1"/>
  <c r="G54" i="157" a="1"/>
  <c r="E54" i="157" a="1"/>
  <c r="H54" i="157" a="1"/>
  <c r="I281" i="157" a="1"/>
  <c r="H281" i="157" a="1"/>
  <c r="D281" i="157" a="1"/>
  <c r="C54" i="157" a="1"/>
  <c r="C281" i="157" a="1"/>
  <c r="A283" i="157"/>
  <c r="A56" i="157"/>
  <c r="C282" i="157" a="1"/>
  <c r="H55" i="157" a="1"/>
  <c r="E55" i="157" a="1"/>
  <c r="I55" i="157" a="1"/>
  <c r="H282" i="157" a="1"/>
  <c r="F55" i="157" a="1"/>
  <c r="D55" i="157" a="1"/>
  <c r="E282" i="157" a="1"/>
  <c r="G282" i="157" a="1"/>
  <c r="I282" i="157" a="1"/>
  <c r="F282" i="157" a="1"/>
  <c r="J282" i="157" a="1"/>
  <c r="J55" i="157" a="1"/>
  <c r="D282" i="157" a="1"/>
  <c r="C55" i="157" a="1"/>
  <c r="G55" i="157" a="1"/>
  <c r="A284" i="157"/>
  <c r="A57" i="157"/>
  <c r="H283" i="157" a="1"/>
  <c r="E283" i="157" a="1"/>
  <c r="C56" i="157" a="1"/>
  <c r="I56" i="157" a="1"/>
  <c r="H56" i="157" a="1"/>
  <c r="F283" i="157" a="1"/>
  <c r="J283" i="157" a="1"/>
  <c r="J56" i="157" a="1"/>
  <c r="I283" i="157" a="1"/>
  <c r="C283" i="157" a="1"/>
  <c r="F56" i="157" a="1"/>
  <c r="G56" i="157" a="1"/>
  <c r="D56" i="157" a="1"/>
  <c r="D283" i="157" a="1"/>
  <c r="G283" i="157" a="1"/>
  <c r="E56" i="157" a="1"/>
  <c r="A285" i="157"/>
  <c r="A58" i="157"/>
  <c r="H284" i="157" a="1"/>
  <c r="I57" i="157" a="1"/>
  <c r="E57" i="157" a="1"/>
  <c r="C57" i="157" a="1"/>
  <c r="H57" i="157" a="1"/>
  <c r="D284" i="157" a="1"/>
  <c r="I284" i="157" a="1"/>
  <c r="F284" i="157" a="1"/>
  <c r="J284" i="157" a="1"/>
  <c r="F57" i="157" a="1"/>
  <c r="G284" i="157" a="1"/>
  <c r="C284" i="157" a="1"/>
  <c r="G57" i="157" a="1"/>
  <c r="J57" i="157" a="1"/>
  <c r="E284" i="157" a="1"/>
  <c r="D57" i="157" a="1"/>
  <c r="A286" i="157"/>
  <c r="A59" i="157"/>
  <c r="D285" i="157" a="1"/>
  <c r="D58" i="157" a="1"/>
  <c r="J285" i="157" a="1"/>
  <c r="E285" i="157" a="1"/>
  <c r="J58" i="157" a="1"/>
  <c r="I58" i="157" a="1"/>
  <c r="C285" i="157" a="1"/>
  <c r="H58" i="157" a="1"/>
  <c r="E58" i="157" a="1"/>
  <c r="C58" i="157" a="1"/>
  <c r="G58" i="157" a="1"/>
  <c r="H285" i="157" a="1"/>
  <c r="F285" i="157" a="1"/>
  <c r="G285" i="157" a="1"/>
  <c r="I285" i="157" a="1"/>
  <c r="F58" i="157" a="1"/>
  <c r="A287" i="157"/>
  <c r="A60" i="157"/>
  <c r="F59" i="157" a="1"/>
  <c r="D59" i="157" a="1"/>
  <c r="C59" i="157" a="1"/>
  <c r="H286" i="157" a="1"/>
  <c r="C286" i="157" a="1"/>
  <c r="D286" i="157" a="1"/>
  <c r="E59" i="157" a="1"/>
  <c r="I286" i="157" a="1"/>
  <c r="H59" i="157" a="1"/>
  <c r="J286" i="157" a="1"/>
  <c r="I59" i="157" a="1"/>
  <c r="E286" i="157" a="1"/>
  <c r="G286" i="157" a="1"/>
  <c r="F286" i="157" a="1"/>
  <c r="G59" i="157" a="1"/>
  <c r="J59" i="157" a="1"/>
  <c r="A288" i="157"/>
  <c r="A61" i="157"/>
  <c r="E287" i="157" a="1"/>
  <c r="G60" i="157" a="1"/>
  <c r="E60" i="157" a="1"/>
  <c r="F60" i="157" a="1"/>
  <c r="I60" i="157" a="1"/>
  <c r="D60" i="157" a="1"/>
  <c r="C60" i="157" a="1"/>
  <c r="G287" i="157" a="1"/>
  <c r="D287" i="157" a="1"/>
  <c r="H60" i="157" a="1"/>
  <c r="J60" i="157" a="1"/>
  <c r="F287" i="157" a="1"/>
  <c r="J287" i="157" a="1"/>
  <c r="I287" i="157" a="1"/>
  <c r="H287" i="157" a="1"/>
  <c r="C287" i="157" a="1"/>
  <c r="A289" i="157"/>
  <c r="A62" i="157"/>
  <c r="I288" i="157" a="1"/>
  <c r="G288" i="157" a="1"/>
  <c r="J288" i="157" a="1"/>
  <c r="G61" i="157" a="1"/>
  <c r="F61" i="157" a="1"/>
  <c r="D61" i="157" a="1"/>
  <c r="I61" i="157" a="1"/>
  <c r="H61" i="157" a="1"/>
  <c r="J61" i="157" a="1"/>
  <c r="F288" i="157" a="1"/>
  <c r="C288" i="157" a="1"/>
  <c r="H288" i="157" a="1"/>
  <c r="C61" i="157" a="1"/>
  <c r="D288" i="157" a="1"/>
  <c r="E288" i="157" a="1"/>
  <c r="E61" i="157" a="1"/>
  <c r="A290" i="157"/>
  <c r="A63" i="157"/>
  <c r="H62" i="157" a="1"/>
  <c r="C289" i="157" a="1"/>
  <c r="I289" i="157" a="1"/>
  <c r="J289" i="157" a="1"/>
  <c r="D62" i="157" a="1"/>
  <c r="F289" i="157" a="1"/>
  <c r="D289" i="157" a="1"/>
  <c r="E289" i="157" a="1"/>
  <c r="I62" i="157" a="1"/>
  <c r="F62" i="157" a="1"/>
  <c r="H289" i="157" a="1"/>
  <c r="C62" i="157" a="1"/>
  <c r="E62" i="157" a="1"/>
  <c r="G289" i="157" a="1"/>
  <c r="J62" i="157" a="1"/>
  <c r="G62" i="157" a="1"/>
  <c r="A291" i="157"/>
  <c r="A64" i="157"/>
  <c r="D290" i="157" a="1"/>
  <c r="E63" i="157" a="1"/>
  <c r="F63" i="157" a="1"/>
  <c r="G63" i="157" a="1"/>
  <c r="J290" i="157" a="1"/>
  <c r="H63" i="157" a="1"/>
  <c r="I63" i="157" a="1"/>
  <c r="C290" i="157" a="1"/>
  <c r="D63" i="157" a="1"/>
  <c r="J63" i="157" a="1"/>
  <c r="C63" i="157" a="1"/>
  <c r="G290" i="157" a="1"/>
  <c r="E290" i="157" a="1"/>
  <c r="F290" i="157" a="1"/>
  <c r="H290" i="157" a="1"/>
  <c r="I290" i="157" a="1"/>
  <c r="A292" i="157"/>
  <c r="A65" i="157"/>
  <c r="G291" i="157" a="1"/>
  <c r="F64" i="157" a="1"/>
  <c r="I291" i="157" a="1"/>
  <c r="J291" i="157" a="1"/>
  <c r="J64" i="157" a="1"/>
  <c r="F291" i="157" a="1"/>
  <c r="E64" i="157" a="1"/>
  <c r="C64" i="157" a="1"/>
  <c r="D291" i="157" a="1"/>
  <c r="C291" i="157" a="1"/>
  <c r="D64" i="157" a="1"/>
  <c r="I64" i="157" a="1"/>
  <c r="E291" i="157" a="1"/>
  <c r="G64" i="157" a="1"/>
  <c r="H291" i="157" a="1"/>
  <c r="H64" i="157" a="1"/>
  <c r="A293" i="157"/>
  <c r="A66" i="157"/>
  <c r="E65" i="157" a="1"/>
  <c r="H65" i="157" a="1"/>
  <c r="C292" i="157" a="1"/>
  <c r="G65" i="157" a="1"/>
  <c r="E292" i="157" a="1"/>
  <c r="F65" i="157" a="1"/>
  <c r="F292" i="157" a="1"/>
  <c r="C65" i="157" a="1"/>
  <c r="J65" i="157" a="1"/>
  <c r="I65" i="157" a="1"/>
  <c r="J292" i="157" a="1"/>
  <c r="D65" i="157" a="1"/>
  <c r="H292" i="157" a="1"/>
  <c r="I292" i="157" a="1"/>
  <c r="G292" i="157" a="1"/>
  <c r="D292" i="157" a="1"/>
  <c r="A294" i="157"/>
  <c r="A67" i="157"/>
  <c r="E66" i="157" a="1"/>
  <c r="J66" i="157" a="1"/>
  <c r="D293" i="157" a="1"/>
  <c r="E293" i="157" a="1"/>
  <c r="H293" i="157" a="1"/>
  <c r="G293" i="157" a="1"/>
  <c r="F66" i="157" a="1"/>
  <c r="G66" i="157" a="1"/>
  <c r="C293" i="157" a="1"/>
  <c r="I293" i="157" a="1"/>
  <c r="D66" i="157" a="1"/>
  <c r="H66" i="157" a="1"/>
  <c r="F293" i="157" a="1"/>
  <c r="C66" i="157" a="1"/>
  <c r="J293" i="157" a="1"/>
  <c r="I66" i="157" a="1"/>
  <c r="A295" i="157"/>
  <c r="A68" i="157"/>
  <c r="C67" i="157" a="1"/>
  <c r="D67" i="157" a="1"/>
  <c r="G67" i="157" a="1"/>
  <c r="J294" i="157" a="1"/>
  <c r="I67" i="157" a="1"/>
  <c r="E294" i="157" a="1"/>
  <c r="H67" i="157" a="1"/>
  <c r="I294" i="157" a="1"/>
  <c r="J67" i="157" a="1"/>
  <c r="E67" i="157" a="1"/>
  <c r="C294" i="157" a="1"/>
  <c r="D294" i="157" a="1"/>
  <c r="F67" i="157" a="1"/>
  <c r="H294" i="157" a="1"/>
  <c r="G294" i="157" a="1"/>
  <c r="F294" i="157" a="1"/>
  <c r="A296" i="157"/>
  <c r="A69" i="157"/>
  <c r="C68" i="157" a="1"/>
  <c r="E68" i="157" a="1"/>
  <c r="H68" i="157" a="1"/>
  <c r="H295" i="157" a="1"/>
  <c r="G68" i="157" a="1"/>
  <c r="J68" i="157" a="1"/>
  <c r="F295" i="157" a="1"/>
  <c r="I68" i="157" a="1"/>
  <c r="E295" i="157" a="1"/>
  <c r="G295" i="157" a="1"/>
  <c r="D68" i="157" a="1"/>
  <c r="C295" i="157" a="1"/>
  <c r="D295" i="157" a="1"/>
  <c r="J295" i="157" a="1"/>
  <c r="I295" i="157" a="1"/>
  <c r="F68" i="157" a="1"/>
  <c r="A297" i="157"/>
  <c r="A70" i="157"/>
  <c r="J296" i="157" a="1"/>
  <c r="F296" i="157" a="1"/>
  <c r="J69" i="157" a="1"/>
  <c r="I296" i="157" a="1"/>
  <c r="C296" i="157" a="1"/>
  <c r="H296" i="157" a="1"/>
  <c r="E69" i="157" a="1"/>
  <c r="G296" i="157" a="1"/>
  <c r="H69" i="157" a="1"/>
  <c r="C69" i="157" a="1"/>
  <c r="F69" i="157" a="1"/>
  <c r="G69" i="157" a="1"/>
  <c r="I69" i="157" a="1"/>
  <c r="D69" i="157" a="1"/>
  <c r="E296" i="157" a="1"/>
  <c r="D296" i="157" a="1"/>
  <c r="A298" i="157"/>
  <c r="A71" i="157"/>
  <c r="J297" i="157" a="1"/>
  <c r="I70" i="157" a="1"/>
  <c r="I297" i="157" a="1"/>
  <c r="E297" i="157" a="1"/>
  <c r="D70" i="157" a="1"/>
  <c r="C70" i="157" a="1"/>
  <c r="C297" i="157" a="1"/>
  <c r="E70" i="157" a="1"/>
  <c r="G70" i="157" a="1"/>
  <c r="D297" i="157" a="1"/>
  <c r="J70" i="157" a="1"/>
  <c r="H70" i="157" a="1"/>
  <c r="H297" i="157" a="1"/>
  <c r="G297" i="157" a="1"/>
  <c r="F70" i="157" a="1"/>
  <c r="F297" i="157" a="1"/>
  <c r="A299" i="157"/>
  <c r="A72" i="157"/>
  <c r="H71" i="157" a="1"/>
  <c r="J298" i="157" a="1"/>
  <c r="F71" i="157" a="1"/>
  <c r="D71" i="157" a="1"/>
  <c r="C71" i="157" a="1"/>
  <c r="G71" i="157" a="1"/>
  <c r="I71" i="157" a="1"/>
  <c r="E71" i="157" a="1"/>
  <c r="I298" i="157" a="1"/>
  <c r="E298" i="157" a="1"/>
  <c r="H298" i="157" a="1"/>
  <c r="J71" i="157" a="1"/>
  <c r="F298" i="157" a="1"/>
  <c r="G298" i="157" a="1"/>
  <c r="C298" i="157" a="1"/>
  <c r="D298" i="157" a="1"/>
  <c r="A300" i="157"/>
  <c r="A73" i="157"/>
  <c r="G299" i="157" a="1"/>
  <c r="D72" i="157" a="1"/>
  <c r="J299" i="157" a="1"/>
  <c r="C299" i="157" a="1"/>
  <c r="H299" i="157" a="1"/>
  <c r="F72" i="157" a="1"/>
  <c r="I72" i="157" a="1"/>
  <c r="J72" i="157" a="1"/>
  <c r="F299" i="157" a="1"/>
  <c r="E72" i="157" a="1"/>
  <c r="D299" i="157" a="1"/>
  <c r="I299" i="157" a="1"/>
  <c r="G72" i="157" a="1"/>
  <c r="E299" i="157" a="1"/>
  <c r="H72" i="157" a="1"/>
  <c r="C72" i="157" a="1"/>
  <c r="A301" i="157"/>
  <c r="A74" i="157"/>
  <c r="J300" i="157" a="1"/>
  <c r="I300" i="157" a="1"/>
  <c r="D73" i="157" a="1"/>
  <c r="G73" i="157" a="1"/>
  <c r="J73" i="157" a="1"/>
  <c r="H73" i="157" a="1"/>
  <c r="H300" i="157" a="1"/>
  <c r="G300" i="157" a="1"/>
  <c r="D300" i="157" a="1"/>
  <c r="E73" i="157" a="1"/>
  <c r="I73" i="157" a="1"/>
  <c r="F73" i="157" a="1"/>
  <c r="C300" i="157" a="1"/>
  <c r="F300" i="157" a="1"/>
  <c r="C73" i="157" a="1"/>
  <c r="E300" i="157" a="1"/>
  <c r="A302" i="157"/>
  <c r="A75" i="157"/>
  <c r="F301" i="157" a="1"/>
  <c r="G74" i="157" a="1"/>
  <c r="H74" i="157" a="1"/>
  <c r="J74" i="157" a="1"/>
  <c r="I74" i="157" a="1"/>
  <c r="E74" i="157" a="1"/>
  <c r="C301" i="157" a="1"/>
  <c r="C74" i="157" a="1"/>
  <c r="D301" i="157" a="1"/>
  <c r="D74" i="157" a="1"/>
  <c r="G301" i="157" a="1"/>
  <c r="I301" i="157" a="1"/>
  <c r="H301" i="157" a="1"/>
  <c r="F74" i="157" a="1"/>
  <c r="E301" i="157" a="1"/>
  <c r="J301" i="157" a="1"/>
  <c r="A303" i="157"/>
  <c r="A76" i="157"/>
  <c r="E75" i="157" a="1"/>
  <c r="F302" i="157" a="1"/>
  <c r="G75" i="157" a="1"/>
  <c r="I75" i="157" a="1"/>
  <c r="D75" i="157" a="1"/>
  <c r="G302" i="157" a="1"/>
  <c r="H302" i="157" a="1"/>
  <c r="J302" i="157" a="1"/>
  <c r="F75" i="157" a="1"/>
  <c r="E302" i="157" a="1"/>
  <c r="H75" i="157" a="1"/>
  <c r="C75" i="157" a="1"/>
  <c r="J75" i="157" a="1"/>
  <c r="D302" i="157" a="1"/>
  <c r="I302" i="157" a="1"/>
  <c r="C302" i="157" a="1"/>
  <c r="A304" i="157"/>
  <c r="A77" i="157"/>
  <c r="D76" i="157" a="1"/>
  <c r="D303" i="157" a="1"/>
  <c r="J76" i="157" a="1"/>
  <c r="F76" i="157" a="1"/>
  <c r="G76" i="157" a="1"/>
  <c r="E76" i="157" a="1"/>
  <c r="G303" i="157" a="1"/>
  <c r="H303" i="157" a="1"/>
  <c r="E303" i="157" a="1"/>
  <c r="C303" i="157" a="1"/>
  <c r="F303" i="157" a="1"/>
  <c r="I303" i="157" a="1"/>
  <c r="I76" i="157" a="1"/>
  <c r="C76" i="157" a="1"/>
  <c r="J303" i="157" a="1"/>
  <c r="H76" i="157" a="1"/>
  <c r="A305" i="157"/>
  <c r="A78" i="157"/>
  <c r="E304" i="157" a="1"/>
  <c r="I77" i="157" a="1"/>
  <c r="J77" i="157" a="1"/>
  <c r="H304" i="157" a="1"/>
  <c r="D304" i="157" a="1"/>
  <c r="F77" i="157" a="1"/>
  <c r="C77" i="157" a="1"/>
  <c r="J304" i="157" a="1"/>
  <c r="I304" i="157" a="1"/>
  <c r="H77" i="157" a="1"/>
  <c r="E77" i="157" a="1"/>
  <c r="G77" i="157" a="1"/>
  <c r="G304" i="157" a="1"/>
  <c r="C304" i="157" a="1"/>
  <c r="D77" i="157" a="1"/>
  <c r="F304" i="157" a="1"/>
  <c r="A306" i="157"/>
  <c r="A79" i="157"/>
  <c r="F305" i="157" a="1"/>
  <c r="J305" i="157" a="1"/>
  <c r="I78" i="157" a="1"/>
  <c r="J78" i="157" a="1"/>
  <c r="C78" i="157" a="1"/>
  <c r="D78" i="157" a="1"/>
  <c r="E78" i="157" a="1"/>
  <c r="E305" i="157" a="1"/>
  <c r="I305" i="157" a="1"/>
  <c r="H305" i="157" a="1"/>
  <c r="H78" i="157" a="1"/>
  <c r="C305" i="157" a="1"/>
  <c r="D305" i="157" a="1"/>
  <c r="G78" i="157" a="1"/>
  <c r="F78" i="157" a="1"/>
  <c r="G305" i="157" a="1"/>
  <c r="A307" i="157"/>
  <c r="A80" i="157"/>
  <c r="I306" i="157" a="1"/>
  <c r="E79" i="157" a="1"/>
  <c r="C79" i="157" a="1"/>
  <c r="G79" i="157" a="1"/>
  <c r="E306" i="157" a="1"/>
  <c r="H306" i="157" a="1"/>
  <c r="J79" i="157" a="1"/>
  <c r="I79" i="157" a="1"/>
  <c r="D306" i="157" a="1"/>
  <c r="F79" i="157" a="1"/>
  <c r="H79" i="157" a="1"/>
  <c r="C306" i="157" a="1"/>
  <c r="D79" i="157" a="1"/>
  <c r="J306" i="157" a="1"/>
  <c r="F306" i="157" a="1"/>
  <c r="G306" i="157" a="1"/>
  <c r="A308" i="157"/>
  <c r="A81" i="157"/>
  <c r="F80" i="157" a="1"/>
  <c r="E307" i="157" a="1"/>
  <c r="D307" i="157" a="1"/>
  <c r="C307" i="157" a="1"/>
  <c r="D80" i="157" a="1"/>
  <c r="I307" i="157" a="1"/>
  <c r="H307" i="157" a="1"/>
  <c r="J307" i="157" a="1"/>
  <c r="E80" i="157" a="1"/>
  <c r="I80" i="157" a="1"/>
  <c r="F307" i="157" a="1"/>
  <c r="J80" i="157" a="1"/>
  <c r="G80" i="157" a="1"/>
  <c r="H80" i="157" a="1"/>
  <c r="G307" i="157" a="1"/>
  <c r="C80" i="157" a="1"/>
  <c r="A309" i="157"/>
  <c r="A82" i="157"/>
  <c r="D308" i="157" a="1"/>
  <c r="D81" i="157" a="1"/>
  <c r="F308" i="157" a="1"/>
  <c r="I308" i="157" a="1"/>
  <c r="E308" i="157" a="1"/>
  <c r="H81" i="157" a="1"/>
  <c r="G308" i="157" a="1"/>
  <c r="F81" i="157" a="1"/>
  <c r="I81" i="157" a="1"/>
  <c r="H308" i="157" a="1"/>
  <c r="J81" i="157" a="1"/>
  <c r="C308" i="157" a="1"/>
  <c r="J308" i="157" a="1"/>
  <c r="C81" i="157" a="1"/>
  <c r="E81" i="157" a="1"/>
  <c r="G81" i="157" a="1"/>
  <c r="A310" i="157"/>
  <c r="A83" i="157"/>
  <c r="F309" i="157" a="1"/>
  <c r="D309" i="157" a="1"/>
  <c r="E309" i="157" a="1"/>
  <c r="H82" i="157" a="1"/>
  <c r="J82" i="157" a="1"/>
  <c r="E82" i="157" a="1"/>
  <c r="G82" i="157" a="1"/>
  <c r="G309" i="157" a="1"/>
  <c r="J309" i="157" a="1"/>
  <c r="D82" i="157" a="1"/>
  <c r="I309" i="157" a="1"/>
  <c r="C82" i="157" a="1"/>
  <c r="F82" i="157" a="1"/>
  <c r="H309" i="157" a="1"/>
  <c r="C309" i="157" a="1"/>
  <c r="I82" i="157" a="1"/>
  <c r="A311" i="157"/>
  <c r="A84" i="157"/>
  <c r="H83" i="157" a="1"/>
  <c r="J83" i="157" a="1"/>
  <c r="H310" i="157" a="1"/>
  <c r="E83" i="157" a="1"/>
  <c r="D83" i="157" a="1"/>
  <c r="F310" i="157" a="1"/>
  <c r="F83" i="157" a="1"/>
  <c r="I83" i="157" a="1"/>
  <c r="D310" i="157" a="1"/>
  <c r="E310" i="157" a="1"/>
  <c r="I310" i="157" a="1"/>
  <c r="G83" i="157" a="1"/>
  <c r="G310" i="157" a="1"/>
  <c r="C83" i="157" a="1"/>
  <c r="J310" i="157" a="1"/>
  <c r="C310" i="157" a="1"/>
  <c r="A312" i="157"/>
  <c r="A85" i="157"/>
  <c r="I311" i="157" a="1"/>
  <c r="J311" i="157" a="1"/>
  <c r="I84" i="157" a="1"/>
  <c r="E84" i="157" a="1"/>
  <c r="D84" i="157" a="1"/>
  <c r="H311" i="157" a="1"/>
  <c r="F311" i="157" a="1"/>
  <c r="D311" i="157" a="1"/>
  <c r="E311" i="157" a="1"/>
  <c r="G311" i="157" a="1"/>
  <c r="G84" i="157" a="1"/>
  <c r="C84" i="157" a="1"/>
  <c r="H84" i="157" a="1"/>
  <c r="J84" i="157" a="1"/>
  <c r="F84" i="157" a="1"/>
  <c r="C311" i="157" a="1"/>
  <c r="A313" i="157"/>
  <c r="A86" i="157"/>
  <c r="J312" i="157" a="1"/>
  <c r="D85" i="157" a="1"/>
  <c r="G85" i="157" a="1"/>
  <c r="F312" i="157" a="1"/>
  <c r="H312" i="157" a="1"/>
  <c r="I312" i="157" a="1"/>
  <c r="E85" i="157" a="1"/>
  <c r="J85" i="157" a="1"/>
  <c r="C85" i="157" a="1"/>
  <c r="C312" i="157" a="1"/>
  <c r="D312" i="157" a="1"/>
  <c r="E312" i="157" a="1"/>
  <c r="H85" i="157" a="1"/>
  <c r="I85" i="157" a="1"/>
  <c r="G312" i="157" a="1"/>
  <c r="F85" i="157" a="1"/>
  <c r="A314" i="157"/>
  <c r="A87" i="157"/>
  <c r="C313" i="157" a="1"/>
  <c r="E86" i="157" a="1"/>
  <c r="G313" i="157" a="1"/>
  <c r="C86" i="157" a="1"/>
  <c r="I86" i="157" a="1"/>
  <c r="H313" i="157" a="1"/>
  <c r="D86" i="157" a="1"/>
  <c r="D313" i="157" a="1"/>
  <c r="F86" i="157" a="1"/>
  <c r="H86" i="157" a="1"/>
  <c r="G86" i="157" a="1"/>
  <c r="J86" i="157" a="1"/>
  <c r="I313" i="157" a="1"/>
  <c r="E313" i="157" a="1"/>
  <c r="J313" i="157" a="1"/>
  <c r="F313" i="157" a="1"/>
  <c r="A315" i="157"/>
  <c r="A88" i="157"/>
  <c r="F87" i="157" a="1"/>
  <c r="I314" i="157" a="1"/>
  <c r="D314" i="157" a="1"/>
  <c r="H314" i="157" a="1"/>
  <c r="G314" i="157" a="1"/>
  <c r="G87" i="157" a="1"/>
  <c r="F314" i="157" a="1"/>
  <c r="E87" i="157" a="1"/>
  <c r="C314" i="157" a="1"/>
  <c r="I87" i="157" a="1"/>
  <c r="D87" i="157" a="1"/>
  <c r="H87" i="157" a="1"/>
  <c r="E314" i="157" a="1"/>
  <c r="C87" i="157" a="1"/>
  <c r="J87" i="157" a="1"/>
  <c r="J314" i="157" a="1"/>
  <c r="A316" i="157"/>
  <c r="A89" i="157"/>
  <c r="F315" i="157" a="1"/>
  <c r="G315" i="157" a="1"/>
  <c r="F88" i="157" a="1"/>
  <c r="H315" i="157" a="1"/>
  <c r="I315" i="157" a="1"/>
  <c r="J315" i="157" a="1"/>
  <c r="E315" i="157" a="1"/>
  <c r="C315" i="157" a="1"/>
  <c r="E88" i="157" a="1"/>
  <c r="D315" i="157" a="1"/>
  <c r="D88" i="157" a="1"/>
  <c r="J88" i="157" a="1"/>
  <c r="C88" i="157" a="1"/>
  <c r="G88" i="157" a="1"/>
  <c r="H88" i="157" a="1"/>
  <c r="I88" i="157" a="1"/>
  <c r="A317" i="157"/>
  <c r="A90" i="157"/>
  <c r="E89" i="157" a="1"/>
  <c r="J89" i="157" a="1"/>
  <c r="G89" i="157" a="1"/>
  <c r="E316" i="157" a="1"/>
  <c r="F89" i="157" a="1"/>
  <c r="J316" i="157" a="1"/>
  <c r="C316" i="157" a="1"/>
  <c r="G316" i="157" a="1"/>
  <c r="I316" i="157" a="1"/>
  <c r="H89" i="157" a="1"/>
  <c r="D316" i="157" a="1"/>
  <c r="C89" i="157" a="1"/>
  <c r="H316" i="157" a="1"/>
  <c r="F316" i="157" a="1"/>
  <c r="I89" i="157" a="1"/>
  <c r="D89" i="157" a="1"/>
  <c r="A318" i="157"/>
  <c r="A91" i="157"/>
  <c r="I317" i="157" a="1"/>
  <c r="E90" i="157" a="1"/>
  <c r="I90" i="157" a="1"/>
  <c r="G317" i="157" a="1"/>
  <c r="C90" i="157" a="1"/>
  <c r="H90" i="157" a="1"/>
  <c r="F90" i="157" a="1"/>
  <c r="G90" i="157" a="1"/>
  <c r="D317" i="157" a="1"/>
  <c r="E317" i="157" a="1"/>
  <c r="J90" i="157" a="1"/>
  <c r="F317" i="157" a="1"/>
  <c r="H317" i="157" a="1"/>
  <c r="D90" i="157" a="1"/>
  <c r="C317" i="157" a="1"/>
  <c r="J317" i="157" a="1"/>
  <c r="A319" i="157"/>
  <c r="A92" i="157"/>
  <c r="H91" i="157" a="1"/>
  <c r="J318" i="157" a="1"/>
  <c r="C318" i="157" a="1"/>
  <c r="D318" i="157" a="1"/>
  <c r="G318" i="157" a="1"/>
  <c r="I318" i="157" a="1"/>
  <c r="F91" i="157" a="1"/>
  <c r="J91" i="157" a="1"/>
  <c r="D91" i="157" a="1"/>
  <c r="E318" i="157" a="1"/>
  <c r="I91" i="157" a="1"/>
  <c r="H318" i="157" a="1"/>
  <c r="G91" i="157" a="1"/>
  <c r="C91" i="157" a="1"/>
  <c r="F318" i="157" a="1"/>
  <c r="E91" i="157" a="1"/>
  <c r="A320" i="157"/>
  <c r="A93" i="157"/>
  <c r="F319" i="157" a="1"/>
  <c r="J319" i="157" a="1"/>
  <c r="D92" i="157" a="1"/>
  <c r="G319" i="157" a="1"/>
  <c r="J92" i="157" a="1"/>
  <c r="F92" i="157" a="1"/>
  <c r="E319" i="157" a="1"/>
  <c r="I92" i="157" a="1"/>
  <c r="C319" i="157" a="1"/>
  <c r="H92" i="157" a="1"/>
  <c r="E92" i="157" a="1"/>
  <c r="H319" i="157" a="1"/>
  <c r="I319" i="157" a="1"/>
  <c r="D319" i="157" a="1"/>
  <c r="G92" i="157" a="1"/>
  <c r="C92" i="157" a="1"/>
  <c r="A321" i="157"/>
  <c r="A94" i="157"/>
  <c r="J93" i="157" a="1"/>
  <c r="C93" i="157" a="1"/>
  <c r="D320" i="157" a="1"/>
  <c r="D93" i="157" a="1"/>
  <c r="I93" i="157" a="1"/>
  <c r="E93" i="157" a="1"/>
  <c r="H320" i="157" a="1"/>
  <c r="H93" i="157" a="1"/>
  <c r="F320" i="157" a="1"/>
  <c r="J320" i="157" a="1"/>
  <c r="G93" i="157" a="1"/>
  <c r="I320" i="157" a="1"/>
  <c r="E320" i="157" a="1"/>
  <c r="G320" i="157" a="1"/>
  <c r="C320" i="157" a="1"/>
  <c r="F93" i="157" a="1"/>
  <c r="A322" i="157"/>
  <c r="A95" i="157"/>
  <c r="J321" i="157" a="1"/>
  <c r="H94" i="157" a="1"/>
  <c r="C321" i="157" a="1"/>
  <c r="I94" i="157" a="1"/>
  <c r="J94" i="157" a="1"/>
  <c r="E94" i="157" a="1"/>
  <c r="E321" i="157" a="1"/>
  <c r="G94" i="157" a="1"/>
  <c r="D94" i="157" a="1"/>
  <c r="H321" i="157" a="1"/>
  <c r="F321" i="157" a="1"/>
  <c r="I321" i="157" a="1"/>
  <c r="G321" i="157" a="1"/>
  <c r="D321" i="157" a="1"/>
  <c r="C94" i="157" a="1"/>
  <c r="F94" i="157" a="1"/>
  <c r="A323" i="157"/>
  <c r="A96" i="157"/>
  <c r="E322" i="157" a="1"/>
  <c r="G95" i="157" a="1"/>
  <c r="G322" i="157" a="1"/>
  <c r="I322" i="157" a="1"/>
  <c r="F95" i="157" a="1"/>
  <c r="J322" i="157" a="1"/>
  <c r="H95" i="157" a="1"/>
  <c r="J95" i="157" a="1"/>
  <c r="C322" i="157" a="1"/>
  <c r="H322" i="157" a="1"/>
  <c r="I95" i="157" a="1"/>
  <c r="D322" i="157" a="1"/>
  <c r="E95" i="157" a="1"/>
  <c r="F322" i="157" a="1"/>
  <c r="C95" i="157" a="1"/>
  <c r="D95" i="157" a="1"/>
  <c r="A324" i="157"/>
  <c r="A97" i="157"/>
  <c r="I323" i="157" a="1"/>
  <c r="F96" i="157" a="1"/>
  <c r="J323" i="157" a="1"/>
  <c r="E323" i="157" a="1"/>
  <c r="I96" i="157" a="1"/>
  <c r="D323" i="157" a="1"/>
  <c r="G96" i="157" a="1"/>
  <c r="F323" i="157" a="1"/>
  <c r="E96" i="157" a="1"/>
  <c r="C323" i="157" a="1"/>
  <c r="G323" i="157" a="1"/>
  <c r="H323" i="157" a="1"/>
  <c r="C96" i="157" a="1"/>
  <c r="D96" i="157" a="1"/>
  <c r="J96" i="157" a="1"/>
  <c r="H96" i="157" a="1"/>
  <c r="A325" i="157"/>
  <c r="A98" i="157"/>
  <c r="E97" i="157" a="1"/>
  <c r="D324" i="157" a="1"/>
  <c r="J97" i="157" a="1"/>
  <c r="E324" i="157" a="1"/>
  <c r="H97" i="157" a="1"/>
  <c r="G97" i="157" a="1"/>
  <c r="F97" i="157" a="1"/>
  <c r="G324" i="157" a="1"/>
  <c r="D97" i="157" a="1"/>
  <c r="I97" i="157" a="1"/>
  <c r="H324" i="157" a="1"/>
  <c r="I324" i="157" a="1"/>
  <c r="J324" i="157" a="1"/>
  <c r="C324" i="157" a="1"/>
  <c r="F324" i="157" a="1"/>
  <c r="C97" i="157" a="1"/>
  <c r="A326" i="157"/>
  <c r="A99" i="157"/>
  <c r="I98" i="157" a="1"/>
  <c r="G98" i="157" a="1"/>
  <c r="C325" i="157" a="1"/>
  <c r="E98" i="157" a="1"/>
  <c r="J98" i="157" a="1"/>
  <c r="D325" i="157" a="1"/>
  <c r="H98" i="157" a="1"/>
  <c r="E325" i="157" a="1"/>
  <c r="F325" i="157" a="1"/>
  <c r="H325" i="157" a="1"/>
  <c r="G325" i="157" a="1"/>
  <c r="I325" i="157" a="1"/>
  <c r="D98" i="157" a="1"/>
  <c r="J325" i="157" a="1"/>
  <c r="F98" i="157" a="1"/>
  <c r="C98" i="157" a="1"/>
  <c r="A327" i="157"/>
  <c r="A100" i="157"/>
  <c r="I326" i="157" a="1"/>
  <c r="C326" i="157" a="1"/>
  <c r="H326" i="157" a="1"/>
  <c r="D99" i="157" a="1"/>
  <c r="G99" i="157" a="1"/>
  <c r="J99" i="157" a="1"/>
  <c r="H99" i="157" a="1"/>
  <c r="F99" i="157" a="1"/>
  <c r="F326" i="157" a="1"/>
  <c r="J326" i="157" a="1"/>
  <c r="I99" i="157" a="1"/>
  <c r="E326" i="157" a="1"/>
  <c r="C99" i="157" a="1"/>
  <c r="E99" i="157" a="1"/>
  <c r="G326" i="157" a="1"/>
  <c r="D326" i="157" a="1"/>
  <c r="A328" i="157"/>
  <c r="A101" i="157"/>
  <c r="G100" i="157" a="1"/>
  <c r="J327" i="157" a="1"/>
  <c r="C100" i="157" a="1"/>
  <c r="I327" i="157" a="1"/>
  <c r="H327" i="157" a="1"/>
  <c r="I100" i="157" a="1"/>
  <c r="C327" i="157" a="1"/>
  <c r="F327" i="157" a="1"/>
  <c r="F100" i="157" a="1"/>
  <c r="H100" i="157" a="1"/>
  <c r="E100" i="157" a="1"/>
  <c r="E327" i="157" a="1"/>
  <c r="J100" i="157" a="1"/>
  <c r="D327" i="157" a="1"/>
  <c r="D100" i="157" a="1"/>
  <c r="G327" i="157" a="1"/>
  <c r="A329" i="157"/>
  <c r="A102" i="157"/>
  <c r="I328" i="157" a="1"/>
  <c r="I101" i="157" a="1"/>
  <c r="H328" i="157" a="1"/>
  <c r="H101" i="157" a="1"/>
  <c r="C328" i="157" a="1"/>
  <c r="G328" i="157" a="1"/>
  <c r="J101" i="157" a="1"/>
  <c r="J328" i="157" a="1"/>
  <c r="G101" i="157" a="1"/>
  <c r="D328" i="157" a="1"/>
  <c r="D101" i="157" a="1"/>
  <c r="E101" i="157" a="1"/>
  <c r="F101" i="157" a="1"/>
  <c r="F328" i="157" a="1"/>
  <c r="C101" i="157" a="1"/>
  <c r="E328" i="157" a="1"/>
  <c r="A330" i="157"/>
  <c r="A103" i="157"/>
  <c r="G102" i="157" a="1"/>
  <c r="I329" i="157" a="1"/>
  <c r="F102" i="157" a="1"/>
  <c r="E102" i="157" a="1"/>
  <c r="H102" i="157" a="1"/>
  <c r="D329" i="157" a="1"/>
  <c r="C102" i="157" a="1"/>
  <c r="G329" i="157" a="1"/>
  <c r="F329" i="157" a="1"/>
  <c r="D102" i="157" a="1"/>
  <c r="E329" i="157" a="1"/>
  <c r="C329" i="157" a="1"/>
  <c r="J102" i="157" a="1"/>
  <c r="H329" i="157" a="1"/>
  <c r="J329" i="157" a="1"/>
  <c r="I102" i="157" a="1"/>
  <c r="A331" i="157"/>
  <c r="A104" i="157"/>
  <c r="C330" i="157" a="1"/>
  <c r="I330" i="157" a="1"/>
  <c r="D330" i="157" a="1"/>
  <c r="H103" i="157" a="1"/>
  <c r="C103" i="157" a="1"/>
  <c r="I103" i="157" a="1"/>
  <c r="G103" i="157" a="1"/>
  <c r="E103" i="157" a="1"/>
  <c r="D103" i="157" a="1"/>
  <c r="J330" i="157" a="1"/>
  <c r="G330" i="157" a="1"/>
  <c r="H330" i="157" a="1"/>
  <c r="F103" i="157" a="1"/>
  <c r="J103" i="157" a="1"/>
  <c r="F330" i="157" a="1"/>
  <c r="E330" i="157" a="1"/>
  <c r="A332" i="157"/>
  <c r="A105" i="157"/>
  <c r="G104" i="157" a="1"/>
  <c r="C331" i="157" a="1"/>
  <c r="H104" i="157" a="1"/>
  <c r="J331" i="157" a="1"/>
  <c r="E104" i="157" a="1"/>
  <c r="I104" i="157" a="1"/>
  <c r="E331" i="157" a="1"/>
  <c r="D104" i="157" a="1"/>
  <c r="F104" i="157" a="1"/>
  <c r="I331" i="157" a="1"/>
  <c r="F331" i="157" a="1"/>
  <c r="G331" i="157" a="1"/>
  <c r="H331" i="157" a="1"/>
  <c r="D331" i="157" a="1"/>
  <c r="J104" i="157" a="1"/>
  <c r="C104" i="157" a="1"/>
  <c r="A333" i="157"/>
  <c r="A106" i="157"/>
  <c r="C105" i="157" a="1"/>
  <c r="D105" i="157" a="1"/>
  <c r="H105" i="157" a="1"/>
  <c r="C332" i="157" a="1"/>
  <c r="F332" i="157" a="1"/>
  <c r="J105" i="157" a="1"/>
  <c r="F105" i="157" a="1"/>
  <c r="J332" i="157" a="1"/>
  <c r="H332" i="157" a="1"/>
  <c r="I332" i="157" a="1"/>
  <c r="E105" i="157" a="1"/>
  <c r="E332" i="157" a="1"/>
  <c r="D332" i="157" a="1"/>
  <c r="I105" i="157" a="1"/>
  <c r="G105" i="157" a="1"/>
  <c r="G332" i="157" a="1"/>
  <c r="A334" i="157"/>
  <c r="A107" i="157"/>
  <c r="G333" i="157" a="1"/>
  <c r="I333" i="157" a="1"/>
  <c r="D333" i="157" a="1"/>
  <c r="D106" i="157" a="1"/>
  <c r="J106" i="157" a="1"/>
  <c r="J333" i="157" a="1"/>
  <c r="G106" i="157" a="1"/>
  <c r="I106" i="157" a="1"/>
  <c r="H106" i="157" a="1"/>
  <c r="F106" i="157" a="1"/>
  <c r="C106" i="157" a="1"/>
  <c r="E106" i="157" a="1"/>
  <c r="C333" i="157" a="1"/>
  <c r="H333" i="157" a="1"/>
  <c r="F333" i="157" a="1"/>
  <c r="E333" i="157" a="1"/>
  <c r="A335" i="157"/>
  <c r="A108" i="157"/>
  <c r="J334" i="157" a="1"/>
  <c r="I107" i="157" a="1"/>
  <c r="I334" i="157" a="1"/>
  <c r="F334" i="157" a="1"/>
  <c r="H107" i="157" a="1"/>
  <c r="C107" i="157" a="1"/>
  <c r="E107" i="157" a="1"/>
  <c r="G107" i="157" a="1"/>
  <c r="H334" i="157" a="1"/>
  <c r="G334" i="157" a="1"/>
  <c r="J107" i="157" a="1"/>
  <c r="D107" i="157" a="1"/>
  <c r="C334" i="157" a="1"/>
  <c r="D334" i="157" a="1"/>
  <c r="E334" i="157" a="1"/>
  <c r="F107" i="157" a="1"/>
  <c r="A336" i="157"/>
  <c r="A109" i="157"/>
  <c r="H108" i="157" a="1"/>
  <c r="D335" i="157" a="1"/>
  <c r="F335" i="157" a="1"/>
  <c r="C108" i="157" a="1"/>
  <c r="G108" i="157" a="1"/>
  <c r="E335" i="157" a="1"/>
  <c r="J108" i="157" a="1"/>
  <c r="H335" i="157" a="1"/>
  <c r="I108" i="157" a="1"/>
  <c r="F108" i="157" a="1"/>
  <c r="G335" i="157" a="1"/>
  <c r="E108" i="157" a="1"/>
  <c r="J335" i="157" a="1"/>
  <c r="I335" i="157" a="1"/>
  <c r="D108" i="157" a="1"/>
  <c r="C335" i="157" a="1"/>
  <c r="A337" i="157"/>
  <c r="A110" i="157"/>
  <c r="D109" i="157" a="1"/>
  <c r="C336" i="157" a="1"/>
  <c r="J336" i="157" a="1"/>
  <c r="E336" i="157" a="1"/>
  <c r="C109" i="157" a="1"/>
  <c r="I336" i="157" a="1"/>
  <c r="I109" i="157" a="1"/>
  <c r="J109" i="157" a="1"/>
  <c r="D336" i="157" a="1"/>
  <c r="G109" i="157" a="1"/>
  <c r="H109" i="157" a="1"/>
  <c r="G336" i="157" a="1"/>
  <c r="F109" i="157" a="1"/>
  <c r="F336" i="157" a="1"/>
  <c r="E109" i="157" a="1"/>
  <c r="H336" i="157" a="1"/>
  <c r="A338" i="157"/>
  <c r="A111" i="157"/>
  <c r="E337" i="157" a="1"/>
  <c r="C110" i="157" a="1"/>
  <c r="J337" i="157" a="1"/>
  <c r="H337" i="157" a="1"/>
  <c r="F337" i="157" a="1"/>
  <c r="C337" i="157" a="1"/>
  <c r="H110" i="157" a="1"/>
  <c r="E110" i="157" a="1"/>
  <c r="I337" i="157" a="1"/>
  <c r="G110" i="157" a="1"/>
  <c r="D110" i="157" a="1"/>
  <c r="D337" i="157" a="1"/>
  <c r="G337" i="157" a="1"/>
  <c r="I110" i="157" a="1"/>
  <c r="F110" i="157" a="1"/>
  <c r="J110" i="157" a="1"/>
  <c r="A339" i="157"/>
  <c r="A112" i="157"/>
  <c r="C111" i="157" a="1"/>
  <c r="I111" i="157" a="1"/>
  <c r="H338" i="157" a="1"/>
  <c r="C338" i="157" a="1"/>
  <c r="E111" i="157" a="1"/>
  <c r="G338" i="157" a="1"/>
  <c r="J111" i="157" a="1"/>
  <c r="I338" i="157" a="1"/>
  <c r="E338" i="157" a="1"/>
  <c r="H111" i="157" a="1"/>
  <c r="J338" i="157" a="1"/>
  <c r="D111" i="157" a="1"/>
  <c r="D338" i="157" a="1"/>
  <c r="F338" i="157" a="1"/>
  <c r="G111" i="157" a="1"/>
  <c r="F111" i="157" a="1"/>
  <c r="A113" i="157"/>
  <c r="A340" i="157"/>
  <c r="I112" i="157" a="1"/>
  <c r="H112" i="157" a="1"/>
  <c r="F112" i="157" a="1"/>
  <c r="H339" i="157" a="1"/>
  <c r="F339" i="157" a="1"/>
  <c r="G112" i="157" a="1"/>
  <c r="C339" i="157" a="1"/>
  <c r="D112" i="157" a="1"/>
  <c r="I339" i="157" a="1"/>
  <c r="C112" i="157" a="1"/>
  <c r="J339" i="157" a="1"/>
  <c r="D339" i="157" a="1"/>
  <c r="J112" i="157" a="1"/>
  <c r="G339" i="157" a="1"/>
  <c r="E339" i="157" a="1"/>
  <c r="E112" i="157" a="1"/>
  <c r="A341" i="157"/>
  <c r="A114" i="157"/>
  <c r="E113" i="157" a="1"/>
  <c r="F113" i="157" a="1"/>
  <c r="J113" i="157" a="1"/>
  <c r="D340" i="157" a="1"/>
  <c r="D113" i="157" a="1"/>
  <c r="J340" i="157" a="1"/>
  <c r="C340" i="157" a="1"/>
  <c r="H113" i="157" a="1"/>
  <c r="F340" i="157" a="1"/>
  <c r="I340" i="157" a="1"/>
  <c r="G113" i="157" a="1"/>
  <c r="E340" i="157" a="1"/>
  <c r="I113" i="157" a="1"/>
  <c r="C113" i="157" a="1"/>
  <c r="H340" i="157" a="1"/>
  <c r="G340" i="157" a="1"/>
  <c r="A342" i="157"/>
  <c r="A115" i="157"/>
  <c r="D341" i="157" a="1"/>
  <c r="F114" i="157" a="1"/>
  <c r="G114" i="157" a="1"/>
  <c r="E341" i="157" a="1"/>
  <c r="J114" i="157" a="1"/>
  <c r="I341" i="157" a="1"/>
  <c r="C341" i="157" a="1"/>
  <c r="D114" i="157" a="1"/>
  <c r="H114" i="157" a="1"/>
  <c r="E114" i="157" a="1"/>
  <c r="J341" i="157" a="1"/>
  <c r="G341" i="157" a="1"/>
  <c r="C114" i="157" a="1"/>
  <c r="H341" i="157" a="1"/>
  <c r="F341" i="157" a="1"/>
  <c r="I114" i="157" a="1"/>
  <c r="A343" i="157"/>
  <c r="A116" i="157"/>
  <c r="E115" i="157" a="1"/>
  <c r="C342" i="157" a="1"/>
  <c r="H115" i="157" a="1"/>
  <c r="I342" i="157" a="1"/>
  <c r="G342" i="157" a="1"/>
  <c r="J342" i="157" a="1"/>
  <c r="E342" i="157" a="1"/>
  <c r="D115" i="157" a="1"/>
  <c r="J115" i="157" a="1"/>
  <c r="H342" i="157" a="1"/>
  <c r="D342" i="157" a="1"/>
  <c r="G115" i="157" a="1"/>
  <c r="C115" i="157" a="1"/>
  <c r="F342" i="157" a="1"/>
  <c r="I115" i="157" a="1"/>
  <c r="F115" i="157" a="1"/>
  <c r="A344" i="157"/>
  <c r="A117" i="157"/>
  <c r="F116" i="157" a="1"/>
  <c r="E116" i="157" a="1"/>
  <c r="H343" i="157" a="1"/>
  <c r="C116" i="157" a="1"/>
  <c r="F343" i="157" a="1"/>
  <c r="H116" i="157" a="1"/>
  <c r="D343" i="157" a="1"/>
  <c r="G116" i="157" a="1"/>
  <c r="E343" i="157" a="1"/>
  <c r="I116" i="157" a="1"/>
  <c r="C343" i="157" a="1"/>
  <c r="G343" i="157" a="1"/>
  <c r="D116" i="157" a="1"/>
  <c r="J343" i="157" a="1"/>
  <c r="I343" i="157" a="1"/>
  <c r="J116" i="157" a="1"/>
  <c r="A345" i="157"/>
  <c r="A118" i="157"/>
  <c r="J117" i="157" a="1"/>
  <c r="C344" i="157" a="1"/>
  <c r="I117" i="157" a="1"/>
  <c r="I344" i="157" a="1"/>
  <c r="G344" i="157" a="1"/>
  <c r="F117" i="157" a="1"/>
  <c r="E344" i="157" a="1"/>
  <c r="H117" i="157" a="1"/>
  <c r="J344" i="157" a="1"/>
  <c r="C117" i="157" a="1"/>
  <c r="F344" i="157" a="1"/>
  <c r="H344" i="157" a="1"/>
  <c r="E117" i="157" a="1"/>
  <c r="D117" i="157" a="1"/>
  <c r="D344" i="157" a="1"/>
  <c r="G117" i="157" a="1"/>
  <c r="A346" i="157"/>
  <c r="A119" i="157"/>
  <c r="C118" i="157" a="1"/>
  <c r="G345" i="157" a="1"/>
  <c r="H345" i="157" a="1"/>
  <c r="I118" i="157" a="1"/>
  <c r="J345" i="157" a="1"/>
  <c r="C345" i="157" a="1"/>
  <c r="F118" i="157" a="1"/>
  <c r="E118" i="157" a="1"/>
  <c r="J118" i="157" a="1"/>
  <c r="G118" i="157" a="1"/>
  <c r="I345" i="157" a="1"/>
  <c r="D345" i="157" a="1"/>
  <c r="E345" i="157" a="1"/>
  <c r="H118" i="157" a="1"/>
  <c r="D118" i="157" a="1"/>
  <c r="F345" i="157" a="1"/>
  <c r="A347" i="157"/>
  <c r="A120" i="157"/>
  <c r="H119" i="157" a="1"/>
  <c r="D119" i="157" a="1"/>
  <c r="I346" i="157" a="1"/>
  <c r="G346" i="157" a="1"/>
  <c r="J346" i="157" a="1"/>
  <c r="E346" i="157" a="1"/>
  <c r="H346" i="157" a="1"/>
  <c r="C346" i="157" a="1"/>
  <c r="C119" i="157" a="1"/>
  <c r="E119" i="157" a="1"/>
  <c r="I119" i="157" a="1"/>
  <c r="G119" i="157" a="1"/>
  <c r="D346" i="157" a="1"/>
  <c r="F119" i="157" a="1"/>
  <c r="F346" i="157" a="1"/>
  <c r="J119" i="157" a="1"/>
  <c r="A348" i="157"/>
  <c r="A121" i="157"/>
  <c r="I347" i="157" a="1"/>
  <c r="J347" i="157" a="1"/>
  <c r="F347" i="157" a="1"/>
  <c r="F120" i="157" a="1"/>
  <c r="D347" i="157" a="1"/>
  <c r="D120" i="157" a="1"/>
  <c r="E120" i="157" a="1"/>
  <c r="I120" i="157" a="1"/>
  <c r="C120" i="157" a="1"/>
  <c r="C347" i="157" a="1"/>
  <c r="H347" i="157" a="1"/>
  <c r="E347" i="157" a="1"/>
  <c r="J120" i="157" a="1"/>
  <c r="H120" i="157" a="1"/>
  <c r="G120" i="157" a="1"/>
  <c r="G347" i="157" a="1"/>
  <c r="A349" i="157"/>
  <c r="A122" i="157"/>
  <c r="E348" i="157" a="1"/>
  <c r="G121" i="157" a="1"/>
  <c r="J348" i="157" a="1"/>
  <c r="F348" i="157" a="1"/>
  <c r="D121" i="157" a="1"/>
  <c r="C348" i="157" a="1"/>
  <c r="I348" i="157" a="1"/>
  <c r="D348" i="157" a="1"/>
  <c r="G348" i="157" a="1"/>
  <c r="H348" i="157" a="1"/>
  <c r="E121" i="157" a="1"/>
  <c r="J121" i="157" a="1"/>
  <c r="C121" i="157" a="1"/>
  <c r="H121" i="157" a="1"/>
  <c r="I121" i="157" a="1"/>
  <c r="F121" i="157" a="1"/>
  <c r="A350" i="157"/>
  <c r="A123" i="157"/>
  <c r="J122" i="157" a="1"/>
  <c r="J349" i="157" a="1"/>
  <c r="E349" i="157" a="1"/>
  <c r="G349" i="157" a="1"/>
  <c r="H122" i="157" a="1"/>
  <c r="C349" i="157" a="1"/>
  <c r="E122" i="157" a="1"/>
  <c r="H349" i="157" a="1"/>
  <c r="D349" i="157" a="1"/>
  <c r="C122" i="157" a="1"/>
  <c r="D122" i="157" a="1"/>
  <c r="G122" i="157" a="1"/>
  <c r="F349" i="157" a="1"/>
  <c r="F122" i="157" a="1"/>
  <c r="I122" i="157" a="1"/>
  <c r="I349" i="157" a="1"/>
  <c r="A351" i="157"/>
  <c r="A124" i="157"/>
  <c r="H123" i="157" a="1"/>
  <c r="D350" i="157" a="1"/>
  <c r="E123" i="157" a="1"/>
  <c r="G350" i="157" a="1"/>
  <c r="H350" i="157" a="1"/>
  <c r="J123" i="157" a="1"/>
  <c r="C350" i="157" a="1"/>
  <c r="D123" i="157" a="1"/>
  <c r="G123" i="157" a="1"/>
  <c r="E350" i="157" a="1"/>
  <c r="I350" i="157" a="1"/>
  <c r="J350" i="157" a="1"/>
  <c r="I123" i="157" a="1"/>
  <c r="F123" i="157" a="1"/>
  <c r="C123" i="157" a="1"/>
  <c r="F350" i="157" a="1"/>
  <c r="A352" i="157"/>
  <c r="A125" i="157"/>
  <c r="F124" i="157" a="1"/>
  <c r="G351" i="157" a="1"/>
  <c r="J124" i="157" a="1"/>
  <c r="G124" i="157" a="1"/>
  <c r="H124" i="157" a="1"/>
  <c r="C124" i="157" a="1"/>
  <c r="D124" i="157" a="1"/>
  <c r="I124" i="157" a="1"/>
  <c r="E351" i="157" a="1"/>
  <c r="H351" i="157" a="1"/>
  <c r="C351" i="157" a="1"/>
  <c r="J351" i="157" a="1"/>
  <c r="E124" i="157" a="1"/>
  <c r="D351" i="157" a="1"/>
  <c r="F351" i="157" a="1"/>
  <c r="I351" i="157" a="1"/>
  <c r="A353" i="157"/>
  <c r="A126" i="157"/>
  <c r="E352" i="157" a="1"/>
  <c r="D352" i="157" a="1"/>
  <c r="J352" i="157" a="1"/>
  <c r="H125" i="157" a="1"/>
  <c r="E125" i="157" a="1"/>
  <c r="G352" i="157" a="1"/>
  <c r="I125" i="157" a="1"/>
  <c r="C352" i="157" a="1"/>
  <c r="J125" i="157" a="1"/>
  <c r="C125" i="157" a="1"/>
  <c r="H352" i="157" a="1"/>
  <c r="G125" i="157" a="1"/>
  <c r="F352" i="157" a="1"/>
  <c r="F125" i="157" a="1"/>
  <c r="I352" i="157" a="1"/>
  <c r="D125" i="157" a="1"/>
  <c r="A354" i="157"/>
  <c r="A127" i="157"/>
  <c r="I353" i="157" a="1"/>
  <c r="C126" i="157" a="1"/>
  <c r="D126" i="157" a="1"/>
  <c r="J126" i="157" a="1"/>
  <c r="D353" i="157" a="1"/>
  <c r="G126" i="157" a="1"/>
  <c r="F126" i="157" a="1"/>
  <c r="E353" i="157" a="1"/>
  <c r="G353" i="157" a="1"/>
  <c r="C353" i="157" a="1"/>
  <c r="E126" i="157" a="1"/>
  <c r="I126" i="157" a="1"/>
  <c r="H126" i="157" a="1"/>
  <c r="J353" i="157" a="1"/>
  <c r="H353" i="157" a="1"/>
  <c r="F353" i="157" a="1"/>
  <c r="A355" i="157"/>
  <c r="A128" i="157"/>
  <c r="H127" i="157" a="1"/>
  <c r="J127" i="157" a="1"/>
  <c r="F354" i="157" a="1"/>
  <c r="E354" i="157" a="1"/>
  <c r="E127" i="157" a="1"/>
  <c r="G127" i="157" a="1"/>
  <c r="D354" i="157" a="1"/>
  <c r="I354" i="157" a="1"/>
  <c r="G354" i="157" a="1"/>
  <c r="H354" i="157" a="1"/>
  <c r="C127" i="157" a="1"/>
  <c r="J354" i="157" a="1"/>
  <c r="D127" i="157" a="1"/>
  <c r="I127" i="157" a="1"/>
  <c r="C354" i="157" a="1"/>
  <c r="F127" i="157" a="1"/>
  <c r="A356" i="157"/>
  <c r="A129" i="157"/>
  <c r="C128" i="157" a="1"/>
  <c r="E355" i="157" a="1"/>
  <c r="C355" i="157" a="1"/>
  <c r="D355" i="157" a="1"/>
  <c r="I355" i="157" a="1"/>
  <c r="E128" i="157" a="1"/>
  <c r="F355" i="157" a="1"/>
  <c r="I128" i="157" a="1"/>
  <c r="H355" i="157" a="1"/>
  <c r="J355" i="157" a="1"/>
  <c r="G355" i="157" a="1"/>
  <c r="G128" i="157" a="1"/>
  <c r="F128" i="157" a="1"/>
  <c r="J128" i="157" a="1"/>
  <c r="H128" i="157" a="1"/>
  <c r="D128" i="157" a="1"/>
  <c r="A357" i="157"/>
  <c r="A130" i="157"/>
  <c r="C129" i="157" a="1"/>
  <c r="I129" i="157" a="1"/>
  <c r="H356" i="157" a="1"/>
  <c r="D129" i="157" a="1"/>
  <c r="C356" i="157" a="1"/>
  <c r="D356" i="157" a="1"/>
  <c r="E356" i="157" a="1"/>
  <c r="F129" i="157" a="1"/>
  <c r="H129" i="157" a="1"/>
  <c r="F356" i="157" a="1"/>
  <c r="E129" i="157" a="1"/>
  <c r="J129" i="157" a="1"/>
  <c r="J356" i="157" a="1"/>
  <c r="I356" i="157" a="1"/>
  <c r="G129" i="157" a="1"/>
  <c r="G356" i="157" a="1"/>
  <c r="A358" i="157"/>
  <c r="A131" i="157"/>
  <c r="I357" i="157" a="1"/>
  <c r="H357" i="157" a="1"/>
  <c r="J357" i="157" a="1"/>
  <c r="G357" i="157" a="1"/>
  <c r="C130" i="157" a="1"/>
  <c r="F130" i="157" a="1"/>
  <c r="C357" i="157" a="1"/>
  <c r="J130" i="157" a="1"/>
  <c r="D130" i="157" a="1"/>
  <c r="E357" i="157" a="1"/>
  <c r="E130" i="157" a="1"/>
  <c r="D357" i="157" a="1"/>
  <c r="F357" i="157" a="1"/>
  <c r="I130" i="157" a="1"/>
  <c r="H130" i="157" a="1"/>
  <c r="G130" i="157" a="1"/>
  <c r="A359" i="157"/>
  <c r="A132" i="157"/>
  <c r="C358" i="157" a="1"/>
  <c r="G131" i="157" a="1"/>
  <c r="H358" i="157" a="1"/>
  <c r="I131" i="157" a="1"/>
  <c r="E358" i="157" a="1"/>
  <c r="J358" i="157" a="1"/>
  <c r="F358" i="157" a="1"/>
  <c r="I358" i="157" a="1"/>
  <c r="C131" i="157" a="1"/>
  <c r="G358" i="157" a="1"/>
  <c r="E131" i="157" a="1"/>
  <c r="F131" i="157" a="1"/>
  <c r="D131" i="157" a="1"/>
  <c r="D358" i="157" a="1"/>
  <c r="H131" i="157" a="1"/>
  <c r="J131" i="157" a="1"/>
  <c r="A360" i="157"/>
  <c r="A133" i="157"/>
  <c r="G359" i="157" a="1"/>
  <c r="J132" i="157" a="1"/>
  <c r="I132" i="157" a="1"/>
  <c r="I359" i="157" a="1"/>
  <c r="E132" i="157" a="1"/>
  <c r="G132" i="157" a="1"/>
  <c r="F359" i="157" a="1"/>
  <c r="C359" i="157" a="1"/>
  <c r="D132" i="157" a="1"/>
  <c r="D359" i="157" a="1"/>
  <c r="J359" i="157" a="1"/>
  <c r="H359" i="157" a="1"/>
  <c r="E359" i="157" a="1"/>
  <c r="H132" i="157" a="1"/>
  <c r="C132" i="157" a="1"/>
  <c r="F132" i="157" a="1"/>
  <c r="A361" i="157"/>
  <c r="A134" i="157"/>
  <c r="C360" i="157" a="1"/>
  <c r="D360" i="157" a="1"/>
  <c r="J360" i="157" a="1"/>
  <c r="F360" i="157" a="1"/>
  <c r="D133" i="157" a="1"/>
  <c r="G360" i="157" a="1"/>
  <c r="C133" i="157" a="1"/>
  <c r="H133" i="157" a="1"/>
  <c r="E360" i="157" a="1"/>
  <c r="I133" i="157" a="1"/>
  <c r="J133" i="157" a="1"/>
  <c r="E133" i="157" a="1"/>
  <c r="F133" i="157" a="1"/>
  <c r="G133" i="157" a="1"/>
  <c r="H360" i="157" a="1"/>
  <c r="I360" i="157" a="1"/>
  <c r="A362" i="157"/>
  <c r="A135" i="157"/>
  <c r="F134" i="157" a="1"/>
  <c r="H134" i="157" a="1"/>
  <c r="G361" i="157" a="1"/>
  <c r="D134" i="157" a="1"/>
  <c r="D361" i="157" a="1"/>
  <c r="J134" i="157" a="1"/>
  <c r="I134" i="157" a="1"/>
  <c r="I361" i="157" a="1"/>
  <c r="C134" i="157" a="1"/>
  <c r="F361" i="157" a="1"/>
  <c r="H361" i="157" a="1"/>
  <c r="E134" i="157" a="1"/>
  <c r="G134" i="157" a="1"/>
  <c r="C361" i="157" a="1"/>
  <c r="J361" i="157" a="1"/>
  <c r="E361" i="157" a="1"/>
  <c r="A363" i="157"/>
  <c r="A136" i="157"/>
  <c r="E135" i="157" a="1"/>
  <c r="C362" i="157" a="1"/>
  <c r="J362" i="157" a="1"/>
  <c r="F135" i="157" a="1"/>
  <c r="D362" i="157" a="1"/>
  <c r="I135" i="157" a="1"/>
  <c r="D135" i="157" a="1"/>
  <c r="H362" i="157" a="1"/>
  <c r="G135" i="157" a="1"/>
  <c r="J135" i="157" a="1"/>
  <c r="E362" i="157" a="1"/>
  <c r="G362" i="157" a="1"/>
  <c r="H135" i="157" a="1"/>
  <c r="C135" i="157" a="1"/>
  <c r="F362" i="157" a="1"/>
  <c r="I362" i="157" a="1"/>
  <c r="A364" i="157"/>
  <c r="A137" i="157"/>
  <c r="J363" i="157" a="1"/>
  <c r="C363" i="157" a="1"/>
  <c r="J136" i="157" a="1"/>
  <c r="D363" i="157" a="1"/>
  <c r="I363" i="157" a="1"/>
  <c r="I136" i="157" a="1"/>
  <c r="H363" i="157" a="1"/>
  <c r="H136" i="157" a="1"/>
  <c r="C136" i="157" a="1"/>
  <c r="E136" i="157" a="1"/>
  <c r="F363" i="157" a="1"/>
  <c r="G136" i="157" a="1"/>
  <c r="G363" i="157" a="1"/>
  <c r="D136" i="157" a="1"/>
  <c r="E363" i="157" a="1"/>
  <c r="F136" i="157" a="1"/>
  <c r="A365" i="157"/>
  <c r="A138" i="157"/>
  <c r="F364" i="157" a="1"/>
  <c r="G364" i="157" a="1"/>
  <c r="E364" i="157" a="1"/>
  <c r="D364" i="157" a="1"/>
  <c r="F137" i="157" a="1"/>
  <c r="I137" i="157" a="1"/>
  <c r="E137" i="157" a="1"/>
  <c r="I364" i="157" a="1"/>
  <c r="J364" i="157" a="1"/>
  <c r="J137" i="157" a="1"/>
  <c r="H137" i="157" a="1"/>
  <c r="H364" i="157" a="1"/>
  <c r="C364" i="157" a="1"/>
  <c r="D137" i="157" a="1"/>
  <c r="G137" i="157" a="1"/>
  <c r="C137" i="157" a="1"/>
  <c r="A366" i="157"/>
  <c r="A139" i="157"/>
  <c r="C138" i="157" a="1"/>
  <c r="E138" i="157" a="1"/>
  <c r="H365" i="157" a="1"/>
  <c r="E365" i="157" a="1"/>
  <c r="D365" i="157" a="1"/>
  <c r="C365" i="157" a="1"/>
  <c r="G365" i="157" a="1"/>
  <c r="J365" i="157" a="1"/>
  <c r="F138" i="157" a="1"/>
  <c r="I138" i="157" a="1"/>
  <c r="G138" i="157" a="1"/>
  <c r="H138" i="157" a="1"/>
  <c r="J138" i="157" a="1"/>
  <c r="F365" i="157" a="1"/>
  <c r="I365" i="157" a="1"/>
  <c r="D138" i="157" a="1"/>
  <c r="A367" i="157"/>
  <c r="A140" i="157"/>
  <c r="G139" i="157" a="1"/>
  <c r="I139" i="157" a="1"/>
  <c r="D139" i="157" a="1"/>
  <c r="J139" i="157" a="1"/>
  <c r="C366" i="157" a="1"/>
  <c r="C139" i="157" a="1"/>
  <c r="F366" i="157" a="1"/>
  <c r="F139" i="157" a="1"/>
  <c r="E139" i="157" a="1"/>
  <c r="D366" i="157" a="1"/>
  <c r="E366" i="157" a="1"/>
  <c r="H366" i="157" a="1"/>
  <c r="G366" i="157" a="1"/>
  <c r="I366" i="157" a="1"/>
  <c r="J366" i="157" a="1"/>
  <c r="H139" i="157" a="1"/>
  <c r="A368" i="157"/>
  <c r="A141" i="157"/>
  <c r="H140" i="157" a="1"/>
  <c r="I367" i="157" a="1"/>
  <c r="C140" i="157" a="1"/>
  <c r="J367" i="157" a="1"/>
  <c r="F367" i="157" a="1"/>
  <c r="D140" i="157" a="1"/>
  <c r="G367" i="157" a="1"/>
  <c r="F140" i="157" a="1"/>
  <c r="G140" i="157" a="1"/>
  <c r="J140" i="157" a="1"/>
  <c r="H367" i="157" a="1"/>
  <c r="C367" i="157" a="1"/>
  <c r="E367" i="157" a="1"/>
  <c r="E140" i="157" a="1"/>
  <c r="D367" i="157" a="1"/>
  <c r="I140" i="157" a="1"/>
  <c r="A369" i="157"/>
  <c r="A142" i="157"/>
  <c r="F368" i="157" a="1"/>
  <c r="E141" i="157" a="1"/>
  <c r="J141" i="157" a="1"/>
  <c r="I141" i="157" a="1"/>
  <c r="C368" i="157" a="1"/>
  <c r="E368" i="157" a="1"/>
  <c r="F141" i="157" a="1"/>
  <c r="H141" i="157" a="1"/>
  <c r="D368" i="157" a="1"/>
  <c r="D141" i="157" a="1"/>
  <c r="G368" i="157" a="1"/>
  <c r="G141" i="157" a="1"/>
  <c r="C141" i="157" a="1"/>
  <c r="J368" i="157" a="1"/>
  <c r="I368" i="157" a="1"/>
  <c r="H368" i="157" a="1"/>
  <c r="A370" i="157"/>
  <c r="A143" i="157"/>
  <c r="D142" i="157" a="1"/>
  <c r="F142" i="157" a="1"/>
  <c r="H142" i="157" a="1"/>
  <c r="C369" i="157" a="1"/>
  <c r="E369" i="157" a="1"/>
  <c r="I369" i="157" a="1"/>
  <c r="G142" i="157" a="1"/>
  <c r="F369" i="157" a="1"/>
  <c r="J142" i="157" a="1"/>
  <c r="H369" i="157" a="1"/>
  <c r="I142" i="157" a="1"/>
  <c r="G369" i="157" a="1"/>
  <c r="D369" i="157" a="1"/>
  <c r="C142" i="157" a="1"/>
  <c r="E142" i="157" a="1"/>
  <c r="J369" i="157" a="1"/>
  <c r="A371" i="157"/>
  <c r="A144" i="157"/>
  <c r="G143" i="157" a="1"/>
  <c r="D370" i="157" a="1"/>
  <c r="D143" i="157" a="1"/>
  <c r="F143" i="157" a="1"/>
  <c r="J143" i="157" a="1"/>
  <c r="G370" i="157" a="1"/>
  <c r="F370" i="157" a="1"/>
  <c r="I143" i="157" a="1"/>
  <c r="C370" i="157" a="1"/>
  <c r="J370" i="157" a="1"/>
  <c r="I370" i="157" a="1"/>
  <c r="E370" i="157" a="1"/>
  <c r="E143" i="157" a="1"/>
  <c r="H370" i="157" a="1"/>
  <c r="C143" i="157" a="1"/>
  <c r="H143" i="157" a="1"/>
  <c r="A372" i="157"/>
  <c r="A145" i="157"/>
  <c r="G144" i="157" a="1"/>
  <c r="C144" i="157" a="1"/>
  <c r="E371" i="157" a="1"/>
  <c r="D371" i="157" a="1"/>
  <c r="H371" i="157" a="1"/>
  <c r="F371" i="157" a="1"/>
  <c r="D144" i="157" a="1"/>
  <c r="F144" i="157" a="1"/>
  <c r="J144" i="157" a="1"/>
  <c r="I371" i="157" a="1"/>
  <c r="E144" i="157" a="1"/>
  <c r="J371" i="157" a="1"/>
  <c r="C371" i="157" a="1"/>
  <c r="G371" i="157" a="1"/>
  <c r="I144" i="157" a="1"/>
  <c r="H144" i="157" a="1"/>
  <c r="A373" i="157"/>
  <c r="A146" i="157"/>
  <c r="J145" i="157" a="1"/>
  <c r="F145" i="157" a="1"/>
  <c r="I372" i="157" a="1"/>
  <c r="C372" i="157" a="1"/>
  <c r="G372" i="157" a="1"/>
  <c r="H372" i="157" a="1"/>
  <c r="E145" i="157" a="1"/>
  <c r="F372" i="157" a="1"/>
  <c r="E372" i="157" a="1"/>
  <c r="G145" i="157" a="1"/>
  <c r="J372" i="157" a="1"/>
  <c r="D145" i="157" a="1"/>
  <c r="I145" i="157" a="1"/>
  <c r="D372" i="157" a="1"/>
  <c r="C145" i="157" a="1"/>
  <c r="H145" i="157" a="1"/>
  <c r="A374" i="157"/>
  <c r="A147" i="157"/>
  <c r="D146" i="157" a="1"/>
  <c r="J373" i="157" a="1"/>
  <c r="G146" i="157" a="1"/>
  <c r="H146" i="157" a="1"/>
  <c r="I373" i="157" a="1"/>
  <c r="D373" i="157" a="1"/>
  <c r="C373" i="157" a="1"/>
  <c r="H373" i="157" a="1"/>
  <c r="C146" i="157" a="1"/>
  <c r="J146" i="157" a="1"/>
  <c r="F373" i="157" a="1"/>
  <c r="E146" i="157" a="1"/>
  <c r="F146" i="157" a="1"/>
  <c r="I146" i="157" a="1"/>
  <c r="G373" i="157" a="1"/>
  <c r="E373" i="157" a="1"/>
  <c r="A375" i="157"/>
  <c r="A148" i="157"/>
  <c r="C374" i="157" a="1"/>
  <c r="C147" i="157" a="1"/>
  <c r="I147" i="157" a="1"/>
  <c r="I374" i="157" a="1"/>
  <c r="E374" i="157" a="1"/>
  <c r="D374" i="157" a="1"/>
  <c r="G147" i="157" a="1"/>
  <c r="F374" i="157" a="1"/>
  <c r="D147" i="157" a="1"/>
  <c r="F147" i="157" a="1"/>
  <c r="J374" i="157" a="1"/>
  <c r="G374" i="157" a="1"/>
  <c r="E147" i="157" a="1"/>
  <c r="H147" i="157" a="1"/>
  <c r="H374" i="157" a="1"/>
  <c r="J147" i="157" a="1"/>
  <c r="A376" i="157"/>
  <c r="A149" i="157"/>
  <c r="H148" i="157" a="1"/>
  <c r="F375" i="157" a="1"/>
  <c r="J375" i="157" a="1"/>
  <c r="G375" i="157" a="1"/>
  <c r="F148" i="157" a="1"/>
  <c r="J148" i="157" a="1"/>
  <c r="G148" i="157" a="1"/>
  <c r="E375" i="157" a="1"/>
  <c r="H375" i="157" a="1"/>
  <c r="E148" i="157" a="1"/>
  <c r="I148" i="157" a="1"/>
  <c r="I375" i="157" a="1"/>
  <c r="C375" i="157" a="1"/>
  <c r="D148" i="157" a="1"/>
  <c r="D375" i="157" a="1"/>
  <c r="C148" i="157" a="1"/>
  <c r="A377" i="157"/>
  <c r="A150" i="157"/>
  <c r="D376" i="157" a="1"/>
  <c r="G149" i="157" a="1"/>
  <c r="F149" i="157" a="1"/>
  <c r="D149" i="157" a="1"/>
  <c r="F376" i="157" a="1"/>
  <c r="I149" i="157" a="1"/>
  <c r="H376" i="157" a="1"/>
  <c r="I376" i="157" a="1"/>
  <c r="J376" i="157" a="1"/>
  <c r="C149" i="157" a="1"/>
  <c r="H149" i="157" a="1"/>
  <c r="E376" i="157" a="1"/>
  <c r="C376" i="157" a="1"/>
  <c r="G376" i="157" a="1"/>
  <c r="E149" i="157" a="1"/>
  <c r="J149" i="157" a="1"/>
  <c r="A378" i="157"/>
  <c r="A151" i="157"/>
  <c r="E377" i="157" a="1"/>
  <c r="J150" i="157" a="1"/>
  <c r="D377" i="157" a="1"/>
  <c r="I150" i="157" a="1"/>
  <c r="H150" i="157" a="1"/>
  <c r="G150" i="157" a="1"/>
  <c r="H377" i="157" a="1"/>
  <c r="C377" i="157" a="1"/>
  <c r="J377" i="157" a="1"/>
  <c r="E150" i="157" a="1"/>
  <c r="D150" i="157" a="1"/>
  <c r="C150" i="157" a="1"/>
  <c r="F377" i="157" a="1"/>
  <c r="G377" i="157" a="1"/>
  <c r="I377" i="157" a="1"/>
  <c r="F150" i="157" a="1"/>
  <c r="A379" i="157"/>
  <c r="A152" i="157"/>
  <c r="F151" i="157" a="1"/>
  <c r="H378" i="157" a="1"/>
  <c r="D378" i="157" a="1"/>
  <c r="J151" i="157" a="1"/>
  <c r="E378" i="157" a="1"/>
  <c r="C151" i="157" a="1"/>
  <c r="E151" i="157" a="1"/>
  <c r="J378" i="157" a="1"/>
  <c r="G378" i="157" a="1"/>
  <c r="I378" i="157" a="1"/>
  <c r="D151" i="157" a="1"/>
  <c r="F378" i="157" a="1"/>
  <c r="H151" i="157" a="1"/>
  <c r="C378" i="157" a="1"/>
  <c r="I151" i="157" a="1"/>
  <c r="G151" i="157" a="1"/>
  <c r="A380" i="157"/>
  <c r="A153" i="157"/>
  <c r="I152" i="157" a="1"/>
  <c r="C152" i="157" a="1"/>
  <c r="F152" i="157" a="1"/>
  <c r="F379" i="157" a="1"/>
  <c r="G379" i="157" a="1"/>
  <c r="J152" i="157" a="1"/>
  <c r="D152" i="157" a="1"/>
  <c r="J379" i="157" a="1"/>
  <c r="H379" i="157" a="1"/>
  <c r="E379" i="157" a="1"/>
  <c r="H152" i="157" a="1"/>
  <c r="D379" i="157" a="1"/>
  <c r="G152" i="157" a="1"/>
  <c r="I379" i="157" a="1"/>
  <c r="C379" i="157" a="1"/>
  <c r="E152" i="157" a="1"/>
  <c r="A381" i="157"/>
  <c r="A154" i="157"/>
  <c r="J380" i="157" a="1"/>
  <c r="C153" i="157" a="1"/>
  <c r="E380" i="157" a="1"/>
  <c r="E153" i="157" a="1"/>
  <c r="C380" i="157" a="1"/>
  <c r="H380" i="157" a="1"/>
  <c r="F153" i="157" a="1"/>
  <c r="I380" i="157" a="1"/>
  <c r="I153" i="157" a="1"/>
  <c r="G153" i="157" a="1"/>
  <c r="D380" i="157" a="1"/>
  <c r="G380" i="157" a="1"/>
  <c r="J153" i="157" a="1"/>
  <c r="F380" i="157" a="1"/>
  <c r="D153" i="157" a="1"/>
  <c r="H153" i="157" a="1"/>
  <c r="A382" i="157"/>
  <c r="A155" i="157"/>
  <c r="D154" i="157" a="1"/>
  <c r="H154" i="157" a="1"/>
  <c r="E381" i="157" a="1"/>
  <c r="C381" i="157" a="1"/>
  <c r="D381" i="157" a="1"/>
  <c r="C154" i="157" a="1"/>
  <c r="G381" i="157" a="1"/>
  <c r="J154" i="157" a="1"/>
  <c r="I154" i="157" a="1"/>
  <c r="I381" i="157" a="1"/>
  <c r="F154" i="157" a="1"/>
  <c r="H381" i="157" a="1"/>
  <c r="F381" i="157" a="1"/>
  <c r="G154" i="157" a="1"/>
  <c r="J381" i="157" a="1"/>
  <c r="E154" i="157" a="1"/>
  <c r="A383" i="157"/>
  <c r="A156" i="157"/>
  <c r="I155" i="157" a="1"/>
  <c r="G382" i="157" a="1"/>
  <c r="E382" i="157" a="1"/>
  <c r="D155" i="157" a="1"/>
  <c r="G155" i="157" a="1"/>
  <c r="H155" i="157" a="1"/>
  <c r="F155" i="157" a="1"/>
  <c r="D382" i="157" a="1"/>
  <c r="F382" i="157" a="1"/>
  <c r="E155" i="157" a="1"/>
  <c r="H382" i="157" a="1"/>
  <c r="I382" i="157" a="1"/>
  <c r="C382" i="157" a="1"/>
  <c r="C155" i="157" a="1"/>
  <c r="J155" i="157" a="1"/>
  <c r="J382" i="157" a="1"/>
  <c r="A384" i="157"/>
  <c r="A157" i="157"/>
  <c r="H156" i="157" a="1"/>
  <c r="D383" i="157" a="1"/>
  <c r="G383" i="157" a="1"/>
  <c r="D156" i="157" a="1"/>
  <c r="G156" i="157" a="1"/>
  <c r="H383" i="157" a="1"/>
  <c r="J383" i="157" a="1"/>
  <c r="F156" i="157" a="1"/>
  <c r="C383" i="157" a="1"/>
  <c r="E156" i="157" a="1"/>
  <c r="F383" i="157" a="1"/>
  <c r="J156" i="157" a="1"/>
  <c r="I383" i="157" a="1"/>
  <c r="E383" i="157" a="1"/>
  <c r="C156" i="157" a="1"/>
  <c r="I156" i="157" a="1"/>
  <c r="A385" i="157"/>
  <c r="A158" i="157"/>
  <c r="E384" i="157" a="1"/>
  <c r="C384" i="157" a="1"/>
  <c r="J384" i="157" a="1"/>
  <c r="H384" i="157" a="1"/>
  <c r="C157" i="157" a="1"/>
  <c r="F157" i="157" a="1"/>
  <c r="G384" i="157" a="1"/>
  <c r="F384" i="157" a="1"/>
  <c r="I384" i="157" a="1"/>
  <c r="I157" i="157" a="1"/>
  <c r="D384" i="157" a="1"/>
  <c r="E157" i="157" a="1"/>
  <c r="G157" i="157" a="1"/>
  <c r="H157" i="157" a="1"/>
  <c r="J157" i="157" a="1"/>
  <c r="D157" i="157" a="1"/>
  <c r="A386" i="157"/>
  <c r="A159" i="157"/>
  <c r="J158" i="157" a="1"/>
  <c r="D158" i="157" a="1"/>
  <c r="G158" i="157" a="1"/>
  <c r="E385" i="157" a="1"/>
  <c r="F385" i="157" a="1"/>
  <c r="E158" i="157" a="1"/>
  <c r="D385" i="157" a="1"/>
  <c r="G385" i="157" a="1"/>
  <c r="I158" i="157" a="1"/>
  <c r="J385" i="157" a="1"/>
  <c r="H158" i="157" a="1"/>
  <c r="H385" i="157" a="1"/>
  <c r="C158" i="157" a="1"/>
  <c r="C385" i="157" a="1"/>
  <c r="F158" i="157" a="1"/>
  <c r="I385" i="157" a="1"/>
  <c r="A387" i="157"/>
  <c r="A160" i="157"/>
  <c r="C159" i="157" a="1"/>
  <c r="E386" i="157" a="1"/>
  <c r="I159" i="157" a="1"/>
  <c r="J159" i="157" a="1"/>
  <c r="C386" i="157" a="1"/>
  <c r="H159" i="157" a="1"/>
  <c r="F159" i="157" a="1"/>
  <c r="H386" i="157" a="1"/>
  <c r="G386" i="157" a="1"/>
  <c r="J386" i="157" a="1"/>
  <c r="E159" i="157" a="1"/>
  <c r="I386" i="157" a="1"/>
  <c r="D386" i="157" a="1"/>
  <c r="F386" i="157" a="1"/>
  <c r="G159" i="157" a="1"/>
  <c r="D159" i="157" a="1"/>
  <c r="A388" i="157"/>
  <c r="A161" i="157"/>
  <c r="J160" i="157" a="1"/>
  <c r="E387" i="157" a="1"/>
  <c r="J387" i="157" a="1"/>
  <c r="G160" i="157" a="1"/>
  <c r="H387" i="157" a="1"/>
  <c r="F160" i="157" a="1"/>
  <c r="I387" i="157" a="1"/>
  <c r="H160" i="157" a="1"/>
  <c r="C387" i="157" a="1"/>
  <c r="D160" i="157" a="1"/>
  <c r="C160" i="157" a="1"/>
  <c r="F387" i="157" a="1"/>
  <c r="I160" i="157" a="1"/>
  <c r="G387" i="157" a="1"/>
  <c r="D387" i="157" a="1"/>
  <c r="E160" i="157" a="1"/>
  <c r="A389" i="157"/>
  <c r="A162" i="157"/>
  <c r="E161" i="157" a="1"/>
  <c r="C161" i="157" a="1"/>
  <c r="D161" i="157" a="1"/>
  <c r="H161" i="157" a="1"/>
  <c r="G161" i="157" a="1"/>
  <c r="H388" i="157" a="1"/>
  <c r="E388" i="157" a="1"/>
  <c r="F161" i="157" a="1"/>
  <c r="J161" i="157" a="1"/>
  <c r="D388" i="157" a="1"/>
  <c r="F388" i="157" a="1"/>
  <c r="I161" i="157" a="1"/>
  <c r="J388" i="157" a="1"/>
  <c r="I388" i="157" a="1"/>
  <c r="C388" i="157" a="1"/>
  <c r="G388" i="157" a="1"/>
  <c r="A390" i="157"/>
  <c r="A163" i="157"/>
  <c r="E162" i="157" a="1"/>
  <c r="C162" i="157" a="1"/>
  <c r="E389" i="157" a="1"/>
  <c r="H389" i="157" a="1"/>
  <c r="C389" i="157" a="1"/>
  <c r="F389" i="157" a="1"/>
  <c r="I162" i="157" a="1"/>
  <c r="J162" i="157" a="1"/>
  <c r="H162" i="157" a="1"/>
  <c r="G162" i="157" a="1"/>
  <c r="J389" i="157" a="1"/>
  <c r="D162" i="157" a="1"/>
  <c r="D389" i="157" a="1"/>
  <c r="F162" i="157" a="1"/>
  <c r="I389" i="157" a="1"/>
  <c r="G389" i="157" a="1"/>
  <c r="A391" i="157"/>
  <c r="A164" i="157"/>
  <c r="E163" i="157" a="1"/>
  <c r="J390" i="157" a="1"/>
  <c r="E390" i="157" a="1"/>
  <c r="C390" i="157" a="1"/>
  <c r="H163" i="157" a="1"/>
  <c r="H390" i="157" a="1"/>
  <c r="G163" i="157" a="1"/>
  <c r="D163" i="157" a="1"/>
  <c r="C163" i="157" a="1"/>
  <c r="I390" i="157" a="1"/>
  <c r="F390" i="157" a="1"/>
  <c r="J163" i="157" a="1"/>
  <c r="F163" i="157" a="1"/>
  <c r="G390" i="157" a="1"/>
  <c r="D390" i="157" a="1"/>
  <c r="I163" i="157" a="1"/>
  <c r="A392" i="157"/>
  <c r="A165" i="157"/>
  <c r="I391" i="157" a="1"/>
  <c r="E164" i="157" a="1"/>
  <c r="J164" i="157" a="1"/>
  <c r="C164" i="157" a="1"/>
  <c r="D164" i="157" a="1"/>
  <c r="H164" i="157" a="1"/>
  <c r="I164" i="157" a="1"/>
  <c r="G164" i="157" a="1"/>
  <c r="J391" i="157" a="1"/>
  <c r="H391" i="157" a="1"/>
  <c r="F391" i="157" a="1"/>
  <c r="C391" i="157" a="1"/>
  <c r="E391" i="157" a="1"/>
  <c r="G391" i="157" a="1"/>
  <c r="F164" i="157" a="1"/>
  <c r="D391" i="157" a="1"/>
  <c r="A393" i="157"/>
  <c r="A166" i="157"/>
  <c r="G392" i="157" a="1"/>
  <c r="C392" i="157" a="1"/>
  <c r="J392" i="157" a="1"/>
  <c r="F392" i="157" a="1"/>
  <c r="H392" i="157" a="1"/>
  <c r="C165" i="157" a="1"/>
  <c r="D392" i="157" a="1"/>
  <c r="E392" i="157" a="1"/>
  <c r="E165" i="157" a="1"/>
  <c r="G165" i="157" a="1"/>
  <c r="D165" i="157" a="1"/>
  <c r="H165" i="157" a="1"/>
  <c r="I392" i="157" a="1"/>
  <c r="F165" i="157" a="1"/>
  <c r="J165" i="157" a="1"/>
  <c r="I165" i="157" a="1"/>
  <c r="A394" i="157"/>
  <c r="A167" i="157"/>
  <c r="I393" i="157" a="1"/>
  <c r="I166" i="157" a="1"/>
  <c r="F166" i="157" a="1"/>
  <c r="G166" i="157" a="1"/>
  <c r="H166" i="157" a="1"/>
  <c r="D393" i="157" a="1"/>
  <c r="C166" i="157" a="1"/>
  <c r="J393" i="157" a="1"/>
  <c r="E393" i="157" a="1"/>
  <c r="G393" i="157" a="1"/>
  <c r="E166" i="157" a="1"/>
  <c r="C393" i="157" a="1"/>
  <c r="H393" i="157" a="1"/>
  <c r="F393" i="157" a="1"/>
  <c r="D166" i="157" a="1"/>
  <c r="J166" i="157" a="1"/>
  <c r="A395" i="157"/>
  <c r="A168" i="157"/>
  <c r="E394" i="157" a="1"/>
  <c r="D394" i="157" a="1"/>
  <c r="C394" i="157" a="1"/>
  <c r="D167" i="157" a="1"/>
  <c r="G394" i="157" a="1"/>
  <c r="I394" i="157" a="1"/>
  <c r="E167" i="157" a="1"/>
  <c r="F394" i="157" a="1"/>
  <c r="H394" i="157" a="1"/>
  <c r="J394" i="157" a="1"/>
  <c r="F167" i="157" a="1"/>
  <c r="H167" i="157" a="1"/>
  <c r="J167" i="157" a="1"/>
  <c r="C167" i="157" a="1"/>
  <c r="G167" i="157" a="1"/>
  <c r="I167" i="157" a="1"/>
  <c r="A396" i="157"/>
  <c r="A169" i="157"/>
  <c r="D395" i="157" a="1"/>
  <c r="G395" i="157" a="1"/>
  <c r="J168" i="157" a="1"/>
  <c r="J395" i="157" a="1"/>
  <c r="F395" i="157" a="1"/>
  <c r="D168" i="157" a="1"/>
  <c r="F168" i="157" a="1"/>
  <c r="I395" i="157" a="1"/>
  <c r="E168" i="157" a="1"/>
  <c r="I168" i="157" a="1"/>
  <c r="H168" i="157" a="1"/>
  <c r="C168" i="157" a="1"/>
  <c r="C395" i="157" a="1"/>
  <c r="G168" i="157" a="1"/>
  <c r="H395" i="157" a="1"/>
  <c r="E395" i="157" a="1"/>
  <c r="A397" i="157"/>
  <c r="A170" i="157"/>
  <c r="E396" i="157" a="1"/>
  <c r="I396" i="157" a="1"/>
  <c r="G169" i="157" a="1"/>
  <c r="G396" i="157" a="1"/>
  <c r="F396" i="157" a="1"/>
  <c r="D396" i="157" a="1"/>
  <c r="C169" i="157" a="1"/>
  <c r="J396" i="157" a="1"/>
  <c r="H169" i="157" a="1"/>
  <c r="H396" i="157" a="1"/>
  <c r="C396" i="157" a="1"/>
  <c r="I169" i="157" a="1"/>
  <c r="E169" i="157" a="1"/>
  <c r="D169" i="157" a="1"/>
  <c r="F169" i="157" a="1"/>
  <c r="J169" i="157" a="1"/>
  <c r="A398" i="157"/>
  <c r="A171" i="157"/>
  <c r="J170" i="157" a="1"/>
  <c r="C397" i="157" a="1"/>
  <c r="I397" i="157" a="1"/>
  <c r="H397" i="157" a="1"/>
  <c r="E397" i="157" a="1"/>
  <c r="I170" i="157" a="1"/>
  <c r="J397" i="157" a="1"/>
  <c r="C170" i="157" a="1"/>
  <c r="D170" i="157" a="1"/>
  <c r="E170" i="157" a="1"/>
  <c r="H170" i="157" a="1"/>
  <c r="G170" i="157" a="1"/>
  <c r="D397" i="157" a="1"/>
  <c r="G397" i="157" a="1"/>
  <c r="F170" i="157" a="1"/>
  <c r="F397" i="157" a="1"/>
  <c r="A399" i="157"/>
  <c r="A172" i="157"/>
  <c r="G171" i="157" a="1"/>
  <c r="C398" i="157" a="1"/>
  <c r="I171" i="157" a="1"/>
  <c r="E398" i="157" a="1"/>
  <c r="C171" i="157" a="1"/>
  <c r="D171" i="157" a="1"/>
  <c r="D398" i="157" a="1"/>
  <c r="I398" i="157" a="1"/>
  <c r="H171" i="157" a="1"/>
  <c r="H398" i="157" a="1"/>
  <c r="G398" i="157" a="1"/>
  <c r="J171" i="157" a="1"/>
  <c r="J398" i="157" a="1"/>
  <c r="F398" i="157" a="1"/>
  <c r="F171" i="157" a="1"/>
  <c r="E171" i="157" a="1"/>
  <c r="A400" i="157"/>
  <c r="A173" i="157"/>
  <c r="E172" i="157" a="1"/>
  <c r="J172" i="157" a="1"/>
  <c r="G172" i="157" a="1"/>
  <c r="H399" i="157" a="1"/>
  <c r="F172" i="157" a="1"/>
  <c r="H172" i="157" a="1"/>
  <c r="F399" i="157" a="1"/>
  <c r="D399" i="157" a="1"/>
  <c r="D172" i="157" a="1"/>
  <c r="E399" i="157" a="1"/>
  <c r="J399" i="157" a="1"/>
  <c r="C399" i="157" a="1"/>
  <c r="I172" i="157" a="1"/>
  <c r="G399" i="157" a="1"/>
  <c r="C172" i="157" a="1"/>
  <c r="I399" i="157" a="1"/>
  <c r="A401" i="157"/>
  <c r="A174" i="157"/>
  <c r="J173" i="157" a="1"/>
  <c r="G400" i="157" a="1"/>
  <c r="F400" i="157" a="1"/>
  <c r="E173" i="157" a="1"/>
  <c r="D173" i="157" a="1"/>
  <c r="E400" i="157" a="1"/>
  <c r="C173" i="157" a="1"/>
  <c r="F173" i="157" a="1"/>
  <c r="H173" i="157" a="1"/>
  <c r="J400" i="157" a="1"/>
  <c r="H400" i="157" a="1"/>
  <c r="C400" i="157" a="1"/>
  <c r="I400" i="157" a="1"/>
  <c r="I173" i="157" a="1"/>
  <c r="G173" i="157" a="1"/>
  <c r="D400" i="157" a="1"/>
  <c r="A402" i="157"/>
  <c r="A175" i="157"/>
  <c r="C401" i="157" a="1"/>
  <c r="I401" i="157" a="1"/>
  <c r="D401" i="157" a="1"/>
  <c r="I174" i="157" a="1"/>
  <c r="H174" i="157" a="1"/>
  <c r="F174" i="157" a="1"/>
  <c r="E401" i="157" a="1"/>
  <c r="H401" i="157" a="1"/>
  <c r="C174" i="157" a="1"/>
  <c r="F401" i="157" a="1"/>
  <c r="J174" i="157" a="1"/>
  <c r="J401" i="157" a="1"/>
  <c r="G401" i="157" a="1"/>
  <c r="G174" i="157" a="1"/>
  <c r="D174" i="157" a="1"/>
  <c r="E174" i="157" a="1"/>
  <c r="A403" i="157"/>
  <c r="A176" i="157"/>
  <c r="I402" i="157" a="1"/>
  <c r="E402" i="157" a="1"/>
  <c r="J175" i="157" a="1"/>
  <c r="C175" i="157" a="1"/>
  <c r="F175" i="157" a="1"/>
  <c r="E175" i="157" a="1"/>
  <c r="H402" i="157" a="1"/>
  <c r="I175" i="157" a="1"/>
  <c r="C402" i="157" a="1"/>
  <c r="G175" i="157" a="1"/>
  <c r="F402" i="157" a="1"/>
  <c r="J402" i="157" a="1"/>
  <c r="H175" i="157" a="1"/>
  <c r="D175" i="157" a="1"/>
  <c r="G402" i="157" a="1"/>
  <c r="D402" i="157" a="1"/>
  <c r="A404" i="157"/>
  <c r="A177" i="157"/>
  <c r="H403" i="157" a="1"/>
  <c r="G403" i="157" a="1"/>
  <c r="I403" i="157" a="1"/>
  <c r="E176" i="157" a="1"/>
  <c r="D176" i="157" a="1"/>
  <c r="F176" i="157" a="1"/>
  <c r="C176" i="157" a="1"/>
  <c r="J403" i="157" a="1"/>
  <c r="E403" i="157" a="1"/>
  <c r="D403" i="157" a="1"/>
  <c r="I176" i="157" a="1"/>
  <c r="F403" i="157" a="1"/>
  <c r="G176" i="157" a="1"/>
  <c r="C403" i="157" a="1"/>
  <c r="H176" i="157" a="1"/>
  <c r="J176" i="157" a="1"/>
  <c r="A405" i="157"/>
  <c r="A178" i="157"/>
  <c r="C404" i="157" a="1"/>
  <c r="I177" i="157" a="1"/>
  <c r="J177" i="157" a="1"/>
  <c r="C177" i="157" a="1"/>
  <c r="I404" i="157" a="1"/>
  <c r="F404" i="157" a="1"/>
  <c r="D177" i="157" a="1"/>
  <c r="H177" i="157" a="1"/>
  <c r="D404" i="157" a="1"/>
  <c r="H404" i="157" a="1"/>
  <c r="F177" i="157" a="1"/>
  <c r="E177" i="157" a="1"/>
  <c r="G177" i="157" a="1"/>
  <c r="G404" i="157" a="1"/>
  <c r="E404" i="157" a="1"/>
  <c r="J404" i="157" a="1"/>
  <c r="A406" i="157"/>
  <c r="A179" i="157"/>
  <c r="C405" i="157" a="1"/>
  <c r="J178" i="157" a="1"/>
  <c r="D405" i="157" a="1"/>
  <c r="J405" i="157" a="1"/>
  <c r="E405" i="157" a="1"/>
  <c r="I405" i="157" a="1"/>
  <c r="G405" i="157" a="1"/>
  <c r="G178" i="157" a="1"/>
  <c r="D178" i="157" a="1"/>
  <c r="F405" i="157" a="1"/>
  <c r="E178" i="157" a="1"/>
  <c r="C178" i="157" a="1"/>
  <c r="F178" i="157" a="1"/>
  <c r="I178" i="157" a="1"/>
  <c r="H405" i="157" a="1"/>
  <c r="H178" i="157" a="1"/>
  <c r="A407" i="157"/>
  <c r="A180" i="157"/>
  <c r="C179" i="157" a="1"/>
  <c r="D406" i="157" a="1"/>
  <c r="E179" i="157" a="1"/>
  <c r="C406" i="157" a="1"/>
  <c r="J406" i="157" a="1"/>
  <c r="H406" i="157" a="1"/>
  <c r="E406" i="157" a="1"/>
  <c r="I179" i="157" a="1"/>
  <c r="I406" i="157" a="1"/>
  <c r="H179" i="157" a="1"/>
  <c r="F406" i="157" a="1"/>
  <c r="F179" i="157" a="1"/>
  <c r="J179" i="157" a="1"/>
  <c r="G179" i="157" a="1"/>
  <c r="D179" i="157" a="1"/>
  <c r="G406" i="157" a="1"/>
  <c r="A408" i="157"/>
  <c r="A181" i="157"/>
  <c r="J180" i="157" a="1"/>
  <c r="J407" i="157" a="1"/>
  <c r="I180" i="157" a="1"/>
  <c r="I407" i="157" a="1"/>
  <c r="E180" i="157" a="1"/>
  <c r="F407" i="157" a="1"/>
  <c r="D180" i="157" a="1"/>
  <c r="C180" i="157" a="1"/>
  <c r="F180" i="157" a="1"/>
  <c r="H407" i="157" a="1"/>
  <c r="G407" i="157" a="1"/>
  <c r="E407" i="157" a="1"/>
  <c r="C407" i="157" a="1"/>
  <c r="D407" i="157" a="1"/>
  <c r="H180" i="157" a="1"/>
  <c r="G180" i="157" a="1"/>
  <c r="A409" i="157"/>
  <c r="A182" i="157"/>
  <c r="D408" i="157" a="1"/>
  <c r="D181" i="157" a="1"/>
  <c r="J181" i="157" a="1"/>
  <c r="F181" i="157" a="1"/>
  <c r="I181" i="157" a="1"/>
  <c r="E408" i="157" a="1"/>
  <c r="G408" i="157" a="1"/>
  <c r="J408" i="157" a="1"/>
  <c r="H408" i="157" a="1"/>
  <c r="I408" i="157" a="1"/>
  <c r="H181" i="157" a="1"/>
  <c r="G181" i="157" a="1"/>
  <c r="F408" i="157" a="1"/>
  <c r="E181" i="157" a="1"/>
  <c r="C408" i="157" a="1"/>
  <c r="C181" i="157" a="1"/>
  <c r="A410" i="157"/>
  <c r="A183" i="157"/>
  <c r="E409" i="157" a="1"/>
  <c r="F409" i="157" a="1"/>
  <c r="I182" i="157" a="1"/>
  <c r="J409" i="157" a="1"/>
  <c r="C409" i="157" a="1"/>
  <c r="C182" i="157" a="1"/>
  <c r="E182" i="157" a="1"/>
  <c r="I409" i="157" a="1"/>
  <c r="G182" i="157" a="1"/>
  <c r="J182" i="157" a="1"/>
  <c r="D182" i="157" a="1"/>
  <c r="D409" i="157" a="1"/>
  <c r="F182" i="157" a="1"/>
  <c r="H182" i="157" a="1"/>
  <c r="G409" i="157" a="1"/>
  <c r="H409" i="157" a="1"/>
  <c r="A411" i="157"/>
  <c r="A184" i="157"/>
  <c r="C183" i="157" a="1"/>
  <c r="J183" i="157" a="1"/>
  <c r="G410" i="157" a="1"/>
  <c r="C410" i="157" a="1"/>
  <c r="E410" i="157" a="1"/>
  <c r="J410" i="157" a="1"/>
  <c r="G183" i="157" a="1"/>
  <c r="H410" i="157" a="1"/>
  <c r="F410" i="157" a="1"/>
  <c r="E183" i="157" a="1"/>
  <c r="D410" i="157" a="1"/>
  <c r="F183" i="157" a="1"/>
  <c r="I410" i="157" a="1"/>
  <c r="D183" i="157" a="1"/>
  <c r="I183" i="157" a="1"/>
  <c r="H183" i="157" a="1"/>
  <c r="A412" i="157"/>
  <c r="A185" i="157"/>
  <c r="I184" i="157" a="1"/>
  <c r="J411" i="157" a="1"/>
  <c r="H411" i="157" a="1"/>
  <c r="I411" i="157" a="1"/>
  <c r="E411" i="157" a="1"/>
  <c r="C411" i="157" a="1"/>
  <c r="D184" i="157" a="1"/>
  <c r="G184" i="157" a="1"/>
  <c r="F411" i="157" a="1"/>
  <c r="F184" i="157" a="1"/>
  <c r="D411" i="157" a="1"/>
  <c r="E184" i="157" a="1"/>
  <c r="J184" i="157" a="1"/>
  <c r="H184" i="157" a="1"/>
  <c r="C184" i="157" a="1"/>
  <c r="G411" i="157" a="1"/>
  <c r="A413" i="157"/>
  <c r="A186" i="157"/>
  <c r="H412" i="157" a="1"/>
  <c r="H185" i="157" a="1"/>
  <c r="E185" i="157" a="1"/>
  <c r="I412" i="157" a="1"/>
  <c r="J185" i="157" a="1"/>
  <c r="D412" i="157" a="1"/>
  <c r="C412" i="157" a="1"/>
  <c r="C185" i="157" a="1"/>
  <c r="F412" i="157" a="1"/>
  <c r="D185" i="157" a="1"/>
  <c r="G185" i="157" a="1"/>
  <c r="F185" i="157" a="1"/>
  <c r="E412" i="157" a="1"/>
  <c r="I185" i="157" a="1"/>
  <c r="J412" i="157" a="1"/>
  <c r="G412" i="157" a="1"/>
  <c r="A414" i="157"/>
  <c r="A187" i="157"/>
  <c r="H413" i="157" a="1"/>
  <c r="G413" i="157" a="1"/>
  <c r="F413" i="157" a="1"/>
  <c r="I413" i="157" a="1"/>
  <c r="D186" i="157" a="1"/>
  <c r="G186" i="157" a="1"/>
  <c r="F186" i="157" a="1"/>
  <c r="C186" i="157" a="1"/>
  <c r="C413" i="157" a="1"/>
  <c r="E186" i="157" a="1"/>
  <c r="J186" i="157" a="1"/>
  <c r="I186" i="157" a="1"/>
  <c r="D413" i="157" a="1"/>
  <c r="H186" i="157" a="1"/>
  <c r="E413" i="157" a="1"/>
  <c r="J413" i="157" a="1"/>
  <c r="A415" i="157"/>
  <c r="A188" i="157"/>
  <c r="D187" i="157" a="1"/>
  <c r="E187" i="157" a="1"/>
  <c r="G414" i="157" a="1"/>
  <c r="I187" i="157" a="1"/>
  <c r="E414" i="157" a="1"/>
  <c r="C414" i="157" a="1"/>
  <c r="C187" i="157" a="1"/>
  <c r="F187" i="157" a="1"/>
  <c r="H187" i="157" a="1"/>
  <c r="F414" i="157" a="1"/>
  <c r="J414" i="157" a="1"/>
  <c r="H414" i="157" a="1"/>
  <c r="I414" i="157" a="1"/>
  <c r="D414" i="157" a="1"/>
  <c r="G187" i="157" a="1"/>
  <c r="J187" i="157" a="1"/>
  <c r="A416" i="157"/>
  <c r="A189" i="157"/>
  <c r="I188" i="157" a="1"/>
  <c r="F188" i="157" a="1"/>
  <c r="E415" i="157" a="1"/>
  <c r="D188" i="157" a="1"/>
  <c r="G415" i="157" a="1"/>
  <c r="C188" i="157" a="1"/>
  <c r="F415" i="157" a="1"/>
  <c r="E188" i="157" a="1"/>
  <c r="D415" i="157" a="1"/>
  <c r="H188" i="157" a="1"/>
  <c r="C415" i="157" a="1"/>
  <c r="I415" i="157" a="1"/>
  <c r="G188" i="157" a="1"/>
  <c r="J188" i="157" a="1"/>
  <c r="H415" i="157" a="1"/>
  <c r="J415" i="157" a="1"/>
  <c r="A417" i="157"/>
  <c r="A190" i="157"/>
  <c r="H416" i="157" a="1"/>
  <c r="E189" i="157" a="1"/>
  <c r="C189" i="157" a="1"/>
  <c r="F416" i="157" a="1"/>
  <c r="D416" i="157" a="1"/>
  <c r="C416" i="157" a="1"/>
  <c r="H189" i="157" a="1"/>
  <c r="G189" i="157" a="1"/>
  <c r="J416" i="157" a="1"/>
  <c r="I189" i="157" a="1"/>
  <c r="D189" i="157" a="1"/>
  <c r="I416" i="157" a="1"/>
  <c r="F189" i="157" a="1"/>
  <c r="E416" i="157" a="1"/>
  <c r="G416" i="157" a="1"/>
  <c r="J189" i="157" a="1"/>
  <c r="A418" i="157"/>
  <c r="A191" i="157"/>
  <c r="G190" i="157" a="1"/>
  <c r="C190" i="157" a="1"/>
  <c r="G417" i="157" a="1"/>
  <c r="F190" i="157" a="1"/>
  <c r="D417" i="157" a="1"/>
  <c r="I417" i="157" a="1"/>
  <c r="H190" i="157" a="1"/>
  <c r="E417" i="157" a="1"/>
  <c r="J190" i="157" a="1"/>
  <c r="F417" i="157" a="1"/>
  <c r="D190" i="157" a="1"/>
  <c r="H417" i="157" a="1"/>
  <c r="J417" i="157" a="1"/>
  <c r="E190" i="157" a="1"/>
  <c r="I190" i="157" a="1"/>
  <c r="C417" i="157" a="1"/>
  <c r="A419" i="157"/>
  <c r="A192" i="157"/>
  <c r="F418" i="157" a="1"/>
  <c r="D191" i="157" a="1"/>
  <c r="C418" i="157" a="1"/>
  <c r="H418" i="157" a="1"/>
  <c r="G418" i="157" a="1"/>
  <c r="I418" i="157" a="1"/>
  <c r="J418" i="157" a="1"/>
  <c r="F191" i="157" a="1"/>
  <c r="H191" i="157" a="1"/>
  <c r="I191" i="157" a="1"/>
  <c r="G191" i="157" a="1"/>
  <c r="J191" i="157" a="1"/>
  <c r="E191" i="157" a="1"/>
  <c r="C191" i="157" a="1"/>
  <c r="D418" i="157" a="1"/>
  <c r="E418" i="157" a="1"/>
  <c r="A420" i="157"/>
  <c r="A193" i="157"/>
  <c r="C192" i="157" a="1"/>
  <c r="I192" i="157" a="1"/>
  <c r="J419" i="157" a="1"/>
  <c r="H419" i="157" a="1"/>
  <c r="J192" i="157" a="1"/>
  <c r="G419" i="157" a="1"/>
  <c r="E419" i="157" a="1"/>
  <c r="E192" i="157" a="1"/>
  <c r="C419" i="157" a="1"/>
  <c r="F419" i="157" a="1"/>
  <c r="I419" i="157" a="1"/>
  <c r="H192" i="157" a="1"/>
  <c r="D419" i="157" a="1"/>
  <c r="F192" i="157" a="1"/>
  <c r="G192" i="157" a="1"/>
  <c r="D192" i="157" a="1"/>
  <c r="A421" i="157"/>
  <c r="A194" i="157"/>
  <c r="G193" i="157" a="1"/>
  <c r="F420" i="157" a="1"/>
  <c r="G420" i="157" a="1"/>
  <c r="I193" i="157" a="1"/>
  <c r="E420" i="157" a="1"/>
  <c r="H420" i="157" a="1"/>
  <c r="H193" i="157" a="1"/>
  <c r="D420" i="157" a="1"/>
  <c r="D193" i="157" a="1"/>
  <c r="E193" i="157" a="1"/>
  <c r="C420" i="157" a="1"/>
  <c r="C193" i="157" a="1"/>
  <c r="I420" i="157" a="1"/>
  <c r="J420" i="157" a="1"/>
  <c r="J193" i="157" a="1"/>
  <c r="F193" i="157" a="1"/>
  <c r="A422" i="157"/>
  <c r="A195" i="157"/>
  <c r="E421" i="157" a="1"/>
  <c r="C194" i="157" a="1"/>
  <c r="I194" i="157" a="1"/>
  <c r="H194" i="157" a="1"/>
  <c r="E194" i="157" a="1"/>
  <c r="G194" i="157" a="1"/>
  <c r="C421" i="157" a="1"/>
  <c r="H421" i="157" a="1"/>
  <c r="J194" i="157" a="1"/>
  <c r="I421" i="157" a="1"/>
  <c r="F194" i="157" a="1"/>
  <c r="D421" i="157" a="1"/>
  <c r="F421" i="157" a="1"/>
  <c r="D194" i="157" a="1"/>
  <c r="G421" i="157" a="1"/>
  <c r="J421" i="157" a="1"/>
  <c r="A423" i="157"/>
  <c r="A196" i="157"/>
  <c r="C422" i="157" a="1"/>
  <c r="H195" i="157" a="1"/>
  <c r="J195" i="157" a="1"/>
  <c r="D195" i="157" a="1"/>
  <c r="C195" i="157" a="1"/>
  <c r="E195" i="157" a="1"/>
  <c r="E422" i="157" a="1"/>
  <c r="G422" i="157" a="1"/>
  <c r="I422" i="157" a="1"/>
  <c r="D422" i="157" a="1"/>
  <c r="H422" i="157" a="1"/>
  <c r="J422" i="157" a="1"/>
  <c r="F422" i="157" a="1"/>
  <c r="I195" i="157" a="1"/>
  <c r="G195" i="157" a="1"/>
  <c r="F195" i="157" a="1"/>
  <c r="A424" i="157"/>
  <c r="A197" i="157"/>
  <c r="D196" i="157" a="1"/>
  <c r="F196" i="157" a="1"/>
  <c r="E423" i="157" a="1"/>
  <c r="C196" i="157" a="1"/>
  <c r="H423" i="157" a="1"/>
  <c r="H196" i="157" a="1"/>
  <c r="G423" i="157" a="1"/>
  <c r="I423" i="157" a="1"/>
  <c r="G196" i="157" a="1"/>
  <c r="E196" i="157" a="1"/>
  <c r="C423" i="157" a="1"/>
  <c r="F423" i="157" a="1"/>
  <c r="J423" i="157" a="1"/>
  <c r="J196" i="157" a="1"/>
  <c r="I196" i="157" a="1"/>
  <c r="D423" i="157" a="1"/>
  <c r="A425" i="157"/>
  <c r="A198" i="157"/>
  <c r="G197" i="157" a="1"/>
  <c r="F424" i="157" a="1"/>
  <c r="D197" i="157" a="1"/>
  <c r="E424" i="157" a="1"/>
  <c r="H197" i="157" a="1"/>
  <c r="E197" i="157" a="1"/>
  <c r="J424" i="157" a="1"/>
  <c r="I424" i="157" a="1"/>
  <c r="H424" i="157" a="1"/>
  <c r="D424" i="157" a="1"/>
  <c r="F197" i="157" a="1"/>
  <c r="I197" i="157" a="1"/>
  <c r="C424" i="157" a="1"/>
  <c r="G424" i="157" a="1"/>
  <c r="C197" i="157" a="1"/>
  <c r="J197" i="157" a="1"/>
  <c r="A426" i="157"/>
  <c r="A199" i="157"/>
  <c r="F198" i="157" a="1"/>
  <c r="F425" i="157" a="1"/>
  <c r="G198" i="157" a="1"/>
  <c r="H425" i="157" a="1"/>
  <c r="I425" i="157" a="1"/>
  <c r="J425" i="157" a="1"/>
  <c r="C198" i="157" a="1"/>
  <c r="D425" i="157" a="1"/>
  <c r="G425" i="157" a="1"/>
  <c r="E198" i="157" a="1"/>
  <c r="J198" i="157" a="1"/>
  <c r="C425" i="157" a="1"/>
  <c r="E425" i="157" a="1"/>
  <c r="D198" i="157" a="1"/>
  <c r="I198" i="157" a="1"/>
  <c r="H198" i="157" a="1"/>
  <c r="A427" i="157"/>
  <c r="A200" i="157"/>
  <c r="G199" i="157" a="1"/>
  <c r="C199" i="157" a="1"/>
  <c r="F426" i="157" a="1"/>
  <c r="G426" i="157" a="1"/>
  <c r="H426" i="157" a="1"/>
  <c r="J199" i="157" a="1"/>
  <c r="E426" i="157" a="1"/>
  <c r="F199" i="157" a="1"/>
  <c r="E199" i="157" a="1"/>
  <c r="D426" i="157" a="1"/>
  <c r="D199" i="157" a="1"/>
  <c r="I426" i="157" a="1"/>
  <c r="I199" i="157" a="1"/>
  <c r="J426" i="157" a="1"/>
  <c r="H199" i="157" a="1"/>
  <c r="C426" i="157" a="1"/>
  <c r="A428" i="157"/>
  <c r="A201" i="157"/>
  <c r="D200" i="157" a="1"/>
  <c r="F200" i="157" a="1"/>
  <c r="H200" i="157" a="1"/>
  <c r="C427" i="157" a="1"/>
  <c r="E200" i="157" a="1"/>
  <c r="H427" i="157" a="1"/>
  <c r="D427" i="157" a="1"/>
  <c r="I427" i="157" a="1"/>
  <c r="G200" i="157" a="1"/>
  <c r="J427" i="157" a="1"/>
  <c r="E427" i="157" a="1"/>
  <c r="C200" i="157" a="1"/>
  <c r="F427" i="157" a="1"/>
  <c r="J200" i="157" a="1"/>
  <c r="I200" i="157" a="1"/>
  <c r="G427" i="157" a="1"/>
  <c r="A429" i="157"/>
  <c r="A202" i="157"/>
  <c r="H201" i="157" a="1"/>
  <c r="D201" i="157" a="1"/>
  <c r="E428" i="157" a="1"/>
  <c r="E201" i="157" a="1"/>
  <c r="H428" i="157" a="1"/>
  <c r="I428" i="157" a="1"/>
  <c r="C428" i="157" a="1"/>
  <c r="D428" i="157" a="1"/>
  <c r="F428" i="157" a="1"/>
  <c r="I201" i="157" a="1"/>
  <c r="G428" i="157" a="1"/>
  <c r="G201" i="157" a="1"/>
  <c r="J201" i="157" a="1"/>
  <c r="F201" i="157" a="1"/>
  <c r="J428" i="157" a="1"/>
  <c r="C201" i="157" a="1"/>
  <c r="A430" i="157"/>
  <c r="A203" i="157"/>
  <c r="J429" i="157" a="1"/>
  <c r="J202" i="157" a="1"/>
  <c r="G429" i="157" a="1"/>
  <c r="E202" i="157" a="1"/>
  <c r="F429" i="157" a="1"/>
  <c r="I202" i="157" a="1"/>
  <c r="F202" i="157" a="1"/>
  <c r="D429" i="157" a="1"/>
  <c r="H202" i="157" a="1"/>
  <c r="H429" i="157" a="1"/>
  <c r="C202" i="157" a="1"/>
  <c r="D202" i="157" a="1"/>
  <c r="C429" i="157" a="1"/>
  <c r="E429" i="157" a="1"/>
  <c r="G202" i="157" a="1"/>
  <c r="I429" i="157" a="1"/>
  <c r="A431" i="157"/>
  <c r="A204" i="157"/>
  <c r="H430" i="157" a="1"/>
  <c r="F203" i="157" a="1"/>
  <c r="I430" i="157" a="1"/>
  <c r="C430" i="157" a="1"/>
  <c r="G430" i="157" a="1"/>
  <c r="C203" i="157" a="1"/>
  <c r="H203" i="157" a="1"/>
  <c r="D430" i="157" a="1"/>
  <c r="E203" i="157" a="1"/>
  <c r="I203" i="157" a="1"/>
  <c r="D203" i="157" a="1"/>
  <c r="F430" i="157" a="1"/>
  <c r="J430" i="157" a="1"/>
  <c r="E430" i="157" a="1"/>
  <c r="J203" i="157" a="1"/>
  <c r="G203" i="157" a="1"/>
  <c r="A432" i="157"/>
  <c r="A205" i="157"/>
  <c r="D431" i="157" a="1"/>
  <c r="F431" i="157" a="1"/>
  <c r="H431" i="157" a="1"/>
  <c r="C204" i="157" a="1"/>
  <c r="I431" i="157" a="1"/>
  <c r="J431" i="157" a="1"/>
  <c r="G204" i="157" a="1"/>
  <c r="C431" i="157" a="1"/>
  <c r="J204" i="157" a="1"/>
  <c r="D204" i="157" a="1"/>
  <c r="E204" i="157" a="1"/>
  <c r="G431" i="157" a="1"/>
  <c r="F204" i="157" a="1"/>
  <c r="I204" i="157" a="1"/>
  <c r="E431" i="157" a="1"/>
  <c r="H204" i="157" a="1"/>
  <c r="A433" i="157"/>
  <c r="A206" i="157"/>
  <c r="I432" i="157" a="1"/>
  <c r="D432" i="157" a="1"/>
  <c r="C205" i="157" a="1"/>
  <c r="I205" i="157" a="1"/>
  <c r="F205" i="157" a="1"/>
  <c r="G432" i="157" a="1"/>
  <c r="G205" i="157" a="1"/>
  <c r="H205" i="157" a="1"/>
  <c r="J205" i="157" a="1"/>
  <c r="F432" i="157" a="1"/>
  <c r="H432" i="157" a="1"/>
  <c r="E205" i="157" a="1"/>
  <c r="E432" i="157" a="1"/>
  <c r="C432" i="157" a="1"/>
  <c r="J432" i="157" a="1"/>
  <c r="D205" i="157" a="1"/>
  <c r="A434" i="157"/>
  <c r="A207" i="157"/>
  <c r="J206" i="157" a="1"/>
  <c r="H206" i="157" a="1"/>
  <c r="H433" i="157" a="1"/>
  <c r="E433" i="157" a="1"/>
  <c r="G206" i="157" a="1"/>
  <c r="F206" i="157" a="1"/>
  <c r="D206" i="157" a="1"/>
  <c r="F433" i="157" a="1"/>
  <c r="E206" i="157" a="1"/>
  <c r="C433" i="157" a="1"/>
  <c r="G433" i="157" a="1"/>
  <c r="I433" i="157" a="1"/>
  <c r="J433" i="157" a="1"/>
  <c r="C206" i="157" a="1"/>
  <c r="D433" i="157" a="1"/>
  <c r="I206" i="157" a="1"/>
  <c r="A435" i="157"/>
  <c r="A208" i="157"/>
  <c r="H207" i="157" a="1"/>
  <c r="F207" i="157" a="1"/>
  <c r="J207" i="157" a="1"/>
  <c r="D207" i="157" a="1"/>
  <c r="J434" i="157" a="1"/>
  <c r="E207" i="157" a="1"/>
  <c r="C207" i="157" a="1"/>
  <c r="I434" i="157" a="1"/>
  <c r="I207" i="157" a="1"/>
  <c r="C434" i="157" a="1"/>
  <c r="H434" i="157" a="1"/>
  <c r="G434" i="157" a="1"/>
  <c r="E434" i="157" a="1"/>
  <c r="D434" i="157" a="1"/>
  <c r="G207" i="157" a="1"/>
  <c r="F434" i="157" a="1"/>
  <c r="A436" i="157"/>
  <c r="A209" i="157"/>
  <c r="G208" i="157" a="1"/>
  <c r="C435" i="157" a="1"/>
  <c r="I435" i="157" a="1"/>
  <c r="J208" i="157" a="1"/>
  <c r="G435" i="157" a="1"/>
  <c r="F208" i="157" a="1"/>
  <c r="C208" i="157" a="1"/>
  <c r="H208" i="157" a="1"/>
  <c r="D435" i="157" a="1"/>
  <c r="E208" i="157" a="1"/>
  <c r="E435" i="157" a="1"/>
  <c r="J435" i="157" a="1"/>
  <c r="H435" i="157" a="1"/>
  <c r="F435" i="157" a="1"/>
  <c r="D208" i="157" a="1"/>
  <c r="I208" i="157" a="1"/>
  <c r="A437" i="157"/>
  <c r="A210" i="157"/>
  <c r="D209" i="157" a="1"/>
  <c r="C209" i="157" a="1"/>
  <c r="E436" i="157" a="1"/>
  <c r="D436" i="157" a="1"/>
  <c r="I436" i="157" a="1"/>
  <c r="J209" i="157" a="1"/>
  <c r="G209" i="157" a="1"/>
  <c r="F436" i="157" a="1"/>
  <c r="J436" i="157" a="1"/>
  <c r="H436" i="157" a="1"/>
  <c r="E209" i="157" a="1"/>
  <c r="H209" i="157" a="1"/>
  <c r="I209" i="157" a="1"/>
  <c r="F209" i="157" a="1"/>
  <c r="C436" i="157" a="1"/>
  <c r="G436" i="157" a="1"/>
  <c r="A438" i="157"/>
  <c r="A211" i="157"/>
  <c r="D437" i="157" a="1"/>
  <c r="J437" i="157" a="1"/>
  <c r="E210" i="157" a="1"/>
  <c r="F210" i="157" a="1"/>
  <c r="J210" i="157" a="1"/>
  <c r="C437" i="157" a="1"/>
  <c r="C210" i="157" a="1"/>
  <c r="F437" i="157" a="1"/>
  <c r="E437" i="157" a="1"/>
  <c r="H437" i="157" a="1"/>
  <c r="D210" i="157" a="1"/>
  <c r="H210" i="157" a="1"/>
  <c r="G210" i="157" a="1"/>
  <c r="I437" i="157" a="1"/>
  <c r="I210" i="157" a="1"/>
  <c r="G437" i="157" a="1"/>
  <c r="A439" i="157"/>
  <c r="A212" i="157"/>
  <c r="I211" i="157" a="1"/>
  <c r="H211" i="157" a="1"/>
  <c r="C211" i="157" a="1"/>
  <c r="E211" i="157" a="1"/>
  <c r="F211" i="157" a="1"/>
  <c r="G438" i="157" a="1"/>
  <c r="D211" i="157" a="1"/>
  <c r="E438" i="157" a="1"/>
  <c r="G211" i="157" a="1"/>
  <c r="H438" i="157" a="1"/>
  <c r="I438" i="157" a="1"/>
  <c r="D438" i="157" a="1"/>
  <c r="F438" i="157" a="1"/>
  <c r="C438" i="157" a="1"/>
  <c r="J211" i="157" a="1"/>
  <c r="J438" i="157" a="1"/>
  <c r="A440" i="157"/>
  <c r="A213" i="157"/>
  <c r="G439" i="157" a="1"/>
  <c r="I212" i="157" a="1"/>
  <c r="E212" i="157" a="1"/>
  <c r="C439" i="157" a="1"/>
  <c r="D212" i="157" a="1"/>
  <c r="H439" i="157" a="1"/>
  <c r="C212" i="157" a="1"/>
  <c r="I439" i="157" a="1"/>
  <c r="E439" i="157" a="1"/>
  <c r="J212" i="157" a="1"/>
  <c r="F212" i="157" a="1"/>
  <c r="H212" i="157" a="1"/>
  <c r="D439" i="157" a="1"/>
  <c r="F439" i="157" a="1"/>
  <c r="G212" i="157" a="1"/>
  <c r="J439" i="157" a="1"/>
  <c r="A441" i="157"/>
  <c r="A214" i="157"/>
  <c r="H440" i="157" a="1"/>
  <c r="E213" i="157" a="1"/>
  <c r="F213" i="157" a="1"/>
  <c r="D213" i="157" a="1"/>
  <c r="J440" i="157" a="1"/>
  <c r="I213" i="157" a="1"/>
  <c r="I440" i="157" a="1"/>
  <c r="D440" i="157" a="1"/>
  <c r="G213" i="157" a="1"/>
  <c r="C213" i="157" a="1"/>
  <c r="J213" i="157" a="1"/>
  <c r="C440" i="157" a="1"/>
  <c r="F440" i="157" a="1"/>
  <c r="E440" i="157" a="1"/>
  <c r="H213" i="157" a="1"/>
  <c r="G440" i="157" a="1"/>
  <c r="A442" i="157"/>
  <c r="A215" i="157"/>
  <c r="J441" i="157" a="1"/>
  <c r="I441" i="157" a="1"/>
  <c r="F214" i="157" a="1"/>
  <c r="E214" i="157" a="1"/>
  <c r="D441" i="157" a="1"/>
  <c r="G214" i="157" a="1"/>
  <c r="F441" i="157" a="1"/>
  <c r="J214" i="157" a="1"/>
  <c r="H214" i="157" a="1"/>
  <c r="D214" i="157" a="1"/>
  <c r="C441" i="157" a="1"/>
  <c r="G441" i="157" a="1"/>
  <c r="E441" i="157" a="1"/>
  <c r="C214" i="157" a="1"/>
  <c r="H441" i="157" a="1"/>
  <c r="I214" i="157" a="1"/>
  <c r="A443" i="157"/>
  <c r="A216" i="157"/>
  <c r="E442" i="157" a="1"/>
  <c r="F442" i="157" a="1"/>
  <c r="H215" i="157" a="1"/>
  <c r="H442" i="157" a="1"/>
  <c r="J215" i="157" a="1"/>
  <c r="D442" i="157" a="1"/>
  <c r="G442" i="157" a="1"/>
  <c r="E215" i="157" a="1"/>
  <c r="D215" i="157" a="1"/>
  <c r="I215" i="157" a="1"/>
  <c r="G215" i="157" a="1"/>
  <c r="F215" i="157" a="1"/>
  <c r="C442" i="157" a="1"/>
  <c r="J442" i="157" a="1"/>
  <c r="C215" i="157" a="1"/>
  <c r="I442" i="157" a="1"/>
  <c r="A444" i="157"/>
  <c r="A217" i="157"/>
  <c r="I216" i="157" a="1"/>
  <c r="G216" i="157" a="1"/>
  <c r="D216" i="157" a="1"/>
  <c r="E443" i="157" a="1"/>
  <c r="J216" i="157" a="1"/>
  <c r="H216" i="157" a="1"/>
  <c r="I443" i="157" a="1"/>
  <c r="D443" i="157" a="1"/>
  <c r="J443" i="157" a="1"/>
  <c r="G443" i="157" a="1"/>
  <c r="H443" i="157" a="1"/>
  <c r="F443" i="157" a="1"/>
  <c r="E216" i="157" a="1"/>
  <c r="F216" i="157" a="1"/>
  <c r="C216" i="157" a="1"/>
  <c r="C443" i="157" a="1"/>
  <c r="A445" i="157"/>
  <c r="A218" i="157"/>
  <c r="E217" i="157" a="1"/>
  <c r="H444" i="157" a="1"/>
  <c r="D217" i="157" a="1"/>
  <c r="J444" i="157" a="1"/>
  <c r="G444" i="157" a="1"/>
  <c r="J217" i="157" a="1"/>
  <c r="I444" i="157" a="1"/>
  <c r="I217" i="157" a="1"/>
  <c r="E444" i="157" a="1"/>
  <c r="F217" i="157" a="1"/>
  <c r="C444" i="157" a="1"/>
  <c r="D444" i="157" a="1"/>
  <c r="F444" i="157" a="1"/>
  <c r="G217" i="157" a="1"/>
  <c r="H217" i="157" a="1"/>
  <c r="C217" i="157" a="1"/>
  <c r="A446" i="157"/>
  <c r="A219" i="157"/>
  <c r="I218" i="157" a="1"/>
  <c r="J218" i="157" a="1"/>
  <c r="G445" i="157" a="1"/>
  <c r="I445" i="157" a="1"/>
  <c r="H218" i="157" a="1"/>
  <c r="G218" i="157" a="1"/>
  <c r="D218" i="157" a="1"/>
  <c r="E445" i="157" a="1"/>
  <c r="H445" i="157" a="1"/>
  <c r="C218" i="157" a="1"/>
  <c r="E218" i="157" a="1"/>
  <c r="F218" i="157" a="1"/>
  <c r="C445" i="157" a="1"/>
  <c r="J445" i="157" a="1"/>
  <c r="D445" i="157" a="1"/>
  <c r="F445" i="157" a="1"/>
  <c r="A447" i="157"/>
  <c r="A220" i="157"/>
  <c r="J219" i="157" a="1"/>
  <c r="E446" i="157" a="1"/>
  <c r="C446" i="157" a="1"/>
  <c r="J446" i="157" a="1"/>
  <c r="F446" i="157" a="1"/>
  <c r="G446" i="157" a="1"/>
  <c r="D446" i="157" a="1"/>
  <c r="I219" i="157" a="1"/>
  <c r="F219" i="157" a="1"/>
  <c r="D219" i="157" a="1"/>
  <c r="H446" i="157" a="1"/>
  <c r="C219" i="157" a="1"/>
  <c r="E219" i="157" a="1"/>
  <c r="I446" i="157" a="1"/>
  <c r="H219" i="157" a="1"/>
  <c r="G219" i="157" a="1"/>
  <c r="A448" i="157"/>
  <c r="A221" i="157"/>
  <c r="D220" i="157" a="1"/>
  <c r="C220" i="157" a="1"/>
  <c r="G220" i="157" a="1"/>
  <c r="G447" i="157" a="1"/>
  <c r="D447" i="157" a="1"/>
  <c r="H220" i="157" a="1"/>
  <c r="H447" i="157" a="1"/>
  <c r="E447" i="157" a="1"/>
  <c r="J447" i="157" a="1"/>
  <c r="E220" i="157" a="1"/>
  <c r="I220" i="157" a="1"/>
  <c r="I447" i="157" a="1"/>
  <c r="F220" i="157" a="1"/>
  <c r="C447" i="157" a="1"/>
  <c r="J220" i="157" a="1"/>
  <c r="F447" i="157" a="1"/>
  <c r="A449" i="157"/>
  <c r="A222" i="157"/>
  <c r="F448" i="157" a="1"/>
  <c r="D221" i="157" a="1"/>
  <c r="I221" i="157" a="1"/>
  <c r="C221" i="157" a="1"/>
  <c r="E221" i="157" a="1"/>
  <c r="H448" i="157" a="1"/>
  <c r="D448" i="157" a="1"/>
  <c r="C448" i="157" a="1"/>
  <c r="F221" i="157" a="1"/>
  <c r="G448" i="157" a="1"/>
  <c r="J448" i="157" a="1"/>
  <c r="I448" i="157" a="1"/>
  <c r="E448" i="157" a="1"/>
  <c r="J221" i="157" a="1"/>
  <c r="G221" i="157" a="1"/>
  <c r="H221" i="157" a="1"/>
  <c r="A450" i="157"/>
  <c r="A223" i="157"/>
  <c r="H222" i="157" a="1"/>
  <c r="F449" i="157" a="1"/>
  <c r="D449" i="157" a="1"/>
  <c r="H449" i="157" a="1"/>
  <c r="G449" i="157" a="1"/>
  <c r="I222" i="157" a="1"/>
  <c r="D222" i="157" a="1"/>
  <c r="J222" i="157" a="1"/>
  <c r="C449" i="157" a="1"/>
  <c r="I449" i="157" a="1"/>
  <c r="E449" i="157" a="1"/>
  <c r="E222" i="157" a="1"/>
  <c r="J449" i="157" a="1"/>
  <c r="C222" i="157" a="1"/>
  <c r="G222" i="157" a="1"/>
  <c r="F222" i="157" a="1"/>
  <c r="A451" i="157"/>
  <c r="A224" i="157"/>
  <c r="G223" i="157" a="1"/>
  <c r="G450" i="157" a="1"/>
  <c r="D450" i="157" a="1"/>
  <c r="D223" i="157" a="1"/>
  <c r="C223" i="157" a="1"/>
  <c r="F223" i="157" a="1"/>
  <c r="E450" i="157" a="1"/>
  <c r="H223" i="157" a="1"/>
  <c r="J223" i="157" a="1"/>
  <c r="H450" i="157" a="1"/>
  <c r="F450" i="157" a="1"/>
  <c r="I450" i="157" a="1"/>
  <c r="E223" i="157" a="1"/>
  <c r="J450" i="157" a="1"/>
  <c r="I223" i="157" a="1"/>
  <c r="C450" i="157" a="1"/>
  <c r="A452" i="157"/>
  <c r="A225" i="157"/>
  <c r="J451" i="157" a="1"/>
  <c r="D224" i="157" a="1"/>
  <c r="C224" i="157" a="1"/>
  <c r="F451" i="157" a="1"/>
  <c r="G224" i="157" a="1"/>
  <c r="F224" i="157" a="1"/>
  <c r="G451" i="157" a="1"/>
  <c r="E224" i="157" a="1"/>
  <c r="E451" i="157" a="1"/>
  <c r="H224" i="157" a="1"/>
  <c r="H451" i="157" a="1"/>
  <c r="I451" i="157" a="1"/>
  <c r="I224" i="157" a="1"/>
  <c r="D451" i="157" a="1"/>
  <c r="J224" i="157" a="1"/>
  <c r="C451" i="157" a="1"/>
  <c r="A453" i="157"/>
  <c r="A226" i="157"/>
  <c r="H225" i="157" a="1"/>
  <c r="I452" i="157" a="1"/>
  <c r="H452" i="157" a="1"/>
  <c r="I225" i="157" a="1"/>
  <c r="J452" i="157" a="1"/>
  <c r="D452" i="157" a="1"/>
  <c r="F225" i="157" a="1"/>
  <c r="G225" i="157" a="1"/>
  <c r="C225" i="157" a="1"/>
  <c r="C452" i="157" a="1"/>
  <c r="G452" i="157" a="1"/>
  <c r="D225" i="157" a="1"/>
  <c r="F452" i="157" a="1"/>
  <c r="E225" i="157" a="1"/>
  <c r="E452" i="157" a="1"/>
  <c r="J225" i="157" a="1"/>
  <c r="A454" i="157"/>
  <c r="A227" i="157"/>
  <c r="D226" i="157" a="1"/>
  <c r="G453" i="157" a="1"/>
  <c r="J226" i="157" a="1"/>
  <c r="D453" i="157" a="1"/>
  <c r="H226" i="157" a="1"/>
  <c r="C226" i="157" a="1"/>
  <c r="C453" i="157" a="1"/>
  <c r="F453" i="157" a="1"/>
  <c r="I453" i="157" a="1"/>
  <c r="G226" i="157" a="1"/>
  <c r="E453" i="157" a="1"/>
  <c r="E226" i="157" a="1"/>
  <c r="F226" i="157" a="1"/>
  <c r="J453" i="157" a="1"/>
  <c r="I226" i="157" a="1"/>
  <c r="H453" i="157" a="1"/>
  <c r="A455" i="157"/>
  <c r="A228" i="157"/>
  <c r="D227" i="157" a="1"/>
  <c r="E227" i="157" a="1"/>
  <c r="F454" i="157" a="1"/>
  <c r="H454" i="157" a="1"/>
  <c r="J227" i="157" a="1"/>
  <c r="I227" i="157" a="1"/>
  <c r="G454" i="157" a="1"/>
  <c r="E454" i="157" a="1"/>
  <c r="F227" i="157" a="1"/>
  <c r="G227" i="157" a="1"/>
  <c r="D454" i="157" a="1"/>
  <c r="J454" i="157" a="1"/>
  <c r="I454" i="157" a="1"/>
  <c r="C454" i="157" a="1"/>
  <c r="C227" i="157" a="1"/>
  <c r="H227" i="157" a="1"/>
  <c r="A456" i="157"/>
  <c r="A229" i="157"/>
  <c r="E455" i="157" a="1"/>
  <c r="I455" i="157" a="1"/>
  <c r="C455" i="157" a="1"/>
  <c r="F228" i="157" a="1"/>
  <c r="J228" i="157" a="1"/>
  <c r="E228" i="157" a="1"/>
  <c r="I228" i="157" a="1"/>
  <c r="G455" i="157" a="1"/>
  <c r="C228" i="157" a="1"/>
  <c r="D455" i="157" a="1"/>
  <c r="J455" i="157" a="1"/>
  <c r="D228" i="157" a="1"/>
  <c r="H228" i="157" a="1"/>
  <c r="F455" i="157" a="1"/>
  <c r="G228" i="157" a="1"/>
  <c r="H455" i="157" a="1"/>
  <c r="A457" i="157"/>
  <c r="A230" i="157"/>
  <c r="G229" i="157" a="1"/>
  <c r="F229" i="157" a="1"/>
  <c r="G456" i="157" a="1"/>
  <c r="D229" i="157" a="1"/>
  <c r="E456" i="157" a="1"/>
  <c r="F456" i="157" a="1"/>
  <c r="E229" i="157" a="1"/>
  <c r="H229" i="157" a="1"/>
  <c r="J456" i="157" a="1"/>
  <c r="C456" i="157" a="1"/>
  <c r="H456" i="157" a="1"/>
  <c r="I229" i="157" a="1"/>
  <c r="J229" i="157" a="1"/>
  <c r="D456" i="157" a="1"/>
  <c r="C229" i="157" a="1"/>
  <c r="I456" i="157" a="1"/>
  <c r="A458" i="157"/>
  <c r="A231" i="157"/>
  <c r="J230" i="157" a="1"/>
  <c r="I457" i="157" a="1"/>
  <c r="H457" i="157" a="1"/>
  <c r="F457" i="157" a="1"/>
  <c r="C230" i="157" a="1"/>
  <c r="F230" i="157" a="1"/>
  <c r="G230" i="157" a="1"/>
  <c r="I230" i="157" a="1"/>
  <c r="E230" i="157" a="1"/>
  <c r="H230" i="157" a="1"/>
  <c r="D230" i="157" a="1"/>
  <c r="E457" i="157" a="1"/>
  <c r="G457" i="157" a="1"/>
  <c r="C457" i="157" a="1"/>
  <c r="D457" i="157" a="1"/>
  <c r="J457" i="157" a="1"/>
  <c r="A459" i="157"/>
  <c r="A232" i="157"/>
  <c r="I458" i="157" a="1"/>
  <c r="H231" i="157" a="1"/>
  <c r="G458" i="157" a="1"/>
  <c r="J458" i="157" a="1"/>
  <c r="J231" i="157" a="1"/>
  <c r="C458" i="157" a="1"/>
  <c r="F231" i="157" a="1"/>
  <c r="C231" i="157" a="1"/>
  <c r="G231" i="157" a="1"/>
  <c r="E231" i="157" a="1"/>
  <c r="D458" i="157" a="1"/>
  <c r="F458" i="157" a="1"/>
  <c r="D231" i="157" a="1"/>
  <c r="I231" i="157" a="1"/>
  <c r="H458" i="157" a="1"/>
  <c r="E458" i="157" a="1"/>
  <c r="A460" i="157"/>
  <c r="A233" i="157"/>
  <c r="D232" i="157" a="1"/>
  <c r="D459" i="157" a="1"/>
  <c r="F232" i="157" a="1"/>
  <c r="H459" i="157" a="1"/>
  <c r="I459" i="157" a="1"/>
  <c r="J232" i="157" a="1"/>
  <c r="G232" i="157" a="1"/>
  <c r="J459" i="157" a="1"/>
  <c r="C232" i="157" a="1"/>
  <c r="I232" i="157" a="1"/>
  <c r="C459" i="157" a="1"/>
  <c r="H232" i="157" a="1"/>
  <c r="E459" i="157" a="1"/>
  <c r="E232" i="157" a="1"/>
  <c r="G459" i="157" a="1"/>
  <c r="F459" i="157" a="1"/>
  <c r="A461" i="157"/>
  <c r="E233" i="157" a="1"/>
  <c r="I460" i="157" a="1"/>
  <c r="I233" i="157" a="1"/>
  <c r="H460" i="157" a="1"/>
  <c r="G233" i="157" a="1"/>
  <c r="C460" i="157" a="1"/>
  <c r="J233" i="157" a="1"/>
  <c r="F233" i="157" a="1"/>
  <c r="D460" i="157" a="1"/>
  <c r="F460" i="157" a="1"/>
  <c r="G460" i="157" a="1"/>
  <c r="E460" i="157" a="1"/>
  <c r="C233" i="157" a="1"/>
  <c r="J460" i="157" a="1"/>
  <c r="D233" i="157" a="1"/>
  <c r="H233" i="157" a="1"/>
  <c r="F461" i="157" a="1"/>
  <c r="J461" i="157" a="1"/>
  <c r="D461" i="157" a="1"/>
  <c r="H461" i="157" a="1"/>
  <c r="I461" i="157" a="1"/>
  <c r="G461" i="157" a="1"/>
  <c r="E461" i="157" a="1"/>
  <c r="C461" i="157" a="1"/>
  <c r="G117" i="122" l="1"/>
  <c r="G119" i="122" s="1"/>
  <c r="G121" i="122" s="1"/>
  <c r="Q10" i="127"/>
  <c r="Q10" i="119"/>
  <c r="Q11" i="115"/>
  <c r="Q11" i="118"/>
  <c r="Q10" i="148"/>
  <c r="Q10" i="140"/>
  <c r="Q10" i="132"/>
  <c r="Q10" i="116"/>
  <c r="Q11" i="112"/>
  <c r="Q11" i="150"/>
  <c r="Q11" i="126"/>
  <c r="Q11" i="155"/>
  <c r="Q11" i="147"/>
  <c r="Q11" i="139"/>
  <c r="Q11" i="131"/>
  <c r="Q11" i="123"/>
  <c r="Q10" i="153"/>
  <c r="Q10" i="145"/>
  <c r="Q10" i="137"/>
  <c r="Q10" i="121"/>
  <c r="Q11" i="152"/>
  <c r="Q11" i="144"/>
  <c r="Q11" i="136"/>
  <c r="Q11" i="128"/>
  <c r="Q11" i="120"/>
  <c r="Q10" i="150"/>
  <c r="Q10" i="134"/>
  <c r="Q10" i="126"/>
  <c r="Q10" i="118"/>
  <c r="Q11" i="114"/>
  <c r="Q11" i="108"/>
  <c r="Q11" i="106"/>
  <c r="Q11" i="149"/>
  <c r="Q11" i="141"/>
  <c r="Q11" i="133"/>
  <c r="Q11" i="125"/>
  <c r="Q11" i="117"/>
  <c r="Q10" i="112"/>
  <c r="Q10" i="123"/>
  <c r="Q11" i="134"/>
  <c r="Q11" i="154"/>
  <c r="Q11" i="146"/>
  <c r="Q11" i="138"/>
  <c r="Q11" i="130"/>
  <c r="Q11" i="122"/>
  <c r="Q10" i="152"/>
  <c r="Q10" i="128"/>
  <c r="Q10" i="120"/>
  <c r="Q11" i="151"/>
  <c r="Q11" i="143"/>
  <c r="Q11" i="135"/>
  <c r="Q11" i="127"/>
  <c r="Q11" i="119"/>
  <c r="Q11" i="107"/>
  <c r="Q10" i="149"/>
  <c r="Q10" i="133"/>
  <c r="Q10" i="117"/>
  <c r="Q11" i="113"/>
  <c r="Q11" i="148"/>
  <c r="Q11" i="140"/>
  <c r="Q11" i="132"/>
  <c r="Q11" i="124"/>
  <c r="Q11" i="116"/>
  <c r="Q10" i="154"/>
  <c r="Q10" i="146"/>
  <c r="Q10" i="138"/>
  <c r="Q10" i="122"/>
  <c r="Q11" i="142"/>
  <c r="Q11" i="153"/>
  <c r="Q11" i="145"/>
  <c r="Q11" i="129"/>
  <c r="Q11" i="121"/>
  <c r="K79" i="143"/>
  <c r="J79" i="143" s="1"/>
  <c r="K78" i="143"/>
  <c r="J78" i="143" s="1"/>
  <c r="K17" i="143"/>
  <c r="L10" i="143" l="1"/>
  <c r="L12" i="143" s="1"/>
  <c r="W19" i="143"/>
  <c r="J17" i="143"/>
  <c r="J19" i="143" s="1"/>
  <c r="G142" i="144" s="1"/>
  <c r="G145" i="144" s="1"/>
  <c r="K19" i="143"/>
  <c r="D60" i="64" s="1"/>
  <c r="F60" i="64" s="1"/>
  <c r="O10" i="143"/>
  <c r="G147" i="144" l="1"/>
  <c r="G139" i="143"/>
  <c r="J21" i="143"/>
  <c r="H60" i="64"/>
  <c r="H61" i="64"/>
  <c r="P10" i="144" a="1"/>
  <c r="O12" i="143"/>
  <c r="Q12" i="143" s="1"/>
  <c r="Q10" i="143"/>
  <c r="H139" i="143" l="1"/>
  <c r="H140" i="143" s="1"/>
  <c r="G140" i="143"/>
  <c r="Q10" i="144"/>
  <c r="P12" i="144"/>
  <c r="Q12" i="1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0300-000001000000}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04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05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06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07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A4166731-F810-41A7-991C-91EF11DE0192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222A5918-D7B8-42D2-84F5-E7A311888937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650B6FCB-1F00-41F3-8E82-689116979591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C4B5803B-8546-4948-9F65-3A0414AB7445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9C8F99DB-8CC0-484F-9A04-52728B91367B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95A8A6AB-4BC6-4532-BD70-4AB2DD34E3A7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B18FBBD3-B217-4831-AD68-E2C95DC437DE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A6CEC4AD-609A-4A4B-896C-3976C5CA0B1E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8511461E-19B1-4E8F-9546-22B0E1F489EA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11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D58FBF49-7CF4-49A4-A3BA-C2143727BA28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13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8C3DDE61-3BB2-40EA-9042-8ABD4A004DAC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50F7AFCB-7554-4D69-95A3-8223CAE22B69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DD39B7BE-1A95-47CA-9092-9695508F81DE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3C42A7F3-E29F-4D13-A3D7-445AE2EF968A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1E520C97-547E-44CF-8DFE-1A88BCA6D779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E0F1EC58-8C42-4AF7-8705-1A324BD4D60D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E5C78692-AF58-4E83-ACB0-0B226A9F8937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1B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A181B5AC-B1D5-4094-A178-435BB911C2B1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8D17AADE-0E41-43FC-A12A-54BB99099EDC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FBE54AA9-761D-4453-917C-13236DA2B04D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A5E0B1D-E80F-4A1E-A2C7-6CE0DC4E6204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859109FD-D8D5-406A-ADCB-28C94CA2DB42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398FF1C9-6D9A-432D-95C5-024F14C31DE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769C5ED3-B726-46B0-B14E-AF9C4996D074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F66F34C8-160D-4DE0-B035-63AB1E1075A5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D92CB7FA-EE23-4C86-9CE1-CCC9A0F7DAA2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AA7E4C67-5615-43DC-BAA3-A4BD0482841D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31F6E418-73DC-4E09-8F4A-33F8955842B6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36AD15CA-7C8D-48EF-8BA6-2EE06697E31B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2DA5EC4E-7743-469E-970F-372EAECD4986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B2CCC558-7E16-489A-9914-E8FCAD5FD884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  <author>Rekha PATIL</author>
  </authors>
  <commentList>
    <comment ref="G23" authorId="0" shapeId="0" xr:uid="{AB98FB3D-E8FD-4168-AA3D-D8E07BBB83F5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  <comment ref="E100" authorId="1" shapeId="0" xr:uid="{178C83DA-EB8F-4DD2-ABFC-FE95F4C7CFA1}">
      <text>
        <r>
          <rPr>
            <b/>
            <sz val="9"/>
            <color indexed="81"/>
            <rFont val="Tahoma"/>
            <family val="2"/>
          </rPr>
          <t>Rekha PATIL:</t>
        </r>
        <r>
          <rPr>
            <sz val="9"/>
            <color indexed="81"/>
            <rFont val="Tahoma"/>
            <family val="2"/>
          </rPr>
          <t xml:space="preserve">
Deferred Working yet to finalised. Hence, tentative figure estimated on the basis of data available.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  <author>Rekha PATIL</author>
  </authors>
  <commentList>
    <comment ref="G23" authorId="0" shapeId="0" xr:uid="{404F427C-DF93-427B-9E04-AFDFADECD581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  <comment ref="E114" authorId="1" shapeId="0" xr:uid="{DA2521D3-18AD-4665-98B5-43C6641B6D93}">
      <text>
        <r>
          <rPr>
            <b/>
            <sz val="9"/>
            <color indexed="81"/>
            <rFont val="Tahoma"/>
            <family val="2"/>
          </rPr>
          <t>Rekha PATIL:</t>
        </r>
        <r>
          <rPr>
            <sz val="9"/>
            <color indexed="81"/>
            <rFont val="Tahoma"/>
            <family val="2"/>
          </rPr>
          <t xml:space="preserve">
Deferred Working yet to finalised. Hence, tentative figure estimated on the basis of data available.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2C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2D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2E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2F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0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1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2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3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4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5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schaline</author>
  </authors>
  <commentList>
    <comment ref="G23" authorId="0" shapeId="0" xr:uid="{00000000-0006-0000-3600-000001000000}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<sst xmlns="http://schemas.openxmlformats.org/spreadsheetml/2006/main" count="14804" uniqueCount="643">
  <si>
    <t>INSTRUCTIONS FOR USE</t>
  </si>
  <si>
    <t>The aim of this document is to follow the orderbook per week.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</si>
  <si>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</si>
  <si>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</si>
  <si>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</si>
  <si>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</si>
  <si>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</si>
  <si>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</si>
  <si>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</si>
  <si>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</si>
  <si>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</si>
  <si>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</si>
  <si>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</si>
  <si>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</si>
  <si>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</si>
  <si>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</si>
  <si>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</si>
  <si>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</si>
  <si>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Diam India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</si>
  <si>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</si>
  <si>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</si>
  <si>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</si>
  <si>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</si>
  <si>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</si>
  <si>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</si>
  <si>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</si>
  <si>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</si>
  <si>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</si>
  <si>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</si>
  <si>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</si>
  <si>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</si>
  <si>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</si>
  <si>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</si>
  <si>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</si>
  <si>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</si>
  <si>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</si>
  <si>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</si>
  <si>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</si>
  <si>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</si>
  <si>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</si>
  <si>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</si>
  <si>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</si>
  <si>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</si>
  <si>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</si>
  <si>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</si>
  <si>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</si>
  <si>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</si>
  <si>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</si>
  <si>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</si>
  <si>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</si>
  <si>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</si>
  <si>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</si>
  <si>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</si>
  <si>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</si>
  <si>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</si>
  <si>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</si>
  <si>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</si>
  <si>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</si>
  <si>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</si>
  <si>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</si>
  <si>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</si>
  <si>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</si>
  <si>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</si>
  <si>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</si>
  <si>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</si>
  <si>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</si>
  <si>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</si>
  <si>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</si>
  <si>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</si>
  <si>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</si>
  <si>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</si>
  <si>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</si>
  <si>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</si>
  <si>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</si>
  <si>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</si>
  <si>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</si>
  <si>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</si>
  <si>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</si>
  <si>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</si>
  <si>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</si>
  <si>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</si>
  <si>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</si>
  <si>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</si>
  <si>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</si>
  <si>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</si>
  <si>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</si>
  <si>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</si>
  <si>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</si>
  <si>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</si>
  <si>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</si>
  <si>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</si>
  <si>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</si>
  <si>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</si>
  <si>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</si>
  <si>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</si>
  <si>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</si>
  <si>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</si>
  <si>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</si>
  <si>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</si>
  <si>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</si>
  <si>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</si>
  <si>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</si>
  <si>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</si>
  <si>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</si>
  <si>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</si>
  <si>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</si>
  <si>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 HONG KONG</t>
  </si>
  <si>
    <t>DEHK</t>
  </si>
  <si>
    <t>W24</t>
  </si>
  <si>
    <t>Diam Japan</t>
  </si>
  <si>
    <t>DJP</t>
  </si>
  <si>
    <t>W25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</si>
  <si>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</si>
  <si>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</si>
  <si>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</si>
  <si>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</si>
  <si>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</si>
  <si>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</si>
  <si>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</si>
  <si>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</si>
  <si>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Diam Pack Luxe China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</si>
  <si>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</si>
  <si>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</si>
  <si>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</si>
  <si>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</si>
  <si>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</si>
  <si>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</si>
  <si>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</si>
  <si>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</si>
  <si>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</si>
  <si>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</si>
  <si>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</si>
  <si>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</si>
  <si>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</si>
  <si>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</si>
  <si>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</si>
  <si>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</si>
  <si>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</si>
  <si>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</si>
  <si>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</si>
  <si>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</si>
  <si>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</si>
  <si>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</si>
  <si>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</si>
  <si>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</si>
  <si>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</si>
  <si>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</si>
  <si>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</si>
  <si>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</si>
  <si>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</si>
  <si>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</si>
  <si>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</si>
  <si>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</si>
  <si>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</si>
  <si>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</si>
  <si>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</si>
  <si>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</si>
  <si>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</si>
  <si>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</si>
  <si>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</si>
  <si>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</si>
  <si>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</si>
  <si>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</si>
  <si>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</si>
  <si>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</si>
  <si>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</si>
  <si>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</si>
  <si>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</si>
  <si>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</si>
  <si>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</si>
  <si>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</si>
  <si>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</si>
  <si>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</si>
  <si>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</si>
  <si>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</si>
  <si>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</si>
  <si>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</si>
  <si>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</si>
  <si>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</si>
  <si>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</si>
  <si>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</si>
  <si>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</si>
  <si>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</si>
  <si>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</si>
  <si>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</si>
  <si>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</si>
  <si>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</si>
  <si>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</si>
  <si>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</si>
  <si>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</si>
  <si>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</si>
  <si>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</si>
  <si>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</si>
  <si>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</si>
  <si>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</si>
  <si>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</si>
  <si>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</si>
  <si>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</si>
  <si>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</si>
  <si>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</si>
  <si>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</si>
  <si>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</si>
  <si>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</si>
  <si>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</si>
  <si>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</si>
  <si>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</si>
  <si>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</si>
  <si>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</si>
  <si>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</si>
  <si>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</si>
  <si>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</si>
  <si>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</si>
  <si>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</si>
  <si>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</si>
  <si>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</si>
  <si>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</si>
  <si>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</si>
  <si>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</si>
  <si>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</si>
  <si>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</si>
  <si>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</si>
  <si>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</si>
  <si>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</si>
  <si>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</si>
  <si>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</si>
  <si>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</si>
  <si>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</si>
  <si>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</si>
  <si>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</si>
  <si>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</si>
  <si>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</si>
  <si>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</si>
  <si>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</si>
  <si>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</si>
  <si>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BACCAROSE PERFUMES AND BEAUTY PRODUCTS PVT LTD</t>
  </si>
  <si>
    <t>Laura Mercier</t>
  </si>
  <si>
    <t>Prestige Cosmetic</t>
  </si>
  <si>
    <t>Shiseido</t>
  </si>
  <si>
    <t>Beauty Impex Pvt. Ltd</t>
  </si>
  <si>
    <t>Guerlain</t>
  </si>
  <si>
    <t>Best In Brands</t>
  </si>
  <si>
    <t xml:space="preserve">CHANEL INDIA </t>
  </si>
  <si>
    <t xml:space="preserve">Chanel </t>
  </si>
  <si>
    <t>Shopfitting</t>
  </si>
  <si>
    <t>Elca Cosmetics Pvt Ltd</t>
  </si>
  <si>
    <t>Too Faced</t>
  </si>
  <si>
    <t>ELCA Cosmetics Pvt. Ltd.</t>
  </si>
  <si>
    <t>Clinique</t>
  </si>
  <si>
    <t>Dr Jart+</t>
  </si>
  <si>
    <t>Estee Lauder</t>
  </si>
  <si>
    <t>Mac</t>
  </si>
  <si>
    <t>The Ordinary</t>
  </si>
  <si>
    <t>Tom Ford</t>
  </si>
  <si>
    <t>Estee Lauder AG Lachen</t>
  </si>
  <si>
    <t>Jo Malone</t>
  </si>
  <si>
    <t>Global Shoppers Stop Beauty Brands Ltd</t>
  </si>
  <si>
    <t>Nars</t>
  </si>
  <si>
    <t>Indosing Distribution</t>
  </si>
  <si>
    <t>Benefit</t>
  </si>
  <si>
    <t>L Beauty Pte</t>
  </si>
  <si>
    <t xml:space="preserve">L'Oreal India </t>
  </si>
  <si>
    <t>Lancome</t>
  </si>
  <si>
    <t xml:space="preserve">YSL </t>
  </si>
  <si>
    <t>L'Oreal
Travel Retail</t>
  </si>
  <si>
    <t>Armani</t>
  </si>
  <si>
    <t xml:space="preserve">Loreal Paris </t>
  </si>
  <si>
    <t>Multi</t>
  </si>
  <si>
    <t>OAP</t>
  </si>
  <si>
    <t>Rare Beauty LLC</t>
  </si>
  <si>
    <t xml:space="preserve">Rare Beauty </t>
  </si>
  <si>
    <t>Reliance Luxe Beauty Limited</t>
  </si>
  <si>
    <t>Shoppers Stop Ltd</t>
  </si>
  <si>
    <t>ELCA Brand</t>
  </si>
  <si>
    <t>Brand Name</t>
  </si>
  <si>
    <t>Segment</t>
  </si>
  <si>
    <t>Outgroup</t>
  </si>
  <si>
    <t>CL0540    Laura Mercier</t>
  </si>
  <si>
    <t>CL0285    Shiseido</t>
  </si>
  <si>
    <t>CL0130    Guerlain</t>
  </si>
  <si>
    <t>Chanel</t>
  </si>
  <si>
    <t>CL0065    Chanel</t>
  </si>
  <si>
    <t>Clarins Pte Ltd</t>
  </si>
  <si>
    <t>Clarins</t>
  </si>
  <si>
    <t>CL0070    Clarins</t>
  </si>
  <si>
    <t>Coty</t>
  </si>
  <si>
    <t>Coty Rimmel</t>
  </si>
  <si>
    <t>CL0080    Coty Rimmel</t>
  </si>
  <si>
    <t>DIAM Display Singapore</t>
  </si>
  <si>
    <t>CL0575    Too Faced</t>
  </si>
  <si>
    <t>CL0075    Clinique</t>
  </si>
  <si>
    <t>CL0680    Estée Lauder - other brands</t>
  </si>
  <si>
    <t>CL0110    Estée Lauder</t>
  </si>
  <si>
    <t>CL0395    MAC</t>
  </si>
  <si>
    <t>Smashbox</t>
  </si>
  <si>
    <t>CL0525    Smashbox</t>
  </si>
  <si>
    <t>CL0570    Tom Ford</t>
  </si>
  <si>
    <t>CL0535    Joe Malone</t>
  </si>
  <si>
    <t xml:space="preserve">Fenty Beauty LLC </t>
  </si>
  <si>
    <t>Fenty</t>
  </si>
  <si>
    <t>CL0550    Kendo - Fenty</t>
  </si>
  <si>
    <t>Forma Brands, LLC f/k/a FB Acquisition LLC</t>
  </si>
  <si>
    <t>Forma</t>
  </si>
  <si>
    <t>CL0735    Morphe</t>
  </si>
  <si>
    <t>CL0226    Nars</t>
  </si>
  <si>
    <t>Prada</t>
  </si>
  <si>
    <t>CL0180    L'Oréal Divers</t>
  </si>
  <si>
    <t>CL0315    Benefit</t>
  </si>
  <si>
    <t>CL0155    Lancôme</t>
  </si>
  <si>
    <t>CL0310    YSL</t>
  </si>
  <si>
    <t>L'Oreal Travel Retail</t>
  </si>
  <si>
    <t>CL0345    Armani</t>
  </si>
  <si>
    <t>CL0170    L'Oréal Paris (L'OAP)</t>
  </si>
  <si>
    <t>RALPH LAUREN</t>
  </si>
  <si>
    <t>CL0405    Ralph Lauren</t>
  </si>
  <si>
    <t>Puig India</t>
  </si>
  <si>
    <t>PUIG Brands</t>
  </si>
  <si>
    <t>CL0840    Puig - other brands</t>
  </si>
  <si>
    <t>CL0765    Rare Beauty</t>
  </si>
  <si>
    <t>Estee Lauder - Multi Brands</t>
  </si>
  <si>
    <t>CL9999    Other</t>
  </si>
  <si>
    <t>Deferred revenue balance as on</t>
  </si>
  <si>
    <t>K Euro</t>
  </si>
  <si>
    <t>Add: Deferred revenue addition during Dec-25</t>
  </si>
  <si>
    <t>Less: Deferred revenue reversed during Dec-25</t>
  </si>
  <si>
    <t>Brand</t>
  </si>
  <si>
    <t>Amt. in K Euro</t>
  </si>
  <si>
    <t>ARMANI PRIVE</t>
  </si>
  <si>
    <t>CH, RB &amp; JPG</t>
  </si>
  <si>
    <t xml:space="preserve">Fenty Beauty </t>
  </si>
  <si>
    <t xml:space="preserve">Lancome </t>
  </si>
  <si>
    <t>Actual Orderbook of last week</t>
  </si>
  <si>
    <t>New Orders in Current Week</t>
  </si>
  <si>
    <t>Sales booked in current week</t>
  </si>
  <si>
    <t>Standard Orderbook should be in Current Week</t>
  </si>
  <si>
    <t>Actual Orderbook in Current Week</t>
  </si>
  <si>
    <t>Difference</t>
  </si>
  <si>
    <t>Check whether new orders are reported correctly or invoiced order have been removed from the sales dashboard.</t>
  </si>
  <si>
    <t>deferred revenue</t>
  </si>
  <si>
    <t>Gucci</t>
  </si>
  <si>
    <t>CL0920    Coty - other brands</t>
  </si>
  <si>
    <t>L'Oreal TR</t>
  </si>
  <si>
    <t>Connectiv FZCO</t>
  </si>
  <si>
    <t xml:space="preserve">DIAM Turkey </t>
  </si>
  <si>
    <t>CL0061    Carolina Herrera</t>
  </si>
  <si>
    <t>Grand Total</t>
  </si>
  <si>
    <t>Customer Name</t>
  </si>
  <si>
    <t xml:space="preserve"> BACCAROSE PERFUMES AND BEAUTY PRODUCTS PVT LTD </t>
  </si>
  <si>
    <t xml:space="preserve">Shopfitting </t>
  </si>
  <si>
    <t xml:space="preserve"> Beauty Impex Pvt. Ltd </t>
  </si>
  <si>
    <t xml:space="preserve"> Best In Brands </t>
  </si>
  <si>
    <t xml:space="preserve"> CHANEL INDIA  </t>
  </si>
  <si>
    <t xml:space="preserve"> Clarins Pte Ltd </t>
  </si>
  <si>
    <t xml:space="preserve"> Connectiv FZCO </t>
  </si>
  <si>
    <t xml:space="preserve"> Coty </t>
  </si>
  <si>
    <t>Kylie Cosmetics</t>
  </si>
  <si>
    <t>CL0705    Coty KJ</t>
  </si>
  <si>
    <t xml:space="preserve"> DDS </t>
  </si>
  <si>
    <t>Fenty Beauty</t>
  </si>
  <si>
    <t xml:space="preserve"> DIAM Turkey  </t>
  </si>
  <si>
    <t>Joe Malone</t>
  </si>
  <si>
    <t xml:space="preserve"> Estee Lauder AG Lachen </t>
  </si>
  <si>
    <t xml:space="preserve"> Estee Lauder Middle East FZE </t>
  </si>
  <si>
    <t xml:space="preserve"> Estee Lauder Saudi Limited </t>
  </si>
  <si>
    <t xml:space="preserve"> Fenty Beauty LLC  </t>
  </si>
  <si>
    <t xml:space="preserve"> Forma Brands, LLC f/k/a FB Acquisition LLC </t>
  </si>
  <si>
    <t xml:space="preserve"> Global Shoppers Stop Beauty Brands Ltd </t>
  </si>
  <si>
    <t>Maison Margiela</t>
  </si>
  <si>
    <t xml:space="preserve"> Indosing Distribution </t>
  </si>
  <si>
    <t xml:space="preserve"> L Beauty Pte </t>
  </si>
  <si>
    <t xml:space="preserve"> L'Oreal India  </t>
  </si>
  <si>
    <t>YSL</t>
  </si>
  <si>
    <t xml:space="preserve"> L'Oreal Travel Retail </t>
  </si>
  <si>
    <t>Loreal Paris</t>
  </si>
  <si>
    <t xml:space="preserve"> Puig India </t>
  </si>
  <si>
    <t>Rare Beauty</t>
  </si>
  <si>
    <t xml:space="preserve"> Rare Beauty LLC </t>
  </si>
  <si>
    <t xml:space="preserve"> Reliance Luxe Beauty Limited </t>
  </si>
  <si>
    <t xml:space="preserve"> Shoppers Stop Ltd </t>
  </si>
  <si>
    <t>Estée Lauder - other brands</t>
  </si>
  <si>
    <t>Estée Lauder</t>
  </si>
  <si>
    <t xml:space="preserve"> Shopfitting </t>
  </si>
  <si>
    <t xml:space="preserve"> Elca Cosmetics Pvt Ltd </t>
  </si>
  <si>
    <t xml:space="preserve"> ELCA Cosmetics Pvt. Ltd. </t>
  </si>
  <si>
    <t>CL0920 Coty - other brands</t>
  </si>
  <si>
    <t>CL0540 Laura Mercier</t>
  </si>
  <si>
    <t>CL0285 Shiseido</t>
  </si>
  <si>
    <t>CL0130 Guerlain</t>
  </si>
  <si>
    <t>CL0065 Chanel</t>
  </si>
  <si>
    <t>CL0070 Clarins</t>
  </si>
  <si>
    <t>CL0180 L'Oréal Divers</t>
  </si>
  <si>
    <t>Kylie</t>
  </si>
  <si>
    <t>CL0705 Coty KJ</t>
  </si>
  <si>
    <t>CL0550 Kendo - Fenty</t>
  </si>
  <si>
    <t>CL0535 Joe Malone</t>
  </si>
  <si>
    <t>CL0575 Too Faced</t>
  </si>
  <si>
    <t>CL0075 Clinique</t>
  </si>
  <si>
    <t>CL0735 Morphe</t>
  </si>
  <si>
    <t>CL0226 Nars</t>
  </si>
  <si>
    <t>CL0315 Benefit</t>
  </si>
  <si>
    <t>CL0155 Lancôme</t>
  </si>
  <si>
    <t>CL0310 YSL</t>
  </si>
  <si>
    <t>CL0345 Armani</t>
  </si>
  <si>
    <t>CL0170 L'Oréal Paris (L'OAP)</t>
  </si>
  <si>
    <t>CL0405 Ralph Lauren</t>
  </si>
  <si>
    <t>CL0840 Puig - other brands</t>
  </si>
  <si>
    <t>CL0765 Rare Beauty</t>
  </si>
  <si>
    <t>CL0680 Estée Lauder - other brands</t>
  </si>
  <si>
    <t>CL0570 Tom Ford</t>
  </si>
  <si>
    <t>CL0110 Estée Lauder</t>
  </si>
  <si>
    <t>CL0395 MAC</t>
  </si>
  <si>
    <t>CL0525 Smashbox</t>
  </si>
  <si>
    <t>Add: Deferred revenue addition during Jan-26</t>
  </si>
  <si>
    <t>Less: Deferred revenue reversed during Jan-26</t>
  </si>
  <si>
    <t>DDS</t>
  </si>
  <si>
    <t>Estee Lauder Middle East FZE</t>
  </si>
  <si>
    <t>Estee Lauder Saudi Limited</t>
  </si>
  <si>
    <t>CHANEL INDIA</t>
  </si>
  <si>
    <t>Exclusive Lines</t>
  </si>
  <si>
    <t>L'Oreal India</t>
  </si>
  <si>
    <t>Parfums Christian Dior</t>
  </si>
  <si>
    <t>DIOR</t>
  </si>
  <si>
    <t>CL0090 Dior</t>
  </si>
  <si>
    <t>Add: Deferred revenue addition during Feb-26</t>
  </si>
  <si>
    <t>Less: Deferred revenue reversed during Feb-26</t>
  </si>
  <si>
    <t>ARMANI</t>
  </si>
  <si>
    <t>The Macallan</t>
  </si>
  <si>
    <t>All PO( Confirmed &amp; awaiting)</t>
  </si>
  <si>
    <t xml:space="preserve">DDS </t>
  </si>
  <si>
    <t>CL0870 The Macallan</t>
  </si>
  <si>
    <t xml:space="preserve">Exclusive Lines </t>
  </si>
  <si>
    <t xml:space="preserve">Parfums Christian Dior </t>
  </si>
  <si>
    <t xml:space="preserve"> African Sales Company PTY LTD </t>
  </si>
  <si>
    <t xml:space="preserve"> CADCO EAST AFRICA LIMITED </t>
  </si>
  <si>
    <t xml:space="preserve"> DDS  </t>
  </si>
  <si>
    <t xml:space="preserve"> Exclusive Lines  </t>
  </si>
  <si>
    <t xml:space="preserve"> NUANCE LIMITED </t>
  </si>
  <si>
    <t xml:space="preserve"> Parfums Christian Dior  </t>
  </si>
  <si>
    <t>Deferred Revenue</t>
  </si>
  <si>
    <t>Deferred Revenue Cases</t>
  </si>
  <si>
    <t xml:space="preserve"> Prestige Cosmetic </t>
  </si>
  <si>
    <t>Forma (Morphe)</t>
  </si>
  <si>
    <t>Huda Beauty</t>
  </si>
  <si>
    <t>HUDA</t>
  </si>
  <si>
    <t>CL0585 Huda Beauty</t>
  </si>
  <si>
    <t>K EUR</t>
  </si>
  <si>
    <t>New Order- Huda Beauty</t>
  </si>
  <si>
    <t>Coty Operations Asia Pacific Pte. Ltd</t>
  </si>
  <si>
    <t>Bobbi Brown</t>
  </si>
  <si>
    <t>CL0530    Bobbi Brown</t>
  </si>
  <si>
    <t>Deferred Revenue Client Wise List</t>
  </si>
  <si>
    <t>Global SS Beauty Brands Ltd</t>
  </si>
  <si>
    <t>L'Oreal India Private Limited</t>
  </si>
  <si>
    <t>Add: Deferred revenue addition during Mar-26</t>
  </si>
  <si>
    <t>Less: Deferred revenue reversed during Mar-26</t>
  </si>
  <si>
    <t>MAC</t>
  </si>
  <si>
    <t>Sales booked in March after deferred adjustment</t>
  </si>
  <si>
    <t>CL0870    The Macallan</t>
  </si>
  <si>
    <t>FSN Brands Marketing Private Limited</t>
  </si>
  <si>
    <t>Loreal Divers</t>
  </si>
  <si>
    <t>Tarz Distribution India Pvt Ltd</t>
  </si>
  <si>
    <t>Burburry</t>
  </si>
  <si>
    <t>CL0500    Burberry</t>
  </si>
  <si>
    <t>NARS</t>
  </si>
  <si>
    <t>PUIG</t>
  </si>
  <si>
    <t>Burberry</t>
  </si>
  <si>
    <t>African Sales Company PTY LTD</t>
  </si>
  <si>
    <t>SEG005 Prestige</t>
  </si>
  <si>
    <t>Baccarose Perfumes &amp; Beauty Products Pvt Ltd</t>
  </si>
  <si>
    <t>Beauty Impex Pvt Ltd</t>
  </si>
  <si>
    <t>BESTINBRANDS PTE. LTD</t>
  </si>
  <si>
    <t>Chanel (India) Private Limited</t>
  </si>
  <si>
    <t>CHANEL</t>
  </si>
  <si>
    <t>SEG055 Shopfitt</t>
  </si>
  <si>
    <t>Diam Display Singapore Pte Ltd</t>
  </si>
  <si>
    <t>DUFRY INDIA RETAIL PRIVATE LIMITED</t>
  </si>
  <si>
    <t>ELCA Bahrain SPC</t>
  </si>
  <si>
    <t>Elca Cosmetics Private Limited</t>
  </si>
  <si>
    <t>Estee Lauder Companies (Pty) Ltd</t>
  </si>
  <si>
    <t>Estee Lauder Companies Saudi Limited</t>
  </si>
  <si>
    <t>Fenty Beauty LLC</t>
  </si>
  <si>
    <t>Forma Brands, LLC( f/k/a FB Acquisition  LLC)</t>
  </si>
  <si>
    <t>CL0585    Huda Beauty</t>
  </si>
  <si>
    <t>Indosing Distribution Private Limited</t>
  </si>
  <si>
    <t>L Beauty Pte Ltd</t>
  </si>
  <si>
    <t>Loreal  Travel Retail</t>
  </si>
  <si>
    <t>Parfums Christian Dior Orient FZCO</t>
  </si>
  <si>
    <t>CL0190    LVMH Divers</t>
  </si>
  <si>
    <t>Reliance Luxe Beauty Ltd- MH</t>
  </si>
  <si>
    <t>Shoppers Stop</t>
  </si>
  <si>
    <t>SHOPPERS STOP LIMITED</t>
  </si>
  <si>
    <t>BURBERRY</t>
  </si>
  <si>
    <t>Beauty Impex Pvt Ltd-Mumbai</t>
  </si>
  <si>
    <t>Beauty Impex Pvt Ltd-New Delhi</t>
  </si>
  <si>
    <t>Coty - other brands</t>
  </si>
  <si>
    <t>Kendo - Fenty</t>
  </si>
  <si>
    <t>Nykaa</t>
  </si>
  <si>
    <t>Global SS Beauty Brands Ltd (Haryana)</t>
  </si>
  <si>
    <t>Global SS Beauty Brands Ltd Karnataka)</t>
  </si>
  <si>
    <t>Loreal</t>
  </si>
  <si>
    <t>LVMH</t>
  </si>
  <si>
    <t>L'Oréal Divers</t>
  </si>
  <si>
    <t>Dr Jart +</t>
  </si>
  <si>
    <t>Morphe</t>
  </si>
  <si>
    <t>L'Oréal Paris (L'OAP)</t>
  </si>
  <si>
    <t>Lancôme</t>
  </si>
  <si>
    <t>LVMH Divers</t>
  </si>
  <si>
    <t>Reliance Luxe Beauty Ltd</t>
  </si>
  <si>
    <t>Assured Advertising and Media Private Limited</t>
  </si>
  <si>
    <t>Other</t>
  </si>
  <si>
    <t>Inter Foto India Private Limited</t>
  </si>
  <si>
    <t>Reliance Luxe Beauty Ltd- DL</t>
  </si>
  <si>
    <t>Reliance Luxe Beauty Ltd GJ</t>
  </si>
  <si>
    <t>Reliance Luxe Beauty Ltd-HR</t>
  </si>
  <si>
    <t>Reliance Luxe Beauty Ltd-KA</t>
  </si>
  <si>
    <t>Reliance Luxe Beauty Ltd-PB</t>
  </si>
  <si>
    <t>Reliance Luxe Beauty Ltd-RJ</t>
  </si>
  <si>
    <t>Reliance Luxe Beauty Ltd-TG</t>
  </si>
  <si>
    <t>Reliance Luxe Beauty Ltd-TN</t>
  </si>
  <si>
    <t>Reliance Luxe Beauty Ltd-UP</t>
  </si>
  <si>
    <t>Reliance Luxe Beauty Ltd-WB</t>
  </si>
  <si>
    <t>Loreal Travel Retail - EUR</t>
  </si>
  <si>
    <t xml:space="preserve"> Elca Cosmetics Private Limited (Godrej BKC)</t>
  </si>
  <si>
    <t xml:space="preserve"> Global SS Beauty Brands Limited (Multiloction)</t>
  </si>
  <si>
    <t xml:space="preserve"> Loreal India Pvt Ltd</t>
  </si>
  <si>
    <t xml:space="preserve"> Rare Beauty LLC</t>
  </si>
  <si>
    <t xml:space="preserve"> Shoppers Stop Limited (Multilocation)</t>
  </si>
  <si>
    <t>Add: Deferred revenue addition during Apr-26</t>
  </si>
  <si>
    <t>Less: Deferred revenue reversed during Apr-26</t>
  </si>
  <si>
    <t>SEG070 Services</t>
  </si>
  <si>
    <t>Dior</t>
  </si>
  <si>
    <t>CL0090    Dior</t>
  </si>
  <si>
    <t>New Orders during the Week</t>
  </si>
  <si>
    <t>AFRICAN SALES - SSA (PTY) LTD</t>
  </si>
  <si>
    <t>NUANCE LIMITED</t>
  </si>
  <si>
    <t>PUIG INDIA PRIVATE LIMITED</t>
  </si>
  <si>
    <t>Dr Jart</t>
  </si>
  <si>
    <t>NYKAA</t>
  </si>
  <si>
    <t>Puig</t>
  </si>
  <si>
    <t>CL0450    Puig</t>
  </si>
  <si>
    <t>Add: Deferred revenue addition during May-26</t>
  </si>
  <si>
    <t>Less: Deferred revenue reversed during May-26</t>
  </si>
  <si>
    <t>CHANEL SARL</t>
  </si>
  <si>
    <t>DR Jart</t>
  </si>
  <si>
    <t>Beauty Impex Private Limited</t>
  </si>
  <si>
    <t>FIELDFLEX EUROPE</t>
  </si>
  <si>
    <t>Global SS Beauty Brands Ltd- West Bengal</t>
  </si>
  <si>
    <t>Bare Minerals</t>
  </si>
  <si>
    <t>CL0740    Bare Minerals</t>
  </si>
  <si>
    <t>Beauty Concepts Pvt Ltd</t>
  </si>
  <si>
    <t>H B Beauty Products Trading DWC-LLC (IRF)</t>
  </si>
  <si>
    <t>Brands</t>
  </si>
  <si>
    <t>Estée Lauder- Deferred Orders</t>
  </si>
  <si>
    <t>Add: Deferred revenue addition during June-26 (ELCA)</t>
  </si>
  <si>
    <t>Add: Deferred revenue addition during Jun-26</t>
  </si>
  <si>
    <t>Less: Deferred revenue reversed during Jun-26</t>
  </si>
  <si>
    <t>4021 Chanel (India) Private Limited</t>
  </si>
  <si>
    <t xml:space="preserve"> Indosing Distribution Private Limited</t>
  </si>
  <si>
    <t>APRIL MOON RETAIL LIMITED</t>
  </si>
  <si>
    <t>Conex Digital LLC</t>
  </si>
  <si>
    <t>CL0690    Marc Jacobs</t>
  </si>
  <si>
    <t>NOT APPLICABLE</t>
  </si>
  <si>
    <t>Marc Jacobs</t>
  </si>
  <si>
    <t>Conex</t>
  </si>
  <si>
    <t>Difference of closing balance of Deferred of last month vs this month</t>
  </si>
  <si>
    <t>Variance</t>
  </si>
  <si>
    <t>Difference of sale reported for Jun in last week &amp; This week</t>
  </si>
  <si>
    <t>Deferred Reversal impacting decrease in order whereas it not giving impact of Current week sale</t>
  </si>
  <si>
    <t>CGR India Trading Private Limited</t>
  </si>
  <si>
    <t>FASHION FURNISHING PVT LTD</t>
  </si>
  <si>
    <t>J.M.B.D International</t>
  </si>
  <si>
    <t>SHISEIDO ASIA PACIFIC PTE LTD</t>
  </si>
  <si>
    <t>CGR INDIA TRADING PRIVATE LIMITED</t>
  </si>
  <si>
    <t>HB Beauty Products Trading DWC-LLC</t>
  </si>
  <si>
    <t>BOMMIDALA ENTERPRISES PRIVATE LIMITED</t>
  </si>
  <si>
    <t>La Mer</t>
  </si>
  <si>
    <t>CL0390    La Mer</t>
  </si>
  <si>
    <t>CADCO EAST AFRICA LTD</t>
  </si>
  <si>
    <t>LUXELLA PTE LTD</t>
  </si>
  <si>
    <t>Add: Deferred revenue addition during Jul-26</t>
  </si>
  <si>
    <t>Less: Deferred revenue reversed during Jul-26</t>
  </si>
  <si>
    <t>4021 CGR India Trading Pvt Ltd</t>
  </si>
  <si>
    <t>4021 Elca Cosmetics Private Limited (Godrej BKC)</t>
  </si>
  <si>
    <t>4021 Estee Lauder AG Lachen</t>
  </si>
  <si>
    <t>4021 H B Beauty Products Trading DWC-LLC (IRF)</t>
  </si>
  <si>
    <t>4021 J.M.B.D International</t>
  </si>
  <si>
    <t>4021 Loreal India Pvt Ltd</t>
  </si>
  <si>
    <t>4021 Rare Beauty LLC</t>
  </si>
  <si>
    <t xml:space="preserve">4021 Reliance Luxe Beauty Limited </t>
  </si>
  <si>
    <t>4021 Shoppers Stop Limited (Multilocation)</t>
  </si>
  <si>
    <t>Pee Bee Fashions Pvt Ltd</t>
  </si>
  <si>
    <t>Givenchy -LVMH Fragrance Brand</t>
  </si>
  <si>
    <t>CL0125    Givenchy -LVMH Fragrance Brand</t>
  </si>
  <si>
    <t>Add: Deferred revenue addition during Aug-26</t>
  </si>
  <si>
    <t>Less: Deferred revenue reversed during Aug-26</t>
  </si>
  <si>
    <t>4021 Parfums Chrisitan Dior- INR</t>
  </si>
  <si>
    <t>4021 INTERFOTO INDIA PVT LTD</t>
  </si>
  <si>
    <t>4021  Loreal Travel Retail - EUR</t>
  </si>
  <si>
    <t>4021 Clarins Pte Ltd USD</t>
  </si>
  <si>
    <t>4021 Global SS Beauty Brands Limited (Multiloction)</t>
  </si>
  <si>
    <t>Addition in order book due to Deffered Revenue</t>
  </si>
  <si>
    <t>Net Difference</t>
  </si>
  <si>
    <t>CHANEL (INDIA) PRIVATE LIMITED</t>
  </si>
  <si>
    <t>GLOBAL SS BEAUTY BRANDS LIMITED</t>
  </si>
  <si>
    <t>DGC Code</t>
  </si>
  <si>
    <t>SEG070
Services</t>
  </si>
  <si>
    <t xml:space="preserve">CL0180    L'Oréal Divers
</t>
  </si>
  <si>
    <t>Cosmax Prestige NZ Ltd Partnership</t>
  </si>
  <si>
    <t>PT Shiseido Cosmetics Indonesia</t>
  </si>
  <si>
    <t>BBM TRAVEL RETAIL LIMITED</t>
  </si>
  <si>
    <t>DIAM VITRIN TASARIM HIZMETLERI AMBALAJ SAN. TIC.</t>
  </si>
  <si>
    <t>TOM FORD</t>
  </si>
  <si>
    <t>021  Loreal Travel Retail - EUR</t>
  </si>
  <si>
    <t>CL0180    L'Oréal Divers</t>
  </si>
  <si>
    <t>CL0090    Dior</t>
  </si>
  <si>
    <t>CL0070    Clarins</t>
  </si>
  <si>
    <t>Prestige Cosmetics</t>
  </si>
  <si>
    <t>CL0075    Clinique</t>
  </si>
  <si>
    <t>CL0110    Estée Lauder</t>
  </si>
  <si>
    <t>CL0395    MAC</t>
  </si>
  <si>
    <t>CL0525    Smashbox</t>
  </si>
  <si>
    <t>CL0530    Bobbi Brown</t>
  </si>
  <si>
    <t>CL0570    Tom Ford</t>
  </si>
  <si>
    <t>CL0575    Too Faced</t>
  </si>
  <si>
    <t>CL0680    Estée Lauder - other brands</t>
  </si>
  <si>
    <t>CL0285    Shiseido</t>
  </si>
  <si>
    <t>CL0585    Huda Beauty</t>
  </si>
  <si>
    <t>CL0155    Lancôme</t>
  </si>
  <si>
    <t>CL0765    Rare Beauty</t>
  </si>
  <si>
    <t>4021 Reliance Luxe Beauty Limited</t>
  </si>
  <si>
    <t>Multiple Customers</t>
  </si>
  <si>
    <t>Multiple Brands</t>
  </si>
  <si>
    <t>Multiple Segment</t>
  </si>
  <si>
    <t>Add: Deferred revenue addition during Sep-26</t>
  </si>
  <si>
    <t>Less: Deferred revenue reversed during Sep-26</t>
  </si>
  <si>
    <t>4021 BBM Travel Retail Limited</t>
  </si>
  <si>
    <t>4021 Beauty Impex Pvt Ltd (Multilocation)</t>
  </si>
  <si>
    <t>4021 Chanel(India)Private Limited (Multilocation)</t>
  </si>
  <si>
    <t>4021 Coty Operations Asia Pacific Pte. Ltd - USD</t>
  </si>
  <si>
    <t>4021 DUFRY INDIA RETAIL PRIVATE LIMITED</t>
  </si>
  <si>
    <t>4021 FSN Brands Marketing Pvt Ltd ( Multilocation )</t>
  </si>
  <si>
    <t>4021 L Beauty PTE Ltd - SGD</t>
  </si>
  <si>
    <t>4021 Loreal Travel Retail - EUR</t>
  </si>
  <si>
    <t>CL0530 Bobbi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</si>
</sst>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_(* #,##0.00_);_(* \(#,##0.00\);_(* &quot;-&quot;??_);_(@_)"/>
    <numFmt numFmtId="165" formatCode="#,##0\ &quot;€&quot;;\-#,##0\ &quot;€&quot;"/>
    <numFmt numFmtId="166" formatCode="_-* #,##0_-;\-* #,##0_-;_-* &quot;-&quot;_-;_-@_-"/>
    <numFmt numFmtId="167" formatCode="_-* #,##0.00\ &quot;€&quot;_-;\-* #,##0.00\ &quot;€&quot;_-;_-* &quot;-&quot;??\ &quot;€&quot;_-;_-@_-"/>
    <numFmt numFmtId="168" formatCode="&quot;¥&quot;#,##0;&quot;¥&quot;\-#,##0"/>
    <numFmt numFmtId="169" formatCode="&quot;¥&quot;#,##0;[Red]&quot;¥&quot;\-#,##0"/>
    <numFmt numFmtId="170" formatCode="[$€-2]\ #,##0.00_);[Red]\([$€-2]\ #,##0.00\)"/>
    <numFmt numFmtId="171" formatCode="_ * #,##0_ ;_ * \-#,##0_ ;_ * &quot;-&quot;??_ ;_ @_ "/>
    <numFmt numFmtId="172" formatCode="[$€-2]\ #,##0.000;[$€-2]\ \-#,##0.000"/>
    <numFmt numFmtId="173" formatCode="[$€-2]\ #,##0.00;[Red][$€-2]\ \-#,##0.00"/>
    <numFmt numFmtId="174" formatCode="#,##0_ ;\-#,##0\ "/>
    <numFmt numFmtId="175" formatCode="_(* #,##0_);_(* \(#,##0\);_(* &quot;-&quot;??_);_(@_)"/>
    <numFmt numFmtId="176" formatCode="_-* #,##0.0\ _€_-;\-* #,##0.0\ _€_-;_-* &quot;-&quot;??\ _€_-;_-@_-"/>
    <numFmt numFmtId="177" formatCode="&quot; &quot;#,##0&quot; unit&quot;_);\(&quot; &quot;#,##0&quot; unit&quot;\)"/>
    <numFmt numFmtId="178" formatCode="&quot;US$&quot;#,##0.0000;\-&quot;US$&quot;#,##0.0000"/>
    <numFmt numFmtId="179" formatCode="[$€-2]\ #,##0.0_);[Red]\([$€-2]\ #,##0.0\)"/>
    <numFmt numFmtId="180" formatCode="[$-409]mmm\-yy;@"/>
    <numFmt numFmtId="181" formatCode="#,##0;[Red]#,##0"/>
    <numFmt numFmtId="182" formatCode="#,##0.00;[Red]#,##0.00"/>
    <numFmt numFmtId="183" formatCode="#,##0.0000"/>
    <numFmt numFmtId="184" formatCode="[$-409]d/mmm/yyyy;@"/>
  </numFmts>
  <fonts count="92"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宋体"/>
      <charset val="128"/>
    </font>
    <font>
      <sz val="11"/>
      <color indexed="8"/>
      <name val="宋体"/>
      <charset val="128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charset val="128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rgb="FFFF0000"/>
      <name val="Arial"/>
      <family val="2"/>
    </font>
    <font>
      <sz val="11"/>
      <color theme="0"/>
      <name val="Arial"/>
      <family val="2"/>
    </font>
    <font>
      <sz val="10"/>
      <name val="Calibri"/>
      <family val="2"/>
      <scheme val="minor"/>
    </font>
    <font>
      <sz val="10"/>
      <color theme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59">
    <xf numFmtId="0" fontId="0" fillId="0" borderId="0"/>
    <xf numFmtId="167" fontId="20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43" fontId="23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5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168" fontId="22" fillId="0" borderId="0" applyFont="0" applyFill="0" applyBorder="0" applyAlignment="0" applyProtection="0">
      <alignment vertical="center"/>
    </xf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165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66" fontId="20" fillId="0" borderId="0" applyFont="0" applyFill="0" applyBorder="0" applyAlignment="0" applyProtection="0"/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2" fontId="22" fillId="0" borderId="0">
      <alignment vertical="center"/>
    </xf>
    <xf numFmtId="172" fontId="22" fillId="0" borderId="0">
      <alignment vertical="center"/>
    </xf>
    <xf numFmtId="173" fontId="22" fillId="0" borderId="0">
      <alignment vertical="center"/>
    </xf>
    <xf numFmtId="172" fontId="22" fillId="0" borderId="0">
      <alignment vertical="center"/>
    </xf>
    <xf numFmtId="173" fontId="22" fillId="0" borderId="0">
      <alignment vertical="center"/>
    </xf>
    <xf numFmtId="172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0" fontId="22" fillId="0" borderId="0"/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2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2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172" fontId="22" fillId="0" borderId="0">
      <alignment vertical="center"/>
    </xf>
    <xf numFmtId="15" fontId="22" fillId="0" borderId="0">
      <alignment vertical="center"/>
    </xf>
    <xf numFmtId="38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38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2" fontId="22" fillId="0" borderId="0">
      <alignment vertical="center"/>
    </xf>
    <xf numFmtId="0" fontId="22" fillId="0" borderId="0">
      <alignment vertical="center"/>
    </xf>
    <xf numFmtId="172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0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2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5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2" fontId="2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2" fillId="0" borderId="0"/>
    <xf numFmtId="0" fontId="22" fillId="0" borderId="0"/>
    <xf numFmtId="172" fontId="22" fillId="0" borderId="0">
      <alignment vertical="center"/>
    </xf>
    <xf numFmtId="172" fontId="22" fillId="0" borderId="0">
      <alignment vertical="center"/>
    </xf>
    <xf numFmtId="172" fontId="22" fillId="0" borderId="0">
      <alignment vertical="center"/>
    </xf>
    <xf numFmtId="164" fontId="22" fillId="0" borderId="0">
      <alignment vertical="center"/>
    </xf>
    <xf numFmtId="172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5" fontId="22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5" fontId="22" fillId="0" borderId="0">
      <alignment vertical="center"/>
    </xf>
    <xf numFmtId="172" fontId="22" fillId="0" borderId="0">
      <alignment vertical="center"/>
    </xf>
    <xf numFmtId="172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5" fontId="22" fillId="0" borderId="0">
      <alignment vertical="center"/>
    </xf>
    <xf numFmtId="15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/>
    <xf numFmtId="0" fontId="23" fillId="0" borderId="0">
      <alignment vertical="center"/>
    </xf>
    <xf numFmtId="0" fontId="22" fillId="0" borderId="0"/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8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178" fontId="22" fillId="0" borderId="0">
      <alignment vertical="center"/>
    </xf>
    <xf numFmtId="172" fontId="22" fillId="0" borderId="0">
      <alignment vertical="center"/>
    </xf>
    <xf numFmtId="0" fontId="22" fillId="0" borderId="0"/>
    <xf numFmtId="0" fontId="45" fillId="0" borderId="0">
      <alignment vertical="center"/>
    </xf>
    <xf numFmtId="0" fontId="20" fillId="0" borderId="0"/>
    <xf numFmtId="173" fontId="22" fillId="0" borderId="0">
      <alignment vertical="center"/>
    </xf>
    <xf numFmtId="173" fontId="22" fillId="0" borderId="0">
      <alignment vertical="center"/>
    </xf>
    <xf numFmtId="0" fontId="20" fillId="0" borderId="0"/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0" fontId="20" fillId="0" borderId="0"/>
    <xf numFmtId="0" fontId="45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173" fontId="22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66" fontId="20" fillId="0" borderId="0" applyFont="0" applyFill="0" applyBorder="0" applyAlignment="0" applyProtection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72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69" fontId="26" fillId="0" borderId="0" applyFont="0" applyFill="0" applyBorder="0" applyAlignment="0" applyProtection="0">
      <alignment vertical="center"/>
    </xf>
    <xf numFmtId="169" fontId="26" fillId="0" borderId="0" applyFont="0" applyFill="0" applyBorder="0" applyAlignment="0" applyProtection="0">
      <alignment vertical="center"/>
    </xf>
    <xf numFmtId="164" fontId="82" fillId="0" borderId="0" applyFont="0" applyFill="0" applyBorder="0" applyAlignment="0" applyProtection="0"/>
    <xf numFmtId="0" fontId="20" fillId="0" borderId="0"/>
  </cellStyleXfs>
  <cellXfs count="452">
    <xf numFmtId="0" fontId="0" fillId="0" borderId="0" xfId="0"/>
    <xf numFmtId="0" fontId="47" fillId="0" borderId="0" xfId="0" applyFont="1"/>
    <xf numFmtId="0" fontId="0" fillId="0" borderId="0" xfId="0" applyAlignment="1">
      <alignment horizontal="center"/>
    </xf>
    <xf numFmtId="0" fontId="33" fillId="0" borderId="3" xfId="0" applyFont="1" applyBorder="1"/>
    <xf numFmtId="0" fontId="34" fillId="0" borderId="3" xfId="0" applyFont="1" applyBorder="1"/>
    <xf numFmtId="0" fontId="44" fillId="0" borderId="0" xfId="2" applyAlignment="1" applyProtection="1"/>
    <xf numFmtId="0" fontId="20" fillId="8" borderId="6" xfId="536" applyFill="1" applyBorder="1" applyProtection="1">
      <protection locked="0"/>
    </xf>
    <xf numFmtId="0" fontId="20" fillId="8" borderId="6" xfId="536" applyFill="1" applyBorder="1" applyAlignment="1" applyProtection="1">
      <alignment horizontal="center"/>
      <protection locked="0"/>
    </xf>
    <xf numFmtId="0" fontId="20" fillId="8" borderId="6" xfId="536" applyFill="1" applyBorder="1" applyAlignment="1" applyProtection="1">
      <alignment horizontal="right"/>
      <protection locked="0"/>
    </xf>
    <xf numFmtId="171" fontId="20" fillId="8" borderId="6" xfId="3" applyNumberFormat="1" applyFont="1" applyFill="1" applyBorder="1" applyAlignment="1" applyProtection="1">
      <alignment horizontal="right"/>
      <protection locked="0"/>
    </xf>
    <xf numFmtId="174" fontId="20" fillId="8" borderId="6" xfId="536" applyNumberFormat="1" applyFill="1" applyBorder="1" applyAlignment="1" applyProtection="1">
      <alignment horizontal="right"/>
      <protection locked="0"/>
    </xf>
    <xf numFmtId="0" fontId="48" fillId="8" borderId="6" xfId="536" applyFont="1" applyFill="1" applyBorder="1" applyAlignment="1" applyProtection="1">
      <alignment horizontal="right"/>
      <protection locked="0"/>
    </xf>
    <xf numFmtId="0" fontId="61" fillId="8" borderId="6" xfId="536" applyFont="1" applyFill="1" applyBorder="1" applyAlignment="1" applyProtection="1">
      <alignment horizontal="right"/>
      <protection locked="0"/>
    </xf>
    <xf numFmtId="0" fontId="54" fillId="8" borderId="6" xfId="536" applyFont="1" applyFill="1" applyBorder="1" applyProtection="1">
      <protection locked="0"/>
    </xf>
    <xf numFmtId="0" fontId="20" fillId="8" borderId="18" xfId="536" applyFill="1" applyBorder="1" applyProtection="1">
      <protection locked="0"/>
    </xf>
    <xf numFmtId="0" fontId="20" fillId="0" borderId="0" xfId="536" applyProtection="1">
      <protection locked="0"/>
    </xf>
    <xf numFmtId="3" fontId="43" fillId="8" borderId="22" xfId="536" applyNumberFormat="1" applyFont="1" applyFill="1" applyBorder="1" applyProtection="1">
      <protection locked="0"/>
    </xf>
    <xf numFmtId="0" fontId="59" fillId="0" borderId="0" xfId="536" applyFont="1" applyProtection="1">
      <protection locked="0"/>
    </xf>
    <xf numFmtId="0" fontId="24" fillId="0" borderId="0" xfId="536" applyFont="1" applyAlignment="1" applyProtection="1">
      <alignment horizontal="center"/>
      <protection locked="0"/>
    </xf>
    <xf numFmtId="170" fontId="35" fillId="0" borderId="0" xfId="536" applyNumberFormat="1" applyFont="1" applyAlignment="1" applyProtection="1">
      <alignment horizontal="right"/>
      <protection locked="0"/>
    </xf>
    <xf numFmtId="170" fontId="24" fillId="0" borderId="0" xfId="536" applyNumberFormat="1" applyFont="1" applyAlignment="1" applyProtection="1">
      <alignment horizontal="right"/>
      <protection locked="0"/>
    </xf>
    <xf numFmtId="181" fontId="21" fillId="0" borderId="0" xfId="536" applyNumberFormat="1" applyFont="1" applyAlignment="1" applyProtection="1">
      <alignment horizontal="center" vertical="center"/>
      <protection locked="0"/>
    </xf>
    <xf numFmtId="0" fontId="24" fillId="0" borderId="0" xfId="536" applyFont="1" applyProtection="1">
      <protection locked="0"/>
    </xf>
    <xf numFmtId="179" fontId="48" fillId="0" borderId="12" xfId="536" applyNumberFormat="1" applyFont="1" applyBorder="1" applyProtection="1">
      <protection locked="0"/>
    </xf>
    <xf numFmtId="3" fontId="62" fillId="8" borderId="6" xfId="536" applyNumberFormat="1" applyFont="1" applyFill="1" applyBorder="1" applyAlignment="1" applyProtection="1">
      <alignment horizontal="right"/>
      <protection locked="0"/>
    </xf>
    <xf numFmtId="170" fontId="61" fillId="0" borderId="0" xfId="536" applyNumberFormat="1" applyFont="1" applyAlignment="1" applyProtection="1">
      <alignment horizontal="left"/>
      <protection locked="0"/>
    </xf>
    <xf numFmtId="0" fontId="62" fillId="0" borderId="6" xfId="0" applyFont="1" applyBorder="1"/>
    <xf numFmtId="0" fontId="62" fillId="0" borderId="0" xfId="0" applyFont="1"/>
    <xf numFmtId="0" fontId="64" fillId="2" borderId="0" xfId="0" applyFont="1" applyFill="1"/>
    <xf numFmtId="0" fontId="62" fillId="2" borderId="0" xfId="0" applyFont="1" applyFill="1"/>
    <xf numFmtId="0" fontId="64" fillId="0" borderId="0" xfId="0" applyFont="1" applyAlignment="1">
      <alignment horizontal="center"/>
    </xf>
    <xf numFmtId="3" fontId="62" fillId="0" borderId="0" xfId="0" applyNumberFormat="1" applyFont="1" applyAlignment="1">
      <alignment horizontal="center" vertical="center"/>
    </xf>
    <xf numFmtId="0" fontId="64" fillId="0" borderId="0" xfId="0" applyFont="1"/>
    <xf numFmtId="3" fontId="64" fillId="0" borderId="0" xfId="0" applyNumberFormat="1" applyFont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0" fontId="67" fillId="0" borderId="0" xfId="0" applyFont="1"/>
    <xf numFmtId="0" fontId="67" fillId="0" borderId="0" xfId="0" applyFont="1" applyAlignment="1">
      <alignment horizontal="center"/>
    </xf>
    <xf numFmtId="0" fontId="68" fillId="0" borderId="6" xfId="536" applyFont="1" applyBorder="1" applyAlignment="1">
      <alignment horizontal="center" vertical="center" wrapText="1"/>
    </xf>
    <xf numFmtId="0" fontId="68" fillId="0" borderId="6" xfId="536" applyFont="1" applyBorder="1" applyAlignment="1">
      <alignment vertical="center" wrapText="1"/>
    </xf>
    <xf numFmtId="0" fontId="68" fillId="0" borderId="0" xfId="0" applyFont="1" applyAlignment="1">
      <alignment horizontal="center"/>
    </xf>
    <xf numFmtId="0" fontId="68" fillId="0" borderId="0" xfId="0" applyFont="1"/>
    <xf numFmtId="0" fontId="70" fillId="0" borderId="0" xfId="0" applyFont="1"/>
    <xf numFmtId="0" fontId="71" fillId="0" borderId="0" xfId="0" applyFont="1"/>
    <xf numFmtId="0" fontId="72" fillId="9" borderId="6" xfId="0" applyFont="1" applyFill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5" borderId="6" xfId="0" applyFont="1" applyFill="1" applyBorder="1"/>
    <xf numFmtId="0" fontId="70" fillId="0" borderId="6" xfId="0" applyFont="1" applyBorder="1"/>
    <xf numFmtId="180" fontId="72" fillId="0" borderId="6" xfId="536" applyNumberFormat="1" applyFont="1" applyBorder="1" applyAlignment="1">
      <alignment horizontal="center" vertical="center" wrapText="1"/>
    </xf>
    <xf numFmtId="0" fontId="70" fillId="2" borderId="0" xfId="0" applyFont="1" applyFill="1"/>
    <xf numFmtId="0" fontId="62" fillId="0" borderId="0" xfId="0" pivotButton="1" applyFont="1"/>
    <xf numFmtId="0" fontId="30" fillId="0" borderId="0" xfId="536" applyFont="1" applyProtection="1">
      <protection locked="0"/>
    </xf>
    <xf numFmtId="0" fontId="48" fillId="0" borderId="0" xfId="536" applyFont="1" applyAlignment="1" applyProtection="1">
      <alignment horizontal="center"/>
      <protection locked="0"/>
    </xf>
    <xf numFmtId="170" fontId="48" fillId="0" borderId="0" xfId="536" applyNumberFormat="1" applyFont="1" applyProtection="1">
      <protection locked="0"/>
    </xf>
    <xf numFmtId="170" fontId="20" fillId="0" borderId="0" xfId="536" applyNumberFormat="1" applyAlignment="1" applyProtection="1">
      <alignment horizontal="right"/>
      <protection locked="0"/>
    </xf>
    <xf numFmtId="170" fontId="49" fillId="0" borderId="0" xfId="536" applyNumberFormat="1" applyFont="1" applyAlignment="1" applyProtection="1">
      <alignment horizontal="right"/>
      <protection locked="0"/>
    </xf>
    <xf numFmtId="170" fontId="50" fillId="0" borderId="0" xfId="536" applyNumberFormat="1" applyFont="1" applyAlignment="1" applyProtection="1">
      <alignment horizontal="right"/>
      <protection locked="0"/>
    </xf>
    <xf numFmtId="170" fontId="51" fillId="0" borderId="0" xfId="536" applyNumberFormat="1" applyFont="1" applyAlignment="1" applyProtection="1">
      <alignment horizontal="right"/>
      <protection locked="0"/>
    </xf>
    <xf numFmtId="170" fontId="20" fillId="0" borderId="0" xfId="536" applyNumberFormat="1" applyProtection="1">
      <protection locked="0"/>
    </xf>
    <xf numFmtId="0" fontId="20" fillId="0" borderId="0" xfId="536" applyAlignment="1" applyProtection="1">
      <alignment horizontal="center"/>
      <protection locked="0"/>
    </xf>
    <xf numFmtId="0" fontId="20" fillId="0" borderId="0" xfId="536" applyAlignment="1" applyProtection="1">
      <alignment vertical="center"/>
      <protection locked="0"/>
    </xf>
    <xf numFmtId="0" fontId="52" fillId="0" borderId="0" xfId="536" applyFont="1" applyAlignment="1" applyProtection="1">
      <alignment vertical="center"/>
      <protection locked="0"/>
    </xf>
    <xf numFmtId="0" fontId="20" fillId="0" borderId="0" xfId="536" applyAlignment="1" applyProtection="1">
      <alignment horizontal="center" vertical="center"/>
      <protection locked="0"/>
    </xf>
    <xf numFmtId="170" fontId="48" fillId="0" borderId="0" xfId="536" applyNumberFormat="1" applyFont="1" applyAlignment="1" applyProtection="1">
      <alignment vertical="center"/>
      <protection locked="0"/>
    </xf>
    <xf numFmtId="170" fontId="20" fillId="0" borderId="0" xfId="536" applyNumberFormat="1" applyAlignment="1" applyProtection="1">
      <alignment horizontal="right" vertical="center"/>
      <protection locked="0"/>
    </xf>
    <xf numFmtId="170" fontId="50" fillId="0" borderId="0" xfId="536" applyNumberFormat="1" applyFont="1" applyAlignment="1" applyProtection="1">
      <alignment horizontal="right" vertical="center"/>
      <protection locked="0"/>
    </xf>
    <xf numFmtId="170" fontId="53" fillId="0" borderId="0" xfId="536" applyNumberFormat="1" applyFont="1" applyAlignment="1" applyProtection="1">
      <alignment horizontal="right" vertical="center"/>
      <protection locked="0"/>
    </xf>
    <xf numFmtId="170" fontId="54" fillId="0" borderId="0" xfId="536" applyNumberFormat="1" applyFont="1" applyAlignment="1" applyProtection="1">
      <alignment horizontal="right" vertical="center"/>
      <protection locked="0"/>
    </xf>
    <xf numFmtId="170" fontId="20" fillId="0" borderId="0" xfId="536" applyNumberFormat="1" applyAlignment="1" applyProtection="1">
      <alignment vertical="center"/>
      <protection locked="0"/>
    </xf>
    <xf numFmtId="0" fontId="55" fillId="0" borderId="0" xfId="536" applyFont="1" applyProtection="1">
      <protection locked="0"/>
    </xf>
    <xf numFmtId="170" fontId="53" fillId="0" borderId="0" xfId="536" applyNumberFormat="1" applyFont="1" applyAlignment="1" applyProtection="1">
      <alignment horizontal="right"/>
      <protection locked="0"/>
    </xf>
    <xf numFmtId="170" fontId="54" fillId="0" borderId="0" xfId="536" applyNumberFormat="1" applyFont="1" applyAlignment="1" applyProtection="1">
      <alignment horizontal="right"/>
      <protection locked="0"/>
    </xf>
    <xf numFmtId="170" fontId="56" fillId="0" borderId="0" xfId="536" applyNumberFormat="1" applyFont="1" applyAlignment="1" applyProtection="1">
      <alignment horizontal="left"/>
      <protection locked="0"/>
    </xf>
    <xf numFmtId="0" fontId="35" fillId="0" borderId="0" xfId="536" applyFont="1" applyAlignment="1" applyProtection="1">
      <alignment horizontal="center" vertical="center"/>
      <protection locked="0"/>
    </xf>
    <xf numFmtId="0" fontId="57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0" fillId="0" borderId="0" xfId="536" applyAlignment="1" applyProtection="1">
      <alignment vertical="top"/>
      <protection locked="0"/>
    </xf>
    <xf numFmtId="170" fontId="64" fillId="0" borderId="0" xfId="536" applyNumberFormat="1" applyFont="1" applyAlignment="1" applyProtection="1">
      <alignment vertical="center"/>
      <protection locked="0"/>
    </xf>
    <xf numFmtId="170" fontId="48" fillId="0" borderId="0" xfId="536" applyNumberFormat="1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170" fontId="20" fillId="0" borderId="0" xfId="536" applyNumberFormat="1" applyAlignment="1" applyProtection="1">
      <alignment horizontal="right" vertical="top"/>
      <protection locked="0"/>
    </xf>
    <xf numFmtId="170" fontId="20" fillId="0" borderId="0" xfId="536" applyNumberFormat="1" applyAlignment="1" applyProtection="1">
      <alignment vertical="top"/>
      <protection locked="0"/>
    </xf>
    <xf numFmtId="0" fontId="58" fillId="0" borderId="1" xfId="536" applyFont="1" applyBorder="1" applyProtection="1">
      <protection locked="0"/>
    </xf>
    <xf numFmtId="0" fontId="20" fillId="0" borderId="2" xfId="536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8" fillId="0" borderId="19" xfId="536" applyFont="1" applyBorder="1" applyProtection="1">
      <protection locked="0"/>
    </xf>
    <xf numFmtId="0" fontId="58" fillId="0" borderId="20" xfId="0" applyFont="1" applyBorder="1" applyAlignment="1" applyProtection="1">
      <alignment horizontal="center"/>
      <protection locked="0"/>
    </xf>
    <xf numFmtId="0" fontId="43" fillId="0" borderId="20" xfId="536" applyFont="1" applyBorder="1" applyProtection="1">
      <protection locked="0"/>
    </xf>
    <xf numFmtId="0" fontId="48" fillId="0" borderId="4" xfId="536" applyFont="1" applyBorder="1" applyAlignment="1" applyProtection="1">
      <alignment vertical="center"/>
      <protection locked="0"/>
    </xf>
    <xf numFmtId="0" fontId="48" fillId="0" borderId="5" xfId="0" applyFont="1" applyBorder="1" applyAlignment="1" applyProtection="1">
      <alignment horizontal="center" vertical="center"/>
      <protection locked="0"/>
    </xf>
    <xf numFmtId="0" fontId="43" fillId="0" borderId="5" xfId="536" applyFont="1" applyBorder="1" applyAlignment="1" applyProtection="1">
      <alignment vertical="center"/>
      <protection locked="0"/>
    </xf>
    <xf numFmtId="170" fontId="56" fillId="0" borderId="0" xfId="536" applyNumberFormat="1" applyFont="1" applyAlignment="1" applyProtection="1">
      <alignment horizontal="left" vertical="center"/>
      <protection locked="0"/>
    </xf>
    <xf numFmtId="0" fontId="48" fillId="0" borderId="11" xfId="536" applyFont="1" applyBorder="1" applyAlignment="1" applyProtection="1">
      <alignment horizontal="center" vertical="center" wrapText="1"/>
      <protection locked="0"/>
    </xf>
    <xf numFmtId="0" fontId="48" fillId="0" borderId="7" xfId="536" applyFont="1" applyBorder="1" applyAlignment="1" applyProtection="1">
      <alignment horizontal="center" vertical="center" wrapText="1"/>
      <protection locked="0"/>
    </xf>
    <xf numFmtId="180" fontId="48" fillId="0" borderId="6" xfId="536" applyNumberFormat="1" applyFont="1" applyBorder="1" applyAlignment="1" applyProtection="1">
      <alignment horizontal="center" vertical="center" wrapText="1"/>
      <protection locked="0"/>
    </xf>
    <xf numFmtId="0" fontId="48" fillId="0" borderId="0" xfId="536" applyFont="1" applyAlignment="1" applyProtection="1">
      <alignment horizontal="center" wrapText="1"/>
      <protection locked="0"/>
    </xf>
    <xf numFmtId="1" fontId="60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60" fillId="7" borderId="16" xfId="536" applyNumberFormat="1" applyFont="1" applyFill="1" applyBorder="1" applyAlignment="1" applyProtection="1">
      <alignment horizontal="centerContinuous"/>
      <protection locked="0"/>
    </xf>
    <xf numFmtId="1" fontId="60" fillId="7" borderId="17" xfId="536" applyNumberFormat="1" applyFont="1" applyFill="1" applyBorder="1" applyAlignment="1" applyProtection="1">
      <alignment horizontal="centerContinuous"/>
      <protection locked="0"/>
    </xf>
    <xf numFmtId="1" fontId="20" fillId="0" borderId="0" xfId="536" applyNumberFormat="1" applyProtection="1">
      <protection locked="0"/>
    </xf>
    <xf numFmtId="1" fontId="60" fillId="7" borderId="18" xfId="536" applyNumberFormat="1" applyFont="1" applyFill="1" applyBorder="1" applyAlignment="1" applyProtection="1">
      <alignment horizontal="centerContinuous"/>
      <protection locked="0"/>
    </xf>
    <xf numFmtId="181" fontId="60" fillId="7" borderId="16" xfId="536" applyNumberFormat="1" applyFont="1" applyFill="1" applyBorder="1" applyAlignment="1" applyProtection="1">
      <alignment horizontal="centerContinuous"/>
      <protection locked="0"/>
    </xf>
    <xf numFmtId="181" fontId="60" fillId="7" borderId="17" xfId="536" applyNumberFormat="1" applyFont="1" applyFill="1" applyBorder="1" applyAlignment="1" applyProtection="1">
      <alignment horizontal="centerContinuous"/>
      <protection locked="0"/>
    </xf>
    <xf numFmtId="0" fontId="48" fillId="0" borderId="0" xfId="536" applyFont="1" applyAlignment="1" applyProtection="1">
      <alignment wrapText="1"/>
      <protection locked="0"/>
    </xf>
    <xf numFmtId="0" fontId="48" fillId="0" borderId="11" xfId="536" applyFont="1" applyBorder="1" applyAlignment="1" applyProtection="1">
      <alignment vertical="center" wrapText="1"/>
      <protection locked="0"/>
    </xf>
    <xf numFmtId="0" fontId="48" fillId="0" borderId="15" xfId="536" applyFont="1" applyBorder="1" applyAlignment="1" applyProtection="1">
      <alignment horizontal="center" vertical="center" wrapText="1"/>
      <protection locked="0"/>
    </xf>
    <xf numFmtId="3" fontId="58" fillId="0" borderId="15" xfId="536" applyNumberFormat="1" applyFont="1" applyBorder="1"/>
    <xf numFmtId="3" fontId="58" fillId="0" borderId="11" xfId="536" applyNumberFormat="1" applyFont="1" applyBorder="1"/>
    <xf numFmtId="170" fontId="58" fillId="0" borderId="0" xfId="536" applyNumberFormat="1" applyFont="1"/>
    <xf numFmtId="3" fontId="58" fillId="0" borderId="12" xfId="536" applyNumberFormat="1" applyFont="1" applyBorder="1"/>
    <xf numFmtId="3" fontId="20" fillId="0" borderId="0" xfId="536" applyNumberFormat="1"/>
    <xf numFmtId="3" fontId="58" fillId="0" borderId="8" xfId="536" applyNumberFormat="1" applyFont="1" applyBorder="1"/>
    <xf numFmtId="3" fontId="58" fillId="0" borderId="13" xfId="536" applyNumberFormat="1" applyFont="1" applyBorder="1"/>
    <xf numFmtId="3" fontId="35" fillId="0" borderId="8" xfId="536" applyNumberFormat="1" applyFont="1" applyBorder="1" applyAlignment="1">
      <alignment horizontal="right"/>
    </xf>
    <xf numFmtId="3" fontId="35" fillId="0" borderId="13" xfId="536" applyNumberFormat="1" applyFont="1" applyBorder="1" applyAlignment="1">
      <alignment horizontal="right"/>
    </xf>
    <xf numFmtId="170" fontId="24" fillId="0" borderId="0" xfId="536" applyNumberFormat="1" applyFont="1" applyAlignment="1">
      <alignment horizontal="right"/>
    </xf>
    <xf numFmtId="182" fontId="20" fillId="0" borderId="6" xfId="536" applyNumberFormat="1" applyBorder="1" applyAlignment="1">
      <alignment horizontal="right"/>
    </xf>
    <xf numFmtId="182" fontId="48" fillId="0" borderId="6" xfId="536" applyNumberFormat="1" applyFont="1" applyBorder="1"/>
    <xf numFmtId="0" fontId="58" fillId="0" borderId="15" xfId="536" applyFont="1" applyBorder="1"/>
    <xf numFmtId="0" fontId="20" fillId="0" borderId="21" xfId="536" applyBorder="1" applyAlignment="1">
      <alignment horizontal="center"/>
    </xf>
    <xf numFmtId="0" fontId="58" fillId="0" borderId="8" xfId="536" applyFont="1" applyBorder="1"/>
    <xf numFmtId="0" fontId="20" fillId="0" borderId="20" xfId="536" applyBorder="1" applyAlignment="1">
      <alignment horizontal="center"/>
    </xf>
    <xf numFmtId="0" fontId="48" fillId="0" borderId="8" xfId="536" applyFont="1" applyBorder="1"/>
    <xf numFmtId="0" fontId="24" fillId="0" borderId="20" xfId="536" applyFont="1" applyBorder="1" applyAlignment="1">
      <alignment horizontal="center"/>
    </xf>
    <xf numFmtId="3" fontId="35" fillId="0" borderId="14" xfId="0" applyNumberFormat="1" applyFont="1" applyBorder="1" applyAlignment="1">
      <alignment vertical="center"/>
    </xf>
    <xf numFmtId="0" fontId="73" fillId="0" borderId="0" xfId="0" applyFont="1"/>
    <xf numFmtId="3" fontId="74" fillId="0" borderId="0" xfId="0" applyNumberFormat="1" applyFont="1"/>
    <xf numFmtId="0" fontId="74" fillId="0" borderId="0" xfId="0" applyFont="1"/>
    <xf numFmtId="0" fontId="74" fillId="2" borderId="0" xfId="0" applyFont="1" applyFill="1"/>
    <xf numFmtId="3" fontId="74" fillId="2" borderId="0" xfId="0" applyNumberFormat="1" applyFont="1" applyFill="1"/>
    <xf numFmtId="0" fontId="75" fillId="0" borderId="0" xfId="0" applyFont="1"/>
    <xf numFmtId="0" fontId="76" fillId="0" borderId="0" xfId="0" applyFont="1"/>
    <xf numFmtId="3" fontId="77" fillId="0" borderId="11" xfId="0" applyNumberFormat="1" applyFont="1" applyBorder="1" applyAlignment="1">
      <alignment horizontal="center"/>
    </xf>
    <xf numFmtId="0" fontId="77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4" fillId="0" borderId="7" xfId="0" applyFont="1" applyBorder="1"/>
    <xf numFmtId="3" fontId="74" fillId="0" borderId="9" xfId="0" applyNumberFormat="1" applyFont="1" applyBorder="1"/>
    <xf numFmtId="3" fontId="74" fillId="0" borderId="12" xfId="0" applyNumberFormat="1" applyFont="1" applyBorder="1" applyAlignment="1">
      <alignment horizontal="center"/>
    </xf>
    <xf numFmtId="0" fontId="74" fillId="4" borderId="7" xfId="0" applyFont="1" applyFill="1" applyBorder="1"/>
    <xf numFmtId="3" fontId="74" fillId="4" borderId="9" xfId="0" applyNumberFormat="1" applyFont="1" applyFill="1" applyBorder="1"/>
    <xf numFmtId="3" fontId="74" fillId="2" borderId="12" xfId="0" applyNumberFormat="1" applyFont="1" applyFill="1" applyBorder="1" applyAlignment="1">
      <alignment horizontal="right"/>
    </xf>
    <xf numFmtId="0" fontId="74" fillId="0" borderId="0" xfId="0" applyFont="1" applyAlignment="1">
      <alignment horizontal="right"/>
    </xf>
    <xf numFmtId="3" fontId="74" fillId="0" borderId="12" xfId="0" applyNumberFormat="1" applyFont="1" applyBorder="1" applyAlignment="1">
      <alignment horizontal="right"/>
    </xf>
    <xf numFmtId="0" fontId="76" fillId="0" borderId="7" xfId="0" applyFont="1" applyBorder="1"/>
    <xf numFmtId="0" fontId="76" fillId="3" borderId="7" xfId="0" applyFont="1" applyFill="1" applyBorder="1"/>
    <xf numFmtId="3" fontId="74" fillId="2" borderId="9" xfId="0" applyNumberFormat="1" applyFont="1" applyFill="1" applyBorder="1"/>
    <xf numFmtId="0" fontId="76" fillId="3" borderId="8" xfId="0" applyFont="1" applyFill="1" applyBorder="1"/>
    <xf numFmtId="3" fontId="74" fillId="2" borderId="10" xfId="0" applyNumberFormat="1" applyFont="1" applyFill="1" applyBorder="1"/>
    <xf numFmtId="3" fontId="74" fillId="0" borderId="13" xfId="0" applyNumberFormat="1" applyFont="1" applyBorder="1" applyAlignment="1">
      <alignment horizontal="right"/>
    </xf>
    <xf numFmtId="0" fontId="78" fillId="0" borderId="0" xfId="536" applyFont="1" applyProtection="1">
      <protection locked="0"/>
    </xf>
    <xf numFmtId="3" fontId="43" fillId="9" borderId="25" xfId="536" applyNumberFormat="1" applyFont="1" applyFill="1" applyBorder="1" applyProtection="1">
      <protection locked="0"/>
    </xf>
    <xf numFmtId="3" fontId="43" fillId="9" borderId="13" xfId="536" applyNumberFormat="1" applyFont="1" applyFill="1" applyBorder="1" applyProtection="1">
      <protection locked="0"/>
    </xf>
    <xf numFmtId="3" fontId="35" fillId="9" borderId="27" xfId="0" applyNumberFormat="1" applyFont="1" applyFill="1" applyBorder="1" applyAlignment="1" applyProtection="1">
      <alignment vertical="center"/>
      <protection locked="0"/>
    </xf>
    <xf numFmtId="3" fontId="35" fillId="9" borderId="28" xfId="0" applyNumberFormat="1" applyFont="1" applyFill="1" applyBorder="1" applyAlignment="1" applyProtection="1">
      <alignment vertical="center"/>
      <protection locked="0"/>
    </xf>
    <xf numFmtId="3" fontId="35" fillId="9" borderId="29" xfId="0" applyNumberFormat="1" applyFont="1" applyFill="1" applyBorder="1" applyAlignment="1" applyProtection="1">
      <alignment vertical="center"/>
      <protection locked="0"/>
    </xf>
    <xf numFmtId="3" fontId="43" fillId="9" borderId="22" xfId="536" applyNumberFormat="1" applyFont="1" applyFill="1" applyBorder="1" applyProtection="1">
      <protection locked="0"/>
    </xf>
    <xf numFmtId="3" fontId="35" fillId="9" borderId="14" xfId="0" applyNumberFormat="1" applyFont="1" applyFill="1" applyBorder="1" applyAlignment="1" applyProtection="1">
      <alignment vertical="center"/>
      <protection locked="0"/>
    </xf>
    <xf numFmtId="3" fontId="43" fillId="8" borderId="30" xfId="536" applyNumberFormat="1" applyFont="1" applyFill="1" applyBorder="1" applyProtection="1">
      <protection locked="0"/>
    </xf>
    <xf numFmtId="0" fontId="62" fillId="0" borderId="22" xfId="0" applyFont="1" applyBorder="1" applyAlignment="1" applyProtection="1">
      <alignment horizontal="centerContinuous" vertical="center" wrapText="1"/>
      <protection locked="0"/>
    </xf>
    <xf numFmtId="0" fontId="62" fillId="0" borderId="22" xfId="0" applyFont="1" applyBorder="1" applyAlignment="1" applyProtection="1">
      <alignment horizontal="center" vertical="center" wrapText="1"/>
      <protection locked="0"/>
    </xf>
    <xf numFmtId="0" fontId="38" fillId="6" borderId="0" xfId="536" applyFont="1" applyFill="1" applyAlignment="1" applyProtection="1">
      <alignment horizontal="center" vertical="center"/>
      <protection locked="0"/>
    </xf>
    <xf numFmtId="0" fontId="38" fillId="0" borderId="0" xfId="536" applyFont="1" applyAlignment="1" applyProtection="1">
      <alignment horizontal="center" vertical="center"/>
      <protection locked="0"/>
    </xf>
    <xf numFmtId="0" fontId="80" fillId="0" borderId="0" xfId="536" applyFont="1" applyAlignment="1" applyProtection="1">
      <alignment vertical="center"/>
      <protection locked="0"/>
    </xf>
    <xf numFmtId="0" fontId="48" fillId="0" borderId="23" xfId="0" applyFont="1" applyBorder="1" applyAlignment="1" applyProtection="1">
      <alignment horizontal="centerContinuous" vertical="center"/>
      <protection locked="0"/>
    </xf>
    <xf numFmtId="0" fontId="48" fillId="0" borderId="23" xfId="0" applyFont="1" applyBorder="1" applyAlignment="1" applyProtection="1">
      <alignment horizontal="center" vertical="center" wrapText="1"/>
      <protection locked="0"/>
    </xf>
    <xf numFmtId="0" fontId="61" fillId="0" borderId="22" xfId="0" applyFont="1" applyBorder="1" applyAlignment="1" applyProtection="1">
      <alignment horizontal="center" vertical="center" wrapText="1"/>
      <protection locked="0"/>
    </xf>
    <xf numFmtId="0" fontId="81" fillId="0" borderId="31" xfId="0" applyFont="1" applyBorder="1" applyAlignment="1" applyProtection="1">
      <alignment horizontal="centerContinuous" vertical="center" wrapText="1"/>
      <protection locked="0"/>
    </xf>
    <xf numFmtId="0" fontId="63" fillId="0" borderId="23" xfId="0" applyFont="1" applyBorder="1" applyAlignment="1" applyProtection="1">
      <alignment horizontal="centerContinuous" vertical="center" wrapText="1"/>
      <protection locked="0"/>
    </xf>
    <xf numFmtId="3" fontId="43" fillId="9" borderId="33" xfId="536" applyNumberFormat="1" applyFont="1" applyFill="1" applyBorder="1" applyProtection="1">
      <protection locked="0"/>
    </xf>
    <xf numFmtId="3" fontId="43" fillId="9" borderId="12" xfId="536" applyNumberFormat="1" applyFont="1" applyFill="1" applyBorder="1" applyProtection="1">
      <protection locked="0"/>
    </xf>
    <xf numFmtId="0" fontId="79" fillId="9" borderId="35" xfId="0" applyFont="1" applyFill="1" applyBorder="1" applyAlignment="1" applyProtection="1">
      <alignment horizontal="center" vertical="center" wrapText="1"/>
      <protection locked="0"/>
    </xf>
    <xf numFmtId="0" fontId="79" fillId="9" borderId="6" xfId="0" applyFont="1" applyFill="1" applyBorder="1" applyAlignment="1" applyProtection="1">
      <alignment horizontal="center" vertical="center" wrapText="1"/>
      <protection locked="0"/>
    </xf>
    <xf numFmtId="0" fontId="79" fillId="9" borderId="36" xfId="0" applyFont="1" applyFill="1" applyBorder="1" applyAlignment="1" applyProtection="1">
      <alignment horizontal="center" vertical="center" wrapText="1"/>
      <protection locked="0"/>
    </xf>
    <xf numFmtId="0" fontId="81" fillId="0" borderId="23" xfId="0" applyFont="1" applyBorder="1" applyAlignment="1" applyProtection="1">
      <alignment horizontal="centerContinuous" vertical="center" wrapText="1"/>
      <protection locked="0"/>
    </xf>
    <xf numFmtId="0" fontId="79" fillId="9" borderId="32" xfId="0" applyFont="1" applyFill="1" applyBorder="1" applyAlignment="1" applyProtection="1">
      <alignment horizontal="center" vertical="center" wrapText="1"/>
      <protection locked="0"/>
    </xf>
    <xf numFmtId="3" fontId="43" fillId="9" borderId="30" xfId="536" applyNumberFormat="1" applyFont="1" applyFill="1" applyBorder="1" applyProtection="1">
      <protection locked="0"/>
    </xf>
    <xf numFmtId="170" fontId="56" fillId="0" borderId="0" xfId="536" applyNumberFormat="1" applyFont="1" applyAlignment="1" applyProtection="1">
      <alignment horizontal="center" vertical="center"/>
      <protection locked="0"/>
    </xf>
    <xf numFmtId="0" fontId="62" fillId="8" borderId="6" xfId="0" applyFont="1" applyFill="1" applyBorder="1" applyAlignment="1">
      <alignment horizontal="center"/>
    </xf>
    <xf numFmtId="3" fontId="64" fillId="0" borderId="0" xfId="0" applyNumberFormat="1" applyFont="1" applyAlignment="1">
      <alignment horizontal="center"/>
    </xf>
    <xf numFmtId="3" fontId="64" fillId="9" borderId="0" xfId="0" applyNumberFormat="1" applyFont="1" applyFill="1" applyAlignment="1">
      <alignment horizontal="center" vertical="center"/>
    </xf>
    <xf numFmtId="0" fontId="62" fillId="0" borderId="6" xfId="0" applyFont="1" applyBorder="1" applyAlignment="1">
      <alignment horizontal="center"/>
    </xf>
    <xf numFmtId="3" fontId="35" fillId="9" borderId="34" xfId="536" applyNumberFormat="1" applyFont="1" applyFill="1" applyBorder="1" applyProtection="1">
      <protection locked="0"/>
    </xf>
    <xf numFmtId="3" fontId="35" fillId="9" borderId="26" xfId="536" applyNumberFormat="1" applyFont="1" applyFill="1" applyBorder="1" applyProtection="1">
      <protection locked="0"/>
    </xf>
    <xf numFmtId="0" fontId="34" fillId="0" borderId="0" xfId="0" applyFont="1"/>
    <xf numFmtId="0" fontId="33" fillId="0" borderId="0" xfId="0" applyFont="1"/>
    <xf numFmtId="0" fontId="20" fillId="8" borderId="6" xfId="536" applyFill="1" applyBorder="1" applyAlignment="1" applyProtection="1">
      <alignment horizontal="left"/>
      <protection locked="0"/>
    </xf>
    <xf numFmtId="171" fontId="20" fillId="8" borderId="6" xfId="3" applyNumberFormat="1" applyFont="1" applyFill="1" applyBorder="1" applyAlignment="1" applyProtection="1">
      <alignment horizontal="left"/>
      <protection locked="0"/>
    </xf>
    <xf numFmtId="174" fontId="20" fillId="8" borderId="6" xfId="536" applyNumberFormat="1" applyFill="1" applyBorder="1" applyAlignment="1" applyProtection="1">
      <alignment horizontal="left"/>
      <protection locked="0"/>
    </xf>
    <xf numFmtId="0" fontId="58" fillId="8" borderId="6" xfId="536" applyFont="1" applyFill="1" applyBorder="1" applyAlignment="1" applyProtection="1">
      <alignment horizontal="left"/>
      <protection locked="0"/>
    </xf>
    <xf numFmtId="164" fontId="24" fillId="10" borderId="6" xfId="657" applyFont="1" applyFill="1" applyBorder="1" applyProtection="1">
      <protection locked="0"/>
    </xf>
    <xf numFmtId="171" fontId="24" fillId="10" borderId="6" xfId="657" applyNumberFormat="1" applyFont="1" applyFill="1" applyBorder="1" applyAlignment="1" applyProtection="1">
      <alignment horizontal="right"/>
      <protection locked="0"/>
    </xf>
    <xf numFmtId="164" fontId="48" fillId="10" borderId="6" xfId="657" applyFont="1" applyFill="1" applyBorder="1" applyAlignment="1" applyProtection="1">
      <alignment horizontal="right"/>
      <protection locked="0"/>
    </xf>
    <xf numFmtId="183" fontId="84" fillId="11" borderId="6" xfId="658" applyNumberFormat="1" applyFont="1" applyFill="1" applyBorder="1" applyAlignment="1" applyProtection="1">
      <alignment horizontal="center" vertical="center"/>
      <protection locked="0"/>
    </xf>
    <xf numFmtId="164" fontId="20" fillId="10" borderId="6" xfId="657" applyFont="1" applyFill="1" applyBorder="1" applyProtection="1">
      <protection locked="0"/>
    </xf>
    <xf numFmtId="171" fontId="20" fillId="10" borderId="6" xfId="657" applyNumberFormat="1" applyFont="1" applyFill="1" applyBorder="1" applyAlignment="1" applyProtection="1">
      <alignment horizontal="right"/>
      <protection locked="0"/>
    </xf>
    <xf numFmtId="171" fontId="48" fillId="0" borderId="6" xfId="657" applyNumberFormat="1" applyFont="1" applyBorder="1" applyAlignment="1" applyProtection="1">
      <alignment horizontal="center" wrapText="1"/>
      <protection locked="0"/>
    </xf>
    <xf numFmtId="164" fontId="24" fillId="0" borderId="6" xfId="657" applyFont="1" applyFill="1" applyBorder="1" applyProtection="1">
      <protection locked="0"/>
    </xf>
    <xf numFmtId="164" fontId="24" fillId="0" borderId="6" xfId="657" applyFont="1" applyFill="1" applyBorder="1" applyAlignment="1" applyProtection="1">
      <alignment horizontal="right"/>
      <protection locked="0"/>
    </xf>
    <xf numFmtId="164" fontId="48" fillId="0" borderId="6" xfId="657" applyFont="1" applyFill="1" applyBorder="1" applyAlignment="1" applyProtection="1">
      <alignment horizontal="right"/>
      <protection locked="0"/>
    </xf>
    <xf numFmtId="164" fontId="20" fillId="0" borderId="6" xfId="657" applyFont="1" applyBorder="1" applyProtection="1">
      <protection locked="0"/>
    </xf>
    <xf numFmtId="164" fontId="83" fillId="12" borderId="6" xfId="657" applyFont="1" applyFill="1" applyBorder="1" applyAlignment="1" applyProtection="1">
      <alignment horizontal="center"/>
      <protection locked="0"/>
    </xf>
    <xf numFmtId="164" fontId="83" fillId="12" borderId="6" xfId="657" applyFont="1" applyFill="1" applyBorder="1" applyAlignment="1" applyProtection="1">
      <alignment horizontal="right" wrapText="1"/>
      <protection locked="0"/>
    </xf>
    <xf numFmtId="17" fontId="48" fillId="0" borderId="6" xfId="536" applyNumberFormat="1" applyFont="1" applyBorder="1" applyAlignment="1" applyProtection="1">
      <alignment horizontal="center"/>
      <protection locked="0"/>
    </xf>
    <xf numFmtId="0" fontId="62" fillId="0" borderId="0" xfId="536" applyFont="1" applyProtection="1">
      <protection locked="0"/>
    </xf>
    <xf numFmtId="0" fontId="20" fillId="0" borderId="0" xfId="536" applyAlignment="1" applyProtection="1">
      <alignment horizontal="left"/>
      <protection locked="0"/>
    </xf>
    <xf numFmtId="0" fontId="20" fillId="0" borderId="0" xfId="536" applyAlignment="1" applyProtection="1">
      <alignment horizontal="left" vertical="center"/>
      <protection locked="0"/>
    </xf>
    <xf numFmtId="0" fontId="35" fillId="0" borderId="0" xfId="536" applyFont="1" applyAlignment="1" applyProtection="1">
      <alignment horizontal="left" vertical="center"/>
      <protection locked="0"/>
    </xf>
    <xf numFmtId="0" fontId="20" fillId="0" borderId="2" xfId="536" applyBorder="1" applyAlignment="1" applyProtection="1">
      <alignment horizontal="left"/>
      <protection locked="0"/>
    </xf>
    <xf numFmtId="0" fontId="58" fillId="0" borderId="20" xfId="0" applyFont="1" applyBorder="1" applyAlignment="1" applyProtection="1">
      <alignment horizontal="left"/>
      <protection locked="0"/>
    </xf>
    <xf numFmtId="0" fontId="48" fillId="0" borderId="5" xfId="0" applyFont="1" applyBorder="1" applyAlignment="1" applyProtection="1">
      <alignment horizontal="left" vertical="center"/>
      <protection locked="0"/>
    </xf>
    <xf numFmtId="0" fontId="20" fillId="0" borderId="21" xfId="536" applyBorder="1" applyAlignment="1">
      <alignment horizontal="left"/>
    </xf>
    <xf numFmtId="0" fontId="20" fillId="0" borderId="20" xfId="536" applyBorder="1" applyAlignment="1">
      <alignment horizontal="left"/>
    </xf>
    <xf numFmtId="0" fontId="24" fillId="0" borderId="20" xfId="536" applyFont="1" applyBorder="1" applyAlignment="1">
      <alignment horizontal="left"/>
    </xf>
    <xf numFmtId="0" fontId="24" fillId="0" borderId="0" xfId="536" applyFont="1" applyAlignment="1" applyProtection="1">
      <alignment horizontal="left"/>
      <protection locked="0"/>
    </xf>
    <xf numFmtId="184" fontId="24" fillId="10" borderId="6" xfId="657" applyNumberFormat="1" applyFont="1" applyFill="1" applyBorder="1" applyAlignment="1" applyProtection="1">
      <alignment horizontal="left"/>
      <protection locked="0"/>
    </xf>
    <xf numFmtId="164" fontId="20" fillId="10" borderId="6" xfId="657" applyFont="1" applyFill="1" applyBorder="1" applyAlignment="1" applyProtection="1">
      <alignment horizontal="left"/>
      <protection locked="0"/>
    </xf>
    <xf numFmtId="14" fontId="24" fillId="0" borderId="6" xfId="657" applyNumberFormat="1" applyFont="1" applyFill="1" applyBorder="1" applyAlignment="1" applyProtection="1">
      <alignment horizontal="left"/>
      <protection locked="0"/>
    </xf>
    <xf numFmtId="164" fontId="83" fillId="12" borderId="6" xfId="657" applyFont="1" applyFill="1" applyBorder="1" applyAlignment="1" applyProtection="1">
      <alignment horizontal="left"/>
      <protection locked="0"/>
    </xf>
    <xf numFmtId="164" fontId="20" fillId="0" borderId="6" xfId="657" applyFont="1" applyBorder="1" applyAlignment="1" applyProtection="1">
      <alignment horizontal="left"/>
      <protection locked="0"/>
    </xf>
    <xf numFmtId="0" fontId="62" fillId="0" borderId="0" xfId="536" applyFont="1" applyAlignment="1" applyProtection="1">
      <alignment horizontal="left"/>
      <protection locked="0"/>
    </xf>
    <xf numFmtId="175" fontId="20" fillId="0" borderId="6" xfId="657" applyNumberFormat="1" applyFont="1" applyBorder="1" applyProtection="1">
      <protection locked="0"/>
    </xf>
    <xf numFmtId="0" fontId="54" fillId="13" borderId="0" xfId="536" applyFont="1" applyFill="1" applyProtection="1">
      <protection locked="0"/>
    </xf>
    <xf numFmtId="0" fontId="54" fillId="13" borderId="0" xfId="536" applyFont="1" applyFill="1" applyAlignment="1" applyProtection="1">
      <alignment horizontal="left"/>
      <protection locked="0"/>
    </xf>
    <xf numFmtId="171" fontId="61" fillId="13" borderId="0" xfId="657" applyNumberFormat="1" applyFont="1" applyFill="1" applyAlignment="1" applyProtection="1">
      <alignment horizontal="center"/>
      <protection locked="0"/>
    </xf>
    <xf numFmtId="0" fontId="61" fillId="13" borderId="0" xfId="536" applyFont="1" applyFill="1" applyAlignment="1" applyProtection="1">
      <alignment horizontal="center"/>
      <protection locked="0"/>
    </xf>
    <xf numFmtId="0" fontId="54" fillId="0" borderId="0" xfId="536" applyFont="1" applyProtection="1">
      <protection locked="0"/>
    </xf>
    <xf numFmtId="3" fontId="61" fillId="13" borderId="0" xfId="536" applyNumberFormat="1" applyFont="1" applyFill="1" applyAlignment="1" applyProtection="1">
      <alignment horizontal="right"/>
      <protection locked="0"/>
    </xf>
    <xf numFmtId="171" fontId="61" fillId="13" borderId="0" xfId="536" applyNumberFormat="1" applyFont="1" applyFill="1" applyAlignment="1" applyProtection="1">
      <alignment horizontal="center"/>
      <protection locked="0"/>
    </xf>
    <xf numFmtId="0" fontId="61" fillId="13" borderId="0" xfId="536" applyFont="1" applyFill="1" applyAlignment="1" applyProtection="1">
      <alignment horizontal="left"/>
      <protection locked="0"/>
    </xf>
    <xf numFmtId="0" fontId="30" fillId="0" borderId="0" xfId="536" applyFont="1" applyAlignment="1" applyProtection="1">
      <alignment horizontal="left"/>
      <protection locked="0"/>
    </xf>
    <xf numFmtId="0" fontId="48" fillId="0" borderId="11" xfId="536" applyFont="1" applyBorder="1" applyAlignment="1" applyProtection="1">
      <alignment horizontal="left" vertical="center" wrapText="1"/>
      <protection locked="0"/>
    </xf>
    <xf numFmtId="0" fontId="48" fillId="8" borderId="6" xfId="536" applyFont="1" applyFill="1" applyBorder="1" applyAlignment="1" applyProtection="1">
      <alignment horizontal="left"/>
      <protection locked="0"/>
    </xf>
    <xf numFmtId="0" fontId="61" fillId="8" borderId="6" xfId="536" applyFont="1" applyFill="1" applyBorder="1" applyAlignment="1" applyProtection="1">
      <alignment horizontal="left"/>
      <protection locked="0"/>
    </xf>
    <xf numFmtId="0" fontId="48" fillId="0" borderId="0" xfId="536" applyFont="1" applyAlignment="1" applyProtection="1">
      <alignment horizontal="left"/>
      <protection locked="0"/>
    </xf>
    <xf numFmtId="0" fontId="58" fillId="8" borderId="6" xfId="536" applyFont="1" applyFill="1" applyBorder="1" applyAlignment="1" applyProtection="1">
      <alignment horizontal="right"/>
      <protection locked="0"/>
    </xf>
    <xf numFmtId="0" fontId="62" fillId="0" borderId="0" xfId="536" applyFont="1" applyAlignment="1" applyProtection="1">
      <alignment horizontal="center"/>
      <protection locked="0"/>
    </xf>
    <xf numFmtId="170" fontId="62" fillId="0" borderId="0" xfId="536" applyNumberFormat="1" applyFont="1" applyAlignment="1" applyProtection="1">
      <alignment horizontal="right"/>
      <protection locked="0"/>
    </xf>
    <xf numFmtId="170" fontId="62" fillId="0" borderId="0" xfId="536" applyNumberFormat="1" applyFont="1" applyProtection="1">
      <protection locked="0"/>
    </xf>
    <xf numFmtId="0" fontId="62" fillId="8" borderId="6" xfId="536" applyFont="1" applyFill="1" applyBorder="1" applyAlignment="1" applyProtection="1">
      <alignment horizontal="left"/>
      <protection locked="0"/>
    </xf>
    <xf numFmtId="171" fontId="62" fillId="8" borderId="6" xfId="3" applyNumberFormat="1" applyFont="1" applyFill="1" applyBorder="1" applyAlignment="1" applyProtection="1">
      <alignment horizontal="left"/>
      <protection locked="0"/>
    </xf>
    <xf numFmtId="174" fontId="62" fillId="8" borderId="6" xfId="536" applyNumberFormat="1" applyFont="1" applyFill="1" applyBorder="1" applyAlignment="1" applyProtection="1">
      <alignment horizontal="left"/>
      <protection locked="0"/>
    </xf>
    <xf numFmtId="0" fontId="62" fillId="8" borderId="6" xfId="536" applyFont="1" applyFill="1" applyBorder="1" applyProtection="1">
      <protection locked="0"/>
    </xf>
    <xf numFmtId="171" fontId="62" fillId="8" borderId="6" xfId="3" applyNumberFormat="1" applyFont="1" applyFill="1" applyBorder="1" applyAlignment="1" applyProtection="1">
      <protection locked="0"/>
    </xf>
    <xf numFmtId="0" fontId="58" fillId="8" borderId="6" xfId="536" applyFont="1" applyFill="1" applyBorder="1" applyProtection="1">
      <protection locked="0"/>
    </xf>
    <xf numFmtId="171" fontId="20" fillId="8" borderId="6" xfId="3" applyNumberFormat="1" applyFont="1" applyFill="1" applyBorder="1" applyAlignment="1" applyProtection="1">
      <protection locked="0"/>
    </xf>
    <xf numFmtId="174" fontId="20" fillId="8" borderId="6" xfId="536" applyNumberFormat="1" applyFill="1" applyBorder="1" applyProtection="1">
      <protection locked="0"/>
    </xf>
    <xf numFmtId="0" fontId="48" fillId="8" borderId="6" xfId="536" applyFont="1" applyFill="1" applyBorder="1" applyProtection="1">
      <protection locked="0"/>
    </xf>
    <xf numFmtId="0" fontId="61" fillId="8" borderId="6" xfId="536" applyFont="1" applyFill="1" applyBorder="1" applyProtection="1">
      <protection locked="0"/>
    </xf>
    <xf numFmtId="0" fontId="78" fillId="13" borderId="0" xfId="536" applyFont="1" applyFill="1" applyProtection="1">
      <protection locked="0"/>
    </xf>
    <xf numFmtId="0" fontId="78" fillId="13" borderId="0" xfId="536" applyFont="1" applyFill="1" applyAlignment="1" applyProtection="1">
      <alignment horizontal="left"/>
      <protection locked="0"/>
    </xf>
    <xf numFmtId="171" fontId="85" fillId="13" borderId="0" xfId="657" applyNumberFormat="1" applyFont="1" applyFill="1" applyAlignment="1" applyProtection="1">
      <alignment horizontal="center"/>
      <protection locked="0"/>
    </xf>
    <xf numFmtId="0" fontId="85" fillId="13" borderId="0" xfId="536" applyFont="1" applyFill="1" applyAlignment="1" applyProtection="1">
      <alignment horizontal="center"/>
      <protection locked="0"/>
    </xf>
    <xf numFmtId="3" fontId="85" fillId="13" borderId="0" xfId="536" applyNumberFormat="1" applyFont="1" applyFill="1" applyAlignment="1" applyProtection="1">
      <alignment horizontal="right"/>
      <protection locked="0"/>
    </xf>
    <xf numFmtId="171" fontId="85" fillId="13" borderId="0" xfId="536" applyNumberFormat="1" applyFont="1" applyFill="1" applyAlignment="1" applyProtection="1">
      <alignment horizontal="center"/>
      <protection locked="0"/>
    </xf>
    <xf numFmtId="0" fontId="85" fillId="13" borderId="0" xfId="536" applyFont="1" applyFill="1" applyAlignment="1" applyProtection="1">
      <alignment horizontal="left"/>
      <protection locked="0"/>
    </xf>
    <xf numFmtId="0" fontId="78" fillId="0" borderId="0" xfId="536" applyFont="1" applyAlignment="1" applyProtection="1">
      <alignment horizontal="center"/>
      <protection locked="0"/>
    </xf>
    <xf numFmtId="0" fontId="85" fillId="0" borderId="0" xfId="536" applyFont="1" applyAlignment="1" applyProtection="1">
      <alignment horizontal="center"/>
      <protection locked="0"/>
    </xf>
    <xf numFmtId="0" fontId="85" fillId="0" borderId="0" xfId="536" applyFont="1" applyAlignment="1" applyProtection="1">
      <alignment horizontal="left"/>
      <protection locked="0"/>
    </xf>
    <xf numFmtId="170" fontId="85" fillId="0" borderId="0" xfId="536" applyNumberFormat="1" applyFont="1" applyProtection="1">
      <protection locked="0"/>
    </xf>
    <xf numFmtId="170" fontId="78" fillId="0" borderId="0" xfId="536" applyNumberFormat="1" applyFont="1" applyAlignment="1" applyProtection="1">
      <alignment horizontal="right"/>
      <protection locked="0"/>
    </xf>
    <xf numFmtId="170" fontId="78" fillId="0" borderId="0" xfId="536" applyNumberFormat="1" applyFont="1" applyProtection="1">
      <protection locked="0"/>
    </xf>
    <xf numFmtId="164" fontId="24" fillId="0" borderId="6" xfId="657" applyFont="1" applyBorder="1" applyProtection="1">
      <protection locked="0"/>
    </xf>
    <xf numFmtId="164" fontId="24" fillId="0" borderId="6" xfId="657" applyFont="1" applyBorder="1" applyAlignment="1" applyProtection="1">
      <alignment horizontal="left"/>
      <protection locked="0"/>
    </xf>
    <xf numFmtId="175" fontId="24" fillId="0" borderId="6" xfId="657" applyNumberFormat="1" applyFont="1" applyBorder="1" applyProtection="1">
      <protection locked="0"/>
    </xf>
    <xf numFmtId="183" fontId="84" fillId="0" borderId="0" xfId="658" applyNumberFormat="1" applyFont="1" applyAlignment="1" applyProtection="1">
      <alignment horizontal="center" vertical="center"/>
      <protection locked="0"/>
    </xf>
    <xf numFmtId="171" fontId="48" fillId="0" borderId="0" xfId="657" applyNumberFormat="1" applyFont="1" applyFill="1" applyBorder="1" applyAlignment="1" applyProtection="1">
      <alignment horizontal="center" wrapText="1"/>
      <protection locked="0"/>
    </xf>
    <xf numFmtId="0" fontId="43" fillId="8" borderId="6" xfId="536" applyFont="1" applyFill="1" applyBorder="1" applyAlignment="1" applyProtection="1">
      <alignment horizontal="left"/>
      <protection locked="0"/>
    </xf>
    <xf numFmtId="0" fontId="48" fillId="0" borderId="23" xfId="0" applyFont="1" applyBorder="1" applyAlignment="1" applyProtection="1">
      <alignment horizontal="left" vertical="center"/>
      <protection locked="0"/>
    </xf>
    <xf numFmtId="0" fontId="62" fillId="0" borderId="22" xfId="0" applyFont="1" applyBorder="1" applyAlignment="1" applyProtection="1">
      <alignment horizontal="left" vertical="center" wrapText="1"/>
      <protection locked="0"/>
    </xf>
    <xf numFmtId="164" fontId="48" fillId="10" borderId="6" xfId="657" applyFont="1" applyFill="1" applyBorder="1" applyAlignment="1" applyProtection="1">
      <alignment horizontal="left"/>
      <protection locked="0"/>
    </xf>
    <xf numFmtId="164" fontId="48" fillId="0" borderId="6" xfId="657" applyFont="1" applyFill="1" applyBorder="1" applyAlignment="1" applyProtection="1">
      <alignment horizontal="left"/>
      <protection locked="0"/>
    </xf>
    <xf numFmtId="164" fontId="83" fillId="12" borderId="6" xfId="657" applyFont="1" applyFill="1" applyBorder="1" applyAlignment="1" applyProtection="1">
      <alignment horizontal="left" wrapText="1"/>
      <protection locked="0"/>
    </xf>
    <xf numFmtId="175" fontId="20" fillId="0" borderId="6" xfId="657" applyNumberFormat="1" applyFont="1" applyBorder="1" applyAlignment="1" applyProtection="1">
      <alignment horizontal="left"/>
      <protection locked="0"/>
    </xf>
    <xf numFmtId="175" fontId="24" fillId="0" borderId="6" xfId="657" applyNumberFormat="1" applyFont="1" applyBorder="1" applyAlignment="1" applyProtection="1">
      <alignment horizontal="left"/>
      <protection locked="0"/>
    </xf>
    <xf numFmtId="3" fontId="35" fillId="0" borderId="14" xfId="0" applyNumberFormat="1" applyFont="1" applyBorder="1" applyAlignment="1">
      <alignment horizontal="right" vertical="center"/>
    </xf>
    <xf numFmtId="0" fontId="78" fillId="0" borderId="0" xfId="536" applyFont="1" applyAlignment="1" applyProtection="1">
      <alignment horizontal="left"/>
      <protection locked="0"/>
    </xf>
    <xf numFmtId="0" fontId="54" fillId="0" borderId="0" xfId="536" applyFont="1" applyAlignment="1" applyProtection="1">
      <alignment horizontal="center"/>
      <protection locked="0"/>
    </xf>
    <xf numFmtId="0" fontId="61" fillId="0" borderId="0" xfId="536" applyFont="1" applyAlignment="1" applyProtection="1">
      <alignment horizontal="left"/>
      <protection locked="0"/>
    </xf>
    <xf numFmtId="0" fontId="61" fillId="0" borderId="0" xfId="536" applyFont="1" applyAlignment="1" applyProtection="1">
      <alignment horizontal="center"/>
      <protection locked="0"/>
    </xf>
    <xf numFmtId="170" fontId="61" fillId="0" borderId="0" xfId="536" applyNumberFormat="1" applyFont="1" applyProtection="1">
      <protection locked="0"/>
    </xf>
    <xf numFmtId="170" fontId="54" fillId="0" borderId="0" xfId="536" applyNumberFormat="1" applyFont="1" applyProtection="1">
      <protection locked="0"/>
    </xf>
    <xf numFmtId="171" fontId="85" fillId="0" borderId="0" xfId="657" applyNumberFormat="1" applyFont="1" applyFill="1" applyAlignment="1" applyProtection="1">
      <alignment horizontal="left"/>
      <protection locked="0"/>
    </xf>
    <xf numFmtId="171" fontId="85" fillId="0" borderId="0" xfId="536" applyNumberFormat="1" applyFont="1" applyAlignment="1" applyProtection="1">
      <alignment horizontal="left"/>
      <protection locked="0"/>
    </xf>
    <xf numFmtId="164" fontId="62" fillId="8" borderId="6" xfId="657" applyFont="1" applyFill="1" applyBorder="1" applyAlignment="1" applyProtection="1">
      <alignment horizontal="right"/>
      <protection locked="0"/>
    </xf>
    <xf numFmtId="164" fontId="83" fillId="0" borderId="6" xfId="657" applyFont="1" applyFill="1" applyBorder="1" applyAlignment="1" applyProtection="1">
      <alignment horizontal="left"/>
      <protection locked="0"/>
    </xf>
    <xf numFmtId="164" fontId="83" fillId="0" borderId="6" xfId="657" applyFont="1" applyFill="1" applyBorder="1" applyAlignment="1" applyProtection="1">
      <alignment horizontal="center"/>
      <protection locked="0"/>
    </xf>
    <xf numFmtId="164" fontId="20" fillId="0" borderId="6" xfId="657" applyFont="1" applyFill="1" applyBorder="1" applyProtection="1">
      <protection locked="0"/>
    </xf>
    <xf numFmtId="164" fontId="20" fillId="0" borderId="6" xfId="657" applyFont="1" applyFill="1" applyBorder="1" applyAlignment="1" applyProtection="1">
      <alignment horizontal="left"/>
      <protection locked="0"/>
    </xf>
    <xf numFmtId="0" fontId="0" fillId="0" borderId="6" xfId="0" applyBorder="1" applyAlignment="1">
      <alignment horizontal="left"/>
    </xf>
    <xf numFmtId="0" fontId="35" fillId="0" borderId="0" xfId="536" applyFont="1" applyAlignment="1" applyProtection="1">
      <alignment horizontal="center"/>
      <protection locked="0"/>
    </xf>
    <xf numFmtId="170" fontId="35" fillId="0" borderId="0" xfId="536" applyNumberFormat="1" applyFont="1" applyProtection="1">
      <protection locked="0"/>
    </xf>
    <xf numFmtId="3" fontId="20" fillId="0" borderId="0" xfId="536" applyNumberFormat="1" applyAlignment="1" applyProtection="1">
      <alignment horizontal="center"/>
      <protection locked="0"/>
    </xf>
    <xf numFmtId="0" fontId="54" fillId="0" borderId="0" xfId="536" applyFont="1" applyAlignment="1" applyProtection="1">
      <alignment horizontal="left"/>
      <protection locked="0"/>
    </xf>
    <xf numFmtId="171" fontId="61" fillId="0" borderId="0" xfId="657" applyNumberFormat="1" applyFont="1" applyFill="1" applyAlignment="1" applyProtection="1">
      <alignment horizontal="left"/>
      <protection locked="0"/>
    </xf>
    <xf numFmtId="171" fontId="61" fillId="0" borderId="0" xfId="536" applyNumberFormat="1" applyFont="1" applyAlignment="1" applyProtection="1">
      <alignment horizontal="left"/>
      <protection locked="0"/>
    </xf>
    <xf numFmtId="171" fontId="48" fillId="0" borderId="0" xfId="657" applyNumberFormat="1" applyFont="1" applyFill="1" applyAlignment="1" applyProtection="1">
      <alignment horizontal="left"/>
      <protection locked="0"/>
    </xf>
    <xf numFmtId="171" fontId="48" fillId="0" borderId="0" xfId="536" applyNumberFormat="1" applyFont="1" applyAlignment="1" applyProtection="1">
      <alignment horizontal="left"/>
      <protection locked="0"/>
    </xf>
    <xf numFmtId="171" fontId="48" fillId="0" borderId="0" xfId="536" applyNumberFormat="1" applyFont="1" applyAlignment="1" applyProtection="1">
      <alignment horizontal="center"/>
      <protection locked="0"/>
    </xf>
    <xf numFmtId="0" fontId="48" fillId="0" borderId="0" xfId="536" applyFont="1" applyAlignment="1" applyProtection="1">
      <alignment horizontal="right"/>
      <protection locked="0"/>
    </xf>
    <xf numFmtId="175" fontId="83" fillId="0" borderId="6" xfId="657" applyNumberFormat="1" applyFont="1" applyFill="1" applyBorder="1" applyAlignment="1" applyProtection="1">
      <alignment horizontal="left" wrapText="1"/>
      <protection locked="0"/>
    </xf>
    <xf numFmtId="171" fontId="58" fillId="0" borderId="0" xfId="657" applyNumberFormat="1" applyFont="1" applyFill="1" applyAlignment="1" applyProtection="1">
      <alignment horizontal="left"/>
      <protection locked="0"/>
    </xf>
    <xf numFmtId="171" fontId="58" fillId="0" borderId="0" xfId="536" applyNumberFormat="1" applyFont="1" applyAlignment="1" applyProtection="1">
      <alignment horizontal="left"/>
      <protection locked="0"/>
    </xf>
    <xf numFmtId="182" fontId="62" fillId="0" borderId="6" xfId="536" applyNumberFormat="1" applyFont="1" applyBorder="1" applyAlignment="1">
      <alignment horizontal="right"/>
    </xf>
    <xf numFmtId="0" fontId="86" fillId="8" borderId="6" xfId="536" applyFont="1" applyFill="1" applyBorder="1" applyProtection="1">
      <protection locked="0"/>
    </xf>
    <xf numFmtId="3" fontId="54" fillId="8" borderId="6" xfId="536" applyNumberFormat="1" applyFont="1" applyFill="1" applyBorder="1" applyAlignment="1" applyProtection="1">
      <alignment horizontal="right"/>
      <protection locked="0"/>
    </xf>
    <xf numFmtId="175" fontId="68" fillId="0" borderId="0" xfId="657" applyNumberFormat="1" applyFont="1"/>
    <xf numFmtId="0" fontId="85" fillId="0" borderId="0" xfId="536" applyFont="1" applyAlignment="1" applyProtection="1">
      <alignment horizontal="center" wrapText="1"/>
      <protection locked="0"/>
    </xf>
    <xf numFmtId="171" fontId="87" fillId="0" borderId="0" xfId="657" applyNumberFormat="1" applyFont="1" applyFill="1" applyAlignment="1" applyProtection="1">
      <alignment horizontal="left"/>
      <protection locked="0"/>
    </xf>
    <xf numFmtId="171" fontId="85" fillId="0" borderId="0" xfId="536" applyNumberFormat="1" applyFont="1" applyAlignment="1" applyProtection="1">
      <alignment horizontal="center"/>
      <protection locked="0"/>
    </xf>
    <xf numFmtId="171" fontId="87" fillId="0" borderId="0" xfId="536" applyNumberFormat="1" applyFont="1" applyAlignment="1" applyProtection="1">
      <alignment horizontal="left"/>
      <protection locked="0"/>
    </xf>
    <xf numFmtId="0" fontId="35" fillId="0" borderId="0" xfId="536" applyFont="1" applyAlignment="1" applyProtection="1">
      <alignment wrapText="1"/>
      <protection locked="0"/>
    </xf>
    <xf numFmtId="3" fontId="20" fillId="8" borderId="6" xfId="536" applyNumberFormat="1" applyFill="1" applyBorder="1" applyAlignment="1" applyProtection="1">
      <alignment horizontal="right"/>
      <protection locked="0"/>
    </xf>
    <xf numFmtId="0" fontId="20" fillId="0" borderId="6" xfId="536" applyBorder="1" applyAlignment="1" applyProtection="1">
      <alignment horizontal="center"/>
      <protection locked="0"/>
    </xf>
    <xf numFmtId="0" fontId="20" fillId="0" borderId="6" xfId="536" applyBorder="1" applyProtection="1">
      <protection locked="0"/>
    </xf>
    <xf numFmtId="0" fontId="48" fillId="0" borderId="6" xfId="536" applyFont="1" applyBorder="1" applyAlignment="1" applyProtection="1">
      <alignment horizontal="center"/>
      <protection locked="0"/>
    </xf>
    <xf numFmtId="171" fontId="43" fillId="8" borderId="6" xfId="3" applyNumberFormat="1" applyFont="1" applyFill="1" applyBorder="1" applyAlignment="1" applyProtection="1">
      <alignment horizontal="left"/>
      <protection locked="0"/>
    </xf>
    <xf numFmtId="164" fontId="24" fillId="0" borderId="0" xfId="657" applyFont="1" applyFill="1" applyBorder="1" applyProtection="1">
      <protection locked="0"/>
    </xf>
    <xf numFmtId="184" fontId="24" fillId="0" borderId="0" xfId="657" applyNumberFormat="1" applyFont="1" applyFill="1" applyBorder="1" applyAlignment="1" applyProtection="1">
      <alignment horizontal="left"/>
      <protection locked="0"/>
    </xf>
    <xf numFmtId="171" fontId="24" fillId="0" borderId="0" xfId="657" applyNumberFormat="1" applyFont="1" applyFill="1" applyBorder="1" applyAlignment="1" applyProtection="1">
      <alignment horizontal="right"/>
      <protection locked="0"/>
    </xf>
    <xf numFmtId="164" fontId="48" fillId="0" borderId="0" xfId="657" applyFont="1" applyFill="1" applyBorder="1" applyAlignment="1" applyProtection="1">
      <alignment horizontal="left"/>
      <protection locked="0"/>
    </xf>
    <xf numFmtId="184" fontId="24" fillId="0" borderId="6" xfId="657" applyNumberFormat="1" applyFont="1" applyFill="1" applyBorder="1" applyAlignment="1" applyProtection="1">
      <alignment horizontal="left"/>
      <protection locked="0"/>
    </xf>
    <xf numFmtId="171" fontId="24" fillId="0" borderId="6" xfId="657" applyNumberFormat="1" applyFont="1" applyFill="1" applyBorder="1" applyAlignment="1" applyProtection="1">
      <alignment horizontal="right"/>
      <protection locked="0"/>
    </xf>
    <xf numFmtId="164" fontId="19" fillId="0" borderId="6" xfId="657" applyFont="1" applyFill="1" applyBorder="1" applyAlignment="1" applyProtection="1">
      <protection locked="0"/>
    </xf>
    <xf numFmtId="175" fontId="19" fillId="0" borderId="6" xfId="657" applyNumberFormat="1" applyFont="1" applyFill="1" applyBorder="1" applyAlignment="1" applyProtection="1">
      <alignment wrapText="1"/>
      <protection locked="0"/>
    </xf>
    <xf numFmtId="0" fontId="88" fillId="0" borderId="6" xfId="536" applyFont="1" applyBorder="1" applyProtection="1">
      <protection locked="0"/>
    </xf>
    <xf numFmtId="184" fontId="88" fillId="0" borderId="6" xfId="657" applyNumberFormat="1" applyFont="1" applyFill="1" applyBorder="1" applyAlignment="1" applyProtection="1">
      <protection locked="0"/>
    </xf>
    <xf numFmtId="171" fontId="88" fillId="0" borderId="6" xfId="657" applyNumberFormat="1" applyFont="1" applyFill="1" applyBorder="1" applyAlignment="1" applyProtection="1">
      <protection locked="0"/>
    </xf>
    <xf numFmtId="164" fontId="35" fillId="0" borderId="0" xfId="657" applyFont="1" applyFill="1" applyBorder="1" applyAlignment="1" applyProtection="1">
      <alignment horizontal="left"/>
      <protection locked="0"/>
    </xf>
    <xf numFmtId="175" fontId="88" fillId="0" borderId="6" xfId="657" applyNumberFormat="1" applyFont="1" applyFill="1" applyBorder="1" applyAlignment="1" applyProtection="1">
      <protection locked="0"/>
    </xf>
    <xf numFmtId="175" fontId="19" fillId="0" borderId="6" xfId="657" applyNumberFormat="1" applyFont="1" applyFill="1" applyBorder="1" applyAlignment="1" applyProtection="1">
      <protection locked="0"/>
    </xf>
    <xf numFmtId="164" fontId="58" fillId="0" borderId="6" xfId="657" applyFont="1" applyFill="1" applyBorder="1" applyAlignment="1" applyProtection="1">
      <alignment horizontal="left"/>
      <protection locked="0"/>
    </xf>
    <xf numFmtId="0" fontId="58" fillId="0" borderId="6" xfId="0" applyFont="1" applyBorder="1" applyAlignment="1">
      <alignment horizontal="left"/>
    </xf>
    <xf numFmtId="0" fontId="43" fillId="0" borderId="6" xfId="536" applyFont="1" applyBorder="1" applyAlignment="1" applyProtection="1">
      <alignment horizontal="left"/>
      <protection locked="0"/>
    </xf>
    <xf numFmtId="164" fontId="43" fillId="0" borderId="6" xfId="657" applyFont="1" applyFill="1" applyBorder="1" applyAlignment="1" applyProtection="1">
      <alignment horizontal="left"/>
      <protection locked="0"/>
    </xf>
    <xf numFmtId="0" fontId="89" fillId="0" borderId="0" xfId="536" applyFont="1" applyProtection="1">
      <protection locked="0"/>
    </xf>
    <xf numFmtId="170" fontId="89" fillId="0" borderId="0" xfId="536" applyNumberFormat="1" applyFont="1" applyAlignment="1" applyProtection="1">
      <alignment horizontal="right"/>
      <protection locked="0"/>
    </xf>
    <xf numFmtId="170" fontId="89" fillId="0" borderId="0" xfId="536" applyNumberFormat="1" applyFont="1" applyProtection="1">
      <protection locked="0"/>
    </xf>
    <xf numFmtId="182" fontId="61" fillId="0" borderId="6" xfId="536" applyNumberFormat="1" applyFont="1" applyBorder="1"/>
    <xf numFmtId="0" fontId="86" fillId="0" borderId="0" xfId="536" applyFont="1" applyProtection="1">
      <protection locked="0"/>
    </xf>
    <xf numFmtId="0" fontId="86" fillId="8" borderId="6" xfId="536" applyFont="1" applyFill="1" applyBorder="1" applyAlignment="1" applyProtection="1">
      <alignment horizontal="center"/>
      <protection locked="0"/>
    </xf>
    <xf numFmtId="174" fontId="86" fillId="8" borderId="6" xfId="536" applyNumberFormat="1" applyFont="1" applyFill="1" applyBorder="1" applyAlignment="1" applyProtection="1">
      <alignment horizontal="right"/>
      <protection locked="0"/>
    </xf>
    <xf numFmtId="182" fontId="86" fillId="0" borderId="6" xfId="536" applyNumberFormat="1" applyFont="1" applyBorder="1" applyAlignment="1">
      <alignment horizontal="right"/>
    </xf>
    <xf numFmtId="3" fontId="86" fillId="8" borderId="6" xfId="536" applyNumberFormat="1" applyFont="1" applyFill="1" applyBorder="1" applyAlignment="1" applyProtection="1">
      <alignment horizontal="right"/>
      <protection locked="0"/>
    </xf>
    <xf numFmtId="0" fontId="86" fillId="14" borderId="6" xfId="536" applyFont="1" applyFill="1" applyBorder="1" applyProtection="1">
      <protection locked="0"/>
    </xf>
    <xf numFmtId="171" fontId="86" fillId="8" borderId="6" xfId="3" applyNumberFormat="1" applyFont="1" applyFill="1" applyBorder="1" applyAlignment="1" applyProtection="1">
      <alignment horizontal="right"/>
      <protection locked="0"/>
    </xf>
    <xf numFmtId="164" fontId="86" fillId="0" borderId="0" xfId="657" applyFont="1" applyFill="1" applyBorder="1" applyProtection="1">
      <protection locked="0"/>
    </xf>
    <xf numFmtId="184" fontId="86" fillId="0" borderId="0" xfId="657" applyNumberFormat="1" applyFont="1" applyFill="1" applyBorder="1" applyAlignment="1" applyProtection="1">
      <alignment horizontal="left"/>
      <protection locked="0"/>
    </xf>
    <xf numFmtId="171" fontId="86" fillId="0" borderId="0" xfId="657" applyNumberFormat="1" applyFont="1" applyFill="1" applyBorder="1" applyAlignment="1" applyProtection="1">
      <alignment horizontal="right"/>
      <protection locked="0"/>
    </xf>
    <xf numFmtId="164" fontId="61" fillId="0" borderId="0" xfId="657" applyFont="1" applyFill="1" applyBorder="1" applyAlignment="1" applyProtection="1">
      <alignment horizontal="left"/>
      <protection locked="0"/>
    </xf>
    <xf numFmtId="164" fontId="61" fillId="0" borderId="0" xfId="657" applyFont="1" applyAlignment="1" applyProtection="1">
      <alignment horizontal="center"/>
      <protection locked="0"/>
    </xf>
    <xf numFmtId="171" fontId="0" fillId="0" borderId="6" xfId="0" applyNumberFormat="1" applyBorder="1"/>
    <xf numFmtId="174" fontId="43" fillId="8" borderId="6" xfId="536" applyNumberFormat="1" applyFont="1" applyFill="1" applyBorder="1" applyAlignment="1" applyProtection="1">
      <alignment horizontal="left"/>
      <protection locked="0"/>
    </xf>
    <xf numFmtId="164" fontId="20" fillId="0" borderId="6" xfId="657" applyFont="1" applyBorder="1" applyAlignment="1">
      <alignment horizontal="right"/>
    </xf>
    <xf numFmtId="164" fontId="48" fillId="0" borderId="6" xfId="657" applyFont="1" applyBorder="1"/>
    <xf numFmtId="164" fontId="19" fillId="12" borderId="6" xfId="657" applyFont="1" applyFill="1" applyBorder="1" applyAlignment="1" applyProtection="1">
      <alignment horizontal="left"/>
      <protection locked="0"/>
    </xf>
    <xf numFmtId="164" fontId="19" fillId="0" borderId="6" xfId="657" applyFont="1" applyFill="1" applyBorder="1" applyAlignment="1" applyProtection="1">
      <alignment horizontal="left"/>
      <protection locked="0"/>
    </xf>
    <xf numFmtId="164" fontId="19" fillId="0" borderId="6" xfId="657" applyFont="1" applyFill="1" applyBorder="1" applyAlignment="1" applyProtection="1">
      <alignment horizontal="left" wrapText="1"/>
      <protection locked="0"/>
    </xf>
    <xf numFmtId="175" fontId="19" fillId="0" borderId="6" xfId="657" applyNumberFormat="1" applyFont="1" applyFill="1" applyBorder="1" applyAlignment="1" applyProtection="1">
      <alignment horizontal="left" wrapText="1"/>
      <protection locked="0"/>
    </xf>
    <xf numFmtId="0" fontId="86" fillId="8" borderId="11" xfId="536" applyFont="1" applyFill="1" applyBorder="1" applyProtection="1">
      <protection locked="0"/>
    </xf>
    <xf numFmtId="0" fontId="86" fillId="8" borderId="11" xfId="536" applyFont="1" applyFill="1" applyBorder="1" applyAlignment="1" applyProtection="1">
      <alignment horizontal="center"/>
      <protection locked="0"/>
    </xf>
    <xf numFmtId="0" fontId="20" fillId="8" borderId="11" xfId="536" applyFill="1" applyBorder="1" applyProtection="1">
      <protection locked="0"/>
    </xf>
    <xf numFmtId="0" fontId="48" fillId="8" borderId="11" xfId="536" applyFont="1" applyFill="1" applyBorder="1" applyAlignment="1" applyProtection="1">
      <alignment horizontal="right"/>
      <protection locked="0"/>
    </xf>
    <xf numFmtId="182" fontId="20" fillId="0" borderId="11" xfId="536" applyNumberFormat="1" applyBorder="1" applyAlignment="1">
      <alignment horizontal="right"/>
    </xf>
    <xf numFmtId="182" fontId="48" fillId="0" borderId="11" xfId="536" applyNumberFormat="1" applyFont="1" applyBorder="1"/>
    <xf numFmtId="3" fontId="62" fillId="8" borderId="11" xfId="536" applyNumberFormat="1" applyFont="1" applyFill="1" applyBorder="1" applyAlignment="1" applyProtection="1">
      <alignment horizontal="right"/>
      <protection locked="0"/>
    </xf>
    <xf numFmtId="3" fontId="86" fillId="8" borderId="11" xfId="536" applyNumberFormat="1" applyFont="1" applyFill="1" applyBorder="1" applyAlignment="1" applyProtection="1">
      <alignment horizontal="right"/>
      <protection locked="0"/>
    </xf>
    <xf numFmtId="0" fontId="61" fillId="0" borderId="0" xfId="536" applyFont="1" applyAlignment="1" applyProtection="1">
      <alignment horizontal="right"/>
      <protection locked="0"/>
    </xf>
    <xf numFmtId="182" fontId="20" fillId="0" borderId="0" xfId="536" applyNumberFormat="1" applyAlignment="1">
      <alignment horizontal="right"/>
    </xf>
    <xf numFmtId="182" fontId="48" fillId="0" borderId="0" xfId="536" applyNumberFormat="1" applyFont="1"/>
    <xf numFmtId="171" fontId="20" fillId="0" borderId="0" xfId="3" applyNumberFormat="1" applyFont="1" applyFill="1" applyBorder="1" applyAlignment="1" applyProtection="1">
      <alignment horizontal="right"/>
      <protection locked="0"/>
    </xf>
    <xf numFmtId="174" fontId="20" fillId="0" borderId="0" xfId="536" applyNumberFormat="1" applyAlignment="1" applyProtection="1">
      <alignment horizontal="right"/>
      <protection locked="0"/>
    </xf>
    <xf numFmtId="170" fontId="48" fillId="0" borderId="6" xfId="536" applyNumberFormat="1" applyFont="1" applyBorder="1" applyProtection="1">
      <protection locked="0"/>
    </xf>
    <xf numFmtId="1" fontId="48" fillId="0" borderId="6" xfId="536" applyNumberFormat="1" applyFont="1" applyBorder="1" applyAlignment="1" applyProtection="1">
      <alignment horizontal="right"/>
      <protection locked="0"/>
    </xf>
    <xf numFmtId="175" fontId="83" fillId="0" borderId="6" xfId="657" applyNumberFormat="1" applyFont="1" applyFill="1" applyBorder="1" applyAlignment="1" applyProtection="1">
      <alignment horizontal="right" vertical="center" wrapText="1"/>
      <protection locked="0"/>
    </xf>
    <xf numFmtId="3" fontId="64" fillId="8" borderId="6" xfId="536" applyNumberFormat="1" applyFont="1" applyFill="1" applyBorder="1" applyAlignment="1" applyProtection="1">
      <alignment horizontal="right"/>
      <protection locked="0"/>
    </xf>
    <xf numFmtId="3" fontId="48" fillId="0" borderId="0" xfId="536" applyNumberFormat="1" applyFont="1" applyAlignment="1" applyProtection="1">
      <alignment horizontal="center"/>
      <protection locked="0"/>
    </xf>
    <xf numFmtId="1" fontId="58" fillId="0" borderId="6" xfId="536" applyNumberFormat="1" applyFont="1" applyBorder="1" applyAlignment="1" applyProtection="1">
      <alignment horizontal="right"/>
      <protection locked="0"/>
    </xf>
    <xf numFmtId="170" fontId="86" fillId="0" borderId="0" xfId="536" applyNumberFormat="1" applyFont="1" applyAlignment="1" applyProtection="1">
      <alignment horizontal="right"/>
      <protection locked="0"/>
    </xf>
    <xf numFmtId="3" fontId="85" fillId="0" borderId="0" xfId="536" applyNumberFormat="1" applyFont="1" applyAlignment="1" applyProtection="1">
      <alignment horizontal="center"/>
      <protection locked="0"/>
    </xf>
    <xf numFmtId="164" fontId="20" fillId="0" borderId="0" xfId="657" applyFont="1" applyBorder="1" applyProtection="1">
      <protection locked="0"/>
    </xf>
    <xf numFmtId="164" fontId="83" fillId="0" borderId="0" xfId="657" applyFont="1" applyFill="1" applyBorder="1" applyAlignment="1" applyProtection="1">
      <alignment horizontal="left"/>
      <protection locked="0"/>
    </xf>
    <xf numFmtId="164" fontId="83" fillId="0" borderId="0" xfId="657" applyFont="1" applyFill="1" applyBorder="1" applyAlignment="1" applyProtection="1">
      <alignment horizontal="center"/>
      <protection locked="0"/>
    </xf>
    <xf numFmtId="175" fontId="83" fillId="0" borderId="0" xfId="657" applyNumberFormat="1" applyFont="1" applyFill="1" applyBorder="1" applyAlignment="1" applyProtection="1">
      <alignment horizontal="right" vertical="center" wrapText="1"/>
      <protection locked="0"/>
    </xf>
    <xf numFmtId="0" fontId="20" fillId="8" borderId="6" xfId="536" applyFill="1" applyBorder="1" applyAlignment="1" applyProtection="1">
      <alignment horizontal="left" vertical="center"/>
      <protection locked="0"/>
    </xf>
    <xf numFmtId="1" fontId="48" fillId="0" borderId="6" xfId="536" applyNumberFormat="1" applyFont="1" applyBorder="1" applyAlignment="1" applyProtection="1">
      <alignment horizontal="center"/>
      <protection locked="0"/>
    </xf>
    <xf numFmtId="0" fontId="24" fillId="0" borderId="6" xfId="536" applyFont="1" applyBorder="1" applyProtection="1">
      <protection locked="0"/>
    </xf>
    <xf numFmtId="0" fontId="24" fillId="0" borderId="6" xfId="536" applyFont="1" applyBorder="1" applyAlignment="1" applyProtection="1">
      <alignment horizontal="center"/>
      <protection locked="0"/>
    </xf>
    <xf numFmtId="3" fontId="62" fillId="0" borderId="0" xfId="536" applyNumberFormat="1" applyFont="1" applyAlignment="1" applyProtection="1">
      <alignment horizontal="right"/>
      <protection locked="0"/>
    </xf>
    <xf numFmtId="0" fontId="20" fillId="8" borderId="6" xfId="536" applyFill="1" applyBorder="1" applyAlignment="1" applyProtection="1">
      <alignment horizontal="center" vertical="center"/>
      <protection locked="0"/>
    </xf>
    <xf numFmtId="171" fontId="20" fillId="0" borderId="6" xfId="3" applyNumberFormat="1" applyFont="1" applyFill="1" applyBorder="1" applyAlignment="1" applyProtection="1">
      <alignment horizontal="right"/>
      <protection locked="0"/>
    </xf>
    <xf numFmtId="4" fontId="0" fillId="0" borderId="6" xfId="0" applyNumberFormat="1" applyBorder="1"/>
    <xf numFmtId="164" fontId="48" fillId="10" borderId="18" xfId="657" applyFont="1" applyFill="1" applyBorder="1" applyAlignment="1" applyProtection="1">
      <alignment horizontal="left"/>
      <protection locked="0"/>
    </xf>
    <xf numFmtId="171" fontId="20" fillId="0" borderId="15" xfId="3" applyNumberFormat="1" applyFont="1" applyFill="1" applyBorder="1" applyAlignment="1" applyProtection="1">
      <alignment horizontal="right"/>
      <protection locked="0"/>
    </xf>
    <xf numFmtId="164" fontId="24" fillId="0" borderId="18" xfId="657" applyFont="1" applyFill="1" applyBorder="1" applyProtection="1">
      <protection locked="0"/>
    </xf>
    <xf numFmtId="184" fontId="24" fillId="0" borderId="16" xfId="657" applyNumberFormat="1" applyFont="1" applyFill="1" applyBorder="1" applyAlignment="1" applyProtection="1">
      <alignment horizontal="left"/>
      <protection locked="0"/>
    </xf>
    <xf numFmtId="171" fontId="24" fillId="0" borderId="16" xfId="657" applyNumberFormat="1" applyFont="1" applyFill="1" applyBorder="1" applyAlignment="1" applyProtection="1">
      <alignment horizontal="right"/>
      <protection locked="0"/>
    </xf>
    <xf numFmtId="164" fontId="48" fillId="0" borderId="16" xfId="657" applyFont="1" applyFill="1" applyBorder="1" applyAlignment="1" applyProtection="1">
      <alignment horizontal="left"/>
      <protection locked="0"/>
    </xf>
    <xf numFmtId="171" fontId="54" fillId="0" borderId="0" xfId="3" applyNumberFormat="1" applyFont="1" applyFill="1" applyBorder="1" applyAlignment="1" applyProtection="1">
      <alignment horizontal="right"/>
      <protection locked="0"/>
    </xf>
    <xf numFmtId="174" fontId="54" fillId="0" borderId="0" xfId="536" applyNumberFormat="1" applyFont="1" applyAlignment="1" applyProtection="1">
      <alignment horizontal="right"/>
      <protection locked="0"/>
    </xf>
    <xf numFmtId="1" fontId="48" fillId="0" borderId="0" xfId="536" applyNumberFormat="1" applyFont="1" applyAlignment="1" applyProtection="1">
      <alignment horizontal="center"/>
      <protection locked="0"/>
    </xf>
    <xf numFmtId="175" fontId="0" fillId="0" borderId="6" xfId="657" applyNumberFormat="1" applyFont="1" applyBorder="1"/>
    <xf numFmtId="175" fontId="48" fillId="0" borderId="6" xfId="657" applyNumberFormat="1" applyFont="1" applyBorder="1" applyAlignment="1" applyProtection="1">
      <alignment horizontal="right"/>
      <protection locked="0"/>
    </xf>
    <xf numFmtId="3" fontId="54" fillId="8" borderId="11" xfId="536" applyNumberFormat="1" applyFont="1" applyFill="1" applyBorder="1" applyAlignment="1" applyProtection="1">
      <alignment horizontal="right"/>
      <protection locked="0"/>
    </xf>
    <xf numFmtId="175" fontId="83" fillId="12" borderId="6" xfId="657" applyNumberFormat="1" applyFont="1" applyFill="1" applyBorder="1" applyAlignment="1" applyProtection="1">
      <alignment horizontal="center" vertical="center"/>
      <protection locked="0"/>
    </xf>
    <xf numFmtId="175" fontId="48" fillId="0" borderId="6" xfId="657" applyNumberFormat="1" applyFont="1" applyBorder="1" applyAlignment="1" applyProtection="1">
      <alignment horizontal="center" vertical="center"/>
      <protection locked="0"/>
    </xf>
    <xf numFmtId="164" fontId="18" fillId="12" borderId="6" xfId="657" applyFont="1" applyFill="1" applyBorder="1" applyAlignment="1" applyProtection="1">
      <alignment horizontal="left"/>
      <protection locked="0"/>
    </xf>
    <xf numFmtId="175" fontId="18" fillId="12" borderId="6" xfId="657" applyNumberFormat="1" applyFont="1" applyFill="1" applyBorder="1" applyAlignment="1" applyProtection="1">
      <alignment horizontal="center" vertical="center"/>
      <protection locked="0"/>
    </xf>
    <xf numFmtId="164" fontId="17" fillId="12" borderId="6" xfId="657" applyFont="1" applyFill="1" applyBorder="1" applyAlignment="1" applyProtection="1">
      <alignment horizontal="left"/>
      <protection locked="0"/>
    </xf>
    <xf numFmtId="164" fontId="16" fillId="12" borderId="6" xfId="657" applyFont="1" applyFill="1" applyBorder="1" applyAlignment="1" applyProtection="1">
      <alignment horizontal="left"/>
      <protection locked="0"/>
    </xf>
    <xf numFmtId="164" fontId="15" fillId="12" borderId="6" xfId="657" applyFont="1" applyFill="1" applyBorder="1" applyAlignment="1" applyProtection="1">
      <alignment horizontal="left"/>
      <protection locked="0"/>
    </xf>
    <xf numFmtId="182" fontId="48" fillId="0" borderId="0" xfId="536" applyNumberFormat="1" applyFont="1" applyAlignment="1" applyProtection="1">
      <alignment horizontal="center"/>
      <protection locked="0"/>
    </xf>
    <xf numFmtId="171" fontId="61" fillId="0" borderId="0" xfId="536" applyNumberFormat="1" applyFont="1" applyAlignment="1" applyProtection="1">
      <alignment horizontal="center"/>
      <protection locked="0"/>
    </xf>
    <xf numFmtId="164" fontId="14" fillId="12" borderId="6" xfId="657" applyFont="1" applyFill="1" applyBorder="1" applyAlignment="1" applyProtection="1">
      <alignment horizontal="left"/>
      <protection locked="0"/>
    </xf>
    <xf numFmtId="164" fontId="13" fillId="12" borderId="6" xfId="657" applyFont="1" applyFill="1" applyBorder="1" applyAlignment="1" applyProtection="1">
      <alignment horizontal="left"/>
      <protection locked="0"/>
    </xf>
    <xf numFmtId="164" fontId="12" fillId="12" borderId="6" xfId="657" applyFont="1" applyFill="1" applyBorder="1" applyAlignment="1" applyProtection="1">
      <alignment horizontal="left"/>
      <protection locked="0"/>
    </xf>
    <xf numFmtId="175" fontId="11" fillId="12" borderId="6" xfId="657" applyNumberFormat="1" applyFont="1" applyFill="1" applyBorder="1" applyAlignment="1" applyProtection="1">
      <alignment horizontal="center" vertical="center"/>
      <protection locked="0"/>
    </xf>
    <xf numFmtId="164" fontId="10" fillId="12" borderId="6" xfId="657" applyFont="1" applyFill="1" applyBorder="1" applyAlignment="1" applyProtection="1">
      <alignment horizontal="left"/>
      <protection locked="0"/>
    </xf>
    <xf numFmtId="3" fontId="43" fillId="8" borderId="30" xfId="536" applyNumberFormat="1" applyFont="1" applyFill="1" applyBorder="1" applyAlignment="1" applyProtection="1">
      <alignment horizontal="left"/>
      <protection locked="0"/>
    </xf>
    <xf numFmtId="3" fontId="43" fillId="8" borderId="22" xfId="536" applyNumberFormat="1" applyFont="1" applyFill="1" applyBorder="1" applyAlignment="1" applyProtection="1">
      <alignment horizontal="left"/>
      <protection locked="0"/>
    </xf>
    <xf numFmtId="3" fontId="35" fillId="0" borderId="14" xfId="0" applyNumberFormat="1" applyFont="1" applyBorder="1" applyAlignment="1">
      <alignment horizontal="left" vertical="center"/>
    </xf>
    <xf numFmtId="164" fontId="9" fillId="12" borderId="6" xfId="657" applyFont="1" applyFill="1" applyBorder="1" applyAlignment="1" applyProtection="1">
      <alignment horizontal="left"/>
      <protection locked="0"/>
    </xf>
    <xf numFmtId="3" fontId="20" fillId="0" borderId="0" xfId="536" applyNumberFormat="1" applyAlignment="1" applyProtection="1">
      <alignment horizontal="left"/>
      <protection locked="0"/>
    </xf>
    <xf numFmtId="164" fontId="8" fillId="12" borderId="6" xfId="657" applyFont="1" applyFill="1" applyBorder="1" applyAlignment="1" applyProtection="1">
      <alignment horizontal="left"/>
      <protection locked="0"/>
    </xf>
    <xf numFmtId="175" fontId="8" fillId="12" borderId="6" xfId="657" applyNumberFormat="1" applyFont="1" applyFill="1" applyBorder="1" applyAlignment="1" applyProtection="1">
      <alignment horizontal="center" vertical="center"/>
      <protection locked="0"/>
    </xf>
    <xf numFmtId="175" fontId="8" fillId="12" borderId="6" xfId="657" applyNumberFormat="1" applyFont="1" applyFill="1" applyBorder="1" applyAlignment="1" applyProtection="1">
      <alignment horizontal="left"/>
      <protection locked="0"/>
    </xf>
    <xf numFmtId="175" fontId="7" fillId="12" borderId="6" xfId="657" applyNumberFormat="1" applyFont="1" applyFill="1" applyBorder="1" applyAlignment="1" applyProtection="1">
      <alignment horizontal="center" vertical="center"/>
      <protection locked="0"/>
    </xf>
    <xf numFmtId="164" fontId="7" fillId="12" borderId="6" xfId="657" applyFont="1" applyFill="1" applyBorder="1" applyAlignment="1" applyProtection="1">
      <alignment horizontal="left"/>
      <protection locked="0"/>
    </xf>
    <xf numFmtId="3" fontId="43" fillId="8" borderId="30" xfId="536" applyNumberFormat="1" applyFont="1" applyFill="1" applyBorder="1" applyAlignment="1" applyProtection="1">
      <alignment horizontal="right"/>
      <protection locked="0"/>
    </xf>
    <xf numFmtId="3" fontId="43" fillId="8" borderId="22" xfId="536" applyNumberFormat="1" applyFont="1" applyFill="1" applyBorder="1" applyAlignment="1" applyProtection="1">
      <alignment horizontal="right"/>
      <protection locked="0"/>
    </xf>
    <xf numFmtId="164" fontId="6" fillId="12" borderId="6" xfId="657" applyFont="1" applyFill="1" applyBorder="1" applyAlignment="1" applyProtection="1">
      <alignment horizontal="left"/>
      <protection locked="0"/>
    </xf>
    <xf numFmtId="175" fontId="5" fillId="12" borderId="6" xfId="657" applyNumberFormat="1" applyFont="1" applyFill="1" applyBorder="1" applyAlignment="1" applyProtection="1">
      <alignment horizontal="left"/>
      <protection locked="0"/>
    </xf>
    <xf numFmtId="175" fontId="5" fillId="12" borderId="6" xfId="657" applyNumberFormat="1" applyFont="1" applyFill="1" applyBorder="1" applyAlignment="1" applyProtection="1">
      <alignment horizontal="center" vertical="center"/>
      <protection locked="0"/>
    </xf>
    <xf numFmtId="164" fontId="5" fillId="12" borderId="6" xfId="657" applyFont="1" applyFill="1" applyBorder="1" applyAlignment="1" applyProtection="1">
      <alignment horizontal="left"/>
      <protection locked="0"/>
    </xf>
    <xf numFmtId="175" fontId="48" fillId="0" borderId="0" xfId="536" applyNumberFormat="1" applyFont="1" applyAlignment="1" applyProtection="1">
      <alignment horizontal="center"/>
      <protection locked="0"/>
    </xf>
    <xf numFmtId="164" fontId="4" fillId="12" borderId="6" xfId="657" applyFont="1" applyFill="1" applyBorder="1" applyAlignment="1" applyProtection="1">
      <alignment horizontal="left"/>
      <protection locked="0"/>
    </xf>
    <xf numFmtId="0" fontId="86" fillId="8" borderId="6" xfId="536" applyFont="1" applyFill="1" applyBorder="1" applyAlignment="1" applyProtection="1">
      <alignment horizontal="left"/>
      <protection locked="0"/>
    </xf>
    <xf numFmtId="171" fontId="54" fillId="0" borderId="0" xfId="536" applyNumberFormat="1" applyFont="1" applyProtection="1">
      <protection locked="0"/>
    </xf>
    <xf numFmtId="164" fontId="3" fillId="12" borderId="6" xfId="657" applyFont="1" applyFill="1" applyBorder="1" applyAlignment="1" applyProtection="1">
      <alignment horizontal="left"/>
      <protection locked="0"/>
    </xf>
    <xf numFmtId="164" fontId="2" fillId="12" borderId="6" xfId="657" applyFont="1" applyFill="1" applyBorder="1" applyAlignment="1" applyProtection="1">
      <alignment horizontal="left"/>
      <protection locked="0"/>
    </xf>
    <xf numFmtId="171" fontId="78" fillId="0" borderId="0" xfId="536" applyNumberFormat="1" applyFont="1" applyProtection="1">
      <protection locked="0"/>
    </xf>
    <xf numFmtId="164" fontId="1" fillId="12" borderId="6" xfId="657" applyFont="1" applyFill="1" applyBorder="1" applyAlignment="1" applyProtection="1">
      <alignment horizontal="left"/>
      <protection locked="0"/>
    </xf>
    <xf numFmtId="1" fontId="86" fillId="8" borderId="6" xfId="536" applyNumberFormat="1" applyFont="1" applyFill="1" applyBorder="1" applyAlignment="1" applyProtection="1">
      <alignment horizontal="right"/>
      <protection locked="0"/>
    </xf>
    <xf numFmtId="1" fontId="54" fillId="8" borderId="6" xfId="536" applyNumberFormat="1" applyFont="1" applyFill="1" applyBorder="1" applyAlignment="1" applyProtection="1">
      <alignment horizontal="right"/>
      <protection locked="0"/>
    </xf>
    <xf numFmtId="0" fontId="48" fillId="8" borderId="0" xfId="536" applyFont="1" applyFill="1" applyAlignment="1" applyProtection="1">
      <alignment horizontal="center" vertical="center"/>
      <protection locked="0"/>
    </xf>
    <xf numFmtId="0" fontId="24" fillId="0" borderId="18" xfId="536" applyFont="1" applyBorder="1" applyAlignment="1" applyProtection="1">
      <alignment horizontal="center"/>
      <protection locked="0"/>
    </xf>
    <xf numFmtId="0" fontId="24" fillId="0" borderId="16" xfId="536" applyFont="1" applyBorder="1" applyAlignment="1" applyProtection="1">
      <alignment horizontal="center"/>
      <protection locked="0"/>
    </xf>
    <xf numFmtId="0" fontId="24" fillId="0" borderId="17" xfId="536" applyFont="1" applyBorder="1" applyAlignment="1" applyProtection="1">
      <alignment horizontal="center"/>
      <protection locked="0"/>
    </xf>
    <xf numFmtId="0" fontId="77" fillId="0" borderId="15" xfId="0" applyFont="1" applyBorder="1" applyAlignment="1">
      <alignment horizontal="center"/>
    </xf>
    <xf numFmtId="0" fontId="77" fillId="0" borderId="24" xfId="0" applyFont="1" applyBorder="1" applyAlignment="1">
      <alignment horizontal="center"/>
    </xf>
    <xf numFmtId="0" fontId="48" fillId="8" borderId="0" xfId="536" applyFont="1" applyFill="1" applyAlignment="1" applyProtection="1">
      <alignment horizontal="left" vertical="center"/>
      <protection locked="0"/>
    </xf>
  </cellXfs>
  <cellStyles count="659">
    <cellStyle name="Comma" xfId="657" builtinId="3"/>
    <cellStyle name="Euro" xfId="1" xr:uid="{00000000-0005-0000-0000-000000000000}"/>
    <cellStyle name="Hyperlink" xfId="2" builtinId="8"/>
    <cellStyle name="Milliers 2" xfId="3" xr:uid="{00000000-0005-0000-0000-000002000000}"/>
    <cellStyle name="Milliers 2 2" xfId="4" xr:uid="{00000000-0005-0000-0000-000003000000}"/>
    <cellStyle name="Milliers 2 2 2" xfId="5" xr:uid="{00000000-0005-0000-0000-000004000000}"/>
    <cellStyle name="Milliers 2 3" xfId="6" xr:uid="{00000000-0005-0000-0000-000005000000}"/>
    <cellStyle name="Milliers 2 4" xfId="7" xr:uid="{00000000-0005-0000-0000-000006000000}"/>
    <cellStyle name="Milliers 2 5" xfId="8" xr:uid="{00000000-0005-0000-0000-000007000000}"/>
    <cellStyle name="Milliers 2 6" xfId="9" xr:uid="{00000000-0005-0000-0000-000008000000}"/>
    <cellStyle name="Milliers 2 7" xfId="10" xr:uid="{00000000-0005-0000-0000-000009000000}"/>
    <cellStyle name="Milliers 2 8" xfId="11" xr:uid="{00000000-0005-0000-0000-00000A000000}"/>
    <cellStyle name="Milliers 2 9" xfId="12" xr:uid="{00000000-0005-0000-0000-00000B000000}"/>
    <cellStyle name="Milliers 3" xfId="13" xr:uid="{00000000-0005-0000-0000-00000C000000}"/>
    <cellStyle name="Milliers 3 2" xfId="14" xr:uid="{00000000-0005-0000-0000-00000D000000}"/>
    <cellStyle name="Milliers 3 2 2" xfId="15" xr:uid="{00000000-0005-0000-0000-00000E000000}"/>
    <cellStyle name="Milliers 3 3" xfId="16" xr:uid="{00000000-0005-0000-0000-00000F000000}"/>
    <cellStyle name="Milliers 3 4" xfId="17" xr:uid="{00000000-0005-0000-0000-000010000000}"/>
    <cellStyle name="Milliers 3 5" xfId="18" xr:uid="{00000000-0005-0000-0000-000011000000}"/>
    <cellStyle name="Milliers 3 6" xfId="19" xr:uid="{00000000-0005-0000-0000-000012000000}"/>
    <cellStyle name="Milliers 3 7" xfId="20" xr:uid="{00000000-0005-0000-0000-000013000000}"/>
    <cellStyle name="Milliers 3 8" xfId="21" xr:uid="{00000000-0005-0000-0000-000014000000}"/>
    <cellStyle name="Milliers 3 9" xfId="22" xr:uid="{00000000-0005-0000-0000-000015000000}"/>
    <cellStyle name="Milliers 4" xfId="23" xr:uid="{00000000-0005-0000-0000-000016000000}"/>
    <cellStyle name="Milliers 4 2" xfId="24" xr:uid="{00000000-0005-0000-0000-000017000000}"/>
    <cellStyle name="Milliers 4 2 2" xfId="25" xr:uid="{00000000-0005-0000-0000-000018000000}"/>
    <cellStyle name="Milliers 4 3" xfId="26" xr:uid="{00000000-0005-0000-0000-000019000000}"/>
    <cellStyle name="Milliers 4 4" xfId="27" xr:uid="{00000000-0005-0000-0000-00001A000000}"/>
    <cellStyle name="Milliers 4 5" xfId="28" xr:uid="{00000000-0005-0000-0000-00001B000000}"/>
    <cellStyle name="Milliers 4 6" xfId="29" xr:uid="{00000000-0005-0000-0000-00001C000000}"/>
    <cellStyle name="Milliers 4 7" xfId="30" xr:uid="{00000000-0005-0000-0000-00001D000000}"/>
    <cellStyle name="Milliers 4 8" xfId="31" xr:uid="{00000000-0005-0000-0000-00001E000000}"/>
    <cellStyle name="Milliers 4 9" xfId="32" xr:uid="{00000000-0005-0000-0000-00001F000000}"/>
    <cellStyle name="Milliers 5" xfId="33" xr:uid="{00000000-0005-0000-0000-000020000000}"/>
    <cellStyle name="Milliers 5 2" xfId="34" xr:uid="{00000000-0005-0000-0000-000021000000}"/>
    <cellStyle name="Milliers 5 2 2" xfId="35" xr:uid="{00000000-0005-0000-0000-000022000000}"/>
    <cellStyle name="Milliers 5 3" xfId="36" xr:uid="{00000000-0005-0000-0000-000023000000}"/>
    <cellStyle name="Milliers 5 4" xfId="37" xr:uid="{00000000-0005-0000-0000-000024000000}"/>
    <cellStyle name="Milliers 5 5" xfId="38" xr:uid="{00000000-0005-0000-0000-000025000000}"/>
    <cellStyle name="Milliers 5 6" xfId="39" xr:uid="{00000000-0005-0000-0000-000026000000}"/>
    <cellStyle name="Milliers 5 7" xfId="40" xr:uid="{00000000-0005-0000-0000-000027000000}"/>
    <cellStyle name="Milliers 5 8" xfId="41" xr:uid="{00000000-0005-0000-0000-000028000000}"/>
    <cellStyle name="Milliers 5 9" xfId="42" xr:uid="{00000000-0005-0000-0000-000029000000}"/>
    <cellStyle name="Milliers 6" xfId="43" xr:uid="{00000000-0005-0000-0000-00002A000000}"/>
    <cellStyle name="Milliers 6 2" xfId="44" xr:uid="{00000000-0005-0000-0000-00002B000000}"/>
    <cellStyle name="Milliers 6 2 2" xfId="45" xr:uid="{00000000-0005-0000-0000-00002C000000}"/>
    <cellStyle name="Milliers 6 3" xfId="46" xr:uid="{00000000-0005-0000-0000-00002D000000}"/>
    <cellStyle name="Milliers 6 4" xfId="47" xr:uid="{00000000-0005-0000-0000-00002E000000}"/>
    <cellStyle name="Milliers 6 5" xfId="48" xr:uid="{00000000-0005-0000-0000-00002F000000}"/>
    <cellStyle name="Milliers 6 6" xfId="49" xr:uid="{00000000-0005-0000-0000-000030000000}"/>
    <cellStyle name="Milliers 6 7" xfId="50" xr:uid="{00000000-0005-0000-0000-000031000000}"/>
    <cellStyle name="Milliers 6 8" xfId="51" xr:uid="{00000000-0005-0000-0000-000032000000}"/>
    <cellStyle name="Milliers 6 9" xfId="52" xr:uid="{00000000-0005-0000-0000-000033000000}"/>
    <cellStyle name="Normal" xfId="0" builtinId="0"/>
    <cellStyle name="Normal 2" xfId="53" xr:uid="{00000000-0005-0000-0000-000035000000}"/>
    <cellStyle name="Normal 3" xfId="54" xr:uid="{00000000-0005-0000-0000-000036000000}"/>
    <cellStyle name="Normal 3 2" xfId="55" xr:uid="{00000000-0005-0000-0000-000037000000}"/>
    <cellStyle name="Normal 3 2 2" xfId="56" xr:uid="{00000000-0005-0000-0000-000038000000}"/>
    <cellStyle name="Normal 3 3" xfId="57" xr:uid="{00000000-0005-0000-0000-000039000000}"/>
    <cellStyle name="Normal 3 4" xfId="58" xr:uid="{00000000-0005-0000-0000-00003A000000}"/>
    <cellStyle name="Normal 3 5" xfId="59" xr:uid="{00000000-0005-0000-0000-00003B000000}"/>
    <cellStyle name="Normal 3 6" xfId="60" xr:uid="{00000000-0005-0000-0000-00003C000000}"/>
    <cellStyle name="Normal 3 7" xfId="61" xr:uid="{00000000-0005-0000-0000-00003D000000}"/>
    <cellStyle name="Normal 3 8" xfId="62" xr:uid="{00000000-0005-0000-0000-00003E000000}"/>
    <cellStyle name="Normal 3 9" xfId="63" xr:uid="{00000000-0005-0000-0000-00003F000000}"/>
    <cellStyle name="Normal 4" xfId="64" xr:uid="{00000000-0005-0000-0000-000040000000}"/>
    <cellStyle name="Normal 5" xfId="65" xr:uid="{00000000-0005-0000-0000-000041000000}"/>
    <cellStyle name="Normal 5 10" xfId="66" xr:uid="{00000000-0005-0000-0000-000042000000}"/>
    <cellStyle name="Normal 5 2" xfId="67" xr:uid="{00000000-0005-0000-0000-000043000000}"/>
    <cellStyle name="Normal 5 3" xfId="68" xr:uid="{00000000-0005-0000-0000-000044000000}"/>
    <cellStyle name="Normal 5 4" xfId="69" xr:uid="{00000000-0005-0000-0000-000045000000}"/>
    <cellStyle name="Normal 5 5" xfId="70" xr:uid="{00000000-0005-0000-0000-000046000000}"/>
    <cellStyle name="Normal 5 6" xfId="71" xr:uid="{00000000-0005-0000-0000-000047000000}"/>
    <cellStyle name="Normal 5 7" xfId="72" xr:uid="{00000000-0005-0000-0000-000048000000}"/>
    <cellStyle name="Normal 5 8" xfId="73" xr:uid="{00000000-0005-0000-0000-000049000000}"/>
    <cellStyle name="Normal 5 9" xfId="74" xr:uid="{00000000-0005-0000-0000-00004A000000}"/>
    <cellStyle name="Normal 6" xfId="658" xr:uid="{2678B03B-468D-4FE7-8B09-8EB6CD863FDE}"/>
    <cellStyle name="千位分隔 10" xfId="75" xr:uid="{00000000-0005-0000-0000-00004B000000}"/>
    <cellStyle name="千位分隔 10 2" xfId="76" xr:uid="{00000000-0005-0000-0000-00004C000000}"/>
    <cellStyle name="千位分隔 10 2 2" xfId="77" xr:uid="{00000000-0005-0000-0000-00004D000000}"/>
    <cellStyle name="千位分隔 10 3" xfId="78" xr:uid="{00000000-0005-0000-0000-00004E000000}"/>
    <cellStyle name="千位分隔 10 4" xfId="79" xr:uid="{00000000-0005-0000-0000-00004F000000}"/>
    <cellStyle name="千位分隔 10 5" xfId="80" xr:uid="{00000000-0005-0000-0000-000050000000}"/>
    <cellStyle name="千位分隔 10 6" xfId="81" xr:uid="{00000000-0005-0000-0000-000051000000}"/>
    <cellStyle name="千位分隔 10 7" xfId="82" xr:uid="{00000000-0005-0000-0000-000052000000}"/>
    <cellStyle name="千位分隔 10 8" xfId="83" xr:uid="{00000000-0005-0000-0000-000053000000}"/>
    <cellStyle name="千位分隔 10 9" xfId="84" xr:uid="{00000000-0005-0000-0000-000054000000}"/>
    <cellStyle name="千位分隔 11" xfId="85" xr:uid="{00000000-0005-0000-0000-000055000000}"/>
    <cellStyle name="千位分隔 11 2" xfId="86" xr:uid="{00000000-0005-0000-0000-000056000000}"/>
    <cellStyle name="千位分隔 11 2 2" xfId="87" xr:uid="{00000000-0005-0000-0000-000057000000}"/>
    <cellStyle name="千位分隔 11 3" xfId="88" xr:uid="{00000000-0005-0000-0000-000058000000}"/>
    <cellStyle name="千位分隔 11 4" xfId="89" xr:uid="{00000000-0005-0000-0000-000059000000}"/>
    <cellStyle name="千位分隔 11 5" xfId="90" xr:uid="{00000000-0005-0000-0000-00005A000000}"/>
    <cellStyle name="千位分隔 11 6" xfId="91" xr:uid="{00000000-0005-0000-0000-00005B000000}"/>
    <cellStyle name="千位分隔 11 7" xfId="92" xr:uid="{00000000-0005-0000-0000-00005C000000}"/>
    <cellStyle name="千位分隔 11 8" xfId="93" xr:uid="{00000000-0005-0000-0000-00005D000000}"/>
    <cellStyle name="千位分隔 11 9" xfId="94" xr:uid="{00000000-0005-0000-0000-00005E000000}"/>
    <cellStyle name="千位分隔 12" xfId="95" xr:uid="{00000000-0005-0000-0000-00005F000000}"/>
    <cellStyle name="千位分隔 12 2" xfId="96" xr:uid="{00000000-0005-0000-0000-000060000000}"/>
    <cellStyle name="千位分隔 12 2 2" xfId="97" xr:uid="{00000000-0005-0000-0000-000061000000}"/>
    <cellStyle name="千位分隔 12 3" xfId="98" xr:uid="{00000000-0005-0000-0000-000062000000}"/>
    <cellStyle name="千位分隔 12 4" xfId="99" xr:uid="{00000000-0005-0000-0000-000063000000}"/>
    <cellStyle name="千位分隔 12 5" xfId="100" xr:uid="{00000000-0005-0000-0000-000064000000}"/>
    <cellStyle name="千位分隔 12 6" xfId="101" xr:uid="{00000000-0005-0000-0000-000065000000}"/>
    <cellStyle name="千位分隔 12 7" xfId="102" xr:uid="{00000000-0005-0000-0000-000066000000}"/>
    <cellStyle name="千位分隔 12 8" xfId="103" xr:uid="{00000000-0005-0000-0000-000067000000}"/>
    <cellStyle name="千位分隔 12 9" xfId="104" xr:uid="{00000000-0005-0000-0000-000068000000}"/>
    <cellStyle name="千位分隔 13" xfId="105" xr:uid="{00000000-0005-0000-0000-000069000000}"/>
    <cellStyle name="千位分隔 13 2" xfId="106" xr:uid="{00000000-0005-0000-0000-00006A000000}"/>
    <cellStyle name="千位分隔 13 2 2" xfId="107" xr:uid="{00000000-0005-0000-0000-00006B000000}"/>
    <cellStyle name="千位分隔 13 3" xfId="108" xr:uid="{00000000-0005-0000-0000-00006C000000}"/>
    <cellStyle name="千位分隔 13 4" xfId="109" xr:uid="{00000000-0005-0000-0000-00006D000000}"/>
    <cellStyle name="千位分隔 13 5" xfId="110" xr:uid="{00000000-0005-0000-0000-00006E000000}"/>
    <cellStyle name="千位分隔 13 6" xfId="111" xr:uid="{00000000-0005-0000-0000-00006F000000}"/>
    <cellStyle name="千位分隔 13 7" xfId="112" xr:uid="{00000000-0005-0000-0000-000070000000}"/>
    <cellStyle name="千位分隔 13 8" xfId="113" xr:uid="{00000000-0005-0000-0000-000071000000}"/>
    <cellStyle name="千位分隔 13 9" xfId="114" xr:uid="{00000000-0005-0000-0000-000072000000}"/>
    <cellStyle name="千位分隔 14" xfId="115" xr:uid="{00000000-0005-0000-0000-000073000000}"/>
    <cellStyle name="千位分隔 14 2" xfId="116" xr:uid="{00000000-0005-0000-0000-000074000000}"/>
    <cellStyle name="千位分隔 14 2 2" xfId="117" xr:uid="{00000000-0005-0000-0000-000075000000}"/>
    <cellStyle name="千位分隔 14 3" xfId="118" xr:uid="{00000000-0005-0000-0000-000076000000}"/>
    <cellStyle name="千位分隔 14 4" xfId="119" xr:uid="{00000000-0005-0000-0000-000077000000}"/>
    <cellStyle name="千位分隔 14 5" xfId="120" xr:uid="{00000000-0005-0000-0000-000078000000}"/>
    <cellStyle name="千位分隔 14 6" xfId="121" xr:uid="{00000000-0005-0000-0000-000079000000}"/>
    <cellStyle name="千位分隔 14 7" xfId="122" xr:uid="{00000000-0005-0000-0000-00007A000000}"/>
    <cellStyle name="千位分隔 14 8" xfId="123" xr:uid="{00000000-0005-0000-0000-00007B000000}"/>
    <cellStyle name="千位分隔 14 9" xfId="124" xr:uid="{00000000-0005-0000-0000-00007C000000}"/>
    <cellStyle name="千位分隔 15" xfId="125" xr:uid="{00000000-0005-0000-0000-00007D000000}"/>
    <cellStyle name="千位分隔 15 2" xfId="126" xr:uid="{00000000-0005-0000-0000-00007E000000}"/>
    <cellStyle name="千位分隔 15 2 2" xfId="127" xr:uid="{00000000-0005-0000-0000-00007F000000}"/>
    <cellStyle name="千位分隔 15 3" xfId="128" xr:uid="{00000000-0005-0000-0000-000080000000}"/>
    <cellStyle name="千位分隔 15 4" xfId="129" xr:uid="{00000000-0005-0000-0000-000081000000}"/>
    <cellStyle name="千位分隔 15 5" xfId="130" xr:uid="{00000000-0005-0000-0000-000082000000}"/>
    <cellStyle name="千位分隔 15 6" xfId="131" xr:uid="{00000000-0005-0000-0000-000083000000}"/>
    <cellStyle name="千位分隔 15 7" xfId="132" xr:uid="{00000000-0005-0000-0000-000084000000}"/>
    <cellStyle name="千位分隔 15 8" xfId="133" xr:uid="{00000000-0005-0000-0000-000085000000}"/>
    <cellStyle name="千位分隔 15 9" xfId="134" xr:uid="{00000000-0005-0000-0000-000086000000}"/>
    <cellStyle name="千位分隔 16" xfId="135" xr:uid="{00000000-0005-0000-0000-000087000000}"/>
    <cellStyle name="千位分隔 16 10" xfId="136" xr:uid="{00000000-0005-0000-0000-000088000000}"/>
    <cellStyle name="千位分隔 16 11" xfId="137" xr:uid="{00000000-0005-0000-0000-000089000000}"/>
    <cellStyle name="千位分隔 16 2" xfId="138" xr:uid="{00000000-0005-0000-0000-00008A000000}"/>
    <cellStyle name="千位分隔 16 2 2" xfId="139" xr:uid="{00000000-0005-0000-0000-00008B000000}"/>
    <cellStyle name="千位分隔 16 3" xfId="140" xr:uid="{00000000-0005-0000-0000-00008C000000}"/>
    <cellStyle name="千位分隔 16 4" xfId="141" xr:uid="{00000000-0005-0000-0000-00008D000000}"/>
    <cellStyle name="千位分隔 16 5" xfId="142" xr:uid="{00000000-0005-0000-0000-00008E000000}"/>
    <cellStyle name="千位分隔 16 6" xfId="143" xr:uid="{00000000-0005-0000-0000-00008F000000}"/>
    <cellStyle name="千位分隔 16 7" xfId="144" xr:uid="{00000000-0005-0000-0000-000090000000}"/>
    <cellStyle name="千位分隔 16 8" xfId="145" xr:uid="{00000000-0005-0000-0000-000091000000}"/>
    <cellStyle name="千位分隔 16 9" xfId="146" xr:uid="{00000000-0005-0000-0000-000092000000}"/>
    <cellStyle name="千位分隔 17 2" xfId="147" xr:uid="{00000000-0005-0000-0000-000093000000}"/>
    <cellStyle name="千位分隔 18" xfId="148" xr:uid="{00000000-0005-0000-0000-000094000000}"/>
    <cellStyle name="千位分隔 18 2" xfId="149" xr:uid="{00000000-0005-0000-0000-000095000000}"/>
    <cellStyle name="千位分隔 19 2" xfId="150" xr:uid="{00000000-0005-0000-0000-000096000000}"/>
    <cellStyle name="千位分隔 2" xfId="151" xr:uid="{00000000-0005-0000-0000-000097000000}"/>
    <cellStyle name="千位分隔 2 10" xfId="152" xr:uid="{00000000-0005-0000-0000-000098000000}"/>
    <cellStyle name="千位分隔 2 2" xfId="153" xr:uid="{00000000-0005-0000-0000-000099000000}"/>
    <cellStyle name="千位分隔 2 2 2" xfId="154" xr:uid="{00000000-0005-0000-0000-00009A000000}"/>
    <cellStyle name="千位分隔 2 2 2 2" xfId="155" xr:uid="{00000000-0005-0000-0000-00009B000000}"/>
    <cellStyle name="千位分隔 2 2 3" xfId="156" xr:uid="{00000000-0005-0000-0000-00009C000000}"/>
    <cellStyle name="千位分隔 2 2 4" xfId="157" xr:uid="{00000000-0005-0000-0000-00009D000000}"/>
    <cellStyle name="千位分隔 2 2 5" xfId="158" xr:uid="{00000000-0005-0000-0000-00009E000000}"/>
    <cellStyle name="千位分隔 2 2 6" xfId="159" xr:uid="{00000000-0005-0000-0000-00009F000000}"/>
    <cellStyle name="千位分隔 2 2 7" xfId="160" xr:uid="{00000000-0005-0000-0000-0000A0000000}"/>
    <cellStyle name="千位分隔 2 2 8" xfId="161" xr:uid="{00000000-0005-0000-0000-0000A1000000}"/>
    <cellStyle name="千位分隔 2 2 9" xfId="162" xr:uid="{00000000-0005-0000-0000-0000A2000000}"/>
    <cellStyle name="千位分隔 2 3" xfId="163" xr:uid="{00000000-0005-0000-0000-0000A3000000}"/>
    <cellStyle name="千位分隔 2 3 2" xfId="164" xr:uid="{00000000-0005-0000-0000-0000A4000000}"/>
    <cellStyle name="千位分隔 2 4" xfId="165" xr:uid="{00000000-0005-0000-0000-0000A5000000}"/>
    <cellStyle name="千位分隔 2 4 2" xfId="166" xr:uid="{00000000-0005-0000-0000-0000A6000000}"/>
    <cellStyle name="千位分隔 2 5" xfId="167" xr:uid="{00000000-0005-0000-0000-0000A7000000}"/>
    <cellStyle name="千位分隔 2 6" xfId="168" xr:uid="{00000000-0005-0000-0000-0000A8000000}"/>
    <cellStyle name="千位分隔 2 7" xfId="169" xr:uid="{00000000-0005-0000-0000-0000A9000000}"/>
    <cellStyle name="千位分隔 2 8" xfId="170" xr:uid="{00000000-0005-0000-0000-0000AA000000}"/>
    <cellStyle name="千位分隔 2 9" xfId="171" xr:uid="{00000000-0005-0000-0000-0000AB000000}"/>
    <cellStyle name="千位分隔 2_Japan new wall air 4-17" xfId="172" xr:uid="{00000000-0005-0000-0000-0000AC000000}"/>
    <cellStyle name="千位分隔 20 2" xfId="173" xr:uid="{00000000-0005-0000-0000-0000AD000000}"/>
    <cellStyle name="千位分隔 21 2" xfId="174" xr:uid="{00000000-0005-0000-0000-0000AE000000}"/>
    <cellStyle name="千位分隔 22 2" xfId="175" xr:uid="{00000000-0005-0000-0000-0000AF000000}"/>
    <cellStyle name="千位分隔 23 2" xfId="176" xr:uid="{00000000-0005-0000-0000-0000B0000000}"/>
    <cellStyle name="千位分隔 24 2" xfId="177" xr:uid="{00000000-0005-0000-0000-0000B1000000}"/>
    <cellStyle name="千位分隔 25 2" xfId="178" xr:uid="{00000000-0005-0000-0000-0000B2000000}"/>
    <cellStyle name="千位分隔 26 2" xfId="179" xr:uid="{00000000-0005-0000-0000-0000B3000000}"/>
    <cellStyle name="千位分隔 27" xfId="180" xr:uid="{00000000-0005-0000-0000-0000B4000000}"/>
    <cellStyle name="千位分隔 28" xfId="181" xr:uid="{00000000-0005-0000-0000-0000B5000000}"/>
    <cellStyle name="千位分隔 28 4" xfId="182" xr:uid="{00000000-0005-0000-0000-0000B6000000}"/>
    <cellStyle name="千位分隔 29" xfId="183" xr:uid="{00000000-0005-0000-0000-0000B7000000}"/>
    <cellStyle name="千位分隔 3" xfId="184" xr:uid="{00000000-0005-0000-0000-0000B8000000}"/>
    <cellStyle name="千位分隔 3 2" xfId="185" xr:uid="{00000000-0005-0000-0000-0000B9000000}"/>
    <cellStyle name="千位分隔 3 2 2" xfId="186" xr:uid="{00000000-0005-0000-0000-0000BA000000}"/>
    <cellStyle name="千位分隔 3 2 2 2" xfId="187" xr:uid="{00000000-0005-0000-0000-0000BB000000}"/>
    <cellStyle name="千位分隔 3 2 3" xfId="188" xr:uid="{00000000-0005-0000-0000-0000BC000000}"/>
    <cellStyle name="千位分隔 3 2 4" xfId="189" xr:uid="{00000000-0005-0000-0000-0000BD000000}"/>
    <cellStyle name="千位分隔 3 2 5" xfId="190" xr:uid="{00000000-0005-0000-0000-0000BE000000}"/>
    <cellStyle name="千位分隔 3 2 6" xfId="191" xr:uid="{00000000-0005-0000-0000-0000BF000000}"/>
    <cellStyle name="千位分隔 3 2 7" xfId="192" xr:uid="{00000000-0005-0000-0000-0000C0000000}"/>
    <cellStyle name="千位分隔 3 2 8" xfId="193" xr:uid="{00000000-0005-0000-0000-0000C1000000}"/>
    <cellStyle name="千位分隔 3 2 9" xfId="194" xr:uid="{00000000-0005-0000-0000-0000C2000000}"/>
    <cellStyle name="千位分隔 30" xfId="195" xr:uid="{00000000-0005-0000-0000-0000C3000000}"/>
    <cellStyle name="千位分隔 30 4" xfId="196" xr:uid="{00000000-0005-0000-0000-0000C4000000}"/>
    <cellStyle name="千位分隔 31" xfId="197" xr:uid="{00000000-0005-0000-0000-0000C5000000}"/>
    <cellStyle name="千位分隔 4" xfId="198" xr:uid="{00000000-0005-0000-0000-0000C6000000}"/>
    <cellStyle name="千位分隔 4 2" xfId="199" xr:uid="{00000000-0005-0000-0000-0000C7000000}"/>
    <cellStyle name="千位分隔 4 2 2" xfId="200" xr:uid="{00000000-0005-0000-0000-0000C8000000}"/>
    <cellStyle name="千位分隔 4 3" xfId="201" xr:uid="{00000000-0005-0000-0000-0000C9000000}"/>
    <cellStyle name="千位分隔 4 4" xfId="202" xr:uid="{00000000-0005-0000-0000-0000CA000000}"/>
    <cellStyle name="千位分隔 4 5" xfId="203" xr:uid="{00000000-0005-0000-0000-0000CB000000}"/>
    <cellStyle name="千位分隔 4 6" xfId="204" xr:uid="{00000000-0005-0000-0000-0000CC000000}"/>
    <cellStyle name="千位分隔 4 7" xfId="205" xr:uid="{00000000-0005-0000-0000-0000CD000000}"/>
    <cellStyle name="千位分隔 4 8" xfId="206" xr:uid="{00000000-0005-0000-0000-0000CE000000}"/>
    <cellStyle name="千位分隔 4 9" xfId="207" xr:uid="{00000000-0005-0000-0000-0000CF000000}"/>
    <cellStyle name="千位分隔 5" xfId="208" xr:uid="{00000000-0005-0000-0000-0000D0000000}"/>
    <cellStyle name="千位分隔 5 2" xfId="209" xr:uid="{00000000-0005-0000-0000-0000D1000000}"/>
    <cellStyle name="千位分隔 5 2 2" xfId="210" xr:uid="{00000000-0005-0000-0000-0000D2000000}"/>
    <cellStyle name="千位分隔 5 3" xfId="211" xr:uid="{00000000-0005-0000-0000-0000D3000000}"/>
    <cellStyle name="千位分隔 5 4" xfId="212" xr:uid="{00000000-0005-0000-0000-0000D4000000}"/>
    <cellStyle name="千位分隔 5 5" xfId="213" xr:uid="{00000000-0005-0000-0000-0000D5000000}"/>
    <cellStyle name="千位分隔 5 6" xfId="214" xr:uid="{00000000-0005-0000-0000-0000D6000000}"/>
    <cellStyle name="千位分隔 5 7" xfId="215" xr:uid="{00000000-0005-0000-0000-0000D7000000}"/>
    <cellStyle name="千位分隔 5 8" xfId="216" xr:uid="{00000000-0005-0000-0000-0000D8000000}"/>
    <cellStyle name="千位分隔 5 9" xfId="217" xr:uid="{00000000-0005-0000-0000-0000D9000000}"/>
    <cellStyle name="千位分隔 6" xfId="218" xr:uid="{00000000-0005-0000-0000-0000DA000000}"/>
    <cellStyle name="千位分隔 6 2" xfId="219" xr:uid="{00000000-0005-0000-0000-0000DB000000}"/>
    <cellStyle name="千位分隔 6 2 2" xfId="220" xr:uid="{00000000-0005-0000-0000-0000DC000000}"/>
    <cellStyle name="千位分隔 6 3" xfId="221" xr:uid="{00000000-0005-0000-0000-0000DD000000}"/>
    <cellStyle name="千位分隔 6 4" xfId="222" xr:uid="{00000000-0005-0000-0000-0000DE000000}"/>
    <cellStyle name="千位分隔 6 5" xfId="223" xr:uid="{00000000-0005-0000-0000-0000DF000000}"/>
    <cellStyle name="千位分隔 6 6" xfId="224" xr:uid="{00000000-0005-0000-0000-0000E0000000}"/>
    <cellStyle name="千位分隔 6 7" xfId="225" xr:uid="{00000000-0005-0000-0000-0000E1000000}"/>
    <cellStyle name="千位分隔 6 8" xfId="226" xr:uid="{00000000-0005-0000-0000-0000E2000000}"/>
    <cellStyle name="千位分隔 6 9" xfId="227" xr:uid="{00000000-0005-0000-0000-0000E3000000}"/>
    <cellStyle name="千位分隔 7" xfId="228" xr:uid="{00000000-0005-0000-0000-0000E4000000}"/>
    <cellStyle name="千位分隔 7 2" xfId="229" xr:uid="{00000000-0005-0000-0000-0000E5000000}"/>
    <cellStyle name="千位分隔 7 2 2" xfId="230" xr:uid="{00000000-0005-0000-0000-0000E6000000}"/>
    <cellStyle name="千位分隔 7 3" xfId="231" xr:uid="{00000000-0005-0000-0000-0000E7000000}"/>
    <cellStyle name="千位分隔 7 4" xfId="232" xr:uid="{00000000-0005-0000-0000-0000E8000000}"/>
    <cellStyle name="千位分隔 7 5" xfId="233" xr:uid="{00000000-0005-0000-0000-0000E9000000}"/>
    <cellStyle name="千位分隔 7 6" xfId="234" xr:uid="{00000000-0005-0000-0000-0000EA000000}"/>
    <cellStyle name="千位分隔 7 7" xfId="235" xr:uid="{00000000-0005-0000-0000-0000EB000000}"/>
    <cellStyle name="千位分隔 7 8" xfId="236" xr:uid="{00000000-0005-0000-0000-0000EC000000}"/>
    <cellStyle name="千位分隔 7 9" xfId="237" xr:uid="{00000000-0005-0000-0000-0000ED000000}"/>
    <cellStyle name="千位分隔 8" xfId="238" xr:uid="{00000000-0005-0000-0000-0000EE000000}"/>
    <cellStyle name="千位分隔 8 2" xfId="239" xr:uid="{00000000-0005-0000-0000-0000EF000000}"/>
    <cellStyle name="千位分隔 8 2 2" xfId="240" xr:uid="{00000000-0005-0000-0000-0000F0000000}"/>
    <cellStyle name="千位分隔 8 3" xfId="241" xr:uid="{00000000-0005-0000-0000-0000F1000000}"/>
    <cellStyle name="千位分隔 8 4" xfId="242" xr:uid="{00000000-0005-0000-0000-0000F2000000}"/>
    <cellStyle name="千位分隔 8 5" xfId="243" xr:uid="{00000000-0005-0000-0000-0000F3000000}"/>
    <cellStyle name="千位分隔 8 6" xfId="244" xr:uid="{00000000-0005-0000-0000-0000F4000000}"/>
    <cellStyle name="千位分隔 8 7" xfId="245" xr:uid="{00000000-0005-0000-0000-0000F5000000}"/>
    <cellStyle name="千位分隔 8 8" xfId="246" xr:uid="{00000000-0005-0000-0000-0000F6000000}"/>
    <cellStyle name="千位分隔 8 9" xfId="247" xr:uid="{00000000-0005-0000-0000-0000F7000000}"/>
    <cellStyle name="千位分隔 9" xfId="248" xr:uid="{00000000-0005-0000-0000-0000F8000000}"/>
    <cellStyle name="千位分隔 9 2" xfId="249" xr:uid="{00000000-0005-0000-0000-0000F9000000}"/>
    <cellStyle name="千位分隔 9 2 2" xfId="250" xr:uid="{00000000-0005-0000-0000-0000FA000000}"/>
    <cellStyle name="千位分隔 9 3" xfId="251" xr:uid="{00000000-0005-0000-0000-0000FB000000}"/>
    <cellStyle name="千位分隔 9 4" xfId="252" xr:uid="{00000000-0005-0000-0000-0000FC000000}"/>
    <cellStyle name="千位分隔 9 5" xfId="253" xr:uid="{00000000-0005-0000-0000-0000FD000000}"/>
    <cellStyle name="千位分隔 9 6" xfId="254" xr:uid="{00000000-0005-0000-0000-0000FE000000}"/>
    <cellStyle name="千位分隔 9 7" xfId="255" xr:uid="{00000000-0005-0000-0000-0000FF000000}"/>
    <cellStyle name="千位分隔 9 8" xfId="256" xr:uid="{00000000-0005-0000-0000-000000010000}"/>
    <cellStyle name="千位分隔 9 9" xfId="257" xr:uid="{00000000-0005-0000-0000-000001010000}"/>
    <cellStyle name="千位分隔[0] 3" xfId="258" xr:uid="{00000000-0005-0000-0000-000002010000}"/>
    <cellStyle name="常规 10" xfId="259" xr:uid="{00000000-0005-0000-0000-000003010000}"/>
    <cellStyle name="常规 10 10" xfId="260" xr:uid="{00000000-0005-0000-0000-000004010000}"/>
    <cellStyle name="常规 10 2" xfId="261" xr:uid="{00000000-0005-0000-0000-000005010000}"/>
    <cellStyle name="常规 10 2 2" xfId="262" xr:uid="{00000000-0005-0000-0000-000006010000}"/>
    <cellStyle name="常规 10 21" xfId="263" xr:uid="{00000000-0005-0000-0000-000007010000}"/>
    <cellStyle name="常规 10 3" xfId="264" xr:uid="{00000000-0005-0000-0000-000008010000}"/>
    <cellStyle name="常规 10 3 2" xfId="265" xr:uid="{00000000-0005-0000-0000-000009010000}"/>
    <cellStyle name="常规 10 4" xfId="266" xr:uid="{00000000-0005-0000-0000-00000A010000}"/>
    <cellStyle name="常规 10 4 2" xfId="267" xr:uid="{00000000-0005-0000-0000-00000B010000}"/>
    <cellStyle name="常规 10 5" xfId="268" xr:uid="{00000000-0005-0000-0000-00000C010000}"/>
    <cellStyle name="常规 10 5 2" xfId="269" xr:uid="{00000000-0005-0000-0000-00000D010000}"/>
    <cellStyle name="常规 10 6" xfId="270" xr:uid="{00000000-0005-0000-0000-00000E010000}"/>
    <cellStyle name="常规 10 7" xfId="271" xr:uid="{00000000-0005-0000-0000-00000F010000}"/>
    <cellStyle name="常规 10 8" xfId="272" xr:uid="{00000000-0005-0000-0000-000010010000}"/>
    <cellStyle name="常规 10 9" xfId="273" xr:uid="{00000000-0005-0000-0000-000011010000}"/>
    <cellStyle name="常规 10_2nd Japan new wall shipment list" xfId="274" xr:uid="{00000000-0005-0000-0000-000012010000}"/>
    <cellStyle name="常规 100" xfId="275" xr:uid="{00000000-0005-0000-0000-000013010000}"/>
    <cellStyle name="常规 11" xfId="276" xr:uid="{00000000-0005-0000-0000-000014010000}"/>
    <cellStyle name="常规 11 2" xfId="277" xr:uid="{00000000-0005-0000-0000-000015010000}"/>
    <cellStyle name="常规 11 2 2" xfId="278" xr:uid="{00000000-0005-0000-0000-000016010000}"/>
    <cellStyle name="常规 11 3" xfId="279" xr:uid="{00000000-0005-0000-0000-000017010000}"/>
    <cellStyle name="常规 11 4" xfId="280" xr:uid="{00000000-0005-0000-0000-000018010000}"/>
    <cellStyle name="常规 11 5" xfId="281" xr:uid="{00000000-0005-0000-0000-000019010000}"/>
    <cellStyle name="常规 11 6" xfId="282" xr:uid="{00000000-0005-0000-0000-00001A010000}"/>
    <cellStyle name="常规 11 7" xfId="283" xr:uid="{00000000-0005-0000-0000-00001B010000}"/>
    <cellStyle name="常规 11 8" xfId="284" xr:uid="{00000000-0005-0000-0000-00001C010000}"/>
    <cellStyle name="常规 11 9" xfId="285" xr:uid="{00000000-0005-0000-0000-00001D010000}"/>
    <cellStyle name="常规 12" xfId="286" xr:uid="{00000000-0005-0000-0000-00001E010000}"/>
    <cellStyle name="常规 12 2" xfId="287" xr:uid="{00000000-0005-0000-0000-00001F010000}"/>
    <cellStyle name="常规 12 2 2" xfId="288" xr:uid="{00000000-0005-0000-0000-000020010000}"/>
    <cellStyle name="常规 12 3" xfId="289" xr:uid="{00000000-0005-0000-0000-000021010000}"/>
    <cellStyle name="常规 12 4" xfId="290" xr:uid="{00000000-0005-0000-0000-000022010000}"/>
    <cellStyle name="常规 12 5" xfId="291" xr:uid="{00000000-0005-0000-0000-000023010000}"/>
    <cellStyle name="常规 12 6" xfId="292" xr:uid="{00000000-0005-0000-0000-000024010000}"/>
    <cellStyle name="常规 12 7" xfId="293" xr:uid="{00000000-0005-0000-0000-000025010000}"/>
    <cellStyle name="常规 12 8" xfId="294" xr:uid="{00000000-0005-0000-0000-000026010000}"/>
    <cellStyle name="常规 12 9" xfId="295" xr:uid="{00000000-0005-0000-0000-000027010000}"/>
    <cellStyle name="常规 13" xfId="296" xr:uid="{00000000-0005-0000-0000-000028010000}"/>
    <cellStyle name="常规 13 2" xfId="297" xr:uid="{00000000-0005-0000-0000-000029010000}"/>
    <cellStyle name="常规 13 2 2" xfId="298" xr:uid="{00000000-0005-0000-0000-00002A010000}"/>
    <cellStyle name="常规 13 3" xfId="299" xr:uid="{00000000-0005-0000-0000-00002B010000}"/>
    <cellStyle name="常规 13 4" xfId="300" xr:uid="{00000000-0005-0000-0000-00002C010000}"/>
    <cellStyle name="常规 13 5" xfId="301" xr:uid="{00000000-0005-0000-0000-00002D010000}"/>
    <cellStyle name="常规 13 6" xfId="302" xr:uid="{00000000-0005-0000-0000-00002E010000}"/>
    <cellStyle name="常规 13 7" xfId="303" xr:uid="{00000000-0005-0000-0000-00002F010000}"/>
    <cellStyle name="常规 13 8" xfId="304" xr:uid="{00000000-0005-0000-0000-000030010000}"/>
    <cellStyle name="常规 13 9" xfId="305" xr:uid="{00000000-0005-0000-0000-000031010000}"/>
    <cellStyle name="常规 14" xfId="306" xr:uid="{00000000-0005-0000-0000-000032010000}"/>
    <cellStyle name="常规 14 2" xfId="307" xr:uid="{00000000-0005-0000-0000-000033010000}"/>
    <cellStyle name="常规 14 2 2" xfId="308" xr:uid="{00000000-0005-0000-0000-000034010000}"/>
    <cellStyle name="常规 14 3" xfId="309" xr:uid="{00000000-0005-0000-0000-000035010000}"/>
    <cellStyle name="常规 14 4" xfId="310" xr:uid="{00000000-0005-0000-0000-000036010000}"/>
    <cellStyle name="常规 14 5" xfId="311" xr:uid="{00000000-0005-0000-0000-000037010000}"/>
    <cellStyle name="常规 14 6" xfId="312" xr:uid="{00000000-0005-0000-0000-000038010000}"/>
    <cellStyle name="常规 14 7" xfId="313" xr:uid="{00000000-0005-0000-0000-000039010000}"/>
    <cellStyle name="常规 14 8" xfId="314" xr:uid="{00000000-0005-0000-0000-00003A010000}"/>
    <cellStyle name="常规 14 9" xfId="315" xr:uid="{00000000-0005-0000-0000-00003B010000}"/>
    <cellStyle name="常规 15" xfId="316" xr:uid="{00000000-0005-0000-0000-00003C010000}"/>
    <cellStyle name="常规 15 2" xfId="317" xr:uid="{00000000-0005-0000-0000-00003D010000}"/>
    <cellStyle name="常规 15 2 2" xfId="318" xr:uid="{00000000-0005-0000-0000-00003E010000}"/>
    <cellStyle name="常规 15 3" xfId="319" xr:uid="{00000000-0005-0000-0000-00003F010000}"/>
    <cellStyle name="常规 15 3 2" xfId="320" xr:uid="{00000000-0005-0000-0000-000040010000}"/>
    <cellStyle name="常规 15 4" xfId="321" xr:uid="{00000000-0005-0000-0000-000041010000}"/>
    <cellStyle name="常规 15 5" xfId="322" xr:uid="{00000000-0005-0000-0000-000042010000}"/>
    <cellStyle name="常规 15 6" xfId="323" xr:uid="{00000000-0005-0000-0000-000043010000}"/>
    <cellStyle name="常规 15 7" xfId="324" xr:uid="{00000000-0005-0000-0000-000044010000}"/>
    <cellStyle name="常规 15 8" xfId="325" xr:uid="{00000000-0005-0000-0000-000045010000}"/>
    <cellStyle name="常规 15 9" xfId="326" xr:uid="{00000000-0005-0000-0000-000046010000}"/>
    <cellStyle name="常规 15_Japan new wall air 4-17" xfId="327" xr:uid="{00000000-0005-0000-0000-000047010000}"/>
    <cellStyle name="常规 16" xfId="328" xr:uid="{00000000-0005-0000-0000-000048010000}"/>
    <cellStyle name="常规 16 2" xfId="329" xr:uid="{00000000-0005-0000-0000-000049010000}"/>
    <cellStyle name="常规 16 2 2" xfId="330" xr:uid="{00000000-0005-0000-0000-00004A010000}"/>
    <cellStyle name="常规 16 3" xfId="331" xr:uid="{00000000-0005-0000-0000-00004B010000}"/>
    <cellStyle name="常规 16 4" xfId="332" xr:uid="{00000000-0005-0000-0000-00004C010000}"/>
    <cellStyle name="常规 16 5" xfId="333" xr:uid="{00000000-0005-0000-0000-00004D010000}"/>
    <cellStyle name="常规 16 6" xfId="334" xr:uid="{00000000-0005-0000-0000-00004E010000}"/>
    <cellStyle name="常规 16 7" xfId="335" xr:uid="{00000000-0005-0000-0000-00004F010000}"/>
    <cellStyle name="常规 16 8" xfId="336" xr:uid="{00000000-0005-0000-0000-000050010000}"/>
    <cellStyle name="常规 16 9" xfId="337" xr:uid="{00000000-0005-0000-0000-000051010000}"/>
    <cellStyle name="常规 17" xfId="338" xr:uid="{00000000-0005-0000-0000-000052010000}"/>
    <cellStyle name="常规 17 2" xfId="339" xr:uid="{00000000-0005-0000-0000-000053010000}"/>
    <cellStyle name="常规 17 2 2" xfId="340" xr:uid="{00000000-0005-0000-0000-000054010000}"/>
    <cellStyle name="常规 17 3" xfId="341" xr:uid="{00000000-0005-0000-0000-000055010000}"/>
    <cellStyle name="常规 17 4" xfId="342" xr:uid="{00000000-0005-0000-0000-000056010000}"/>
    <cellStyle name="常规 17 5" xfId="343" xr:uid="{00000000-0005-0000-0000-000057010000}"/>
    <cellStyle name="常规 17 6" xfId="344" xr:uid="{00000000-0005-0000-0000-000058010000}"/>
    <cellStyle name="常规 17 7" xfId="345" xr:uid="{00000000-0005-0000-0000-000059010000}"/>
    <cellStyle name="常规 17 8" xfId="346" xr:uid="{00000000-0005-0000-0000-00005A010000}"/>
    <cellStyle name="常规 17 9" xfId="347" xr:uid="{00000000-0005-0000-0000-00005B010000}"/>
    <cellStyle name="常规 18" xfId="348" xr:uid="{00000000-0005-0000-0000-00005C010000}"/>
    <cellStyle name="常规 18 2" xfId="349" xr:uid="{00000000-0005-0000-0000-00005D010000}"/>
    <cellStyle name="常规 18 2 2" xfId="350" xr:uid="{00000000-0005-0000-0000-00005E010000}"/>
    <cellStyle name="常规 18 3" xfId="351" xr:uid="{00000000-0005-0000-0000-00005F010000}"/>
    <cellStyle name="常规 18 4" xfId="352" xr:uid="{00000000-0005-0000-0000-000060010000}"/>
    <cellStyle name="常规 18 5" xfId="353" xr:uid="{00000000-0005-0000-0000-000061010000}"/>
    <cellStyle name="常规 18 6" xfId="354" xr:uid="{00000000-0005-0000-0000-000062010000}"/>
    <cellStyle name="常规 18 7" xfId="355" xr:uid="{00000000-0005-0000-0000-000063010000}"/>
    <cellStyle name="常规 18 8" xfId="356" xr:uid="{00000000-0005-0000-0000-000064010000}"/>
    <cellStyle name="常规 18 9" xfId="357" xr:uid="{00000000-0005-0000-0000-000065010000}"/>
    <cellStyle name="常规 19" xfId="358" xr:uid="{00000000-0005-0000-0000-000066010000}"/>
    <cellStyle name="常规 19 2" xfId="359" xr:uid="{00000000-0005-0000-0000-000067010000}"/>
    <cellStyle name="常规 19 2 2" xfId="360" xr:uid="{00000000-0005-0000-0000-000068010000}"/>
    <cellStyle name="常规 19 3" xfId="361" xr:uid="{00000000-0005-0000-0000-000069010000}"/>
    <cellStyle name="常规 19 3 2" xfId="362" xr:uid="{00000000-0005-0000-0000-00006A010000}"/>
    <cellStyle name="常规 19 4" xfId="363" xr:uid="{00000000-0005-0000-0000-00006B010000}"/>
    <cellStyle name="常规 19 4 2" xfId="364" xr:uid="{00000000-0005-0000-0000-00006C010000}"/>
    <cellStyle name="常规 19 5" xfId="365" xr:uid="{00000000-0005-0000-0000-00006D010000}"/>
    <cellStyle name="常规 19 6" xfId="366" xr:uid="{00000000-0005-0000-0000-00006E010000}"/>
    <cellStyle name="常规 19 7" xfId="367" xr:uid="{00000000-0005-0000-0000-00006F010000}"/>
    <cellStyle name="常规 19 8" xfId="368" xr:uid="{00000000-0005-0000-0000-000070010000}"/>
    <cellStyle name="常规 19 9" xfId="369" xr:uid="{00000000-0005-0000-0000-000071010000}"/>
    <cellStyle name="常规 19_Book1" xfId="370" xr:uid="{00000000-0005-0000-0000-000072010000}"/>
    <cellStyle name="常规 2" xfId="371" xr:uid="{00000000-0005-0000-0000-000073010000}"/>
    <cellStyle name="常规 2 10" xfId="372" xr:uid="{00000000-0005-0000-0000-000074010000}"/>
    <cellStyle name="常规 2 10 2" xfId="373" xr:uid="{00000000-0005-0000-0000-000075010000}"/>
    <cellStyle name="常规 2 11" xfId="374" xr:uid="{00000000-0005-0000-0000-000076010000}"/>
    <cellStyle name="常规 2 11 2" xfId="375" xr:uid="{00000000-0005-0000-0000-000077010000}"/>
    <cellStyle name="常规 2 12" xfId="376" xr:uid="{00000000-0005-0000-0000-000078010000}"/>
    <cellStyle name="常规 2 12 2" xfId="377" xr:uid="{00000000-0005-0000-0000-000079010000}"/>
    <cellStyle name="常规 2 13" xfId="378" xr:uid="{00000000-0005-0000-0000-00007A010000}"/>
    <cellStyle name="常规 2 13 2" xfId="379" xr:uid="{00000000-0005-0000-0000-00007B010000}"/>
    <cellStyle name="常规 2 2" xfId="380" xr:uid="{00000000-0005-0000-0000-00007C010000}"/>
    <cellStyle name="常规 2 2 10" xfId="381" xr:uid="{00000000-0005-0000-0000-00007D010000}"/>
    <cellStyle name="常规 2 2 2" xfId="382" xr:uid="{00000000-0005-0000-0000-00007E010000}"/>
    <cellStyle name="常规 2 2 2 2" xfId="383" xr:uid="{00000000-0005-0000-0000-00007F010000}"/>
    <cellStyle name="常规 2 2 2 2 2" xfId="384" xr:uid="{00000000-0005-0000-0000-000080010000}"/>
    <cellStyle name="常规 2 2 2 3" xfId="385" xr:uid="{00000000-0005-0000-0000-000081010000}"/>
    <cellStyle name="常规 2 2 2 3 2" xfId="386" xr:uid="{00000000-0005-0000-0000-000082010000}"/>
    <cellStyle name="常规 2 2 2 4" xfId="387" xr:uid="{00000000-0005-0000-0000-000083010000}"/>
    <cellStyle name="常规 2 2 2 5" xfId="388" xr:uid="{00000000-0005-0000-0000-000084010000}"/>
    <cellStyle name="常规 2 2 2 6" xfId="389" xr:uid="{00000000-0005-0000-0000-000085010000}"/>
    <cellStyle name="常规 2 2 2 7" xfId="390" xr:uid="{00000000-0005-0000-0000-000086010000}"/>
    <cellStyle name="常规 2 2 2 8" xfId="391" xr:uid="{00000000-0005-0000-0000-000087010000}"/>
    <cellStyle name="常规 2 2 2 9" xfId="392" xr:uid="{00000000-0005-0000-0000-000088010000}"/>
    <cellStyle name="常规 2 2 2_Japan new wall air 4-17" xfId="393" xr:uid="{00000000-0005-0000-0000-000089010000}"/>
    <cellStyle name="常规 2 2 3" xfId="394" xr:uid="{00000000-0005-0000-0000-00008A010000}"/>
    <cellStyle name="常规 2 2 3 2" xfId="395" xr:uid="{00000000-0005-0000-0000-00008B010000}"/>
    <cellStyle name="常规 2 2 3 2 2" xfId="396" xr:uid="{00000000-0005-0000-0000-00008C010000}"/>
    <cellStyle name="常规 2 2 4" xfId="397" xr:uid="{00000000-0005-0000-0000-00008D010000}"/>
    <cellStyle name="常规 2 2 4 2" xfId="398" xr:uid="{00000000-0005-0000-0000-00008E010000}"/>
    <cellStyle name="常规 2 2 5" xfId="399" xr:uid="{00000000-0005-0000-0000-00008F010000}"/>
    <cellStyle name="常规 2 2 5 2" xfId="400" xr:uid="{00000000-0005-0000-0000-000090010000}"/>
    <cellStyle name="常规 2 2 5 3" xfId="401" xr:uid="{00000000-0005-0000-0000-000091010000}"/>
    <cellStyle name="常规 2 2 6" xfId="402" xr:uid="{00000000-0005-0000-0000-000092010000}"/>
    <cellStyle name="常规 2 2 7" xfId="403" xr:uid="{00000000-0005-0000-0000-000093010000}"/>
    <cellStyle name="常规 2 2 8" xfId="404" xr:uid="{00000000-0005-0000-0000-000094010000}"/>
    <cellStyle name="常规 2 2 9" xfId="405" xr:uid="{00000000-0005-0000-0000-000095010000}"/>
    <cellStyle name="常规 2 2_DIAM SCHEDUEL-update 4-15-09" xfId="406" xr:uid="{00000000-0005-0000-0000-000096010000}"/>
    <cellStyle name="常规 2 3" xfId="407" xr:uid="{00000000-0005-0000-0000-000097010000}"/>
    <cellStyle name="常规 2 3 2" xfId="408" xr:uid="{00000000-0005-0000-0000-000098010000}"/>
    <cellStyle name="常规 2 3 2 2" xfId="409" xr:uid="{00000000-0005-0000-0000-000099010000}"/>
    <cellStyle name="常规 2 3 3" xfId="410" xr:uid="{00000000-0005-0000-0000-00009A010000}"/>
    <cellStyle name="常规 2 3 4" xfId="411" xr:uid="{00000000-0005-0000-0000-00009B010000}"/>
    <cellStyle name="常规 2 3 5" xfId="412" xr:uid="{00000000-0005-0000-0000-00009C010000}"/>
    <cellStyle name="常规 2 3 6" xfId="413" xr:uid="{00000000-0005-0000-0000-00009D010000}"/>
    <cellStyle name="常规 2 3 7" xfId="414" xr:uid="{00000000-0005-0000-0000-00009E010000}"/>
    <cellStyle name="常规 2 3 8" xfId="415" xr:uid="{00000000-0005-0000-0000-00009F010000}"/>
    <cellStyle name="常规 2 3 9" xfId="416" xr:uid="{00000000-0005-0000-0000-0000A0010000}"/>
    <cellStyle name="常规 2 4" xfId="417" xr:uid="{00000000-0005-0000-0000-0000A1010000}"/>
    <cellStyle name="常规 2 4 2" xfId="418" xr:uid="{00000000-0005-0000-0000-0000A2010000}"/>
    <cellStyle name="常规 2 4 2 2" xfId="419" xr:uid="{00000000-0005-0000-0000-0000A3010000}"/>
    <cellStyle name="常规 2 4 3" xfId="420" xr:uid="{00000000-0005-0000-0000-0000A4010000}"/>
    <cellStyle name="常规 2 4 4" xfId="421" xr:uid="{00000000-0005-0000-0000-0000A5010000}"/>
    <cellStyle name="常规 2 4 5" xfId="422" xr:uid="{00000000-0005-0000-0000-0000A6010000}"/>
    <cellStyle name="常规 2 4 6" xfId="423" xr:uid="{00000000-0005-0000-0000-0000A7010000}"/>
    <cellStyle name="常规 2 4 7" xfId="424" xr:uid="{00000000-0005-0000-0000-0000A8010000}"/>
    <cellStyle name="常规 2 4 8" xfId="425" xr:uid="{00000000-0005-0000-0000-0000A9010000}"/>
    <cellStyle name="常规 2 4 9" xfId="426" xr:uid="{00000000-0005-0000-0000-0000AA010000}"/>
    <cellStyle name="常规 2 5" xfId="427" xr:uid="{00000000-0005-0000-0000-0000AB010000}"/>
    <cellStyle name="常规 2 5 2" xfId="428" xr:uid="{00000000-0005-0000-0000-0000AC010000}"/>
    <cellStyle name="常规 2 6" xfId="429" xr:uid="{00000000-0005-0000-0000-0000AD010000}"/>
    <cellStyle name="常规 2 6 2" xfId="430" xr:uid="{00000000-0005-0000-0000-0000AE010000}"/>
    <cellStyle name="常规 2 7" xfId="431" xr:uid="{00000000-0005-0000-0000-0000AF010000}"/>
    <cellStyle name="常规 2 7 10" xfId="432" xr:uid="{00000000-0005-0000-0000-0000B0010000}"/>
    <cellStyle name="常规 2 7 2" xfId="433" xr:uid="{00000000-0005-0000-0000-0000B1010000}"/>
    <cellStyle name="常规 2 7 2 2" xfId="434" xr:uid="{00000000-0005-0000-0000-0000B2010000}"/>
    <cellStyle name="常规 2 7 3" xfId="435" xr:uid="{00000000-0005-0000-0000-0000B3010000}"/>
    <cellStyle name="常规 2 7 3 2" xfId="436" xr:uid="{00000000-0005-0000-0000-0000B4010000}"/>
    <cellStyle name="常规 2 7 4" xfId="437" xr:uid="{00000000-0005-0000-0000-0000B5010000}"/>
    <cellStyle name="常规 2 7 5" xfId="438" xr:uid="{00000000-0005-0000-0000-0000B6010000}"/>
    <cellStyle name="常规 2 7 6" xfId="439" xr:uid="{00000000-0005-0000-0000-0000B7010000}"/>
    <cellStyle name="常规 2 7 7" xfId="440" xr:uid="{00000000-0005-0000-0000-0000B8010000}"/>
    <cellStyle name="常规 2 7 8" xfId="441" xr:uid="{00000000-0005-0000-0000-0000B9010000}"/>
    <cellStyle name="常规 2 7 9" xfId="442" xr:uid="{00000000-0005-0000-0000-0000BA010000}"/>
    <cellStyle name="常规 2 7_SHIPMENT LIST" xfId="443" xr:uid="{00000000-0005-0000-0000-0000BB010000}"/>
    <cellStyle name="常规 2 8" xfId="444" xr:uid="{00000000-0005-0000-0000-0000BC010000}"/>
    <cellStyle name="常规 2 8 2" xfId="445" xr:uid="{00000000-0005-0000-0000-0000BD010000}"/>
    <cellStyle name="常规 2 9" xfId="446" xr:uid="{00000000-0005-0000-0000-0000BE010000}"/>
    <cellStyle name="常规 2 9 2" xfId="447" xr:uid="{00000000-0005-0000-0000-0000BF010000}"/>
    <cellStyle name="常规 2_Japan new wall air 4-17" xfId="448" xr:uid="{00000000-0005-0000-0000-0000C0010000}"/>
    <cellStyle name="常规 20" xfId="449" xr:uid="{00000000-0005-0000-0000-0000C1010000}"/>
    <cellStyle name="常规 20 10" xfId="450" xr:uid="{00000000-0005-0000-0000-0000C2010000}"/>
    <cellStyle name="常规 20 2" xfId="451" xr:uid="{00000000-0005-0000-0000-0000C3010000}"/>
    <cellStyle name="常规 20 3" xfId="452" xr:uid="{00000000-0005-0000-0000-0000C4010000}"/>
    <cellStyle name="常规 20 4" xfId="453" xr:uid="{00000000-0005-0000-0000-0000C5010000}"/>
    <cellStyle name="常规 20 5" xfId="454" xr:uid="{00000000-0005-0000-0000-0000C6010000}"/>
    <cellStyle name="常规 20 6" xfId="455" xr:uid="{00000000-0005-0000-0000-0000C7010000}"/>
    <cellStyle name="常规 20 7" xfId="456" xr:uid="{00000000-0005-0000-0000-0000C8010000}"/>
    <cellStyle name="常规 20 8" xfId="457" xr:uid="{00000000-0005-0000-0000-0000C9010000}"/>
    <cellStyle name="常规 20 9" xfId="458" xr:uid="{00000000-0005-0000-0000-0000CA010000}"/>
    <cellStyle name="常规 21" xfId="459" xr:uid="{00000000-0005-0000-0000-0000CB010000}"/>
    <cellStyle name="常规 21 10" xfId="460" xr:uid="{00000000-0005-0000-0000-0000CC010000}"/>
    <cellStyle name="常规 21 2" xfId="461" xr:uid="{00000000-0005-0000-0000-0000CD010000}"/>
    <cellStyle name="常规 21 3" xfId="462" xr:uid="{00000000-0005-0000-0000-0000CE010000}"/>
    <cellStyle name="常规 21 4" xfId="463" xr:uid="{00000000-0005-0000-0000-0000CF010000}"/>
    <cellStyle name="常规 21 5" xfId="464" xr:uid="{00000000-0005-0000-0000-0000D0010000}"/>
    <cellStyle name="常规 21 6" xfId="465" xr:uid="{00000000-0005-0000-0000-0000D1010000}"/>
    <cellStyle name="常规 21 7" xfId="466" xr:uid="{00000000-0005-0000-0000-0000D2010000}"/>
    <cellStyle name="常规 21 8" xfId="467" xr:uid="{00000000-0005-0000-0000-0000D3010000}"/>
    <cellStyle name="常规 21 9" xfId="468" xr:uid="{00000000-0005-0000-0000-0000D4010000}"/>
    <cellStyle name="常规 22" xfId="469" xr:uid="{00000000-0005-0000-0000-0000D5010000}"/>
    <cellStyle name="常规 22 2" xfId="470" xr:uid="{00000000-0005-0000-0000-0000D6010000}"/>
    <cellStyle name="常规 22 2 2" xfId="471" xr:uid="{00000000-0005-0000-0000-0000D7010000}"/>
    <cellStyle name="常规 22 2 3" xfId="472" xr:uid="{00000000-0005-0000-0000-0000D8010000}"/>
    <cellStyle name="常规 22 2 4" xfId="473" xr:uid="{00000000-0005-0000-0000-0000D9010000}"/>
    <cellStyle name="常规 22 2 5" xfId="474" xr:uid="{00000000-0005-0000-0000-0000DA010000}"/>
    <cellStyle name="常规 22 2_2nd Japan new wall shipment list" xfId="475" xr:uid="{00000000-0005-0000-0000-0000DB010000}"/>
    <cellStyle name="常规 22 3" xfId="476" xr:uid="{00000000-0005-0000-0000-0000DC010000}"/>
    <cellStyle name="常规 22 3 2" xfId="477" xr:uid="{00000000-0005-0000-0000-0000DD010000}"/>
    <cellStyle name="常规 22 4" xfId="478" xr:uid="{00000000-0005-0000-0000-0000DE010000}"/>
    <cellStyle name="常规 22 5" xfId="479" xr:uid="{00000000-0005-0000-0000-0000DF010000}"/>
    <cellStyle name="常规 22 6" xfId="480" xr:uid="{00000000-0005-0000-0000-0000E0010000}"/>
    <cellStyle name="常规 22 7" xfId="481" xr:uid="{00000000-0005-0000-0000-0000E1010000}"/>
    <cellStyle name="常规 22 8" xfId="482" xr:uid="{00000000-0005-0000-0000-0000E2010000}"/>
    <cellStyle name="常规 22 9" xfId="483" xr:uid="{00000000-0005-0000-0000-0000E3010000}"/>
    <cellStyle name="常规 22_Japan new wall air 4-17" xfId="484" xr:uid="{00000000-0005-0000-0000-0000E4010000}"/>
    <cellStyle name="常规 23" xfId="485" xr:uid="{00000000-0005-0000-0000-0000E5010000}"/>
    <cellStyle name="常规 23 10" xfId="486" xr:uid="{00000000-0005-0000-0000-0000E6010000}"/>
    <cellStyle name="常规 23 2" xfId="487" xr:uid="{00000000-0005-0000-0000-0000E7010000}"/>
    <cellStyle name="常规 23 3" xfId="488" xr:uid="{00000000-0005-0000-0000-0000E8010000}"/>
    <cellStyle name="常规 23 4" xfId="489" xr:uid="{00000000-0005-0000-0000-0000E9010000}"/>
    <cellStyle name="常规 23 5" xfId="490" xr:uid="{00000000-0005-0000-0000-0000EA010000}"/>
    <cellStyle name="常规 23 6" xfId="491" xr:uid="{00000000-0005-0000-0000-0000EB010000}"/>
    <cellStyle name="常规 23 7" xfId="492" xr:uid="{00000000-0005-0000-0000-0000EC010000}"/>
    <cellStyle name="常规 23 8" xfId="493" xr:uid="{00000000-0005-0000-0000-0000ED010000}"/>
    <cellStyle name="常规 23 9" xfId="494" xr:uid="{00000000-0005-0000-0000-0000EE010000}"/>
    <cellStyle name="常规 24 2" xfId="495" xr:uid="{00000000-0005-0000-0000-0000EF010000}"/>
    <cellStyle name="常规 24 2 2" xfId="496" xr:uid="{00000000-0005-0000-0000-0000F0010000}"/>
    <cellStyle name="常规 25 2" xfId="497" xr:uid="{00000000-0005-0000-0000-0000F1010000}"/>
    <cellStyle name="常规 26 2" xfId="498" xr:uid="{00000000-0005-0000-0000-0000F2010000}"/>
    <cellStyle name="常规 27 2" xfId="499" xr:uid="{00000000-0005-0000-0000-0000F3010000}"/>
    <cellStyle name="常规 28 2" xfId="500" xr:uid="{00000000-0005-0000-0000-0000F4010000}"/>
    <cellStyle name="常规 29 2" xfId="501" xr:uid="{00000000-0005-0000-0000-0000F5010000}"/>
    <cellStyle name="常规 3" xfId="502" xr:uid="{00000000-0005-0000-0000-0000F6010000}"/>
    <cellStyle name="常规 3 10" xfId="503" xr:uid="{00000000-0005-0000-0000-0000F7010000}"/>
    <cellStyle name="常规 3 11" xfId="504" xr:uid="{00000000-0005-0000-0000-0000F8010000}"/>
    <cellStyle name="常规 3 2" xfId="505" xr:uid="{00000000-0005-0000-0000-0000F9010000}"/>
    <cellStyle name="常规 3 2 2" xfId="506" xr:uid="{00000000-0005-0000-0000-0000FA010000}"/>
    <cellStyle name="常规 3 2 2 2" xfId="507" xr:uid="{00000000-0005-0000-0000-0000FB010000}"/>
    <cellStyle name="常规 3 2 3" xfId="508" xr:uid="{00000000-0005-0000-0000-0000FC010000}"/>
    <cellStyle name="常规 3 2 4" xfId="509" xr:uid="{00000000-0005-0000-0000-0000FD010000}"/>
    <cellStyle name="常规 3 2 5" xfId="510" xr:uid="{00000000-0005-0000-0000-0000FE010000}"/>
    <cellStyle name="常规 3 2 6" xfId="511" xr:uid="{00000000-0005-0000-0000-0000FF010000}"/>
    <cellStyle name="常规 3 2 7" xfId="512" xr:uid="{00000000-0005-0000-0000-000000020000}"/>
    <cellStyle name="常规 3 2 8" xfId="513" xr:uid="{00000000-0005-0000-0000-000001020000}"/>
    <cellStyle name="常规 3 2 9" xfId="514" xr:uid="{00000000-0005-0000-0000-000002020000}"/>
    <cellStyle name="常规 3 3" xfId="515" xr:uid="{00000000-0005-0000-0000-000003020000}"/>
    <cellStyle name="常规 3 3 2" xfId="516" xr:uid="{00000000-0005-0000-0000-000004020000}"/>
    <cellStyle name="常规 3 4" xfId="517" xr:uid="{00000000-0005-0000-0000-000005020000}"/>
    <cellStyle name="常规 3 5" xfId="518" xr:uid="{00000000-0005-0000-0000-000006020000}"/>
    <cellStyle name="常规 3 6" xfId="519" xr:uid="{00000000-0005-0000-0000-000007020000}"/>
    <cellStyle name="常规 3 7" xfId="520" xr:uid="{00000000-0005-0000-0000-000008020000}"/>
    <cellStyle name="常规 3 8" xfId="521" xr:uid="{00000000-0005-0000-0000-000009020000}"/>
    <cellStyle name="常规 3 9" xfId="522" xr:uid="{00000000-0005-0000-0000-00000A020000}"/>
    <cellStyle name="常规 30 2" xfId="523" xr:uid="{00000000-0005-0000-0000-00000B020000}"/>
    <cellStyle name="常规 31" xfId="524" xr:uid="{00000000-0005-0000-0000-00000C020000}"/>
    <cellStyle name="常规 31 2" xfId="525" xr:uid="{00000000-0005-0000-0000-00000D020000}"/>
    <cellStyle name="常规 31 3" xfId="526" xr:uid="{00000000-0005-0000-0000-00000E020000}"/>
    <cellStyle name="常规 31_2nd Japan new wall shipment list" xfId="527" xr:uid="{00000000-0005-0000-0000-00000F020000}"/>
    <cellStyle name="常规 32 2" xfId="528" xr:uid="{00000000-0005-0000-0000-000010020000}"/>
    <cellStyle name="常规 33 2" xfId="529" xr:uid="{00000000-0005-0000-0000-000011020000}"/>
    <cellStyle name="常规 34" xfId="530" xr:uid="{00000000-0005-0000-0000-000012020000}"/>
    <cellStyle name="常规 35" xfId="531" xr:uid="{00000000-0005-0000-0000-000013020000}"/>
    <cellStyle name="常规 36" xfId="532" xr:uid="{00000000-0005-0000-0000-000014020000}"/>
    <cellStyle name="常规 37" xfId="533" xr:uid="{00000000-0005-0000-0000-000015020000}"/>
    <cellStyle name="常规 37 2" xfId="534" xr:uid="{00000000-0005-0000-0000-000016020000}"/>
    <cellStyle name="常规 37_2nd Japan new wall shipment list" xfId="535" xr:uid="{00000000-0005-0000-0000-000017020000}"/>
    <cellStyle name="常规 38" xfId="536" xr:uid="{00000000-0005-0000-0000-000018020000}"/>
    <cellStyle name="常规 39" xfId="537" xr:uid="{00000000-0005-0000-0000-000019020000}"/>
    <cellStyle name="常规 4" xfId="538" xr:uid="{00000000-0005-0000-0000-00001A020000}"/>
    <cellStyle name="常规 4 10" xfId="539" xr:uid="{00000000-0005-0000-0000-00001B020000}"/>
    <cellStyle name="常规 4 2" xfId="540" xr:uid="{00000000-0005-0000-0000-00001C020000}"/>
    <cellStyle name="常规 4 2 2" xfId="541" xr:uid="{00000000-0005-0000-0000-00001D020000}"/>
    <cellStyle name="常规 4 3" xfId="542" xr:uid="{00000000-0005-0000-0000-00001E020000}"/>
    <cellStyle name="常规 4 4" xfId="543" xr:uid="{00000000-0005-0000-0000-00001F020000}"/>
    <cellStyle name="常规 4 5" xfId="544" xr:uid="{00000000-0005-0000-0000-000020020000}"/>
    <cellStyle name="常规 4 6" xfId="545" xr:uid="{00000000-0005-0000-0000-000021020000}"/>
    <cellStyle name="常规 4 7" xfId="546" xr:uid="{00000000-0005-0000-0000-000022020000}"/>
    <cellStyle name="常规 4 8" xfId="547" xr:uid="{00000000-0005-0000-0000-000023020000}"/>
    <cellStyle name="常规 4 9" xfId="548" xr:uid="{00000000-0005-0000-0000-000024020000}"/>
    <cellStyle name="常规 40" xfId="549" xr:uid="{00000000-0005-0000-0000-000025020000}"/>
    <cellStyle name="常规 41" xfId="550" xr:uid="{00000000-0005-0000-0000-000026020000}"/>
    <cellStyle name="常规 42" xfId="551" xr:uid="{00000000-0005-0000-0000-000027020000}"/>
    <cellStyle name="常规 43" xfId="552" xr:uid="{00000000-0005-0000-0000-000028020000}"/>
    <cellStyle name="常规 44" xfId="553" xr:uid="{00000000-0005-0000-0000-000029020000}"/>
    <cellStyle name="常规 44 4" xfId="554" xr:uid="{00000000-0005-0000-0000-00002A020000}"/>
    <cellStyle name="常规 45" xfId="555" xr:uid="{00000000-0005-0000-0000-00002B020000}"/>
    <cellStyle name="常规 46" xfId="556" xr:uid="{00000000-0005-0000-0000-00002C020000}"/>
    <cellStyle name="常规 47" xfId="557" xr:uid="{00000000-0005-0000-0000-00002D020000}"/>
    <cellStyle name="常规 48" xfId="558" xr:uid="{00000000-0005-0000-0000-00002E020000}"/>
    <cellStyle name="常规 49" xfId="559" xr:uid="{00000000-0005-0000-0000-00002F020000}"/>
    <cellStyle name="常规 5" xfId="560" xr:uid="{00000000-0005-0000-0000-000030020000}"/>
    <cellStyle name="常规 5 10" xfId="561" xr:uid="{00000000-0005-0000-0000-000031020000}"/>
    <cellStyle name="常规 5 11" xfId="562" xr:uid="{00000000-0005-0000-0000-000032020000}"/>
    <cellStyle name="常规 5 2" xfId="563" xr:uid="{00000000-0005-0000-0000-000033020000}"/>
    <cellStyle name="常规 5 3" xfId="564" xr:uid="{00000000-0005-0000-0000-000034020000}"/>
    <cellStyle name="常规 5 3 2" xfId="565" xr:uid="{00000000-0005-0000-0000-000035020000}"/>
    <cellStyle name="常规 5 4" xfId="566" xr:uid="{00000000-0005-0000-0000-000036020000}"/>
    <cellStyle name="常规 5 5" xfId="567" xr:uid="{00000000-0005-0000-0000-000037020000}"/>
    <cellStyle name="常规 5 6" xfId="568" xr:uid="{00000000-0005-0000-0000-000038020000}"/>
    <cellStyle name="常规 5 7" xfId="569" xr:uid="{00000000-0005-0000-0000-000039020000}"/>
    <cellStyle name="常规 5 8" xfId="570" xr:uid="{00000000-0005-0000-0000-00003A020000}"/>
    <cellStyle name="常规 5 9" xfId="571" xr:uid="{00000000-0005-0000-0000-00003B020000}"/>
    <cellStyle name="常规 5_DIAM SCHEDUEL-update 4-15-09" xfId="572" xr:uid="{00000000-0005-0000-0000-00003C020000}"/>
    <cellStyle name="常规 50" xfId="573" xr:uid="{00000000-0005-0000-0000-00003D020000}"/>
    <cellStyle name="常规 51" xfId="574" xr:uid="{00000000-0005-0000-0000-00003E020000}"/>
    <cellStyle name="常规 6" xfId="575" xr:uid="{00000000-0005-0000-0000-00003F020000}"/>
    <cellStyle name="常规 6 2" xfId="576" xr:uid="{00000000-0005-0000-0000-000040020000}"/>
    <cellStyle name="常规 6 2 2" xfId="577" xr:uid="{00000000-0005-0000-0000-000041020000}"/>
    <cellStyle name="常规 6 3" xfId="578" xr:uid="{00000000-0005-0000-0000-000042020000}"/>
    <cellStyle name="常规 6 4" xfId="579" xr:uid="{00000000-0005-0000-0000-000043020000}"/>
    <cellStyle name="常规 6 5" xfId="580" xr:uid="{00000000-0005-0000-0000-000044020000}"/>
    <cellStyle name="常规 6 6" xfId="581" xr:uid="{00000000-0005-0000-0000-000045020000}"/>
    <cellStyle name="常规 6 7" xfId="582" xr:uid="{00000000-0005-0000-0000-000046020000}"/>
    <cellStyle name="常规 6 8" xfId="583" xr:uid="{00000000-0005-0000-0000-000047020000}"/>
    <cellStyle name="常规 6 9" xfId="584" xr:uid="{00000000-0005-0000-0000-000048020000}"/>
    <cellStyle name="常规 7" xfId="585" xr:uid="{00000000-0005-0000-0000-000049020000}"/>
    <cellStyle name="常规 7 2" xfId="586" xr:uid="{00000000-0005-0000-0000-00004A020000}"/>
    <cellStyle name="常规 7 2 2" xfId="587" xr:uid="{00000000-0005-0000-0000-00004B020000}"/>
    <cellStyle name="常规 7 3" xfId="588" xr:uid="{00000000-0005-0000-0000-00004C020000}"/>
    <cellStyle name="常规 7 4" xfId="589" xr:uid="{00000000-0005-0000-0000-00004D020000}"/>
    <cellStyle name="常规 7 5" xfId="590" xr:uid="{00000000-0005-0000-0000-00004E020000}"/>
    <cellStyle name="常规 7 6" xfId="591" xr:uid="{00000000-0005-0000-0000-00004F020000}"/>
    <cellStyle name="常规 7 7" xfId="592" xr:uid="{00000000-0005-0000-0000-000050020000}"/>
    <cellStyle name="常规 7 8" xfId="593" xr:uid="{00000000-0005-0000-0000-000051020000}"/>
    <cellStyle name="常规 7 9" xfId="594" xr:uid="{00000000-0005-0000-0000-000052020000}"/>
    <cellStyle name="常规 8" xfId="595" xr:uid="{00000000-0005-0000-0000-000053020000}"/>
    <cellStyle name="常规 8 2" xfId="596" xr:uid="{00000000-0005-0000-0000-000054020000}"/>
    <cellStyle name="常规 8 2 2" xfId="597" xr:uid="{00000000-0005-0000-0000-000055020000}"/>
    <cellStyle name="常规 8 3" xfId="598" xr:uid="{00000000-0005-0000-0000-000056020000}"/>
    <cellStyle name="常规 8 4" xfId="599" xr:uid="{00000000-0005-0000-0000-000057020000}"/>
    <cellStyle name="常规 8 5" xfId="600" xr:uid="{00000000-0005-0000-0000-000058020000}"/>
    <cellStyle name="常规 8 6" xfId="601" xr:uid="{00000000-0005-0000-0000-000059020000}"/>
    <cellStyle name="常规 8 7" xfId="602" xr:uid="{00000000-0005-0000-0000-00005A020000}"/>
    <cellStyle name="常规 8 8" xfId="603" xr:uid="{00000000-0005-0000-0000-00005B020000}"/>
    <cellStyle name="常规 8 9" xfId="604" xr:uid="{00000000-0005-0000-0000-00005C020000}"/>
    <cellStyle name="常规 9" xfId="605" xr:uid="{00000000-0005-0000-0000-00005D020000}"/>
    <cellStyle name="常规 9 2" xfId="606" xr:uid="{00000000-0005-0000-0000-00005E020000}"/>
    <cellStyle name="常规 9 2 2" xfId="607" xr:uid="{00000000-0005-0000-0000-00005F020000}"/>
    <cellStyle name="常规 9 3" xfId="608" xr:uid="{00000000-0005-0000-0000-000060020000}"/>
    <cellStyle name="常规 9 4" xfId="609" xr:uid="{00000000-0005-0000-0000-000061020000}"/>
    <cellStyle name="常规 9 5" xfId="610" xr:uid="{00000000-0005-0000-0000-000062020000}"/>
    <cellStyle name="常规 9 6" xfId="611" xr:uid="{00000000-0005-0000-0000-000063020000}"/>
    <cellStyle name="常规 9 7" xfId="612" xr:uid="{00000000-0005-0000-0000-000064020000}"/>
    <cellStyle name="常规 9 8" xfId="613" xr:uid="{00000000-0005-0000-0000-000065020000}"/>
    <cellStyle name="常规 9 9" xfId="614" xr:uid="{00000000-0005-0000-0000-000066020000}"/>
    <cellStyle name="桁区切り 2" xfId="615" xr:uid="{00000000-0005-0000-0000-000067020000}"/>
    <cellStyle name="桁区切り 2 10" xfId="616" xr:uid="{00000000-0005-0000-0000-000068020000}"/>
    <cellStyle name="桁区切り 2 2" xfId="617" xr:uid="{00000000-0005-0000-0000-000069020000}"/>
    <cellStyle name="桁区切り 2 3" xfId="618" xr:uid="{00000000-0005-0000-0000-00006A020000}"/>
    <cellStyle name="桁区切り 2 4" xfId="619" xr:uid="{00000000-0005-0000-0000-00006B020000}"/>
    <cellStyle name="桁区切り 2 5" xfId="620" xr:uid="{00000000-0005-0000-0000-00006C020000}"/>
    <cellStyle name="桁区切り 2 6" xfId="621" xr:uid="{00000000-0005-0000-0000-00006D020000}"/>
    <cellStyle name="桁区切り 2 7" xfId="622" xr:uid="{00000000-0005-0000-0000-00006E020000}"/>
    <cellStyle name="桁区切り 2 8" xfId="623" xr:uid="{00000000-0005-0000-0000-00006F020000}"/>
    <cellStyle name="桁区切り 2 9" xfId="624" xr:uid="{00000000-0005-0000-0000-000070020000}"/>
    <cellStyle name="桁区切り 3" xfId="625" xr:uid="{00000000-0005-0000-0000-000071020000}"/>
    <cellStyle name="標準 2" xfId="626" xr:uid="{00000000-0005-0000-0000-000072020000}"/>
    <cellStyle name="標準 2 2" xfId="627" xr:uid="{00000000-0005-0000-0000-000073020000}"/>
    <cellStyle name="標準 2 2 2" xfId="628" xr:uid="{00000000-0005-0000-0000-000074020000}"/>
    <cellStyle name="標準 3" xfId="629" xr:uid="{00000000-0005-0000-0000-000075020000}"/>
    <cellStyle name="標準 3 10" xfId="630" xr:uid="{00000000-0005-0000-0000-000076020000}"/>
    <cellStyle name="標準 3 2" xfId="631" xr:uid="{00000000-0005-0000-0000-000077020000}"/>
    <cellStyle name="標準 3 3" xfId="632" xr:uid="{00000000-0005-0000-0000-000078020000}"/>
    <cellStyle name="標準 3 4" xfId="633" xr:uid="{00000000-0005-0000-0000-000079020000}"/>
    <cellStyle name="標準 3 5" xfId="634" xr:uid="{00000000-0005-0000-0000-00007A020000}"/>
    <cellStyle name="標準 3 6" xfId="635" xr:uid="{00000000-0005-0000-0000-00007B020000}"/>
    <cellStyle name="標準 3 7" xfId="636" xr:uid="{00000000-0005-0000-0000-00007C020000}"/>
    <cellStyle name="標準 3 8" xfId="637" xr:uid="{00000000-0005-0000-0000-00007D020000}"/>
    <cellStyle name="標準 3 9" xfId="638" xr:uid="{00000000-0005-0000-0000-00007E020000}"/>
    <cellStyle name="標準 4" xfId="639" xr:uid="{00000000-0005-0000-0000-00007F020000}"/>
    <cellStyle name="標準 4 2" xfId="640" xr:uid="{00000000-0005-0000-0000-000080020000}"/>
    <cellStyle name="百分比 2" xfId="641" xr:uid="{00000000-0005-0000-0000-000081020000}"/>
    <cellStyle name="百分比 3" xfId="642" xr:uid="{00000000-0005-0000-0000-000082020000}"/>
    <cellStyle name="百分比 3 2" xfId="643" xr:uid="{00000000-0005-0000-0000-000083020000}"/>
    <cellStyle name="百分比 3 2 2" xfId="644" xr:uid="{00000000-0005-0000-0000-000084020000}"/>
    <cellStyle name="百分比 3 3" xfId="645" xr:uid="{00000000-0005-0000-0000-000085020000}"/>
    <cellStyle name="百分比 3 4" xfId="646" xr:uid="{00000000-0005-0000-0000-000086020000}"/>
    <cellStyle name="百分比 3 5" xfId="647" xr:uid="{00000000-0005-0000-0000-000087020000}"/>
    <cellStyle name="百分比 3 6" xfId="648" xr:uid="{00000000-0005-0000-0000-000088020000}"/>
    <cellStyle name="百分比 3 7" xfId="649" xr:uid="{00000000-0005-0000-0000-000089020000}"/>
    <cellStyle name="百分比 3 8" xfId="650" xr:uid="{00000000-0005-0000-0000-00008A020000}"/>
    <cellStyle name="百分比 3 9" xfId="651" xr:uid="{00000000-0005-0000-0000-00008B020000}"/>
    <cellStyle name="超链接 2 2" xfId="652" xr:uid="{00000000-0005-0000-0000-00008C020000}"/>
    <cellStyle name="超链接 3 2" xfId="653" xr:uid="{00000000-0005-0000-0000-00008D020000}"/>
    <cellStyle name="超链接 4 2" xfId="654" xr:uid="{00000000-0005-0000-0000-00008E020000}"/>
    <cellStyle name="通貨 2" xfId="655" xr:uid="{00000000-0005-0000-0000-00008F020000}"/>
    <cellStyle name="通貨 2 2" xfId="656" xr:uid="{00000000-0005-0000-0000-000090020000}"/>
  </cellStyles>
  <dxfs count="3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:a16="http://schemas.microsoft.com/office/drawing/2014/main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çois DARRIGADE" refreshedDate="46021.454063657409" createdVersion="8" refreshedVersion="8" minRefreshableVersion="3" recordCount="456" xr:uid="{C538C8A7-2652-4349-A0B1-B02E0BCE2CDA}">
  <cacheSource type="worksheet">
    <worksheetSource ref="B5:J461" sheet="DB analysis orders"/>
  </cacheSource>
  <cacheFields count="9">
    <cacheField name="Week" numFmtId="0">
      <sharedItems count="6">
        <s v="W2"/>
        <s v="W1"/>
        <s v="W11" u="1"/>
        <s v="W10" u="1"/>
        <s v="W7" u="1"/>
        <s v="W6" u="1"/>
      </sharedItems>
    </cacheField>
    <cacheField name="Order to be delivered" numFmtId="0">
      <sharedItems containsSemiMixedTypes="0" containsString="0" containsNumber="1" containsInteger="1" minValue="0" maxValue="0"/>
    </cacheField>
    <cacheField name="External or Group" numFmtId="0">
      <sharedItems containsSemiMixedTypes="0" containsString="0" containsNumber="1" containsInteger="1" minValue="0" maxValue="0"/>
    </cacheField>
    <cacheField name="Customers orders" numFmtId="0">
      <sharedItems containsSemiMixedTypes="0" containsString="0" containsNumber="1" containsInteger="1" minValue="0" maxValue="0" count="1">
        <n v="0"/>
      </sharedItems>
    </cacheField>
    <cacheField name="Quantity" numFmtId="0">
      <sharedItems containsSemiMixedTypes="0" containsString="0" containsNumber="1" containsInteger="1" minValue="0" maxValue="0"/>
    </cacheField>
    <cacheField name="DGC" numFmtId="0">
      <sharedItems containsSemiMixedTypes="0" containsString="0" containsNumber="1" containsInteger="1" minValue="0" maxValue="0"/>
    </cacheField>
    <cacheField name="TOTAL ORDERBOOK" numFmtId="0">
      <sharedItems containsSemiMixedTypes="0" containsString="0" containsNumber="1" containsInteger="1" minValue="0" maxValue="0"/>
    </cacheField>
    <cacheField name="2026" numFmtId="0">
      <sharedItems containsSemiMixedTypes="0" containsString="0" containsNumber="1" containsInteger="1" minValue="0" maxValue="0"/>
    </cacheField>
    <cacheField name="2027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80388-5DA0-4F70-AE46-0C77ECAA2E75}" name="Tableau croisé dynamique1" cacheId="116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/>
  </dataFields>
  <formats count="14">
    <format dxfId="24">
      <pivotArea type="all" dataOnly="0" outline="0" fieldPosition="0"/>
    </format>
    <format dxfId="23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field="0" type="button" dataOnly="0" labelOnly="1" outline="0" axis="axisCol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EBC62-EFAD-4E28-8A7C-E13F998D05E5}" name="Tableau croisé dynamique2" cacheId="116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/>
  </dataFields>
  <formats count="14">
    <format dxfId="38">
      <pivotArea type="all" dataOnly="0" outline="0" fieldPosition="0"/>
    </format>
    <format dxfId="37">
      <pivotArea field="0" type="button" dataOnly="0" labelOnly="1" outline="0" axis="axisCol" fieldPosition="0"/>
    </format>
    <format dxfId="36">
      <pivotArea type="topRight" dataOnly="0" labelOnly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field="0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FF0000"/>
  </sheetPr>
  <dimension ref="B1:H34"/>
  <sheetViews>
    <sheetView showGridLines="0" workbookViewId="0">
      <selection activeCell="B1" sqref="B1:B15"/>
    </sheetView>
  </sheetViews>
  <sheetFormatPr defaultColWidth="9.140625" defaultRowHeight="15"/>
  <cols>
    <col min="1" max="1" width="1.85546875" customWidth="1"/>
    <col min="2" max="2" width="9.140625" customWidth="1"/>
    <col min="3" max="3" width="3.85546875" customWidth="1"/>
  </cols>
  <sheetData>
    <row r="1" spans="2:8">
      <c r="B1" s="1" t="s">
        <v>0</v>
      </c>
    </row>
    <row r="3" spans="2:8">
      <c r="B3" t="s">
        <v>1</v>
      </c>
    </row>
    <row r="5" spans="2:8">
      <c r="B5" t="s">
        <v>2</v>
      </c>
      <c r="H5" s="5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3:4">
      <c r="C17">
        <v>3</v>
      </c>
      <c r="D17" t="s">
        <v>7</v>
      </c>
    </row>
    <row r="19" spans="3:4">
      <c r="C19">
        <v>4</v>
      </c>
      <c r="D19" t="s">
        <v>8</v>
      </c>
    </row>
    <row r="21" spans="3:4">
      <c r="C21">
        <v>5</v>
      </c>
      <c r="D21" t="s">
        <v>9</v>
      </c>
    </row>
    <row r="23" spans="3:4">
      <c r="C23">
        <v>6</v>
      </c>
      <c r="D23" t="s">
        <v>10</v>
      </c>
    </row>
    <row r="25" spans="3:4">
      <c r="C25">
        <v>7</v>
      </c>
      <c r="D25" t="s">
        <v>11</v>
      </c>
    </row>
    <row r="27" spans="3:4">
      <c r="C27">
        <v>8</v>
      </c>
      <c r="D27" t="s">
        <v>12</v>
      </c>
    </row>
    <row r="29" spans="3:4">
      <c r="C29">
        <v>9</v>
      </c>
      <c r="D29" t="s">
        <v>13</v>
      </c>
    </row>
    <row r="33" spans="2:4">
      <c r="B33" s="3" t="s">
        <v>14</v>
      </c>
      <c r="C33" s="185"/>
      <c r="D33" s="185"/>
    </row>
    <row r="34" spans="2:4">
      <c r="B34" s="4"/>
      <c r="C34" s="185"/>
      <c r="D34" s="186" t="s">
        <v>15</v>
      </c>
    </row>
  </sheetData>
  <phoneticPr fontId="40"/>
  <hyperlinks>
    <hyperlink ref="H5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K61"/>
  <sheetViews>
    <sheetView showGridLines="0" topLeftCell="A6" zoomScaleNormal="100" workbookViewId="0">
      <selection activeCell="G9" sqref="G9:I61"/>
    </sheetView>
  </sheetViews>
  <sheetFormatPr defaultColWidth="9.140625" defaultRowHeight="15" outlineLevelRow="1"/>
  <cols>
    <col min="1" max="1" width="25.85546875" style="44" customWidth="1"/>
    <col min="2" max="2" width="10.140625" style="44" customWidth="1"/>
    <col min="3" max="3" width="11.42578125" style="44" customWidth="1"/>
    <col min="4" max="4" width="28.28515625" style="44" customWidth="1"/>
    <col min="5" max="7" width="9.140625" style="44"/>
    <col min="8" max="8" width="10.7109375" style="44" customWidth="1"/>
    <col min="9" max="16384" width="9.140625" style="44"/>
  </cols>
  <sheetData>
    <row r="1" spans="1:11">
      <c r="D1" s="45" t="s">
        <v>16</v>
      </c>
    </row>
    <row r="2" spans="1:11">
      <c r="A2" s="44" t="s">
        <v>17</v>
      </c>
      <c r="D2" s="46" t="s">
        <v>18</v>
      </c>
    </row>
    <row r="3" spans="1:11">
      <c r="A3" s="44" t="s">
        <v>19</v>
      </c>
    </row>
    <row r="4" spans="1:11">
      <c r="D4" s="47" t="str">
        <f>VLOOKUP(D2,$A$8:$C$52,3,FALSE)</f>
        <v>k€</v>
      </c>
    </row>
    <row r="8" spans="1:11">
      <c r="A8" s="48" t="s">
        <v>20</v>
      </c>
      <c r="B8" s="49" t="s">
        <v>21</v>
      </c>
    </row>
    <row r="9" spans="1:11" outlineLevel="1">
      <c r="A9" s="49" t="s">
        <v>22</v>
      </c>
      <c r="B9" s="49" t="s">
        <v>23</v>
      </c>
      <c r="C9" s="44" t="s">
        <v>24</v>
      </c>
      <c r="G9" s="44" t="s">
        <v>25</v>
      </c>
      <c r="H9" s="44" t="s">
        <v>26</v>
      </c>
      <c r="J9" s="49" t="s">
        <v>26</v>
      </c>
      <c r="K9" s="50">
        <v>46023</v>
      </c>
    </row>
    <row r="10" spans="1:11" outlineLevel="1">
      <c r="A10" s="49" t="s">
        <v>27</v>
      </c>
      <c r="B10" s="49" t="s">
        <v>28</v>
      </c>
      <c r="C10" s="44" t="s">
        <v>24</v>
      </c>
      <c r="G10" s="44" t="s">
        <v>29</v>
      </c>
      <c r="H10" s="44" t="s">
        <v>26</v>
      </c>
      <c r="I10" s="44" t="s">
        <v>25</v>
      </c>
      <c r="J10" s="49" t="s">
        <v>30</v>
      </c>
      <c r="K10" s="50">
        <v>46054</v>
      </c>
    </row>
    <row r="11" spans="1:11" outlineLevel="1">
      <c r="A11" s="49" t="s">
        <v>31</v>
      </c>
      <c r="B11" s="49" t="s">
        <v>32</v>
      </c>
      <c r="C11" s="44" t="s">
        <v>24</v>
      </c>
      <c r="G11" s="44" t="s">
        <v>33</v>
      </c>
      <c r="H11" s="44" t="s">
        <v>26</v>
      </c>
      <c r="I11" s="44" t="s">
        <v>29</v>
      </c>
      <c r="J11" s="49" t="s">
        <v>34</v>
      </c>
      <c r="K11" s="50">
        <v>46082</v>
      </c>
    </row>
    <row r="12" spans="1:11" outlineLevel="1">
      <c r="A12" s="49" t="s">
        <v>35</v>
      </c>
      <c r="B12" s="49" t="s">
        <v>36</v>
      </c>
      <c r="C12" s="44" t="s">
        <v>24</v>
      </c>
      <c r="G12" s="44" t="s">
        <v>37</v>
      </c>
      <c r="H12" s="44" t="s">
        <v>26</v>
      </c>
      <c r="I12" s="44" t="s">
        <v>33</v>
      </c>
      <c r="J12" s="49" t="s">
        <v>38</v>
      </c>
      <c r="K12" s="50">
        <v>46113</v>
      </c>
    </row>
    <row r="13" spans="1:11" outlineLevel="1">
      <c r="A13" s="49" t="s">
        <v>39</v>
      </c>
      <c r="B13" s="49" t="s">
        <v>40</v>
      </c>
      <c r="C13" s="44" t="s">
        <v>24</v>
      </c>
      <c r="G13" s="44" t="s">
        <v>41</v>
      </c>
      <c r="H13" s="44" t="s">
        <v>26</v>
      </c>
      <c r="I13" s="44" t="s">
        <v>37</v>
      </c>
      <c r="J13" s="49" t="s">
        <v>42</v>
      </c>
      <c r="K13" s="50">
        <v>46143</v>
      </c>
    </row>
    <row r="14" spans="1:11" outlineLevel="1">
      <c r="A14" s="49" t="s">
        <v>43</v>
      </c>
      <c r="B14" s="49" t="s">
        <v>44</v>
      </c>
      <c r="C14" s="44" t="s">
        <v>24</v>
      </c>
      <c r="G14" s="44" t="s">
        <v>45</v>
      </c>
      <c r="H14" s="44" t="s">
        <v>30</v>
      </c>
      <c r="I14" s="44" t="s">
        <v>41</v>
      </c>
      <c r="J14" s="49" t="s">
        <v>46</v>
      </c>
      <c r="K14" s="50">
        <v>46174</v>
      </c>
    </row>
    <row r="15" spans="1:11" outlineLevel="1">
      <c r="A15" s="49" t="s">
        <v>47</v>
      </c>
      <c r="B15" s="49" t="s">
        <v>48</v>
      </c>
      <c r="C15" s="44" t="s">
        <v>24</v>
      </c>
      <c r="G15" s="44" t="s">
        <v>49</v>
      </c>
      <c r="H15" s="44" t="s">
        <v>30</v>
      </c>
      <c r="I15" s="44" t="s">
        <v>45</v>
      </c>
      <c r="J15" s="49" t="s">
        <v>50</v>
      </c>
      <c r="K15" s="50">
        <v>46204</v>
      </c>
    </row>
    <row r="16" spans="1:11" outlineLevel="1">
      <c r="A16" s="49" t="s">
        <v>51</v>
      </c>
      <c r="B16" s="49" t="s">
        <v>52</v>
      </c>
      <c r="C16" s="44" t="s">
        <v>24</v>
      </c>
      <c r="G16" s="44" t="s">
        <v>53</v>
      </c>
      <c r="H16" s="44" t="s">
        <v>30</v>
      </c>
      <c r="I16" s="44" t="s">
        <v>49</v>
      </c>
      <c r="J16" s="49" t="s">
        <v>54</v>
      </c>
      <c r="K16" s="50">
        <v>46235</v>
      </c>
    </row>
    <row r="17" spans="1:11" outlineLevel="1">
      <c r="A17" s="49" t="s">
        <v>55</v>
      </c>
      <c r="B17" s="49" t="s">
        <v>56</v>
      </c>
      <c r="C17" s="45" t="s">
        <v>57</v>
      </c>
      <c r="G17" s="44" t="s">
        <v>58</v>
      </c>
      <c r="H17" s="51" t="s">
        <v>30</v>
      </c>
      <c r="I17" s="44" t="s">
        <v>53</v>
      </c>
      <c r="J17" s="49" t="s">
        <v>59</v>
      </c>
      <c r="K17" s="50">
        <v>46266</v>
      </c>
    </row>
    <row r="18" spans="1:11" outlineLevel="1">
      <c r="A18" s="49" t="s">
        <v>60</v>
      </c>
      <c r="B18" s="49" t="s">
        <v>61</v>
      </c>
      <c r="C18" s="45" t="s">
        <v>57</v>
      </c>
      <c r="G18" s="44" t="s">
        <v>62</v>
      </c>
      <c r="H18" s="44" t="s">
        <v>34</v>
      </c>
      <c r="I18" s="44" t="s">
        <v>58</v>
      </c>
      <c r="J18" s="49" t="s">
        <v>63</v>
      </c>
      <c r="K18" s="50">
        <v>46296</v>
      </c>
    </row>
    <row r="19" spans="1:11" outlineLevel="1">
      <c r="A19" s="49" t="s">
        <v>64</v>
      </c>
      <c r="B19" s="49" t="s">
        <v>65</v>
      </c>
      <c r="C19" s="44" t="s">
        <v>24</v>
      </c>
      <c r="G19" s="44" t="s">
        <v>66</v>
      </c>
      <c r="H19" s="44" t="s">
        <v>34</v>
      </c>
      <c r="I19" s="44" t="s">
        <v>62</v>
      </c>
      <c r="J19" s="49" t="s">
        <v>67</v>
      </c>
      <c r="K19" s="50">
        <v>46327</v>
      </c>
    </row>
    <row r="20" spans="1:11" outlineLevel="1">
      <c r="A20" s="49" t="s">
        <v>68</v>
      </c>
      <c r="B20" s="49" t="s">
        <v>69</v>
      </c>
      <c r="C20" s="44" t="s">
        <v>24</v>
      </c>
      <c r="G20" s="44" t="s">
        <v>70</v>
      </c>
      <c r="H20" s="44" t="s">
        <v>34</v>
      </c>
      <c r="I20" s="44" t="s">
        <v>66</v>
      </c>
      <c r="J20" s="49" t="s">
        <v>71</v>
      </c>
      <c r="K20" s="50">
        <v>46357</v>
      </c>
    </row>
    <row r="21" spans="1:11" outlineLevel="1">
      <c r="A21" s="49" t="s">
        <v>72</v>
      </c>
      <c r="B21" s="49" t="s">
        <v>73</v>
      </c>
      <c r="C21" s="45" t="s">
        <v>74</v>
      </c>
      <c r="G21" s="44" t="s">
        <v>75</v>
      </c>
      <c r="H21" s="44" t="s">
        <v>34</v>
      </c>
      <c r="I21" s="44" t="s">
        <v>70</v>
      </c>
    </row>
    <row r="22" spans="1:11" outlineLevel="1">
      <c r="A22" s="49" t="s">
        <v>76</v>
      </c>
      <c r="B22" s="49" t="s">
        <v>77</v>
      </c>
      <c r="C22" s="45" t="s">
        <v>74</v>
      </c>
      <c r="G22" s="44" t="s">
        <v>78</v>
      </c>
      <c r="H22" s="44" t="s">
        <v>38</v>
      </c>
      <c r="I22" s="44" t="s">
        <v>75</v>
      </c>
    </row>
    <row r="23" spans="1:11" outlineLevel="1">
      <c r="A23" s="49" t="s">
        <v>79</v>
      </c>
      <c r="B23" s="49" t="s">
        <v>80</v>
      </c>
      <c r="C23" s="45" t="s">
        <v>74</v>
      </c>
      <c r="G23" s="44" t="s">
        <v>81</v>
      </c>
      <c r="H23" s="44" t="s">
        <v>38</v>
      </c>
      <c r="I23" s="44" t="s">
        <v>78</v>
      </c>
    </row>
    <row r="24" spans="1:11" outlineLevel="1">
      <c r="A24" s="49" t="s">
        <v>82</v>
      </c>
      <c r="B24" s="49" t="s">
        <v>83</v>
      </c>
      <c r="C24" s="44" t="s">
        <v>24</v>
      </c>
      <c r="G24" s="44" t="s">
        <v>84</v>
      </c>
      <c r="H24" s="44" t="s">
        <v>38</v>
      </c>
      <c r="I24" s="44" t="s">
        <v>81</v>
      </c>
    </row>
    <row r="25" spans="1:11" outlineLevel="1">
      <c r="A25" s="49" t="s">
        <v>85</v>
      </c>
      <c r="B25" s="49" t="s">
        <v>86</v>
      </c>
      <c r="C25" s="45" t="s">
        <v>74</v>
      </c>
      <c r="G25" s="44" t="s">
        <v>87</v>
      </c>
      <c r="H25" s="44" t="s">
        <v>38</v>
      </c>
      <c r="I25" s="44" t="s">
        <v>84</v>
      </c>
    </row>
    <row r="26" spans="1:11" outlineLevel="1">
      <c r="A26" s="49" t="s">
        <v>88</v>
      </c>
      <c r="B26" s="49" t="s">
        <v>89</v>
      </c>
      <c r="C26" s="45" t="s">
        <v>74</v>
      </c>
      <c r="G26" s="44" t="s">
        <v>90</v>
      </c>
      <c r="H26" s="44" t="s">
        <v>38</v>
      </c>
      <c r="I26" s="44" t="s">
        <v>87</v>
      </c>
    </row>
    <row r="27" spans="1:11" outlineLevel="1">
      <c r="A27" s="49" t="s">
        <v>91</v>
      </c>
      <c r="B27" s="49" t="s">
        <v>92</v>
      </c>
      <c r="C27" s="45" t="s">
        <v>74</v>
      </c>
      <c r="G27" s="44" t="s">
        <v>93</v>
      </c>
      <c r="H27" s="44" t="s">
        <v>42</v>
      </c>
      <c r="I27" s="44" t="s">
        <v>90</v>
      </c>
    </row>
    <row r="28" spans="1:11" outlineLevel="1">
      <c r="A28" s="49" t="s">
        <v>94</v>
      </c>
      <c r="B28" s="49" t="s">
        <v>95</v>
      </c>
      <c r="C28" s="45" t="s">
        <v>74</v>
      </c>
      <c r="G28" s="44" t="s">
        <v>96</v>
      </c>
      <c r="H28" s="44" t="s">
        <v>42</v>
      </c>
      <c r="I28" s="44" t="s">
        <v>93</v>
      </c>
    </row>
    <row r="29" spans="1:11" outlineLevel="1">
      <c r="A29" s="49" t="s">
        <v>97</v>
      </c>
      <c r="B29" s="49" t="s">
        <v>98</v>
      </c>
      <c r="C29" s="45" t="s">
        <v>74</v>
      </c>
      <c r="G29" s="44" t="s">
        <v>99</v>
      </c>
      <c r="H29" s="44" t="s">
        <v>42</v>
      </c>
      <c r="I29" s="44" t="s">
        <v>96</v>
      </c>
    </row>
    <row r="30" spans="1:11" outlineLevel="1">
      <c r="A30" s="49" t="s">
        <v>100</v>
      </c>
      <c r="B30" s="49" t="s">
        <v>101</v>
      </c>
      <c r="C30" s="44" t="s">
        <v>24</v>
      </c>
      <c r="G30" s="44" t="s">
        <v>102</v>
      </c>
      <c r="H30" s="51" t="s">
        <v>42</v>
      </c>
      <c r="I30" s="44" t="s">
        <v>99</v>
      </c>
    </row>
    <row r="31" spans="1:11" outlineLevel="1">
      <c r="A31" s="49" t="s">
        <v>103</v>
      </c>
      <c r="B31" s="49" t="s">
        <v>104</v>
      </c>
      <c r="C31" s="44" t="s">
        <v>24</v>
      </c>
      <c r="G31" s="44" t="s">
        <v>105</v>
      </c>
      <c r="H31" s="44" t="s">
        <v>46</v>
      </c>
      <c r="I31" s="44" t="s">
        <v>102</v>
      </c>
    </row>
    <row r="32" spans="1:11" outlineLevel="1">
      <c r="A32" s="49" t="s">
        <v>106</v>
      </c>
      <c r="B32" s="49" t="s">
        <v>107</v>
      </c>
      <c r="C32" s="44" t="s">
        <v>24</v>
      </c>
      <c r="G32" s="44" t="s">
        <v>108</v>
      </c>
      <c r="H32" s="44" t="s">
        <v>46</v>
      </c>
      <c r="I32" s="44" t="s">
        <v>105</v>
      </c>
    </row>
    <row r="33" spans="1:9" outlineLevel="1">
      <c r="A33" s="49" t="s">
        <v>109</v>
      </c>
      <c r="B33" s="49" t="s">
        <v>110</v>
      </c>
      <c r="C33" s="44" t="s">
        <v>24</v>
      </c>
      <c r="G33" s="44" t="s">
        <v>111</v>
      </c>
      <c r="H33" s="44" t="s">
        <v>46</v>
      </c>
      <c r="I33" s="44" t="s">
        <v>108</v>
      </c>
    </row>
    <row r="34" spans="1:9" outlineLevel="1">
      <c r="A34" s="49" t="s">
        <v>18</v>
      </c>
      <c r="B34" s="49" t="s">
        <v>112</v>
      </c>
      <c r="C34" s="44" t="s">
        <v>24</v>
      </c>
      <c r="G34" s="44" t="s">
        <v>113</v>
      </c>
      <c r="H34" s="44" t="s">
        <v>46</v>
      </c>
      <c r="I34" s="44" t="s">
        <v>111</v>
      </c>
    </row>
    <row r="35" spans="1:9" outlineLevel="1">
      <c r="A35" s="49" t="s">
        <v>114</v>
      </c>
      <c r="B35" s="49" t="s">
        <v>115</v>
      </c>
      <c r="C35" s="44" t="s">
        <v>24</v>
      </c>
      <c r="G35" s="44" t="s">
        <v>116</v>
      </c>
      <c r="H35" s="44" t="s">
        <v>50</v>
      </c>
      <c r="I35" s="44" t="s">
        <v>113</v>
      </c>
    </row>
    <row r="36" spans="1:9" outlineLevel="1">
      <c r="A36" s="49" t="s">
        <v>117</v>
      </c>
      <c r="B36" s="49" t="s">
        <v>118</v>
      </c>
      <c r="C36" s="44" t="s">
        <v>24</v>
      </c>
      <c r="G36" s="44" t="s">
        <v>119</v>
      </c>
      <c r="H36" s="44" t="s">
        <v>50</v>
      </c>
      <c r="I36" s="44" t="s">
        <v>116</v>
      </c>
    </row>
    <row r="37" spans="1:9" outlineLevel="1">
      <c r="A37" s="49" t="s">
        <v>120</v>
      </c>
      <c r="B37" s="49" t="s">
        <v>121</v>
      </c>
      <c r="C37" s="44" t="s">
        <v>24</v>
      </c>
      <c r="G37" s="44" t="s">
        <v>122</v>
      </c>
      <c r="H37" s="44" t="s">
        <v>50</v>
      </c>
      <c r="I37" s="44" t="s">
        <v>119</v>
      </c>
    </row>
    <row r="38" spans="1:9" outlineLevel="1">
      <c r="A38" s="49" t="s">
        <v>123</v>
      </c>
      <c r="B38" s="49" t="s">
        <v>123</v>
      </c>
      <c r="C38" s="44" t="s">
        <v>24</v>
      </c>
      <c r="G38" s="44" t="s">
        <v>124</v>
      </c>
      <c r="H38" s="44" t="s">
        <v>50</v>
      </c>
      <c r="I38" s="44" t="s">
        <v>122</v>
      </c>
    </row>
    <row r="39" spans="1:9" outlineLevel="1">
      <c r="A39" s="49" t="s">
        <v>125</v>
      </c>
      <c r="B39" s="49" t="s">
        <v>126</v>
      </c>
      <c r="C39" s="45" t="s">
        <v>74</v>
      </c>
      <c r="G39" s="44" t="s">
        <v>127</v>
      </c>
      <c r="H39" s="44" t="s">
        <v>50</v>
      </c>
      <c r="I39" s="44" t="s">
        <v>124</v>
      </c>
    </row>
    <row r="40" spans="1:9" outlineLevel="1">
      <c r="A40" s="49" t="s">
        <v>128</v>
      </c>
      <c r="B40" s="49" t="s">
        <v>129</v>
      </c>
      <c r="C40" s="44" t="s">
        <v>24</v>
      </c>
      <c r="G40" s="44" t="s">
        <v>130</v>
      </c>
      <c r="H40" s="44" t="s">
        <v>54</v>
      </c>
      <c r="I40" s="44" t="s">
        <v>127</v>
      </c>
    </row>
    <row r="41" spans="1:9" outlineLevel="1">
      <c r="A41" s="49" t="s">
        <v>131</v>
      </c>
      <c r="B41" s="49" t="s">
        <v>132</v>
      </c>
      <c r="C41" s="44" t="s">
        <v>24</v>
      </c>
      <c r="G41" s="44" t="s">
        <v>133</v>
      </c>
      <c r="H41" s="44" t="s">
        <v>54</v>
      </c>
      <c r="I41" s="44" t="s">
        <v>130</v>
      </c>
    </row>
    <row r="42" spans="1:9" outlineLevel="1">
      <c r="A42" s="49" t="s">
        <v>134</v>
      </c>
      <c r="B42" s="49" t="s">
        <v>135</v>
      </c>
      <c r="C42" s="44" t="s">
        <v>24</v>
      </c>
      <c r="G42" s="44" t="s">
        <v>136</v>
      </c>
      <c r="H42" s="44" t="s">
        <v>54</v>
      </c>
      <c r="I42" s="44" t="s">
        <v>133</v>
      </c>
    </row>
    <row r="43" spans="1:9" outlineLevel="1">
      <c r="A43" s="49" t="s">
        <v>137</v>
      </c>
      <c r="B43" s="49" t="s">
        <v>138</v>
      </c>
      <c r="C43" s="44" t="s">
        <v>24</v>
      </c>
      <c r="G43" s="44" t="s">
        <v>139</v>
      </c>
      <c r="H43" s="44" t="s">
        <v>54</v>
      </c>
      <c r="I43" s="44" t="s">
        <v>136</v>
      </c>
    </row>
    <row r="44" spans="1:9" outlineLevel="1">
      <c r="A44" s="49" t="s">
        <v>140</v>
      </c>
      <c r="B44" s="49" t="s">
        <v>141</v>
      </c>
      <c r="C44" s="44" t="s">
        <v>24</v>
      </c>
      <c r="G44" s="44" t="s">
        <v>142</v>
      </c>
      <c r="H44" s="44" t="s">
        <v>59</v>
      </c>
      <c r="I44" s="44" t="s">
        <v>139</v>
      </c>
    </row>
    <row r="45" spans="1:9" outlineLevel="1">
      <c r="A45" s="49" t="s">
        <v>143</v>
      </c>
      <c r="B45" s="49" t="s">
        <v>144</v>
      </c>
      <c r="C45" s="44" t="s">
        <v>24</v>
      </c>
      <c r="G45" s="44" t="s">
        <v>145</v>
      </c>
      <c r="H45" s="44" t="s">
        <v>59</v>
      </c>
      <c r="I45" s="44" t="s">
        <v>142</v>
      </c>
    </row>
    <row r="46" spans="1:9" outlineLevel="1">
      <c r="A46" s="49" t="s">
        <v>146</v>
      </c>
      <c r="B46" s="49" t="s">
        <v>147</v>
      </c>
      <c r="C46" s="44" t="s">
        <v>24</v>
      </c>
      <c r="G46" s="44" t="s">
        <v>148</v>
      </c>
      <c r="H46" s="44" t="s">
        <v>59</v>
      </c>
      <c r="I46" s="44" t="s">
        <v>145</v>
      </c>
    </row>
    <row r="47" spans="1:9" outlineLevel="1">
      <c r="A47" s="49" t="s">
        <v>149</v>
      </c>
      <c r="B47" s="49" t="s">
        <v>150</v>
      </c>
      <c r="C47" s="44" t="s">
        <v>24</v>
      </c>
      <c r="G47" s="44" t="s">
        <v>151</v>
      </c>
      <c r="H47" s="44" t="s">
        <v>59</v>
      </c>
      <c r="I47" s="44" t="s">
        <v>148</v>
      </c>
    </row>
    <row r="48" spans="1:9" outlineLevel="1">
      <c r="A48" s="49" t="s">
        <v>152</v>
      </c>
      <c r="B48" s="49" t="s">
        <v>153</v>
      </c>
      <c r="C48" s="44" t="s">
        <v>24</v>
      </c>
      <c r="G48" s="44" t="s">
        <v>154</v>
      </c>
      <c r="H48" s="44" t="s">
        <v>63</v>
      </c>
      <c r="I48" s="44" t="s">
        <v>151</v>
      </c>
    </row>
    <row r="49" spans="1:9" outlineLevel="1">
      <c r="A49" s="49" t="s">
        <v>155</v>
      </c>
      <c r="B49" s="49" t="s">
        <v>156</v>
      </c>
      <c r="C49" s="44" t="s">
        <v>24</v>
      </c>
      <c r="G49" s="44" t="s">
        <v>157</v>
      </c>
      <c r="H49" s="44" t="s">
        <v>63</v>
      </c>
      <c r="I49" s="44" t="s">
        <v>154</v>
      </c>
    </row>
    <row r="50" spans="1:9" outlineLevel="1">
      <c r="A50" s="49" t="s">
        <v>158</v>
      </c>
      <c r="B50" s="49" t="s">
        <v>159</v>
      </c>
      <c r="C50" s="44" t="s">
        <v>24</v>
      </c>
      <c r="G50" s="44" t="s">
        <v>160</v>
      </c>
      <c r="H50" s="44" t="s">
        <v>63</v>
      </c>
      <c r="I50" s="44" t="s">
        <v>157</v>
      </c>
    </row>
    <row r="51" spans="1:9" outlineLevel="1">
      <c r="A51" s="49" t="s">
        <v>161</v>
      </c>
      <c r="B51" s="49" t="s">
        <v>162</v>
      </c>
      <c r="C51" s="44" t="s">
        <v>24</v>
      </c>
      <c r="G51" s="44" t="s">
        <v>163</v>
      </c>
      <c r="H51" s="44" t="s">
        <v>63</v>
      </c>
      <c r="I51" s="44" t="s">
        <v>160</v>
      </c>
    </row>
    <row r="52" spans="1:9" outlineLevel="1">
      <c r="A52" s="49" t="s">
        <v>164</v>
      </c>
      <c r="B52" s="49" t="s">
        <v>165</v>
      </c>
      <c r="C52" s="44" t="s">
        <v>24</v>
      </c>
      <c r="G52" s="44" t="s">
        <v>166</v>
      </c>
      <c r="H52" s="51" t="s">
        <v>63</v>
      </c>
      <c r="I52" s="44" t="s">
        <v>163</v>
      </c>
    </row>
    <row r="53" spans="1:9" outlineLevel="1">
      <c r="A53" s="49"/>
      <c r="B53" s="49"/>
      <c r="G53" s="44" t="s">
        <v>167</v>
      </c>
      <c r="H53" s="44" t="s">
        <v>67</v>
      </c>
      <c r="I53" s="44" t="s">
        <v>166</v>
      </c>
    </row>
    <row r="54" spans="1:9" outlineLevel="1">
      <c r="C54" s="45"/>
      <c r="G54" s="44" t="s">
        <v>168</v>
      </c>
      <c r="H54" s="44" t="s">
        <v>67</v>
      </c>
      <c r="I54" s="44" t="s">
        <v>167</v>
      </c>
    </row>
    <row r="55" spans="1:9" outlineLevel="1">
      <c r="C55" s="45"/>
      <c r="G55" s="44" t="s">
        <v>169</v>
      </c>
      <c r="H55" s="44" t="s">
        <v>67</v>
      </c>
      <c r="I55" s="44" t="s">
        <v>168</v>
      </c>
    </row>
    <row r="56" spans="1:9" outlineLevel="1">
      <c r="G56" s="44" t="s">
        <v>170</v>
      </c>
      <c r="H56" s="44" t="s">
        <v>67</v>
      </c>
      <c r="I56" s="44" t="s">
        <v>169</v>
      </c>
    </row>
    <row r="57" spans="1:9" outlineLevel="1">
      <c r="G57" s="44" t="s">
        <v>171</v>
      </c>
      <c r="H57" s="44" t="s">
        <v>71</v>
      </c>
      <c r="I57" s="44" t="s">
        <v>170</v>
      </c>
    </row>
    <row r="58" spans="1:9" outlineLevel="1">
      <c r="G58" s="44" t="s">
        <v>172</v>
      </c>
      <c r="H58" s="44" t="s">
        <v>71</v>
      </c>
      <c r="I58" s="44" t="s">
        <v>171</v>
      </c>
    </row>
    <row r="59" spans="1:9" outlineLevel="1">
      <c r="G59" s="44" t="s">
        <v>173</v>
      </c>
      <c r="H59" s="44" t="s">
        <v>71</v>
      </c>
      <c r="I59" s="44" t="s">
        <v>172</v>
      </c>
    </row>
    <row r="60" spans="1:9" outlineLevel="1">
      <c r="G60" s="44" t="s">
        <v>174</v>
      </c>
      <c r="H60" s="44" t="s">
        <v>71</v>
      </c>
      <c r="I60" s="44" t="s">
        <v>173</v>
      </c>
    </row>
    <row r="61" spans="1:9">
      <c r="G61" s="44" t="s">
        <v>175</v>
      </c>
      <c r="H61" s="44" t="s">
        <v>71</v>
      </c>
      <c r="I61" s="44" t="s">
        <v>174</v>
      </c>
    </row>
  </sheetData>
  <phoneticPr fontId="40"/>
  <dataValidations count="1">
    <dataValidation type="list" allowBlank="1" showInputMessage="1" showErrorMessage="1" sqref="D2" xr:uid="{00000000-0002-0000-0100-000000000000}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7BDF-7012-474A-B1D8-47A8C3AD8F79}">
  <sheetPr codeName="Sheet1">
    <tabColor rgb="FF00B0F0"/>
  </sheetPr>
  <dimension ref="B2:K106"/>
  <sheetViews>
    <sheetView showGridLines="0" zoomScale="90" zoomScaleNormal="90" workbookViewId="0">
      <selection activeCell="C4" sqref="C4"/>
    </sheetView>
  </sheetViews>
  <sheetFormatPr defaultColWidth="11.5703125" defaultRowHeight="12.75"/>
  <cols>
    <col min="1" max="1" width="3.5703125" style="27" customWidth="1"/>
    <col min="2" max="2" width="38.28515625" style="27" customWidth="1"/>
    <col min="3" max="5" width="16.42578125" style="27" customWidth="1"/>
    <col min="6" max="7" width="11.5703125" style="27"/>
    <col min="8" max="8" width="31.85546875" style="27" customWidth="1"/>
    <col min="9" max="16384" width="11.5703125" style="27"/>
  </cols>
  <sheetData>
    <row r="2" spans="2:11">
      <c r="B2" s="26" t="s">
        <v>176</v>
      </c>
      <c r="C2" s="182" t="str">
        <f>+'W1'!G2</f>
        <v>Diam India</v>
      </c>
      <c r="D2" s="35" t="str">
        <f>VLOOKUP(C2, parameters!A:B, 2,0)</f>
        <v>DDI</v>
      </c>
    </row>
    <row r="3" spans="2:11">
      <c r="C3" s="35"/>
      <c r="D3" s="35"/>
    </row>
    <row r="4" spans="2:11">
      <c r="B4" s="26" t="s">
        <v>177</v>
      </c>
      <c r="C4" s="179" t="s">
        <v>29</v>
      </c>
      <c r="D4" s="35" t="str">
        <f>VLOOKUP(C4, parameters!G:I,3,0)</f>
        <v>W1</v>
      </c>
    </row>
    <row r="7" spans="2:11">
      <c r="B7" s="28" t="s">
        <v>178</v>
      </c>
      <c r="C7" s="29"/>
      <c r="D7" s="29"/>
      <c r="E7" s="29"/>
      <c r="H7" s="28" t="s">
        <v>179</v>
      </c>
      <c r="I7" s="29"/>
      <c r="J7" s="29"/>
      <c r="K7" s="29"/>
    </row>
    <row r="9" spans="2:11">
      <c r="C9" s="30" t="s">
        <v>19</v>
      </c>
      <c r="D9" s="30" t="s">
        <v>17</v>
      </c>
      <c r="E9" s="30" t="s">
        <v>180</v>
      </c>
      <c r="I9" s="30" t="s">
        <v>19</v>
      </c>
      <c r="J9" s="30" t="s">
        <v>17</v>
      </c>
      <c r="K9" s="30" t="s">
        <v>180</v>
      </c>
    </row>
    <row r="10" spans="2:11">
      <c r="B10" s="27" t="str">
        <f>"Var in sales 2025 - "&amp;D4&amp;" to "&amp;C4</f>
        <v>Var in sales 2025 - W1 to W2</v>
      </c>
      <c r="C10" s="31">
        <f ca="1">+C16-C22</f>
        <v>83.295740000000009</v>
      </c>
      <c r="D10" s="31">
        <f t="shared" ref="D10:E10" ca="1" si="0">+D16-D22</f>
        <v>2.39</v>
      </c>
      <c r="E10" s="31">
        <f t="shared" ca="1" si="0"/>
        <v>85.68574000000001</v>
      </c>
      <c r="H10" s="27" t="str">
        <f>+"Orderbook "&amp;$C$4</f>
        <v>Orderbook W2</v>
      </c>
      <c r="I10" s="31" cm="1">
        <f t="array" aca="1" ref="I10" ca="1">INDIRECT(ADDRESS(17,12,,,$C$4))</f>
        <v>0</v>
      </c>
      <c r="J10" s="31" cm="1">
        <f t="array" aca="1" ref="J10" ca="1">INDIRECT(ADDRESS(18,12,,,$C$4))</f>
        <v>0</v>
      </c>
      <c r="K10" s="33">
        <f ca="1">SUM(I10:J10)</f>
        <v>0</v>
      </c>
    </row>
    <row r="11" spans="2:11">
      <c r="B11" s="27" t="str">
        <f>"Var in orderbook 2025 - "&amp;D4&amp;" to "&amp;C4</f>
        <v>Var in orderbook 2025 - W1 to W2</v>
      </c>
      <c r="C11" s="31">
        <f t="shared" ref="C11:E12" ca="1" si="1">+C17-C23</f>
        <v>159.68244309067711</v>
      </c>
      <c r="D11" s="31">
        <f t="shared" ca="1" si="1"/>
        <v>9.6764360106799998</v>
      </c>
      <c r="E11" s="181">
        <f t="shared" ca="1" si="1"/>
        <v>169.35887910135705</v>
      </c>
      <c r="H11" s="27" t="str">
        <f>+"Orderbook "&amp;$D$4</f>
        <v>Orderbook W1</v>
      </c>
      <c r="I11" s="31" cm="1">
        <f t="array" aca="1" ref="I11" ca="1">INDIRECT(ADDRESS(17,12,,,$D$4))</f>
        <v>0</v>
      </c>
      <c r="J11" s="31" cm="1">
        <f t="array" aca="1" ref="J11" ca="1">INDIRECT(ADDRESS(18,12,,,$D$4))</f>
        <v>0</v>
      </c>
      <c r="K11" s="33">
        <f ca="1">SUM(I11:J11)</f>
        <v>0</v>
      </c>
    </row>
    <row r="12" spans="2:11">
      <c r="B12" s="32" t="str">
        <f>"Var in forecast 2025 - "&amp;D4&amp;" to "&amp;C4</f>
        <v>Var in forecast 2025 - W1 to W2</v>
      </c>
      <c r="C12" s="33">
        <f t="shared" ca="1" si="1"/>
        <v>242.97818309067713</v>
      </c>
      <c r="D12" s="33">
        <f t="shared" ca="1" si="1"/>
        <v>12.06643601068</v>
      </c>
      <c r="E12" s="33">
        <f t="shared" ca="1" si="1"/>
        <v>255.04461910135694</v>
      </c>
      <c r="H12" s="32" t="str">
        <f>"Var in orderbook - "&amp;D4&amp;" to "&amp;C4</f>
        <v>Var in orderbook - W1 to W2</v>
      </c>
      <c r="I12" s="180">
        <f ca="1">+I10-I11</f>
        <v>0</v>
      </c>
      <c r="J12" s="180">
        <f ca="1">+J10-J11</f>
        <v>0</v>
      </c>
      <c r="K12" s="180">
        <f ca="1">+K10-K11</f>
        <v>0</v>
      </c>
    </row>
    <row r="13" spans="2:11">
      <c r="C13" s="34">
        <f ca="1">+C12-SUM(C10:C11)</f>
        <v>0</v>
      </c>
      <c r="D13" s="34">
        <f t="shared" ref="D13:E13" ca="1" si="2">+D12-SUM(D10:D11)</f>
        <v>0</v>
      </c>
      <c r="E13" s="34">
        <f t="shared" ca="1" si="2"/>
        <v>0</v>
      </c>
    </row>
    <row r="14" spans="2:11">
      <c r="C14" s="31"/>
      <c r="D14" s="31"/>
      <c r="E14" s="31"/>
    </row>
    <row r="15" spans="2:11" ht="15">
      <c r="C15" s="30" t="s">
        <v>19</v>
      </c>
      <c r="D15" s="30" t="s">
        <v>17</v>
      </c>
      <c r="E15" s="30" t="s">
        <v>180</v>
      </c>
      <c r="H15" s="52" t="s">
        <v>181</v>
      </c>
      <c r="I15" s="52" t="s">
        <v>182</v>
      </c>
      <c r="K15"/>
    </row>
    <row r="16" spans="2:11" ht="15">
      <c r="B16" s="27" t="str">
        <f>+"Sales "&amp;$C$4</f>
        <v>Sales W2</v>
      </c>
      <c r="C16" s="31" cm="1">
        <f t="array" aca="1" ref="C16" ca="1">INDIRECT(ADDRESS(10,8,,,$C$4))</f>
        <v>93.43</v>
      </c>
      <c r="D16" s="31" cm="1">
        <f t="array" aca="1" ref="D16" ca="1">INDIRECT(ADDRESS(11,8,,,$C$4))</f>
        <v>2.39</v>
      </c>
      <c r="E16" s="31">
        <f ca="1">SUM(C16:D16)</f>
        <v>95.820000000000007</v>
      </c>
      <c r="H16" s="52" t="s">
        <v>183</v>
      </c>
      <c r="I16" s="35" t="s">
        <v>29</v>
      </c>
      <c r="J16" s="35" t="s">
        <v>25</v>
      </c>
      <c r="K16" s="2" t="s">
        <v>184</v>
      </c>
    </row>
    <row r="17" spans="2:11" ht="15">
      <c r="B17" s="27" t="str">
        <f>+"Orderbook "&amp;$C$4</f>
        <v>Orderbook W2</v>
      </c>
      <c r="C17" s="31" cm="1">
        <f t="array" aca="1" ref="C17" ca="1">INDIRECT(ADDRESS(17,11,,,$C$4))</f>
        <v>1085.1783688636772</v>
      </c>
      <c r="D17" s="31" cm="1">
        <f t="array" aca="1" ref="D17" ca="1">INDIRECT(ADDRESS(18,11,,,$C$4))</f>
        <v>9.6764360106799998</v>
      </c>
      <c r="E17" s="31">
        <f ca="1">SUM(C17:D17)</f>
        <v>1094.8548048743571</v>
      </c>
      <c r="H17" s="36">
        <v>0</v>
      </c>
      <c r="I17" s="31">
        <v>0</v>
      </c>
      <c r="J17" s="31">
        <v>0</v>
      </c>
      <c r="K17" s="37">
        <f>+I17-J17</f>
        <v>0</v>
      </c>
    </row>
    <row r="18" spans="2:11" ht="15">
      <c r="B18" s="32" t="str">
        <f>+"Forecast "&amp;$C$4</f>
        <v>Forecast W2</v>
      </c>
      <c r="C18" s="33">
        <f ca="1">SUM(C16:C17)</f>
        <v>1178.6083688636772</v>
      </c>
      <c r="D18" s="33">
        <f t="shared" ref="D18:E18" ca="1" si="3">SUM(D16:D17)</f>
        <v>12.06643601068</v>
      </c>
      <c r="E18" s="33">
        <f t="shared" ca="1" si="3"/>
        <v>1190.6748048743571</v>
      </c>
      <c r="H18" s="36" t="s">
        <v>185</v>
      </c>
      <c r="I18" s="31">
        <v>0</v>
      </c>
      <c r="J18" s="31">
        <v>0</v>
      </c>
      <c r="K18" s="37">
        <f t="shared" ref="K18:K81" si="4">+I18-J18</f>
        <v>0</v>
      </c>
    </row>
    <row r="19" spans="2:11" ht="15">
      <c r="C19" s="31"/>
      <c r="D19" s="31"/>
      <c r="E19" s="31"/>
      <c r="H19"/>
      <c r="I19"/>
      <c r="J19"/>
      <c r="K19" s="37">
        <f t="shared" si="4"/>
        <v>0</v>
      </c>
    </row>
    <row r="20" spans="2:11" ht="15">
      <c r="C20" s="35"/>
      <c r="D20" s="35"/>
      <c r="E20" s="35"/>
      <c r="H20"/>
      <c r="I20"/>
      <c r="J20"/>
      <c r="K20" s="37">
        <f t="shared" si="4"/>
        <v>0</v>
      </c>
    </row>
    <row r="21" spans="2:11" ht="15">
      <c r="C21" s="30" t="s">
        <v>19</v>
      </c>
      <c r="D21" s="30" t="s">
        <v>17</v>
      </c>
      <c r="E21" s="30" t="s">
        <v>180</v>
      </c>
      <c r="H21"/>
      <c r="I21"/>
      <c r="J21"/>
      <c r="K21" s="37">
        <f t="shared" si="4"/>
        <v>0</v>
      </c>
    </row>
    <row r="22" spans="2:11" ht="15">
      <c r="B22" s="27" t="str">
        <f>+"Sales "&amp;$D$4</f>
        <v>Sales W1</v>
      </c>
      <c r="C22" s="31" cm="1">
        <f t="array" aca="1" ref="C22" ca="1">INDIRECT(ADDRESS(10,8,,,$D$4))</f>
        <v>10.134259999999999</v>
      </c>
      <c r="D22" s="31" cm="1">
        <f t="array" aca="1" ref="D22" ca="1">INDIRECT(ADDRESS(11,8,,,$D$4))</f>
        <v>0</v>
      </c>
      <c r="E22" s="31">
        <f ca="1">SUM(C22:D22)</f>
        <v>10.134259999999999</v>
      </c>
      <c r="H22"/>
      <c r="I22"/>
      <c r="J22"/>
      <c r="K22" s="37">
        <f t="shared" si="4"/>
        <v>0</v>
      </c>
    </row>
    <row r="23" spans="2:11" ht="15">
      <c r="B23" s="27" t="str">
        <f>+"Orderbook "&amp;$D$4</f>
        <v>Orderbook W1</v>
      </c>
      <c r="C23" s="31" cm="1">
        <f t="array" aca="1" ref="C23" ca="1">INDIRECT(ADDRESS(17,11,,,$D$4))</f>
        <v>925.49592577300007</v>
      </c>
      <c r="D23" s="31" cm="1">
        <f t="array" aca="1" ref="D23" ca="1">INDIRECT(ADDRESS(18,11,,,$D$4))</f>
        <v>0</v>
      </c>
      <c r="E23" s="31">
        <f ca="1">SUM(C23:D23)</f>
        <v>925.49592577300007</v>
      </c>
      <c r="H23"/>
      <c r="I23"/>
      <c r="J23"/>
      <c r="K23" s="37">
        <f t="shared" si="4"/>
        <v>0</v>
      </c>
    </row>
    <row r="24" spans="2:11" ht="15">
      <c r="B24" s="32" t="str">
        <f>+"Forecast "&amp;$D$4</f>
        <v>Forecast W1</v>
      </c>
      <c r="C24" s="33">
        <f ca="1">SUM(C22:C23)</f>
        <v>935.63018577300011</v>
      </c>
      <c r="D24" s="33">
        <f t="shared" ref="D24:E24" ca="1" si="5">SUM(D22:D23)</f>
        <v>0</v>
      </c>
      <c r="E24" s="33">
        <f t="shared" ca="1" si="5"/>
        <v>935.63018577300011</v>
      </c>
      <c r="H24"/>
      <c r="I24"/>
      <c r="J24"/>
      <c r="K24" s="37">
        <f t="shared" si="4"/>
        <v>0</v>
      </c>
    </row>
    <row r="25" spans="2:11" ht="15">
      <c r="H25"/>
      <c r="I25"/>
      <c r="J25"/>
      <c r="K25" s="37">
        <f t="shared" si="4"/>
        <v>0</v>
      </c>
    </row>
    <row r="26" spans="2:11" ht="15">
      <c r="H26"/>
      <c r="I26"/>
      <c r="J26"/>
      <c r="K26" s="37">
        <f t="shared" si="4"/>
        <v>0</v>
      </c>
    </row>
    <row r="27" spans="2:11" ht="15">
      <c r="B27" s="52" t="s">
        <v>186</v>
      </c>
      <c r="C27" s="52" t="s">
        <v>182</v>
      </c>
      <c r="E27"/>
      <c r="H27"/>
      <c r="I27"/>
      <c r="J27"/>
      <c r="K27" s="37">
        <f t="shared" si="4"/>
        <v>0</v>
      </c>
    </row>
    <row r="28" spans="2:11" ht="15">
      <c r="B28" s="52" t="s">
        <v>183</v>
      </c>
      <c r="C28" s="35" t="s">
        <v>29</v>
      </c>
      <c r="D28" s="35" t="s">
        <v>25</v>
      </c>
      <c r="E28" s="2" t="s">
        <v>184</v>
      </c>
      <c r="K28" s="37">
        <f t="shared" si="4"/>
        <v>0</v>
      </c>
    </row>
    <row r="29" spans="2:11" ht="15">
      <c r="B29" s="36">
        <v>0</v>
      </c>
      <c r="C29" s="31">
        <v>0</v>
      </c>
      <c r="D29" s="31">
        <v>0</v>
      </c>
      <c r="E29" s="37">
        <f>+C29-D29</f>
        <v>0</v>
      </c>
      <c r="K29" s="37">
        <f t="shared" si="4"/>
        <v>0</v>
      </c>
    </row>
    <row r="30" spans="2:11" ht="15">
      <c r="B30" s="36" t="s">
        <v>185</v>
      </c>
      <c r="C30" s="31">
        <v>0</v>
      </c>
      <c r="D30" s="31">
        <v>0</v>
      </c>
      <c r="E30" s="37">
        <f t="shared" ref="E30:E93" si="6">+C30-D30</f>
        <v>0</v>
      </c>
      <c r="K30" s="37">
        <f t="shared" si="4"/>
        <v>0</v>
      </c>
    </row>
    <row r="31" spans="2:11" ht="15">
      <c r="B31"/>
      <c r="C31"/>
      <c r="D31"/>
      <c r="E31" s="37">
        <f t="shared" si="6"/>
        <v>0</v>
      </c>
      <c r="K31" s="37">
        <f t="shared" si="4"/>
        <v>0</v>
      </c>
    </row>
    <row r="32" spans="2:11" ht="15">
      <c r="B32"/>
      <c r="C32"/>
      <c r="D32"/>
      <c r="E32" s="37">
        <f t="shared" si="6"/>
        <v>0</v>
      </c>
      <c r="K32" s="37">
        <f t="shared" si="4"/>
        <v>0</v>
      </c>
    </row>
    <row r="33" spans="2:11" ht="15">
      <c r="B33"/>
      <c r="C33"/>
      <c r="D33"/>
      <c r="E33" s="37">
        <f t="shared" si="6"/>
        <v>0</v>
      </c>
      <c r="K33" s="37">
        <f t="shared" si="4"/>
        <v>0</v>
      </c>
    </row>
    <row r="34" spans="2:11" ht="15">
      <c r="B34"/>
      <c r="C34"/>
      <c r="D34"/>
      <c r="E34" s="37">
        <f t="shared" si="6"/>
        <v>0</v>
      </c>
      <c r="K34" s="37">
        <f t="shared" si="4"/>
        <v>0</v>
      </c>
    </row>
    <row r="35" spans="2:11" ht="15">
      <c r="B35"/>
      <c r="C35"/>
      <c r="D35"/>
      <c r="E35" s="37">
        <f t="shared" si="6"/>
        <v>0</v>
      </c>
      <c r="K35" s="37">
        <f t="shared" si="4"/>
        <v>0</v>
      </c>
    </row>
    <row r="36" spans="2:11" ht="15">
      <c r="B36"/>
      <c r="C36"/>
      <c r="D36"/>
      <c r="E36" s="37">
        <f t="shared" si="6"/>
        <v>0</v>
      </c>
      <c r="K36" s="37">
        <f t="shared" si="4"/>
        <v>0</v>
      </c>
    </row>
    <row r="37" spans="2:11" ht="15">
      <c r="B37"/>
      <c r="C37"/>
      <c r="D37"/>
      <c r="E37" s="37">
        <f t="shared" si="6"/>
        <v>0</v>
      </c>
      <c r="K37" s="37">
        <f t="shared" si="4"/>
        <v>0</v>
      </c>
    </row>
    <row r="38" spans="2:11" ht="15">
      <c r="B38"/>
      <c r="C38"/>
      <c r="D38"/>
      <c r="E38" s="37">
        <f t="shared" si="6"/>
        <v>0</v>
      </c>
      <c r="K38" s="37">
        <f t="shared" si="4"/>
        <v>0</v>
      </c>
    </row>
    <row r="39" spans="2:11" ht="15">
      <c r="B39"/>
      <c r="C39"/>
      <c r="D39"/>
      <c r="E39" s="37">
        <f t="shared" si="6"/>
        <v>0</v>
      </c>
      <c r="K39" s="37">
        <f t="shared" si="4"/>
        <v>0</v>
      </c>
    </row>
    <row r="40" spans="2:11" ht="15">
      <c r="B40"/>
      <c r="C40"/>
      <c r="D40"/>
      <c r="E40" s="37">
        <f t="shared" si="6"/>
        <v>0</v>
      </c>
      <c r="K40" s="37">
        <f t="shared" si="4"/>
        <v>0</v>
      </c>
    </row>
    <row r="41" spans="2:11" ht="15">
      <c r="B41"/>
      <c r="C41"/>
      <c r="D41"/>
      <c r="E41" s="37">
        <f t="shared" si="6"/>
        <v>0</v>
      </c>
      <c r="K41" s="37">
        <f t="shared" si="4"/>
        <v>0</v>
      </c>
    </row>
    <row r="42" spans="2:11" ht="15">
      <c r="B42"/>
      <c r="C42"/>
      <c r="D42"/>
      <c r="E42" s="37">
        <f t="shared" si="6"/>
        <v>0</v>
      </c>
      <c r="K42" s="37">
        <f t="shared" si="4"/>
        <v>0</v>
      </c>
    </row>
    <row r="43" spans="2:11" ht="15">
      <c r="B43"/>
      <c r="C43"/>
      <c r="D43"/>
      <c r="E43" s="37">
        <f t="shared" si="6"/>
        <v>0</v>
      </c>
      <c r="K43" s="37">
        <f t="shared" si="4"/>
        <v>0</v>
      </c>
    </row>
    <row r="44" spans="2:11" ht="15">
      <c r="B44"/>
      <c r="C44"/>
      <c r="D44"/>
      <c r="E44" s="37">
        <f t="shared" si="6"/>
        <v>0</v>
      </c>
      <c r="K44" s="37">
        <f t="shared" si="4"/>
        <v>0</v>
      </c>
    </row>
    <row r="45" spans="2:11" ht="15">
      <c r="B45"/>
      <c r="C45"/>
      <c r="D45"/>
      <c r="E45" s="37">
        <f t="shared" si="6"/>
        <v>0</v>
      </c>
      <c r="K45" s="37">
        <f t="shared" si="4"/>
        <v>0</v>
      </c>
    </row>
    <row r="46" spans="2:11" ht="15">
      <c r="B46"/>
      <c r="C46"/>
      <c r="D46"/>
      <c r="E46" s="37">
        <f t="shared" si="6"/>
        <v>0</v>
      </c>
      <c r="K46" s="37">
        <f t="shared" si="4"/>
        <v>0</v>
      </c>
    </row>
    <row r="47" spans="2:11" ht="15">
      <c r="B47"/>
      <c r="C47"/>
      <c r="D47"/>
      <c r="E47" s="37">
        <f t="shared" si="6"/>
        <v>0</v>
      </c>
      <c r="K47" s="37">
        <f t="shared" si="4"/>
        <v>0</v>
      </c>
    </row>
    <row r="48" spans="2:11" ht="15">
      <c r="B48"/>
      <c r="C48"/>
      <c r="D48"/>
      <c r="E48" s="37">
        <f t="shared" si="6"/>
        <v>0</v>
      </c>
      <c r="K48" s="37">
        <f t="shared" si="4"/>
        <v>0</v>
      </c>
    </row>
    <row r="49" spans="2:11" ht="15">
      <c r="B49"/>
      <c r="C49"/>
      <c r="D49"/>
      <c r="E49" s="37">
        <f t="shared" si="6"/>
        <v>0</v>
      </c>
      <c r="K49" s="37">
        <f t="shared" si="4"/>
        <v>0</v>
      </c>
    </row>
    <row r="50" spans="2:11" ht="15">
      <c r="B50"/>
      <c r="C50"/>
      <c r="D50"/>
      <c r="E50" s="37">
        <f t="shared" si="6"/>
        <v>0</v>
      </c>
      <c r="K50" s="37">
        <f t="shared" si="4"/>
        <v>0</v>
      </c>
    </row>
    <row r="51" spans="2:11" ht="15">
      <c r="B51"/>
      <c r="C51"/>
      <c r="D51"/>
      <c r="E51" s="37">
        <f t="shared" si="6"/>
        <v>0</v>
      </c>
      <c r="K51" s="37">
        <f t="shared" si="4"/>
        <v>0</v>
      </c>
    </row>
    <row r="52" spans="2:11" ht="15">
      <c r="B52"/>
      <c r="C52"/>
      <c r="D52"/>
      <c r="E52" s="37">
        <f t="shared" si="6"/>
        <v>0</v>
      </c>
      <c r="K52" s="37">
        <f t="shared" si="4"/>
        <v>0</v>
      </c>
    </row>
    <row r="53" spans="2:11" ht="15">
      <c r="B53"/>
      <c r="C53"/>
      <c r="D53"/>
      <c r="E53" s="37">
        <f t="shared" si="6"/>
        <v>0</v>
      </c>
      <c r="K53" s="37">
        <f t="shared" si="4"/>
        <v>0</v>
      </c>
    </row>
    <row r="54" spans="2:11" ht="15">
      <c r="B54"/>
      <c r="C54"/>
      <c r="D54"/>
      <c r="E54" s="37">
        <f t="shared" si="6"/>
        <v>0</v>
      </c>
      <c r="K54" s="37">
        <f t="shared" si="4"/>
        <v>0</v>
      </c>
    </row>
    <row r="55" spans="2:11" ht="15">
      <c r="B55"/>
      <c r="C55"/>
      <c r="D55"/>
      <c r="E55" s="37">
        <f t="shared" si="6"/>
        <v>0</v>
      </c>
      <c r="K55" s="37">
        <f t="shared" si="4"/>
        <v>0</v>
      </c>
    </row>
    <row r="56" spans="2:11" ht="15">
      <c r="B56"/>
      <c r="C56"/>
      <c r="D56"/>
      <c r="E56" s="37">
        <f t="shared" si="6"/>
        <v>0</v>
      </c>
      <c r="K56" s="37">
        <f t="shared" si="4"/>
        <v>0</v>
      </c>
    </row>
    <row r="57" spans="2:11" ht="15">
      <c r="B57"/>
      <c r="C57"/>
      <c r="D57"/>
      <c r="E57" s="37">
        <f t="shared" si="6"/>
        <v>0</v>
      </c>
      <c r="K57" s="37">
        <f t="shared" si="4"/>
        <v>0</v>
      </c>
    </row>
    <row r="58" spans="2:11" ht="15">
      <c r="B58"/>
      <c r="C58"/>
      <c r="D58"/>
      <c r="E58" s="37">
        <f t="shared" si="6"/>
        <v>0</v>
      </c>
      <c r="K58" s="37">
        <f t="shared" si="4"/>
        <v>0</v>
      </c>
    </row>
    <row r="59" spans="2:11" ht="15">
      <c r="B59"/>
      <c r="C59"/>
      <c r="D59"/>
      <c r="E59" s="37">
        <f t="shared" si="6"/>
        <v>0</v>
      </c>
      <c r="K59" s="37">
        <f t="shared" si="4"/>
        <v>0</v>
      </c>
    </row>
    <row r="60" spans="2:11" ht="15">
      <c r="B60"/>
      <c r="C60"/>
      <c r="D60"/>
      <c r="E60" s="37">
        <f t="shared" si="6"/>
        <v>0</v>
      </c>
      <c r="K60" s="37">
        <f t="shared" si="4"/>
        <v>0</v>
      </c>
    </row>
    <row r="61" spans="2:11" ht="15">
      <c r="B61"/>
      <c r="C61"/>
      <c r="D61"/>
      <c r="E61" s="37">
        <f t="shared" si="6"/>
        <v>0</v>
      </c>
      <c r="K61" s="37">
        <f t="shared" si="4"/>
        <v>0</v>
      </c>
    </row>
    <row r="62" spans="2:11" ht="15">
      <c r="B62"/>
      <c r="C62"/>
      <c r="D62"/>
      <c r="E62" s="37">
        <f t="shared" si="6"/>
        <v>0</v>
      </c>
      <c r="K62" s="37">
        <f t="shared" si="4"/>
        <v>0</v>
      </c>
    </row>
    <row r="63" spans="2:11" ht="15">
      <c r="B63"/>
      <c r="C63"/>
      <c r="D63"/>
      <c r="E63" s="37">
        <f t="shared" si="6"/>
        <v>0</v>
      </c>
      <c r="K63" s="37">
        <f t="shared" si="4"/>
        <v>0</v>
      </c>
    </row>
    <row r="64" spans="2:11" ht="15">
      <c r="B64"/>
      <c r="C64"/>
      <c r="D64"/>
      <c r="E64" s="37">
        <f t="shared" si="6"/>
        <v>0</v>
      </c>
      <c r="K64" s="37">
        <f t="shared" si="4"/>
        <v>0</v>
      </c>
    </row>
    <row r="65" spans="2:11" ht="15">
      <c r="B65"/>
      <c r="C65"/>
      <c r="D65"/>
      <c r="E65" s="37">
        <f t="shared" si="6"/>
        <v>0</v>
      </c>
      <c r="K65" s="37">
        <f t="shared" si="4"/>
        <v>0</v>
      </c>
    </row>
    <row r="66" spans="2:11" ht="15">
      <c r="B66"/>
      <c r="C66"/>
      <c r="D66"/>
      <c r="E66" s="37">
        <f t="shared" si="6"/>
        <v>0</v>
      </c>
      <c r="K66" s="37">
        <f t="shared" si="4"/>
        <v>0</v>
      </c>
    </row>
    <row r="67" spans="2:11" ht="15">
      <c r="B67"/>
      <c r="C67"/>
      <c r="D67"/>
      <c r="E67" s="37">
        <f t="shared" si="6"/>
        <v>0</v>
      </c>
      <c r="K67" s="37">
        <f t="shared" si="4"/>
        <v>0</v>
      </c>
    </row>
    <row r="68" spans="2:11" ht="15">
      <c r="B68"/>
      <c r="C68"/>
      <c r="D68"/>
      <c r="E68" s="37">
        <f t="shared" si="6"/>
        <v>0</v>
      </c>
      <c r="K68" s="37">
        <f t="shared" si="4"/>
        <v>0</v>
      </c>
    </row>
    <row r="69" spans="2:11" ht="15">
      <c r="B69"/>
      <c r="C69"/>
      <c r="D69"/>
      <c r="E69" s="37">
        <f t="shared" si="6"/>
        <v>0</v>
      </c>
      <c r="K69" s="37">
        <f t="shared" si="4"/>
        <v>0</v>
      </c>
    </row>
    <row r="70" spans="2:11" ht="15">
      <c r="B70"/>
      <c r="C70"/>
      <c r="D70"/>
      <c r="E70" s="37">
        <f t="shared" si="6"/>
        <v>0</v>
      </c>
      <c r="K70" s="37">
        <f t="shared" si="4"/>
        <v>0</v>
      </c>
    </row>
    <row r="71" spans="2:11" ht="15">
      <c r="B71"/>
      <c r="C71"/>
      <c r="D71"/>
      <c r="E71" s="37">
        <f t="shared" si="6"/>
        <v>0</v>
      </c>
      <c r="K71" s="37">
        <f t="shared" si="4"/>
        <v>0</v>
      </c>
    </row>
    <row r="72" spans="2:11" ht="15">
      <c r="B72"/>
      <c r="C72"/>
      <c r="D72"/>
      <c r="E72" s="37">
        <f t="shared" si="6"/>
        <v>0</v>
      </c>
      <c r="K72" s="37">
        <f t="shared" si="4"/>
        <v>0</v>
      </c>
    </row>
    <row r="73" spans="2:11" ht="15">
      <c r="B73"/>
      <c r="C73"/>
      <c r="D73"/>
      <c r="E73" s="37">
        <f t="shared" si="6"/>
        <v>0</v>
      </c>
      <c r="K73" s="37">
        <f t="shared" si="4"/>
        <v>0</v>
      </c>
    </row>
    <row r="74" spans="2:11" ht="15">
      <c r="B74"/>
      <c r="C74"/>
      <c r="D74"/>
      <c r="E74" s="37">
        <f t="shared" si="6"/>
        <v>0</v>
      </c>
      <c r="K74" s="37">
        <f t="shared" si="4"/>
        <v>0</v>
      </c>
    </row>
    <row r="75" spans="2:11" ht="15">
      <c r="E75" s="37">
        <f t="shared" si="6"/>
        <v>0</v>
      </c>
      <c r="K75" s="37">
        <f t="shared" si="4"/>
        <v>0</v>
      </c>
    </row>
    <row r="76" spans="2:11" ht="15">
      <c r="E76" s="37">
        <f t="shared" si="6"/>
        <v>0</v>
      </c>
      <c r="K76" s="37">
        <f t="shared" si="4"/>
        <v>0</v>
      </c>
    </row>
    <row r="77" spans="2:11" ht="15">
      <c r="E77" s="37">
        <f t="shared" si="6"/>
        <v>0</v>
      </c>
      <c r="K77" s="37">
        <f t="shared" si="4"/>
        <v>0</v>
      </c>
    </row>
    <row r="78" spans="2:11" ht="15">
      <c r="E78" s="37">
        <f t="shared" si="6"/>
        <v>0</v>
      </c>
      <c r="K78" s="37">
        <f t="shared" si="4"/>
        <v>0</v>
      </c>
    </row>
    <row r="79" spans="2:11" ht="15">
      <c r="E79" s="37">
        <f t="shared" si="6"/>
        <v>0</v>
      </c>
      <c r="K79" s="37">
        <f t="shared" si="4"/>
        <v>0</v>
      </c>
    </row>
    <row r="80" spans="2:11" ht="15">
      <c r="E80" s="37">
        <f t="shared" si="6"/>
        <v>0</v>
      </c>
      <c r="K80" s="37">
        <f t="shared" si="4"/>
        <v>0</v>
      </c>
    </row>
    <row r="81" spans="5:11" ht="15">
      <c r="E81" s="37">
        <f t="shared" si="6"/>
        <v>0</v>
      </c>
      <c r="K81" s="37">
        <f t="shared" si="4"/>
        <v>0</v>
      </c>
    </row>
    <row r="82" spans="5:11" ht="15">
      <c r="E82" s="37">
        <f t="shared" si="6"/>
        <v>0</v>
      </c>
      <c r="K82" s="37">
        <f t="shared" ref="K82:K93" si="7">+I82-J82</f>
        <v>0</v>
      </c>
    </row>
    <row r="83" spans="5:11" ht="15">
      <c r="E83" s="37">
        <f t="shared" si="6"/>
        <v>0</v>
      </c>
      <c r="K83" s="37">
        <f t="shared" si="7"/>
        <v>0</v>
      </c>
    </row>
    <row r="84" spans="5:11" ht="15">
      <c r="E84" s="37">
        <f t="shared" si="6"/>
        <v>0</v>
      </c>
      <c r="K84" s="37">
        <f t="shared" si="7"/>
        <v>0</v>
      </c>
    </row>
    <row r="85" spans="5:11" ht="15">
      <c r="E85" s="37">
        <f t="shared" si="6"/>
        <v>0</v>
      </c>
      <c r="K85" s="37">
        <f t="shared" si="7"/>
        <v>0</v>
      </c>
    </row>
    <row r="86" spans="5:11" ht="15">
      <c r="E86" s="37">
        <f t="shared" si="6"/>
        <v>0</v>
      </c>
      <c r="K86" s="37">
        <f t="shared" si="7"/>
        <v>0</v>
      </c>
    </row>
    <row r="87" spans="5:11" ht="15">
      <c r="E87" s="37">
        <f t="shared" si="6"/>
        <v>0</v>
      </c>
      <c r="K87" s="37">
        <f t="shared" si="7"/>
        <v>0</v>
      </c>
    </row>
    <row r="88" spans="5:11" ht="15">
      <c r="E88" s="37">
        <f t="shared" si="6"/>
        <v>0</v>
      </c>
      <c r="K88" s="37">
        <f t="shared" si="7"/>
        <v>0</v>
      </c>
    </row>
    <row r="89" spans="5:11" ht="15">
      <c r="E89" s="37">
        <f t="shared" si="6"/>
        <v>0</v>
      </c>
      <c r="K89" s="37">
        <f t="shared" si="7"/>
        <v>0</v>
      </c>
    </row>
    <row r="90" spans="5:11" ht="15">
      <c r="E90" s="37">
        <f t="shared" si="6"/>
        <v>0</v>
      </c>
      <c r="K90" s="37">
        <f t="shared" si="7"/>
        <v>0</v>
      </c>
    </row>
    <row r="91" spans="5:11" ht="15">
      <c r="E91" s="37">
        <f t="shared" si="6"/>
        <v>0</v>
      </c>
      <c r="K91" s="37">
        <f t="shared" si="7"/>
        <v>0</v>
      </c>
    </row>
    <row r="92" spans="5:11" ht="15">
      <c r="E92" s="37">
        <f t="shared" si="6"/>
        <v>0</v>
      </c>
      <c r="K92" s="37">
        <f t="shared" si="7"/>
        <v>0</v>
      </c>
    </row>
    <row r="93" spans="5:11" ht="15">
      <c r="E93" s="37">
        <f t="shared" si="6"/>
        <v>0</v>
      </c>
      <c r="K93" s="37">
        <f t="shared" si="7"/>
        <v>0</v>
      </c>
    </row>
    <row r="94" spans="5:11" ht="15">
      <c r="E94" s="37">
        <f t="shared" ref="E94:E106" si="8">+C94-D94</f>
        <v>0</v>
      </c>
    </row>
    <row r="95" spans="5:11" ht="15">
      <c r="E95" s="37">
        <f t="shared" si="8"/>
        <v>0</v>
      </c>
    </row>
    <row r="96" spans="5:11" ht="15">
      <c r="E96" s="37">
        <f t="shared" si="8"/>
        <v>0</v>
      </c>
    </row>
    <row r="97" spans="5:5" ht="15">
      <c r="E97" s="37">
        <f t="shared" si="8"/>
        <v>0</v>
      </c>
    </row>
    <row r="98" spans="5:5" ht="15">
      <c r="E98" s="37">
        <f t="shared" si="8"/>
        <v>0</v>
      </c>
    </row>
    <row r="99" spans="5:5" ht="15">
      <c r="E99" s="37">
        <f t="shared" si="8"/>
        <v>0</v>
      </c>
    </row>
    <row r="100" spans="5:5" ht="15">
      <c r="E100" s="37">
        <f t="shared" si="8"/>
        <v>0</v>
      </c>
    </row>
    <row r="101" spans="5:5" ht="15">
      <c r="E101" s="37">
        <f t="shared" si="8"/>
        <v>0</v>
      </c>
    </row>
    <row r="102" spans="5:5" ht="15">
      <c r="E102" s="37">
        <f t="shared" si="8"/>
        <v>0</v>
      </c>
    </row>
    <row r="103" spans="5:5" ht="15">
      <c r="E103" s="37">
        <f t="shared" si="8"/>
        <v>0</v>
      </c>
    </row>
    <row r="104" spans="5:5" ht="15">
      <c r="E104" s="37">
        <f t="shared" si="8"/>
        <v>0</v>
      </c>
    </row>
    <row r="105" spans="5:5" ht="15">
      <c r="E105" s="37">
        <f t="shared" si="8"/>
        <v>0</v>
      </c>
    </row>
    <row r="106" spans="5:5" ht="15">
      <c r="E106" s="37">
        <f t="shared" si="8"/>
        <v>0</v>
      </c>
    </row>
  </sheetData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5B070C-CB77-4B99-9517-9135EEF10C6C}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E1FA-F4A1-496D-AF2C-847FEC96E774}">
  <sheetPr codeName="Sheet2">
    <tabColor theme="0" tint="-0.499984740745262"/>
  </sheetPr>
  <dimension ref="A2:J461"/>
  <sheetViews>
    <sheetView showGridLines="0" zoomScale="90" zoomScaleNormal="90" workbookViewId="0">
      <selection activeCell="B6" sqref="B6"/>
    </sheetView>
  </sheetViews>
  <sheetFormatPr defaultColWidth="11.5703125" defaultRowHeight="12.75"/>
  <cols>
    <col min="1" max="1" width="11.5703125" style="38"/>
    <col min="2" max="2" width="11.5703125" style="35"/>
    <col min="3" max="3" width="28.7109375" style="27" customWidth="1"/>
    <col min="4" max="16384" width="11.5703125" style="27"/>
  </cols>
  <sheetData>
    <row r="2" spans="1:10">
      <c r="C2" s="26" t="s">
        <v>177</v>
      </c>
      <c r="D2" s="179" t="str">
        <f>+'analysis week'!C4</f>
        <v>W2</v>
      </c>
      <c r="E2" s="35" t="str">
        <f>+'analysis week'!D4</f>
        <v>W1</v>
      </c>
    </row>
    <row r="4" spans="1:10">
      <c r="C4" s="39">
        <v>5</v>
      </c>
      <c r="D4" s="39">
        <f>+C4+1</f>
        <v>6</v>
      </c>
      <c r="E4" s="39">
        <f t="shared" ref="E4:J4" si="0">+D4+1</f>
        <v>7</v>
      </c>
      <c r="F4" s="39">
        <f t="shared" si="0"/>
        <v>8</v>
      </c>
      <c r="G4" s="39">
        <f t="shared" si="0"/>
        <v>9</v>
      </c>
      <c r="H4" s="39">
        <f t="shared" si="0"/>
        <v>10</v>
      </c>
      <c r="I4" s="39">
        <f t="shared" si="0"/>
        <v>11</v>
      </c>
      <c r="J4" s="39">
        <f t="shared" si="0"/>
        <v>12</v>
      </c>
    </row>
    <row r="5" spans="1:10" ht="36">
      <c r="B5" s="40" t="s">
        <v>177</v>
      </c>
      <c r="C5" s="41" t="s">
        <v>187</v>
      </c>
      <c r="D5" s="40" t="s">
        <v>188</v>
      </c>
      <c r="E5" s="40" t="s">
        <v>189</v>
      </c>
      <c r="F5" s="40" t="s">
        <v>190</v>
      </c>
      <c r="G5" s="40" t="s">
        <v>191</v>
      </c>
      <c r="H5" s="40" t="s">
        <v>192</v>
      </c>
      <c r="I5" s="40">
        <v>2026</v>
      </c>
      <c r="J5" s="40">
        <v>2027</v>
      </c>
    </row>
    <row r="6" spans="1:10">
      <c r="A6" s="39">
        <f>+INDEX(MATCH("X", 'W1'!D:D,0),,)</f>
        <v>24</v>
      </c>
      <c r="B6" s="42" t="str">
        <f>+$D$2</f>
        <v>W2</v>
      </c>
      <c r="C6" s="43" t="str" cm="1">
        <f t="array" aca="1" ref="C6" ca="1">INDIRECT(ADDRESS($A6,C$4,,,$B6))</f>
        <v>BACCAROSE PERFUMES AND BEAUTY PRODUCTS PVT LTD</v>
      </c>
      <c r="D6" s="43" t="str" cm="1">
        <f t="array" aca="1" ref="D6" ca="1">INDIRECT(ADDRESS($A6,D$4,,,$B6))</f>
        <v>External</v>
      </c>
      <c r="E6" s="43" t="str" cm="1">
        <f t="array" aca="1" ref="E6" ca="1">INDIRECT(ADDRESS($A6,E$4,,,$B6))</f>
        <v>Laura Mercier</v>
      </c>
      <c r="F6" s="43" t="str" cm="1">
        <f t="array" aca="1" ref="F6" ca="1">INDIRECT(ADDRESS($A6,F$4,,,$B6))</f>
        <v>Prestige Cosmetic</v>
      </c>
      <c r="G6" s="43" t="str" cm="1">
        <f t="array" aca="1" ref="G6" ca="1">INDIRECT(ADDRESS($A6,G$4,,,$B6))</f>
        <v>CL0540    Laura Mercier</v>
      </c>
      <c r="H6" s="307" cm="1">
        <f t="array" aca="1" ref="H6" ca="1">INDIRECT(ADDRESS($A6,H$4,,,$B6))</f>
        <v>7.2617511016949194</v>
      </c>
      <c r="I6" s="307" cm="1">
        <f t="array" aca="1" ref="I6" ca="1">INDIRECT(ADDRESS($A6,I$4,,,$B6))</f>
        <v>7.2617511016949194</v>
      </c>
      <c r="J6" s="43" cm="1">
        <f t="array" aca="1" ref="J6" ca="1">INDIRECT(ADDRESS($A6,J$4,,,$B6))</f>
        <v>0</v>
      </c>
    </row>
    <row r="7" spans="1:10">
      <c r="A7" s="39">
        <f>+A6+1</f>
        <v>25</v>
      </c>
      <c r="B7" s="42" t="str">
        <f t="shared" ref="B7:B70" si="1">+$D$2</f>
        <v>W2</v>
      </c>
      <c r="C7" s="43" t="str" cm="1">
        <f t="array" aca="1" ref="C7" ca="1">INDIRECT(ADDRESS($A7,C$4,,,$B7))</f>
        <v>BACCAROSE PERFUMES AND BEAUTY PRODUCTS PVT LTD</v>
      </c>
      <c r="D7" s="43" t="str" cm="1">
        <f t="array" aca="1" ref="D7" ca="1">INDIRECT(ADDRESS($A7,D$4,,,$B7))</f>
        <v>External</v>
      </c>
      <c r="E7" s="43" t="str" cm="1">
        <f t="array" aca="1" ref="E7" ca="1">INDIRECT(ADDRESS($A7,E$4,,,$B7))</f>
        <v>Shiseido</v>
      </c>
      <c r="F7" s="43" t="str" cm="1">
        <f t="array" aca="1" ref="F7" ca="1">INDIRECT(ADDRESS($A7,F$4,,,$B7))</f>
        <v>Prestige Cosmetic</v>
      </c>
      <c r="G7" s="43" t="str" cm="1">
        <f t="array" aca="1" ref="G7" ca="1">INDIRECT(ADDRESS($A7,G$4,,,$B7))</f>
        <v>CL0285    Shiseido</v>
      </c>
      <c r="H7" s="307" cm="1">
        <f t="array" aca="1" ref="H7" ca="1">INDIRECT(ADDRESS($A7,H$4,,,$B7))</f>
        <v>19.087499999999999</v>
      </c>
      <c r="I7" s="307" cm="1">
        <f t="array" aca="1" ref="I7" ca="1">INDIRECT(ADDRESS($A7,I$4,,,$B7))</f>
        <v>19.087499999999999</v>
      </c>
      <c r="J7" s="43" cm="1">
        <f t="array" aca="1" ref="J7" ca="1">INDIRECT(ADDRESS($A7,J$4,,,$B7))</f>
        <v>0</v>
      </c>
    </row>
    <row r="8" spans="1:10">
      <c r="A8" s="39">
        <f t="shared" ref="A8:A71" si="2">+A7+1</f>
        <v>26</v>
      </c>
      <c r="B8" s="42" t="str">
        <f t="shared" si="1"/>
        <v>W2</v>
      </c>
      <c r="C8" s="43" t="str" cm="1">
        <f t="array" aca="1" ref="C8" ca="1">INDIRECT(ADDRESS($A8,C$4,,,$B8))</f>
        <v>Beauty Impex Pvt. Ltd</v>
      </c>
      <c r="D8" s="43" t="str" cm="1">
        <f t="array" aca="1" ref="D8" ca="1">INDIRECT(ADDRESS($A8,D$4,,,$B8))</f>
        <v>External</v>
      </c>
      <c r="E8" s="43" t="str" cm="1">
        <f t="array" aca="1" ref="E8" ca="1">INDIRECT(ADDRESS($A8,E$4,,,$B8))</f>
        <v>Guerlain</v>
      </c>
      <c r="F8" s="43" t="str" cm="1">
        <f t="array" aca="1" ref="F8" ca="1">INDIRECT(ADDRESS($A8,F$4,,,$B8))</f>
        <v>Prestige Cosmetic</v>
      </c>
      <c r="G8" s="43" t="str" cm="1">
        <f t="array" aca="1" ref="G8" ca="1">INDIRECT(ADDRESS($A8,G$4,,,$B8))</f>
        <v>CL0130    Guerlain</v>
      </c>
      <c r="H8" s="307" cm="1">
        <f t="array" aca="1" ref="H8" ca="1">INDIRECT(ADDRESS($A8,H$4,,,$B8))</f>
        <v>17.317858300000001</v>
      </c>
      <c r="I8" s="307" cm="1">
        <f t="array" aca="1" ref="I8" ca="1">INDIRECT(ADDRESS($A8,I$4,,,$B8))</f>
        <v>17.317858300000001</v>
      </c>
      <c r="J8" s="43" cm="1">
        <f t="array" aca="1" ref="J8" ca="1">INDIRECT(ADDRESS($A8,J$4,,,$B8))</f>
        <v>0</v>
      </c>
    </row>
    <row r="9" spans="1:10">
      <c r="A9" s="39">
        <f t="shared" si="2"/>
        <v>27</v>
      </c>
      <c r="B9" s="42" t="str">
        <f t="shared" si="1"/>
        <v>W2</v>
      </c>
      <c r="C9" s="43" t="str" cm="1">
        <f t="array" aca="1" ref="C9" ca="1">INDIRECT(ADDRESS($A9,C$4,,,$B9))</f>
        <v>Best In Brands</v>
      </c>
      <c r="D9" s="43" t="str" cm="1">
        <f t="array" aca="1" ref="D9" ca="1">INDIRECT(ADDRESS($A9,D$4,,,$B9))</f>
        <v>External</v>
      </c>
      <c r="E9" s="43" t="str" cm="1">
        <f t="array" aca="1" ref="E9" ca="1">INDIRECT(ADDRESS($A9,E$4,,,$B9))</f>
        <v>Shiseido</v>
      </c>
      <c r="F9" s="43" t="str" cm="1">
        <f t="array" aca="1" ref="F9" ca="1">INDIRECT(ADDRESS($A9,F$4,,,$B9))</f>
        <v>Prestige Cosmetic</v>
      </c>
      <c r="G9" s="43" t="str" cm="1">
        <f t="array" aca="1" ref="G9" ca="1">INDIRECT(ADDRESS($A9,G$4,,,$B9))</f>
        <v>CL0285    Shiseido</v>
      </c>
      <c r="H9" s="307" cm="1">
        <f t="array" aca="1" ref="H9" ca="1">INDIRECT(ADDRESS($A9,H$4,,,$B9))</f>
        <v>8.0682141107399996</v>
      </c>
      <c r="I9" s="307" cm="1">
        <f t="array" aca="1" ref="I9" ca="1">INDIRECT(ADDRESS($A9,I$4,,,$B9))</f>
        <v>8.0682141107399996</v>
      </c>
      <c r="J9" s="43" cm="1">
        <f t="array" aca="1" ref="J9" ca="1">INDIRECT(ADDRESS($A9,J$4,,,$B9))</f>
        <v>0</v>
      </c>
    </row>
    <row r="10" spans="1:10">
      <c r="A10" s="39">
        <f t="shared" si="2"/>
        <v>28</v>
      </c>
      <c r="B10" s="42" t="str">
        <f t="shared" si="1"/>
        <v>W2</v>
      </c>
      <c r="C10" s="43" t="str" cm="1">
        <f t="array" aca="1" ref="C10" ca="1">INDIRECT(ADDRESS($A10,C$4,,,$B10))</f>
        <v xml:space="preserve">CHANEL INDIA </v>
      </c>
      <c r="D10" s="43" t="str" cm="1">
        <f t="array" aca="1" ref="D10" ca="1">INDIRECT(ADDRESS($A10,D$4,,,$B10))</f>
        <v>External</v>
      </c>
      <c r="E10" s="43" t="str" cm="1">
        <f t="array" aca="1" ref="E10" ca="1">INDIRECT(ADDRESS($A10,E$4,,,$B10))</f>
        <v>Chanel</v>
      </c>
      <c r="F10" s="43" t="str" cm="1">
        <f t="array" aca="1" ref="F10" ca="1">INDIRECT(ADDRESS($A10,F$4,,,$B10))</f>
        <v>Shopfitting</v>
      </c>
      <c r="G10" s="43" t="str" cm="1">
        <f t="array" aca="1" ref="G10" ca="1">INDIRECT(ADDRESS($A10,G$4,,,$B10))</f>
        <v>CL0065    Chanel</v>
      </c>
      <c r="H10" s="307" cm="1">
        <f t="array" aca="1" ref="H10" ca="1">INDIRECT(ADDRESS($A10,H$4,,,$B10))</f>
        <v>5.9222580000000002</v>
      </c>
      <c r="I10" s="307" cm="1">
        <f t="array" aca="1" ref="I10" ca="1">INDIRECT(ADDRESS($A10,I$4,,,$B10))</f>
        <v>5.9222580000000002</v>
      </c>
      <c r="J10" s="43" cm="1">
        <f t="array" aca="1" ref="J10" ca="1">INDIRECT(ADDRESS($A10,J$4,,,$B10))</f>
        <v>0</v>
      </c>
    </row>
    <row r="11" spans="1:10">
      <c r="A11" s="39">
        <f t="shared" si="2"/>
        <v>29</v>
      </c>
      <c r="B11" s="42" t="str">
        <f t="shared" si="1"/>
        <v>W2</v>
      </c>
      <c r="C11" s="43" t="str" cm="1">
        <f t="array" aca="1" ref="C11" ca="1">INDIRECT(ADDRESS($A11,C$4,,,$B11))</f>
        <v>Clarins Pte Ltd</v>
      </c>
      <c r="D11" s="43" t="str" cm="1">
        <f t="array" aca="1" ref="D11" ca="1">INDIRECT(ADDRESS($A11,D$4,,,$B11))</f>
        <v>External</v>
      </c>
      <c r="E11" s="43" t="str" cm="1">
        <f t="array" aca="1" ref="E11" ca="1">INDIRECT(ADDRESS($A11,E$4,,,$B11))</f>
        <v>Clarins</v>
      </c>
      <c r="F11" s="43" t="str" cm="1">
        <f t="array" aca="1" ref="F11" ca="1">INDIRECT(ADDRESS($A11,F$4,,,$B11))</f>
        <v>Shopfitting</v>
      </c>
      <c r="G11" s="43" t="str" cm="1">
        <f t="array" aca="1" ref="G11" ca="1">INDIRECT(ADDRESS($A11,G$4,,,$B11))</f>
        <v>CL0070    Clarins</v>
      </c>
      <c r="H11" s="307" cm="1">
        <f t="array" aca="1" ref="H11" ca="1">INDIRECT(ADDRESS($A11,H$4,,,$B11))</f>
        <v>2.8162104269799997</v>
      </c>
      <c r="I11" s="307" cm="1">
        <f t="array" aca="1" ref="I11" ca="1">INDIRECT(ADDRESS($A11,I$4,,,$B11))</f>
        <v>2.8162104269799997</v>
      </c>
      <c r="J11" s="43" cm="1">
        <f t="array" aca="1" ref="J11" ca="1">INDIRECT(ADDRESS($A11,J$4,,,$B11))</f>
        <v>0</v>
      </c>
    </row>
    <row r="12" spans="1:10">
      <c r="A12" s="39">
        <f t="shared" si="2"/>
        <v>30</v>
      </c>
      <c r="B12" s="42" t="str">
        <f t="shared" si="1"/>
        <v>W2</v>
      </c>
      <c r="C12" s="43" t="str" cm="1">
        <f t="array" aca="1" ref="C12" ca="1">INDIRECT(ADDRESS($A12,C$4,,,$B12))</f>
        <v>Coty</v>
      </c>
      <c r="D12" s="43" t="str" cm="1">
        <f t="array" aca="1" ref="D12" ca="1">INDIRECT(ADDRESS($A12,D$4,,,$B12))</f>
        <v>External</v>
      </c>
      <c r="E12" s="43" t="str" cm="1">
        <f t="array" aca="1" ref="E12" ca="1">INDIRECT(ADDRESS($A12,E$4,,,$B12))</f>
        <v>Coty Rimmel</v>
      </c>
      <c r="F12" s="43" t="str" cm="1">
        <f t="array" aca="1" ref="F12" ca="1">INDIRECT(ADDRESS($A12,F$4,,,$B12))</f>
        <v>Shopfitting</v>
      </c>
      <c r="G12" s="43" t="str" cm="1">
        <f t="array" aca="1" ref="G12" ca="1">INDIRECT(ADDRESS($A12,G$4,,,$B12))</f>
        <v>CL0080    Coty Rimmel</v>
      </c>
      <c r="H12" s="307" cm="1">
        <f t="array" aca="1" ref="H12" ca="1">INDIRECT(ADDRESS($A12,H$4,,,$B12))</f>
        <v>2.8140266005599996</v>
      </c>
      <c r="I12" s="307" cm="1">
        <f t="array" aca="1" ref="I12" ca="1">INDIRECT(ADDRESS($A12,I$4,,,$B12))</f>
        <v>2.8140266005599996</v>
      </c>
      <c r="J12" s="43" cm="1">
        <f t="array" aca="1" ref="J12" ca="1">INDIRECT(ADDRESS($A12,J$4,,,$B12))</f>
        <v>0</v>
      </c>
    </row>
    <row r="13" spans="1:10">
      <c r="A13" s="39">
        <f t="shared" si="2"/>
        <v>31</v>
      </c>
      <c r="B13" s="42" t="str">
        <f t="shared" si="1"/>
        <v>W2</v>
      </c>
      <c r="C13" s="43" t="str" cm="1">
        <f t="array" aca="1" ref="C13" ca="1">INDIRECT(ADDRESS($A13,C$4,,,$B13))</f>
        <v>DIAM Display Singapore</v>
      </c>
      <c r="D13" s="43" t="str" cm="1">
        <f t="array" aca="1" ref="D13" ca="1">INDIRECT(ADDRESS($A13,D$4,,,$B13))</f>
        <v>Group</v>
      </c>
      <c r="E13" s="43" t="str" cm="1">
        <f t="array" aca="1" ref="E13" ca="1">INDIRECT(ADDRESS($A13,E$4,,,$B13))</f>
        <v>Coty Rimmel</v>
      </c>
      <c r="F13" s="43" t="str" cm="1">
        <f t="array" aca="1" ref="F13" ca="1">INDIRECT(ADDRESS($A13,F$4,,,$B13))</f>
        <v>Shopfitting</v>
      </c>
      <c r="G13" s="43" t="str" cm="1">
        <f t="array" aca="1" ref="G13" ca="1">INDIRECT(ADDRESS($A13,G$4,,,$B13))</f>
        <v>CL0080    Coty Rimmel</v>
      </c>
      <c r="H13" s="307" cm="1">
        <f t="array" aca="1" ref="H13" ca="1">INDIRECT(ADDRESS($A13,H$4,,,$B13))</f>
        <v>9.6764360106799998</v>
      </c>
      <c r="I13" s="307" cm="1">
        <f t="array" aca="1" ref="I13" ca="1">INDIRECT(ADDRESS($A13,I$4,,,$B13))</f>
        <v>9.6764360106799998</v>
      </c>
      <c r="J13" s="43" cm="1">
        <f t="array" aca="1" ref="J13" ca="1">INDIRECT(ADDRESS($A13,J$4,,,$B13))</f>
        <v>0</v>
      </c>
    </row>
    <row r="14" spans="1:10">
      <c r="A14" s="39">
        <f t="shared" si="2"/>
        <v>32</v>
      </c>
      <c r="B14" s="42" t="str">
        <f t="shared" si="1"/>
        <v>W2</v>
      </c>
      <c r="C14" s="43" t="str" cm="1">
        <f t="array" aca="1" ref="C14" ca="1">INDIRECT(ADDRESS($A14,C$4,,,$B14))</f>
        <v>Elca Cosmetics Pvt Ltd</v>
      </c>
      <c r="D14" s="43" t="str" cm="1">
        <f t="array" aca="1" ref="D14" ca="1">INDIRECT(ADDRESS($A14,D$4,,,$B14))</f>
        <v>External</v>
      </c>
      <c r="E14" s="43" t="str" cm="1">
        <f t="array" aca="1" ref="E14" ca="1">INDIRECT(ADDRESS($A14,E$4,,,$B14))</f>
        <v>Too Faced</v>
      </c>
      <c r="F14" s="43" t="str" cm="1">
        <f t="array" aca="1" ref="F14" ca="1">INDIRECT(ADDRESS($A14,F$4,,,$B14))</f>
        <v>Prestige Cosmetic</v>
      </c>
      <c r="G14" s="43" t="str" cm="1">
        <f t="array" aca="1" ref="G14" ca="1">INDIRECT(ADDRESS($A14,G$4,,,$B14))</f>
        <v>CL0575    Too Faced</v>
      </c>
      <c r="H14" s="307" cm="1">
        <f t="array" aca="1" ref="H14" ca="1">INDIRECT(ADDRESS($A14,H$4,,,$B14))</f>
        <v>39.996063999999997</v>
      </c>
      <c r="I14" s="307" cm="1">
        <f t="array" aca="1" ref="I14" ca="1">INDIRECT(ADDRESS($A14,I$4,,,$B14))</f>
        <v>39.996063999999997</v>
      </c>
      <c r="J14" s="43" cm="1">
        <f t="array" aca="1" ref="J14" ca="1">INDIRECT(ADDRESS($A14,J$4,,,$B14))</f>
        <v>0</v>
      </c>
    </row>
    <row r="15" spans="1:10">
      <c r="A15" s="39">
        <f t="shared" si="2"/>
        <v>33</v>
      </c>
      <c r="B15" s="42" t="str">
        <f t="shared" si="1"/>
        <v>W2</v>
      </c>
      <c r="C15" s="43" t="str" cm="1">
        <f t="array" aca="1" ref="C15" ca="1">INDIRECT(ADDRESS($A15,C$4,,,$B15))</f>
        <v>ELCA Cosmetics Pvt. Ltd.</v>
      </c>
      <c r="D15" s="43" t="str" cm="1">
        <f t="array" aca="1" ref="D15" ca="1">INDIRECT(ADDRESS($A15,D$4,,,$B15))</f>
        <v>External</v>
      </c>
      <c r="E15" s="43" t="str" cm="1">
        <f t="array" aca="1" ref="E15" ca="1">INDIRECT(ADDRESS($A15,E$4,,,$B15))</f>
        <v>Clinique</v>
      </c>
      <c r="F15" s="43" t="str" cm="1">
        <f t="array" aca="1" ref="F15" ca="1">INDIRECT(ADDRESS($A15,F$4,,,$B15))</f>
        <v>Prestige Cosmetic</v>
      </c>
      <c r="G15" s="43" t="str" cm="1">
        <f t="array" aca="1" ref="G15" ca="1">INDIRECT(ADDRESS($A15,G$4,,,$B15))</f>
        <v>CL0075    Clinique</v>
      </c>
      <c r="H15" s="307" cm="1">
        <f t="array" aca="1" ref="H15" ca="1">INDIRECT(ADDRESS($A15,H$4,,,$B15))</f>
        <v>50.077315299999995</v>
      </c>
      <c r="I15" s="307" cm="1">
        <f t="array" aca="1" ref="I15" ca="1">INDIRECT(ADDRESS($A15,I$4,,,$B15))</f>
        <v>50.077315299999995</v>
      </c>
      <c r="J15" s="43" cm="1">
        <f t="array" aca="1" ref="J15" ca="1">INDIRECT(ADDRESS($A15,J$4,,,$B15))</f>
        <v>0</v>
      </c>
    </row>
    <row r="16" spans="1:10">
      <c r="A16" s="39">
        <f t="shared" si="2"/>
        <v>34</v>
      </c>
      <c r="B16" s="42" t="str">
        <f t="shared" si="1"/>
        <v>W2</v>
      </c>
      <c r="C16" s="43" t="str" cm="1">
        <f t="array" aca="1" ref="C16" ca="1">INDIRECT(ADDRESS($A16,C$4,,,$B16))</f>
        <v>ELCA Cosmetics Pvt. Ltd.</v>
      </c>
      <c r="D16" s="43" t="str" cm="1">
        <f t="array" aca="1" ref="D16" ca="1">INDIRECT(ADDRESS($A16,D$4,,,$B16))</f>
        <v>External</v>
      </c>
      <c r="E16" s="43" t="str" cm="1">
        <f t="array" aca="1" ref="E16" ca="1">INDIRECT(ADDRESS($A16,E$4,,,$B16))</f>
        <v>Dr Jart+</v>
      </c>
      <c r="F16" s="43" t="str" cm="1">
        <f t="array" aca="1" ref="F16" ca="1">INDIRECT(ADDRESS($A16,F$4,,,$B16))</f>
        <v>Prestige Cosmetic</v>
      </c>
      <c r="G16" s="43" t="str" cm="1">
        <f t="array" aca="1" ref="G16" ca="1">INDIRECT(ADDRESS($A16,G$4,,,$B16))</f>
        <v>CL0680    Estée Lauder - other brands</v>
      </c>
      <c r="H16" s="307" cm="1">
        <f t="array" aca="1" ref="H16" ca="1">INDIRECT(ADDRESS($A16,H$4,,,$B16))</f>
        <v>3.1881162999999999</v>
      </c>
      <c r="I16" s="307" cm="1">
        <f t="array" aca="1" ref="I16" ca="1">INDIRECT(ADDRESS($A16,I$4,,,$B16))</f>
        <v>3.1881162999999999</v>
      </c>
      <c r="J16" s="43" cm="1">
        <f t="array" aca="1" ref="J16" ca="1">INDIRECT(ADDRESS($A16,J$4,,,$B16))</f>
        <v>0</v>
      </c>
    </row>
    <row r="17" spans="1:10">
      <c r="A17" s="39">
        <f t="shared" si="2"/>
        <v>35</v>
      </c>
      <c r="B17" s="42" t="str">
        <f t="shared" si="1"/>
        <v>W2</v>
      </c>
      <c r="C17" s="43" t="str" cm="1">
        <f t="array" aca="1" ref="C17" ca="1">INDIRECT(ADDRESS($A17,C$4,,,$B17))</f>
        <v>ELCA Cosmetics Pvt. Ltd.</v>
      </c>
      <c r="D17" s="43" t="str" cm="1">
        <f t="array" aca="1" ref="D17" ca="1">INDIRECT(ADDRESS($A17,D$4,,,$B17))</f>
        <v>External</v>
      </c>
      <c r="E17" s="43" t="str" cm="1">
        <f t="array" aca="1" ref="E17" ca="1">INDIRECT(ADDRESS($A17,E$4,,,$B17))</f>
        <v>Estee Lauder</v>
      </c>
      <c r="F17" s="43" t="str" cm="1">
        <f t="array" aca="1" ref="F17" ca="1">INDIRECT(ADDRESS($A17,F$4,,,$B17))</f>
        <v>Prestige Cosmetic</v>
      </c>
      <c r="G17" s="43" t="str" cm="1">
        <f t="array" aca="1" ref="G17" ca="1">INDIRECT(ADDRESS($A17,G$4,,,$B17))</f>
        <v>CL0110    Estée Lauder</v>
      </c>
      <c r="H17" s="307" cm="1">
        <f t="array" aca="1" ref="H17" ca="1">INDIRECT(ADDRESS($A17,H$4,,,$B17))</f>
        <v>50.544660200000003</v>
      </c>
      <c r="I17" s="307" cm="1">
        <f t="array" aca="1" ref="I17" ca="1">INDIRECT(ADDRESS($A17,I$4,,,$B17))</f>
        <v>50.544660200000003</v>
      </c>
      <c r="J17" s="43" cm="1">
        <f t="array" aca="1" ref="J17" ca="1">INDIRECT(ADDRESS($A17,J$4,,,$B17))</f>
        <v>0</v>
      </c>
    </row>
    <row r="18" spans="1:10">
      <c r="A18" s="39">
        <f t="shared" si="2"/>
        <v>36</v>
      </c>
      <c r="B18" s="42" t="str">
        <f t="shared" si="1"/>
        <v>W2</v>
      </c>
      <c r="C18" s="43" t="str" cm="1">
        <f t="array" aca="1" ref="C18" ca="1">INDIRECT(ADDRESS($A18,C$4,,,$B18))</f>
        <v>ELCA Cosmetics Pvt. Ltd.</v>
      </c>
      <c r="D18" s="43" t="str" cm="1">
        <f t="array" aca="1" ref="D18" ca="1">INDIRECT(ADDRESS($A18,D$4,,,$B18))</f>
        <v>External</v>
      </c>
      <c r="E18" s="43" t="str" cm="1">
        <f t="array" aca="1" ref="E18" ca="1">INDIRECT(ADDRESS($A18,E$4,,,$B18))</f>
        <v>Mac</v>
      </c>
      <c r="F18" s="43" t="str" cm="1">
        <f t="array" aca="1" ref="F18" ca="1">INDIRECT(ADDRESS($A18,F$4,,,$B18))</f>
        <v>Prestige Cosmetic</v>
      </c>
      <c r="G18" s="43" t="str" cm="1">
        <f t="array" aca="1" ref="G18" ca="1">INDIRECT(ADDRESS($A18,G$4,,,$B18))</f>
        <v>CL0395    MAC</v>
      </c>
      <c r="H18" s="307" cm="1">
        <f t="array" aca="1" ref="H18" ca="1">INDIRECT(ADDRESS($A18,H$4,,,$B18))</f>
        <v>16.992311600000001</v>
      </c>
      <c r="I18" s="307" cm="1">
        <f t="array" aca="1" ref="I18" ca="1">INDIRECT(ADDRESS($A18,I$4,,,$B18))</f>
        <v>16.992311600000001</v>
      </c>
      <c r="J18" s="43" cm="1">
        <f t="array" aca="1" ref="J18" ca="1">INDIRECT(ADDRESS($A18,J$4,,,$B18))</f>
        <v>0</v>
      </c>
    </row>
    <row r="19" spans="1:10">
      <c r="A19" s="39">
        <f t="shared" si="2"/>
        <v>37</v>
      </c>
      <c r="B19" s="42" t="str">
        <f t="shared" si="1"/>
        <v>W2</v>
      </c>
      <c r="C19" s="43" t="str" cm="1">
        <f t="array" aca="1" ref="C19" ca="1">INDIRECT(ADDRESS($A19,C$4,,,$B19))</f>
        <v>ELCA Cosmetics Pvt. Ltd.</v>
      </c>
      <c r="D19" s="43" t="str" cm="1">
        <f t="array" aca="1" ref="D19" ca="1">INDIRECT(ADDRESS($A19,D$4,,,$B19))</f>
        <v>External</v>
      </c>
      <c r="E19" s="43" t="str" cm="1">
        <f t="array" aca="1" ref="E19" ca="1">INDIRECT(ADDRESS($A19,E$4,,,$B19))</f>
        <v>Smashbox</v>
      </c>
      <c r="F19" s="43" t="str" cm="1">
        <f t="array" aca="1" ref="F19" ca="1">INDIRECT(ADDRESS($A19,F$4,,,$B19))</f>
        <v>Prestige Cosmetic</v>
      </c>
      <c r="G19" s="43" t="str" cm="1">
        <f t="array" aca="1" ref="G19" ca="1">INDIRECT(ADDRESS($A19,G$4,,,$B19))</f>
        <v>CL0525    Smashbox</v>
      </c>
      <c r="H19" s="307" cm="1">
        <f t="array" aca="1" ref="H19" ca="1">INDIRECT(ADDRESS($A19,H$4,,,$B19))</f>
        <v>3.2735576000000002</v>
      </c>
      <c r="I19" s="307" cm="1">
        <f t="array" aca="1" ref="I19" ca="1">INDIRECT(ADDRESS($A19,I$4,,,$B19))</f>
        <v>3.2735576000000002</v>
      </c>
      <c r="J19" s="43" cm="1">
        <f t="array" aca="1" ref="J19" ca="1">INDIRECT(ADDRESS($A19,J$4,,,$B19))</f>
        <v>0</v>
      </c>
    </row>
    <row r="20" spans="1:10">
      <c r="A20" s="39">
        <f t="shared" si="2"/>
        <v>38</v>
      </c>
      <c r="B20" s="42" t="str">
        <f t="shared" si="1"/>
        <v>W2</v>
      </c>
      <c r="C20" s="43" t="str" cm="1">
        <f t="array" aca="1" ref="C20" ca="1">INDIRECT(ADDRESS($A20,C$4,,,$B20))</f>
        <v>ELCA Cosmetics Pvt. Ltd.</v>
      </c>
      <c r="D20" s="43" t="str" cm="1">
        <f t="array" aca="1" ref="D20" ca="1">INDIRECT(ADDRESS($A20,D$4,,,$B20))</f>
        <v>External</v>
      </c>
      <c r="E20" s="43" t="str" cm="1">
        <f t="array" aca="1" ref="E20" ca="1">INDIRECT(ADDRESS($A20,E$4,,,$B20))</f>
        <v>The Ordinary</v>
      </c>
      <c r="F20" s="43" t="str" cm="1">
        <f t="array" aca="1" ref="F20" ca="1">INDIRECT(ADDRESS($A20,F$4,,,$B20))</f>
        <v>Prestige Cosmetic</v>
      </c>
      <c r="G20" s="43" t="str" cm="1">
        <f t="array" aca="1" ref="G20" ca="1">INDIRECT(ADDRESS($A20,G$4,,,$B20))</f>
        <v>CL0680    Estée Lauder - other brands</v>
      </c>
      <c r="H20" s="307" cm="1">
        <f t="array" aca="1" ref="H20" ca="1">INDIRECT(ADDRESS($A20,H$4,,,$B20))</f>
        <v>18.166286500000002</v>
      </c>
      <c r="I20" s="307" cm="1">
        <f t="array" aca="1" ref="I20" ca="1">INDIRECT(ADDRESS($A20,I$4,,,$B20))</f>
        <v>18.166286500000002</v>
      </c>
      <c r="J20" s="43" cm="1">
        <f t="array" aca="1" ref="J20" ca="1">INDIRECT(ADDRESS($A20,J$4,,,$B20))</f>
        <v>0</v>
      </c>
    </row>
    <row r="21" spans="1:10">
      <c r="A21" s="39">
        <f t="shared" si="2"/>
        <v>39</v>
      </c>
      <c r="B21" s="42" t="str">
        <f t="shared" si="1"/>
        <v>W2</v>
      </c>
      <c r="C21" s="43" t="str" cm="1">
        <f t="array" aca="1" ref="C21" ca="1">INDIRECT(ADDRESS($A21,C$4,,,$B21))</f>
        <v>ELCA Cosmetics Pvt. Ltd.</v>
      </c>
      <c r="D21" s="43" t="str" cm="1">
        <f t="array" aca="1" ref="D21" ca="1">INDIRECT(ADDRESS($A21,D$4,,,$B21))</f>
        <v>External</v>
      </c>
      <c r="E21" s="43" t="str" cm="1">
        <f t="array" aca="1" ref="E21" ca="1">INDIRECT(ADDRESS($A21,E$4,,,$B21))</f>
        <v>Tom Ford</v>
      </c>
      <c r="F21" s="43" t="str" cm="1">
        <f t="array" aca="1" ref="F21" ca="1">INDIRECT(ADDRESS($A21,F$4,,,$B21))</f>
        <v>Prestige Cosmetic</v>
      </c>
      <c r="G21" s="43" t="str" cm="1">
        <f t="array" aca="1" ref="G21" ca="1">INDIRECT(ADDRESS($A21,G$4,,,$B21))</f>
        <v>CL0570    Tom Ford</v>
      </c>
      <c r="H21" s="307" cm="1">
        <f t="array" aca="1" ref="H21" ca="1">INDIRECT(ADDRESS($A21,H$4,,,$B21))</f>
        <v>26.053006599999996</v>
      </c>
      <c r="I21" s="307" cm="1">
        <f t="array" aca="1" ref="I21" ca="1">INDIRECT(ADDRESS($A21,I$4,,,$B21))</f>
        <v>26.053006599999996</v>
      </c>
      <c r="J21" s="43" cm="1">
        <f t="array" aca="1" ref="J21" ca="1">INDIRECT(ADDRESS($A21,J$4,,,$B21))</f>
        <v>0</v>
      </c>
    </row>
    <row r="22" spans="1:10">
      <c r="A22" s="39">
        <f t="shared" si="2"/>
        <v>40</v>
      </c>
      <c r="B22" s="42" t="str">
        <f t="shared" si="1"/>
        <v>W2</v>
      </c>
      <c r="C22" s="43" t="str" cm="1">
        <f t="array" aca="1" ref="C22" ca="1">INDIRECT(ADDRESS($A22,C$4,,,$B22))</f>
        <v>ELCA Cosmetics Pvt. Ltd.</v>
      </c>
      <c r="D22" s="43" t="str" cm="1">
        <f t="array" aca="1" ref="D22" ca="1">INDIRECT(ADDRESS($A22,D$4,,,$B22))</f>
        <v>External</v>
      </c>
      <c r="E22" s="43" t="str" cm="1">
        <f t="array" aca="1" ref="E22" ca="1">INDIRECT(ADDRESS($A22,E$4,,,$B22))</f>
        <v>Too Faced</v>
      </c>
      <c r="F22" s="43" t="str" cm="1">
        <f t="array" aca="1" ref="F22" ca="1">INDIRECT(ADDRESS($A22,F$4,,,$B22))</f>
        <v>Prestige Cosmetic</v>
      </c>
      <c r="G22" s="43" t="str" cm="1">
        <f t="array" aca="1" ref="G22" ca="1">INDIRECT(ADDRESS($A22,G$4,,,$B22))</f>
        <v>CL0575    Too Faced</v>
      </c>
      <c r="H22" s="307" cm="1">
        <f t="array" aca="1" ref="H22" ca="1">INDIRECT(ADDRESS($A22,H$4,,,$B22))</f>
        <v>157.21710074945997</v>
      </c>
      <c r="I22" s="307" cm="1">
        <f t="array" aca="1" ref="I22" ca="1">INDIRECT(ADDRESS($A22,I$4,,,$B22))</f>
        <v>157.21710074945997</v>
      </c>
      <c r="J22" s="43" cm="1">
        <f t="array" aca="1" ref="J22" ca="1">INDIRECT(ADDRESS($A22,J$4,,,$B22))</f>
        <v>0</v>
      </c>
    </row>
    <row r="23" spans="1:10">
      <c r="A23" s="39">
        <f t="shared" si="2"/>
        <v>41</v>
      </c>
      <c r="B23" s="42" t="str">
        <f t="shared" si="1"/>
        <v>W2</v>
      </c>
      <c r="C23" s="43" t="str" cm="1">
        <f t="array" aca="1" ref="C23" ca="1">INDIRECT(ADDRESS($A23,C$4,,,$B23))</f>
        <v>Estee Lauder AG Lachen</v>
      </c>
      <c r="D23" s="43" t="str" cm="1">
        <f t="array" aca="1" ref="D23" ca="1">INDIRECT(ADDRESS($A23,D$4,,,$B23))</f>
        <v>External</v>
      </c>
      <c r="E23" s="43" t="str" cm="1">
        <f t="array" aca="1" ref="E23" ca="1">INDIRECT(ADDRESS($A23,E$4,,,$B23))</f>
        <v>Jo Malone</v>
      </c>
      <c r="F23" s="43" t="str" cm="1">
        <f t="array" aca="1" ref="F23" ca="1">INDIRECT(ADDRESS($A23,F$4,,,$B23))</f>
        <v>Prestige Cosmetic</v>
      </c>
      <c r="G23" s="43" t="str" cm="1">
        <f t="array" aca="1" ref="G23" ca="1">INDIRECT(ADDRESS($A23,G$4,,,$B23))</f>
        <v>CL0535    Joe Malone</v>
      </c>
      <c r="H23" s="307" cm="1">
        <f t="array" aca="1" ref="H23" ca="1">INDIRECT(ADDRESS($A23,H$4,,,$B23))</f>
        <v>0.27841520000000003</v>
      </c>
      <c r="I23" s="307" cm="1">
        <f t="array" aca="1" ref="I23" ca="1">INDIRECT(ADDRESS($A23,I$4,,,$B23))</f>
        <v>0.27841520000000003</v>
      </c>
      <c r="J23" s="43" cm="1">
        <f t="array" aca="1" ref="J23" ca="1">INDIRECT(ADDRESS($A23,J$4,,,$B23))</f>
        <v>0</v>
      </c>
    </row>
    <row r="24" spans="1:10">
      <c r="A24" s="39">
        <f t="shared" si="2"/>
        <v>42</v>
      </c>
      <c r="B24" s="42" t="str">
        <f t="shared" si="1"/>
        <v>W2</v>
      </c>
      <c r="C24" s="43" t="str" cm="1">
        <f t="array" aca="1" ref="C24" ca="1">INDIRECT(ADDRESS($A24,C$4,,,$B24))</f>
        <v xml:space="preserve">Fenty Beauty LLC </v>
      </c>
      <c r="D24" s="43" t="str" cm="1">
        <f t="array" aca="1" ref="D24" ca="1">INDIRECT(ADDRESS($A24,D$4,,,$B24))</f>
        <v>External</v>
      </c>
      <c r="E24" s="43" t="str" cm="1">
        <f t="array" aca="1" ref="E24" ca="1">INDIRECT(ADDRESS($A24,E$4,,,$B24))</f>
        <v>Fenty</v>
      </c>
      <c r="F24" s="43" t="str" cm="1">
        <f t="array" aca="1" ref="F24" ca="1">INDIRECT(ADDRESS($A24,F$4,,,$B24))</f>
        <v>Prestige Cosmetic</v>
      </c>
      <c r="G24" s="43" t="str" cm="1">
        <f t="array" aca="1" ref="G24" ca="1">INDIRECT(ADDRESS($A24,G$4,,,$B24))</f>
        <v>CL0550    Kendo - Fenty</v>
      </c>
      <c r="H24" s="307" cm="1">
        <f t="array" aca="1" ref="H24" ca="1">INDIRECT(ADDRESS($A24,H$4,,,$B24))</f>
        <v>9.0120764711799985</v>
      </c>
      <c r="I24" s="307" cm="1">
        <f t="array" aca="1" ref="I24" ca="1">INDIRECT(ADDRESS($A24,I$4,,,$B24))</f>
        <v>9.0120764711799985</v>
      </c>
      <c r="J24" s="43" cm="1">
        <f t="array" aca="1" ref="J24" ca="1">INDIRECT(ADDRESS($A24,J$4,,,$B24))</f>
        <v>0</v>
      </c>
    </row>
    <row r="25" spans="1:10">
      <c r="A25" s="39">
        <f t="shared" si="2"/>
        <v>43</v>
      </c>
      <c r="B25" s="42" t="str">
        <f t="shared" si="1"/>
        <v>W2</v>
      </c>
      <c r="C25" s="43" t="str" cm="1">
        <f t="array" aca="1" ref="C25" ca="1">INDIRECT(ADDRESS($A25,C$4,,,$B25))</f>
        <v>Forma Brands, LLC f/k/a FB Acquisition LLC</v>
      </c>
      <c r="D25" s="43" t="str" cm="1">
        <f t="array" aca="1" ref="D25" ca="1">INDIRECT(ADDRESS($A25,D$4,,,$B25))</f>
        <v>External</v>
      </c>
      <c r="E25" s="43" t="str" cm="1">
        <f t="array" aca="1" ref="E25" ca="1">INDIRECT(ADDRESS($A25,E$4,,,$B25))</f>
        <v>Forma</v>
      </c>
      <c r="F25" s="43" t="str" cm="1">
        <f t="array" aca="1" ref="F25" ca="1">INDIRECT(ADDRESS($A25,F$4,,,$B25))</f>
        <v>Prestige Cosmetic</v>
      </c>
      <c r="G25" s="43" t="str" cm="1">
        <f t="array" aca="1" ref="G25" ca="1">INDIRECT(ADDRESS($A25,G$4,,,$B25))</f>
        <v>CL0735    Morphe</v>
      </c>
      <c r="H25" s="307" cm="1">
        <f t="array" aca="1" ref="H25" ca="1">INDIRECT(ADDRESS($A25,H$4,,,$B25))</f>
        <v>53.752460854500001</v>
      </c>
      <c r="I25" s="307" cm="1">
        <f t="array" aca="1" ref="I25" ca="1">INDIRECT(ADDRESS($A25,I$4,,,$B25))</f>
        <v>53.752460854500001</v>
      </c>
      <c r="J25" s="43" cm="1">
        <f t="array" aca="1" ref="J25" ca="1">INDIRECT(ADDRESS($A25,J$4,,,$B25))</f>
        <v>0</v>
      </c>
    </row>
    <row r="26" spans="1:10">
      <c r="A26" s="39">
        <f t="shared" si="2"/>
        <v>44</v>
      </c>
      <c r="B26" s="42" t="str">
        <f t="shared" si="1"/>
        <v>W2</v>
      </c>
      <c r="C26" s="43" t="str" cm="1">
        <f t="array" aca="1" ref="C26" ca="1">INDIRECT(ADDRESS($A26,C$4,,,$B26))</f>
        <v>Global Shoppers Stop Beauty Brands Ltd</v>
      </c>
      <c r="D26" s="43" t="str" cm="1">
        <f t="array" aca="1" ref="D26" ca="1">INDIRECT(ADDRESS($A26,D$4,,,$B26))</f>
        <v>External</v>
      </c>
      <c r="E26" s="43" t="str" cm="1">
        <f t="array" aca="1" ref="E26" ca="1">INDIRECT(ADDRESS($A26,E$4,,,$B26))</f>
        <v>Clarins</v>
      </c>
      <c r="F26" s="43" t="str" cm="1">
        <f t="array" aca="1" ref="F26" ca="1">INDIRECT(ADDRESS($A26,F$4,,,$B26))</f>
        <v>Shopfitting</v>
      </c>
      <c r="G26" s="43" t="str" cm="1">
        <f t="array" aca="1" ref="G26" ca="1">INDIRECT(ADDRESS($A26,G$4,,,$B26))</f>
        <v>CL0070    Clarins</v>
      </c>
      <c r="H26" s="307" cm="1">
        <f t="array" aca="1" ref="H26" ca="1">INDIRECT(ADDRESS($A26,H$4,,,$B26))</f>
        <v>3.0947403000000002</v>
      </c>
      <c r="I26" s="307" cm="1">
        <f t="array" aca="1" ref="I26" ca="1">INDIRECT(ADDRESS($A26,I$4,,,$B26))</f>
        <v>3.0947403000000002</v>
      </c>
      <c r="J26" s="43" cm="1">
        <f t="array" aca="1" ref="J26" ca="1">INDIRECT(ADDRESS($A26,J$4,,,$B26))</f>
        <v>0</v>
      </c>
    </row>
    <row r="27" spans="1:10">
      <c r="A27" s="39">
        <f t="shared" si="2"/>
        <v>45</v>
      </c>
      <c r="B27" s="42" t="str">
        <f t="shared" si="1"/>
        <v>W2</v>
      </c>
      <c r="C27" s="43" t="str" cm="1">
        <f t="array" aca="1" ref="C27" ca="1">INDIRECT(ADDRESS($A27,C$4,,,$B27))</f>
        <v>Global Shoppers Stop Beauty Brands Ltd</v>
      </c>
      <c r="D27" s="43" t="str" cm="1">
        <f t="array" aca="1" ref="D27" ca="1">INDIRECT(ADDRESS($A27,D$4,,,$B27))</f>
        <v>External</v>
      </c>
      <c r="E27" s="43" t="str" cm="1">
        <f t="array" aca="1" ref="E27" ca="1">INDIRECT(ADDRESS($A27,E$4,,,$B27))</f>
        <v>Nars</v>
      </c>
      <c r="F27" s="43" t="str" cm="1">
        <f t="array" aca="1" ref="F27" ca="1">INDIRECT(ADDRESS($A27,F$4,,,$B27))</f>
        <v>Prestige Cosmetic</v>
      </c>
      <c r="G27" s="43" t="str" cm="1">
        <f t="array" aca="1" ref="G27" ca="1">INDIRECT(ADDRESS($A27,G$4,,,$B27))</f>
        <v>CL0226    Nars</v>
      </c>
      <c r="H27" s="307" cm="1">
        <f t="array" aca="1" ref="H27" ca="1">INDIRECT(ADDRESS($A27,H$4,,,$B27))</f>
        <v>112.31055000000001</v>
      </c>
      <c r="I27" s="307" cm="1">
        <f t="array" aca="1" ref="I27" ca="1">INDIRECT(ADDRESS($A27,I$4,,,$B27))</f>
        <v>112.31055000000001</v>
      </c>
      <c r="J27" s="43" cm="1">
        <f t="array" aca="1" ref="J27" ca="1">INDIRECT(ADDRESS($A27,J$4,,,$B27))</f>
        <v>0</v>
      </c>
    </row>
    <row r="28" spans="1:10">
      <c r="A28" s="39">
        <f t="shared" si="2"/>
        <v>46</v>
      </c>
      <c r="B28" s="42" t="str">
        <f t="shared" si="1"/>
        <v>W2</v>
      </c>
      <c r="C28" s="43" t="str" cm="1">
        <f t="array" aca="1" ref="C28" ca="1">INDIRECT(ADDRESS($A28,C$4,,,$B28))</f>
        <v>Global Shoppers Stop Beauty Brands Ltd</v>
      </c>
      <c r="D28" s="43" t="str" cm="1">
        <f t="array" aca="1" ref="D28" ca="1">INDIRECT(ADDRESS($A28,D$4,,,$B28))</f>
        <v>External</v>
      </c>
      <c r="E28" s="43" t="str" cm="1">
        <f t="array" aca="1" ref="E28" ca="1">INDIRECT(ADDRESS($A28,E$4,,,$B28))</f>
        <v>Prada</v>
      </c>
      <c r="F28" s="43" t="str" cm="1">
        <f t="array" aca="1" ref="F28" ca="1">INDIRECT(ADDRESS($A28,F$4,,,$B28))</f>
        <v>Shopfitting</v>
      </c>
      <c r="G28" s="43" t="str" cm="1">
        <f t="array" aca="1" ref="G28" ca="1">INDIRECT(ADDRESS($A28,G$4,,,$B28))</f>
        <v>CL0180    L'Oréal Divers</v>
      </c>
      <c r="H28" s="307" cm="1">
        <f t="array" aca="1" ref="H28" ca="1">INDIRECT(ADDRESS($A28,H$4,,,$B28))</f>
        <v>23.230650000000001</v>
      </c>
      <c r="I28" s="307" cm="1">
        <f t="array" aca="1" ref="I28" ca="1">INDIRECT(ADDRESS($A28,I$4,,,$B28))</f>
        <v>23.230650000000001</v>
      </c>
      <c r="J28" s="43" cm="1">
        <f t="array" aca="1" ref="J28" ca="1">INDIRECT(ADDRESS($A28,J$4,,,$B28))</f>
        <v>0</v>
      </c>
    </row>
    <row r="29" spans="1:10">
      <c r="A29" s="39">
        <f t="shared" si="2"/>
        <v>47</v>
      </c>
      <c r="B29" s="42" t="str">
        <f t="shared" si="1"/>
        <v>W2</v>
      </c>
      <c r="C29" s="43" t="str" cm="1">
        <f t="array" aca="1" ref="C29" ca="1">INDIRECT(ADDRESS($A29,C$4,,,$B29))</f>
        <v>Indosing Distribution</v>
      </c>
      <c r="D29" s="43" t="str" cm="1">
        <f t="array" aca="1" ref="D29" ca="1">INDIRECT(ADDRESS($A29,D$4,,,$B29))</f>
        <v>External</v>
      </c>
      <c r="E29" s="43" t="str" cm="1">
        <f t="array" aca="1" ref="E29" ca="1">INDIRECT(ADDRESS($A29,E$4,,,$B29))</f>
        <v>Benefit</v>
      </c>
      <c r="F29" s="43" t="str" cm="1">
        <f t="array" aca="1" ref="F29" ca="1">INDIRECT(ADDRESS($A29,F$4,,,$B29))</f>
        <v>Prestige Cosmetic</v>
      </c>
      <c r="G29" s="43" t="str" cm="1">
        <f t="array" aca="1" ref="G29" ca="1">INDIRECT(ADDRESS($A29,G$4,,,$B29))</f>
        <v>CL0315    Benefit</v>
      </c>
      <c r="H29" s="307" cm="1">
        <f t="array" aca="1" ref="H29" ca="1">INDIRECT(ADDRESS($A29,H$4,,,$B29))</f>
        <v>10.12327</v>
      </c>
      <c r="I29" s="307" cm="1">
        <f t="array" aca="1" ref="I29" ca="1">INDIRECT(ADDRESS($A29,I$4,,,$B29))</f>
        <v>10.12327</v>
      </c>
      <c r="J29" s="43" cm="1">
        <f t="array" aca="1" ref="J29" ca="1">INDIRECT(ADDRESS($A29,J$4,,,$B29))</f>
        <v>0</v>
      </c>
    </row>
    <row r="30" spans="1:10">
      <c r="A30" s="39">
        <f t="shared" si="2"/>
        <v>48</v>
      </c>
      <c r="B30" s="42" t="str">
        <f t="shared" si="1"/>
        <v>W2</v>
      </c>
      <c r="C30" s="43" t="str" cm="1">
        <f t="array" aca="1" ref="C30" ca="1">INDIRECT(ADDRESS($A30,C$4,,,$B30))</f>
        <v>L Beauty Pte</v>
      </c>
      <c r="D30" s="43" t="str" cm="1">
        <f t="array" aca="1" ref="D30" ca="1">INDIRECT(ADDRESS($A30,D$4,,,$B30))</f>
        <v>External</v>
      </c>
      <c r="E30" s="43" t="str" cm="1">
        <f t="array" aca="1" ref="E30" ca="1">INDIRECT(ADDRESS($A30,E$4,,,$B30))</f>
        <v>Benefit</v>
      </c>
      <c r="F30" s="43" t="str" cm="1">
        <f t="array" aca="1" ref="F30" ca="1">INDIRECT(ADDRESS($A30,F$4,,,$B30))</f>
        <v>Prestige Cosmetic</v>
      </c>
      <c r="G30" s="43" t="str" cm="1">
        <f t="array" aca="1" ref="G30" ca="1">INDIRECT(ADDRESS($A30,G$4,,,$B30))</f>
        <v>CL0315    Benefit</v>
      </c>
      <c r="H30" s="307" cm="1">
        <f t="array" aca="1" ref="H30" ca="1">INDIRECT(ADDRESS($A30,H$4,,,$B30))</f>
        <v>17.257266706472329</v>
      </c>
      <c r="I30" s="307" cm="1">
        <f t="array" aca="1" ref="I30" ca="1">INDIRECT(ADDRESS($A30,I$4,,,$B30))</f>
        <v>17.257266706472329</v>
      </c>
      <c r="J30" s="43" cm="1">
        <f t="array" aca="1" ref="J30" ca="1">INDIRECT(ADDRESS($A30,J$4,,,$B30))</f>
        <v>0</v>
      </c>
    </row>
    <row r="31" spans="1:10">
      <c r="A31" s="39">
        <f t="shared" si="2"/>
        <v>49</v>
      </c>
      <c r="B31" s="42" t="str">
        <f t="shared" si="1"/>
        <v>W2</v>
      </c>
      <c r="C31" s="43" t="str" cm="1">
        <f t="array" aca="1" ref="C31" ca="1">INDIRECT(ADDRESS($A31,C$4,,,$B31))</f>
        <v xml:space="preserve">L'Oreal India </v>
      </c>
      <c r="D31" s="43" t="str" cm="1">
        <f t="array" aca="1" ref="D31" ca="1">INDIRECT(ADDRESS($A31,D$4,,,$B31))</f>
        <v>External</v>
      </c>
      <c r="E31" s="43" t="str" cm="1">
        <f t="array" aca="1" ref="E31" ca="1">INDIRECT(ADDRESS($A31,E$4,,,$B31))</f>
        <v>Lancome</v>
      </c>
      <c r="F31" s="43" t="str" cm="1">
        <f t="array" aca="1" ref="F31" ca="1">INDIRECT(ADDRESS($A31,F$4,,,$B31))</f>
        <v>Prestige Cosmetic</v>
      </c>
      <c r="G31" s="43" t="str" cm="1">
        <f t="array" aca="1" ref="G31" ca="1">INDIRECT(ADDRESS($A31,G$4,,,$B31))</f>
        <v>CL0155    Lancôme</v>
      </c>
      <c r="H31" s="307" cm="1">
        <f t="array" aca="1" ref="H31" ca="1">INDIRECT(ADDRESS($A31,H$4,,,$B31))</f>
        <v>32.380148599999998</v>
      </c>
      <c r="I31" s="307" cm="1">
        <f t="array" aca="1" ref="I31" ca="1">INDIRECT(ADDRESS($A31,I$4,,,$B31))</f>
        <v>32.380148599999998</v>
      </c>
      <c r="J31" s="43" cm="1">
        <f t="array" aca="1" ref="J31" ca="1">INDIRECT(ADDRESS($A31,J$4,,,$B31))</f>
        <v>0</v>
      </c>
    </row>
    <row r="32" spans="1:10">
      <c r="A32" s="39">
        <f t="shared" si="2"/>
        <v>50</v>
      </c>
      <c r="B32" s="42" t="str">
        <f t="shared" si="1"/>
        <v>W2</v>
      </c>
      <c r="C32" s="43" t="str" cm="1">
        <f t="array" aca="1" ref="C32" ca="1">INDIRECT(ADDRESS($A32,C$4,,,$B32))</f>
        <v xml:space="preserve">L'Oreal India </v>
      </c>
      <c r="D32" s="43" t="str" cm="1">
        <f t="array" aca="1" ref="D32" ca="1">INDIRECT(ADDRESS($A32,D$4,,,$B32))</f>
        <v>External</v>
      </c>
      <c r="E32" s="43" t="str" cm="1">
        <f t="array" aca="1" ref="E32" ca="1">INDIRECT(ADDRESS($A32,E$4,,,$B32))</f>
        <v>Lancome</v>
      </c>
      <c r="F32" s="43" t="str" cm="1">
        <f t="array" aca="1" ref="F32" ca="1">INDIRECT(ADDRESS($A32,F$4,,,$B32))</f>
        <v>Shopfitting</v>
      </c>
      <c r="G32" s="43" t="str" cm="1">
        <f t="array" aca="1" ref="G32" ca="1">INDIRECT(ADDRESS($A32,G$4,,,$B32))</f>
        <v>CL0155    Lancôme</v>
      </c>
      <c r="H32" s="307" cm="1">
        <f t="array" aca="1" ref="H32" ca="1">INDIRECT(ADDRESS($A32,H$4,,,$B32))</f>
        <v>10.1026182</v>
      </c>
      <c r="I32" s="307" cm="1">
        <f t="array" aca="1" ref="I32" ca="1">INDIRECT(ADDRESS($A32,I$4,,,$B32))</f>
        <v>10.1026182</v>
      </c>
      <c r="J32" s="43" cm="1">
        <f t="array" aca="1" ref="J32" ca="1">INDIRECT(ADDRESS($A32,J$4,,,$B32))</f>
        <v>0</v>
      </c>
    </row>
    <row r="33" spans="1:10">
      <c r="A33" s="39">
        <f t="shared" si="2"/>
        <v>51</v>
      </c>
      <c r="B33" s="42" t="str">
        <f t="shared" si="1"/>
        <v>W2</v>
      </c>
      <c r="C33" s="43" t="str" cm="1">
        <f t="array" aca="1" ref="C33" ca="1">INDIRECT(ADDRESS($A33,C$4,,,$B33))</f>
        <v xml:space="preserve">L'Oreal India </v>
      </c>
      <c r="D33" s="43" t="str" cm="1">
        <f t="array" aca="1" ref="D33" ca="1">INDIRECT(ADDRESS($A33,D$4,,,$B33))</f>
        <v>External</v>
      </c>
      <c r="E33" s="43" t="str" cm="1">
        <f t="array" aca="1" ref="E33" ca="1">INDIRECT(ADDRESS($A33,E$4,,,$B33))</f>
        <v xml:space="preserve">YSL </v>
      </c>
      <c r="F33" s="43" t="str" cm="1">
        <f t="array" aca="1" ref="F33" ca="1">INDIRECT(ADDRESS($A33,F$4,,,$B33))</f>
        <v>Shopfitting</v>
      </c>
      <c r="G33" s="43" t="str" cm="1">
        <f t="array" aca="1" ref="G33" ca="1">INDIRECT(ADDRESS($A33,G$4,,,$B33))</f>
        <v>CL0310    YSL</v>
      </c>
      <c r="H33" s="307" cm="1">
        <f t="array" aca="1" ref="H33" ca="1">INDIRECT(ADDRESS($A33,H$4,,,$B33))</f>
        <v>59.012949899999995</v>
      </c>
      <c r="I33" s="307" cm="1">
        <f t="array" aca="1" ref="I33" ca="1">INDIRECT(ADDRESS($A33,I$4,,,$B33))</f>
        <v>59.012949899999995</v>
      </c>
      <c r="J33" s="43" cm="1">
        <f t="array" aca="1" ref="J33" ca="1">INDIRECT(ADDRESS($A33,J$4,,,$B33))</f>
        <v>0</v>
      </c>
    </row>
    <row r="34" spans="1:10">
      <c r="A34" s="39">
        <f t="shared" si="2"/>
        <v>52</v>
      </c>
      <c r="B34" s="42" t="str">
        <f t="shared" si="1"/>
        <v>W2</v>
      </c>
      <c r="C34" s="43" t="str" cm="1">
        <f t="array" aca="1" ref="C34" ca="1">INDIRECT(ADDRESS($A34,C$4,,,$B34))</f>
        <v>L'Oreal Travel Retail</v>
      </c>
      <c r="D34" s="43" t="str" cm="1">
        <f t="array" aca="1" ref="D34" ca="1">INDIRECT(ADDRESS($A34,D$4,,,$B34))</f>
        <v>External</v>
      </c>
      <c r="E34" s="43" t="str" cm="1">
        <f t="array" aca="1" ref="E34" ca="1">INDIRECT(ADDRESS($A34,E$4,,,$B34))</f>
        <v>Armani</v>
      </c>
      <c r="F34" s="43" t="str" cm="1">
        <f t="array" aca="1" ref="F34" ca="1">INDIRECT(ADDRESS($A34,F$4,,,$B34))</f>
        <v>Shopfitting</v>
      </c>
      <c r="G34" s="43" t="str" cm="1">
        <f t="array" aca="1" ref="G34" ca="1">INDIRECT(ADDRESS($A34,G$4,,,$B34))</f>
        <v>CL0345    Armani</v>
      </c>
      <c r="H34" s="307" cm="1">
        <f t="array" aca="1" ref="H34" ca="1">INDIRECT(ADDRESS($A34,H$4,,,$B34))</f>
        <v>33.203858496850003</v>
      </c>
      <c r="I34" s="307" cm="1">
        <f t="array" aca="1" ref="I34" ca="1">INDIRECT(ADDRESS($A34,I$4,,,$B34))</f>
        <v>33.203858496850003</v>
      </c>
      <c r="J34" s="43" cm="1">
        <f t="array" aca="1" ref="J34" ca="1">INDIRECT(ADDRESS($A34,J$4,,,$B34))</f>
        <v>0</v>
      </c>
    </row>
    <row r="35" spans="1:10">
      <c r="A35" s="39">
        <f t="shared" si="2"/>
        <v>53</v>
      </c>
      <c r="B35" s="42" t="str">
        <f t="shared" si="1"/>
        <v>W2</v>
      </c>
      <c r="C35" s="43" t="str" cm="1">
        <f t="array" aca="1" ref="C35" ca="1">INDIRECT(ADDRESS($A35,C$4,,,$B35))</f>
        <v>L'Oreal Travel Retail</v>
      </c>
      <c r="D35" s="43" t="str" cm="1">
        <f t="array" aca="1" ref="D35" ca="1">INDIRECT(ADDRESS($A35,D$4,,,$B35))</f>
        <v>External</v>
      </c>
      <c r="E35" s="43" t="str" cm="1">
        <f t="array" aca="1" ref="E35" ca="1">INDIRECT(ADDRESS($A35,E$4,,,$B35))</f>
        <v>Lancome</v>
      </c>
      <c r="F35" s="43" t="str" cm="1">
        <f t="array" aca="1" ref="F35" ca="1">INDIRECT(ADDRESS($A35,F$4,,,$B35))</f>
        <v>Shopfitting</v>
      </c>
      <c r="G35" s="43" t="str" cm="1">
        <f t="array" aca="1" ref="G35" ca="1">INDIRECT(ADDRESS($A35,G$4,,,$B35))</f>
        <v>CL0155    Lancôme</v>
      </c>
      <c r="H35" s="307" cm="1">
        <f t="array" aca="1" ref="H35" ca="1">INDIRECT(ADDRESS($A35,H$4,,,$B35))</f>
        <v>16.502557662100003</v>
      </c>
      <c r="I35" s="307" cm="1">
        <f t="array" aca="1" ref="I35" ca="1">INDIRECT(ADDRESS($A35,I$4,,,$B35))</f>
        <v>16.502557662100003</v>
      </c>
      <c r="J35" s="43" cm="1">
        <f t="array" aca="1" ref="J35" ca="1">INDIRECT(ADDRESS($A35,J$4,,,$B35))</f>
        <v>0</v>
      </c>
    </row>
    <row r="36" spans="1:10">
      <c r="A36" s="39">
        <f t="shared" si="2"/>
        <v>54</v>
      </c>
      <c r="B36" s="42" t="str">
        <f t="shared" si="1"/>
        <v>W2</v>
      </c>
      <c r="C36" s="43" t="str" cm="1">
        <f t="array" aca="1" ref="C36" ca="1">INDIRECT(ADDRESS($A36,C$4,,,$B36))</f>
        <v>L'Oreal Travel Retail</v>
      </c>
      <c r="D36" s="43" t="str" cm="1">
        <f t="array" aca="1" ref="D36" ca="1">INDIRECT(ADDRESS($A36,D$4,,,$B36))</f>
        <v>External</v>
      </c>
      <c r="E36" s="43" t="str" cm="1">
        <f t="array" aca="1" ref="E36" ca="1">INDIRECT(ADDRESS($A36,E$4,,,$B36))</f>
        <v xml:space="preserve">Loreal Paris </v>
      </c>
      <c r="F36" s="43" t="str" cm="1">
        <f t="array" aca="1" ref="F36" ca="1">INDIRECT(ADDRESS($A36,F$4,,,$B36))</f>
        <v>Shopfitting</v>
      </c>
      <c r="G36" s="43" t="str" cm="1">
        <f t="array" aca="1" ref="G36" ca="1">INDIRECT(ADDRESS($A36,G$4,,,$B36))</f>
        <v>CL0170    L'Oréal Paris (L'OAP)</v>
      </c>
      <c r="H36" s="307" cm="1">
        <f t="array" aca="1" ref="H36" ca="1">INDIRECT(ADDRESS($A36,H$4,,,$B36))</f>
        <v>8.9014259218999996</v>
      </c>
      <c r="I36" s="307" cm="1">
        <f t="array" aca="1" ref="I36" ca="1">INDIRECT(ADDRESS($A36,I$4,,,$B36))</f>
        <v>8.9014259218999996</v>
      </c>
      <c r="J36" s="43" cm="1">
        <f t="array" aca="1" ref="J36" ca="1">INDIRECT(ADDRESS($A36,J$4,,,$B36))</f>
        <v>0</v>
      </c>
    </row>
    <row r="37" spans="1:10">
      <c r="A37" s="39">
        <f t="shared" si="2"/>
        <v>55</v>
      </c>
      <c r="B37" s="42" t="str">
        <f t="shared" si="1"/>
        <v>W2</v>
      </c>
      <c r="C37" s="43" t="str" cm="1">
        <f t="array" aca="1" ref="C37" ca="1">INDIRECT(ADDRESS($A37,C$4,,,$B37))</f>
        <v>L'Oreal Travel Retail</v>
      </c>
      <c r="D37" s="43" t="str" cm="1">
        <f t="array" aca="1" ref="D37" ca="1">INDIRECT(ADDRESS($A37,D$4,,,$B37))</f>
        <v>External</v>
      </c>
      <c r="E37" s="43" t="str" cm="1">
        <f t="array" aca="1" ref="E37" ca="1">INDIRECT(ADDRESS($A37,E$4,,,$B37))</f>
        <v>Multi</v>
      </c>
      <c r="F37" s="43" t="str" cm="1">
        <f t="array" aca="1" ref="F37" ca="1">INDIRECT(ADDRESS($A37,F$4,,,$B37))</f>
        <v>Shopfitting</v>
      </c>
      <c r="G37" s="43" t="str" cm="1">
        <f t="array" aca="1" ref="G37" ca="1">INDIRECT(ADDRESS($A37,G$4,,,$B37))</f>
        <v>CL0180    L'Oréal Divers</v>
      </c>
      <c r="H37" s="307" cm="1">
        <f t="array" aca="1" ref="H37" ca="1">INDIRECT(ADDRESS($A37,H$4,,,$B37))</f>
        <v>59.741114278500007</v>
      </c>
      <c r="I37" s="307" cm="1">
        <f t="array" aca="1" ref="I37" ca="1">INDIRECT(ADDRESS($A37,I$4,,,$B37))</f>
        <v>59.741114278500007</v>
      </c>
      <c r="J37" s="43" cm="1">
        <f t="array" aca="1" ref="J37" ca="1">INDIRECT(ADDRESS($A37,J$4,,,$B37))</f>
        <v>0</v>
      </c>
    </row>
    <row r="38" spans="1:10">
      <c r="A38" s="39">
        <f t="shared" si="2"/>
        <v>56</v>
      </c>
      <c r="B38" s="42" t="str">
        <f t="shared" si="1"/>
        <v>W2</v>
      </c>
      <c r="C38" s="43" t="str" cm="1">
        <f t="array" aca="1" ref="C38" ca="1">INDIRECT(ADDRESS($A38,C$4,,,$B38))</f>
        <v>L'Oreal Travel Retail</v>
      </c>
      <c r="D38" s="43" t="str" cm="1">
        <f t="array" aca="1" ref="D38" ca="1">INDIRECT(ADDRESS($A38,D$4,,,$B38))</f>
        <v>External</v>
      </c>
      <c r="E38" s="43" t="str" cm="1">
        <f t="array" aca="1" ref="E38" ca="1">INDIRECT(ADDRESS($A38,E$4,,,$B38))</f>
        <v>OAP</v>
      </c>
      <c r="F38" s="43" t="str" cm="1">
        <f t="array" aca="1" ref="F38" ca="1">INDIRECT(ADDRESS($A38,F$4,,,$B38))</f>
        <v>Shopfitting</v>
      </c>
      <c r="G38" s="43" t="str" cm="1">
        <f t="array" aca="1" ref="G38" ca="1">INDIRECT(ADDRESS($A38,G$4,,,$B38))</f>
        <v>CL0180    L'Oréal Divers</v>
      </c>
      <c r="H38" s="307" cm="1">
        <f t="array" aca="1" ref="H38" ca="1">INDIRECT(ADDRESS($A38,H$4,,,$B38))</f>
        <v>8.8069592930000002</v>
      </c>
      <c r="I38" s="307" cm="1">
        <f t="array" aca="1" ref="I38" ca="1">INDIRECT(ADDRESS($A38,I$4,,,$B38))</f>
        <v>8.8069592930000002</v>
      </c>
      <c r="J38" s="43" cm="1">
        <f t="array" aca="1" ref="J38" ca="1">INDIRECT(ADDRESS($A38,J$4,,,$B38))</f>
        <v>0</v>
      </c>
    </row>
    <row r="39" spans="1:10">
      <c r="A39" s="39">
        <f t="shared" si="2"/>
        <v>57</v>
      </c>
      <c r="B39" s="42" t="str">
        <f t="shared" si="1"/>
        <v>W2</v>
      </c>
      <c r="C39" s="43" t="str" cm="1">
        <f t="array" aca="1" ref="C39" ca="1">INDIRECT(ADDRESS($A39,C$4,,,$B39))</f>
        <v>L'Oreal Travel Retail</v>
      </c>
      <c r="D39" s="43" t="str" cm="1">
        <f t="array" aca="1" ref="D39" ca="1">INDIRECT(ADDRESS($A39,D$4,,,$B39))</f>
        <v>External</v>
      </c>
      <c r="E39" s="43" t="str" cm="1">
        <f t="array" aca="1" ref="E39" ca="1">INDIRECT(ADDRESS($A39,E$4,,,$B39))</f>
        <v>RALPH LAUREN</v>
      </c>
      <c r="F39" s="43" t="str" cm="1">
        <f t="array" aca="1" ref="F39" ca="1">INDIRECT(ADDRESS($A39,F$4,,,$B39))</f>
        <v>Shopfitting</v>
      </c>
      <c r="G39" s="43" t="str" cm="1">
        <f t="array" aca="1" ref="G39" ca="1">INDIRECT(ADDRESS($A39,G$4,,,$B39))</f>
        <v>CL0405    Ralph Lauren</v>
      </c>
      <c r="H39" s="307" cm="1">
        <f t="array" aca="1" ref="H39" ca="1">INDIRECT(ADDRESS($A39,H$4,,,$B39))</f>
        <v>1.7512968332000001</v>
      </c>
      <c r="I39" s="307" cm="1">
        <f t="array" aca="1" ref="I39" ca="1">INDIRECT(ADDRESS($A39,I$4,,,$B39))</f>
        <v>1.7512968332000001</v>
      </c>
      <c r="J39" s="43" cm="1">
        <f t="array" aca="1" ref="J39" ca="1">INDIRECT(ADDRESS($A39,J$4,,,$B39))</f>
        <v>0</v>
      </c>
    </row>
    <row r="40" spans="1:10">
      <c r="A40" s="39">
        <f t="shared" si="2"/>
        <v>58</v>
      </c>
      <c r="B40" s="42" t="str">
        <f t="shared" si="1"/>
        <v>W2</v>
      </c>
      <c r="C40" s="43" t="str" cm="1">
        <f t="array" aca="1" ref="C40" ca="1">INDIRECT(ADDRESS($A40,C$4,,,$B40))</f>
        <v>Puig India</v>
      </c>
      <c r="D40" s="43" t="str" cm="1">
        <f t="array" aca="1" ref="D40" ca="1">INDIRECT(ADDRESS($A40,D$4,,,$B40))</f>
        <v>External</v>
      </c>
      <c r="E40" s="43" t="str" cm="1">
        <f t="array" aca="1" ref="E40" ca="1">INDIRECT(ADDRESS($A40,E$4,,,$B40))</f>
        <v>PUIG Brands</v>
      </c>
      <c r="F40" s="43" t="str" cm="1">
        <f t="array" aca="1" ref="F40" ca="1">INDIRECT(ADDRESS($A40,F$4,,,$B40))</f>
        <v>Shopfitting</v>
      </c>
      <c r="G40" s="43" t="str" cm="1">
        <f t="array" aca="1" ref="G40" ca="1">INDIRECT(ADDRESS($A40,G$4,,,$B40))</f>
        <v>CL0840    Puig - other brands</v>
      </c>
      <c r="H40" s="307" cm="1">
        <f t="array" aca="1" ref="H40" ca="1">INDIRECT(ADDRESS($A40,H$4,,,$B40))</f>
        <v>41.484349999999999</v>
      </c>
      <c r="I40" s="307" cm="1">
        <f t="array" aca="1" ref="I40" ca="1">INDIRECT(ADDRESS($A40,I$4,,,$B40))</f>
        <v>41.484349999999999</v>
      </c>
      <c r="J40" s="43" cm="1">
        <f t="array" aca="1" ref="J40" ca="1">INDIRECT(ADDRESS($A40,J$4,,,$B40))</f>
        <v>0</v>
      </c>
    </row>
    <row r="41" spans="1:10">
      <c r="A41" s="39">
        <f t="shared" si="2"/>
        <v>59</v>
      </c>
      <c r="B41" s="42" t="str">
        <f t="shared" si="1"/>
        <v>W2</v>
      </c>
      <c r="C41" s="43" t="str" cm="1">
        <f t="array" aca="1" ref="C41" ca="1">INDIRECT(ADDRESS($A41,C$4,,,$B41))</f>
        <v>Rare Beauty LLC</v>
      </c>
      <c r="D41" s="43" t="str" cm="1">
        <f t="array" aca="1" ref="D41" ca="1">INDIRECT(ADDRESS($A41,D$4,,,$B41))</f>
        <v>External</v>
      </c>
      <c r="E41" s="43" t="str" cm="1">
        <f t="array" aca="1" ref="E41" ca="1">INDIRECT(ADDRESS($A41,E$4,,,$B41))</f>
        <v xml:space="preserve">Rare Beauty </v>
      </c>
      <c r="F41" s="43" t="str" cm="1">
        <f t="array" aca="1" ref="F41" ca="1">INDIRECT(ADDRESS($A41,F$4,,,$B41))</f>
        <v>Prestige Cosmetic</v>
      </c>
      <c r="G41" s="43" t="str" cm="1">
        <f t="array" aca="1" ref="G41" ca="1">INDIRECT(ADDRESS($A41,G$4,,,$B41))</f>
        <v>CL0765    Rare Beauty</v>
      </c>
      <c r="H41" s="307" cm="1">
        <f t="array" aca="1" ref="H41" ca="1">INDIRECT(ADDRESS($A41,H$4,,,$B41))</f>
        <v>97.434974556539999</v>
      </c>
      <c r="I41" s="307" cm="1">
        <f t="array" aca="1" ref="I41" ca="1">INDIRECT(ADDRESS($A41,I$4,,,$B41))</f>
        <v>97.434974556539999</v>
      </c>
      <c r="J41" s="43" cm="1">
        <f t="array" aca="1" ref="J41" ca="1">INDIRECT(ADDRESS($A41,J$4,,,$B41))</f>
        <v>0</v>
      </c>
    </row>
    <row r="42" spans="1:10">
      <c r="A42" s="39">
        <f t="shared" si="2"/>
        <v>60</v>
      </c>
      <c r="B42" s="42" t="str">
        <f t="shared" si="1"/>
        <v>W2</v>
      </c>
      <c r="C42" s="43" t="str" cm="1">
        <f t="array" aca="1" ref="C42" ca="1">INDIRECT(ADDRESS($A42,C$4,,,$B42))</f>
        <v>Reliance Luxe Beauty Limited</v>
      </c>
      <c r="D42" s="43" t="str" cm="1">
        <f t="array" aca="1" ref="D42" ca="1">INDIRECT(ADDRESS($A42,D$4,,,$B42))</f>
        <v>External</v>
      </c>
      <c r="E42" s="43" t="str" cm="1">
        <f t="array" aca="1" ref="E42" ca="1">INDIRECT(ADDRESS($A42,E$4,,,$B42))</f>
        <v xml:space="preserve">Rare Beauty </v>
      </c>
      <c r="F42" s="43" t="str" cm="1">
        <f t="array" aca="1" ref="F42" ca="1">INDIRECT(ADDRESS($A42,F$4,,,$B42))</f>
        <v>Prestige Cosmetic</v>
      </c>
      <c r="G42" s="43" t="str" cm="1">
        <f t="array" aca="1" ref="G42" ca="1">INDIRECT(ADDRESS($A42,G$4,,,$B42))</f>
        <v>CL0765    Rare Beauty</v>
      </c>
      <c r="H42" s="307" cm="1">
        <f t="array" aca="1" ref="H42" ca="1">INDIRECT(ADDRESS($A42,H$4,,,$B42))</f>
        <v>15.972842100000001</v>
      </c>
      <c r="I42" s="307" cm="1">
        <f t="array" aca="1" ref="I42" ca="1">INDIRECT(ADDRESS($A42,I$4,,,$B42))</f>
        <v>15.972842100000001</v>
      </c>
      <c r="J42" s="43" cm="1">
        <f t="array" aca="1" ref="J42" ca="1">INDIRECT(ADDRESS($A42,J$4,,,$B42))</f>
        <v>0</v>
      </c>
    </row>
    <row r="43" spans="1:10">
      <c r="A43" s="39">
        <f t="shared" si="2"/>
        <v>61</v>
      </c>
      <c r="B43" s="42" t="str">
        <f t="shared" si="1"/>
        <v>W2</v>
      </c>
      <c r="C43" s="43" t="str" cm="1">
        <f t="array" aca="1" ref="C43" ca="1">INDIRECT(ADDRESS($A43,C$4,,,$B43))</f>
        <v>Shoppers Stop Ltd</v>
      </c>
      <c r="D43" s="43" t="str" cm="1">
        <f t="array" aca="1" ref="D43" ca="1">INDIRECT(ADDRESS($A43,D$4,,,$B43))</f>
        <v>External</v>
      </c>
      <c r="E43" s="43" t="str" cm="1">
        <f t="array" aca="1" ref="E43" ca="1">INDIRECT(ADDRESS($A43,E$4,,,$B43))</f>
        <v>Clinique</v>
      </c>
      <c r="F43" s="43" t="str" cm="1">
        <f t="array" aca="1" ref="F43" ca="1">INDIRECT(ADDRESS($A43,F$4,,,$B43))</f>
        <v>Prestige Cosmetic</v>
      </c>
      <c r="G43" s="43" t="str" cm="1">
        <f t="array" aca="1" ref="G43" ca="1">INDIRECT(ADDRESS($A43,G$4,,,$B43))</f>
        <v>CL0075    Clinique</v>
      </c>
      <c r="H43" s="307" cm="1">
        <f t="array" aca="1" ref="H43" ca="1">INDIRECT(ADDRESS($A43,H$4,,,$B43))</f>
        <v>3.3210000000000002</v>
      </c>
      <c r="I43" s="307" cm="1">
        <f t="array" aca="1" ref="I43" ca="1">INDIRECT(ADDRESS($A43,I$4,,,$B43))</f>
        <v>3.3210000000000002</v>
      </c>
      <c r="J43" s="43" cm="1">
        <f t="array" aca="1" ref="J43" ca="1">INDIRECT(ADDRESS($A43,J$4,,,$B43))</f>
        <v>0</v>
      </c>
    </row>
    <row r="44" spans="1:10">
      <c r="A44" s="39">
        <f t="shared" si="2"/>
        <v>62</v>
      </c>
      <c r="B44" s="42" t="str">
        <f t="shared" si="1"/>
        <v>W2</v>
      </c>
      <c r="C44" s="43" t="str" cm="1">
        <f t="array" aca="1" ref="C44" ca="1">INDIRECT(ADDRESS($A44,C$4,,,$B44))</f>
        <v>Shoppers Stop Ltd</v>
      </c>
      <c r="D44" s="43" t="str" cm="1">
        <f t="array" aca="1" ref="D44" ca="1">INDIRECT(ADDRESS($A44,D$4,,,$B44))</f>
        <v>External</v>
      </c>
      <c r="E44" s="43" t="str" cm="1">
        <f t="array" aca="1" ref="E44" ca="1">INDIRECT(ADDRESS($A44,E$4,,,$B44))</f>
        <v>Estee Lauder - Multi Brands</v>
      </c>
      <c r="F44" s="43" t="str" cm="1">
        <f t="array" aca="1" ref="F44" ca="1">INDIRECT(ADDRESS($A44,F$4,,,$B44))</f>
        <v>Prestige Cosmetic</v>
      </c>
      <c r="G44" s="43" t="str" cm="1">
        <f t="array" aca="1" ref="G44" ca="1">INDIRECT(ADDRESS($A44,G$4,,,$B44))</f>
        <v>CL9999    Other</v>
      </c>
      <c r="H44" s="307" cm="1">
        <f t="array" aca="1" ref="H44" ca="1">INDIRECT(ADDRESS($A44,H$4,,,$B44))</f>
        <v>25.510656100000002</v>
      </c>
      <c r="I44" s="307" cm="1">
        <f t="array" aca="1" ref="I44" ca="1">INDIRECT(ADDRESS($A44,I$4,,,$B44))</f>
        <v>25.510656100000002</v>
      </c>
      <c r="J44" s="43" cm="1">
        <f t="array" aca="1" ref="J44" ca="1">INDIRECT(ADDRESS($A44,J$4,,,$B44))</f>
        <v>0</v>
      </c>
    </row>
    <row r="45" spans="1:10">
      <c r="A45" s="39">
        <f t="shared" si="2"/>
        <v>63</v>
      </c>
      <c r="B45" s="42" t="str">
        <f t="shared" si="1"/>
        <v>W2</v>
      </c>
      <c r="C45" s="43" t="str" cm="1">
        <f t="array" aca="1" ref="C45" ca="1">INDIRECT(ADDRESS($A45,C$4,,,$B45))</f>
        <v>Shoppers Stop Ltd</v>
      </c>
      <c r="D45" s="43" t="str" cm="1">
        <f t="array" aca="1" ref="D45" ca="1">INDIRECT(ADDRESS($A45,D$4,,,$B45))</f>
        <v>External</v>
      </c>
      <c r="E45" s="43" t="str" cm="1">
        <f t="array" aca="1" ref="E45" ca="1">INDIRECT(ADDRESS($A45,E$4,,,$B45))</f>
        <v>Tom Ford</v>
      </c>
      <c r="F45" s="43" t="str" cm="1">
        <f t="array" aca="1" ref="F45" ca="1">INDIRECT(ADDRESS($A45,F$4,,,$B45))</f>
        <v>Shopfitting</v>
      </c>
      <c r="G45" s="43" t="str" cm="1">
        <f t="array" aca="1" ref="G45" ca="1">INDIRECT(ADDRESS($A45,G$4,,,$B45))</f>
        <v>CL0570    Tom Ford</v>
      </c>
      <c r="H45" s="307" cm="1">
        <f t="array" aca="1" ref="H45" ca="1">INDIRECT(ADDRESS($A45,H$4,,,$B45))</f>
        <v>13.19595</v>
      </c>
      <c r="I45" s="307" cm="1">
        <f t="array" aca="1" ref="I45" ca="1">INDIRECT(ADDRESS($A45,I$4,,,$B45))</f>
        <v>13.19595</v>
      </c>
      <c r="J45" s="43" cm="1">
        <f t="array" aca="1" ref="J45" ca="1">INDIRECT(ADDRESS($A45,J$4,,,$B45))</f>
        <v>0</v>
      </c>
    </row>
    <row r="46" spans="1:10">
      <c r="A46" s="39">
        <f t="shared" si="2"/>
        <v>64</v>
      </c>
      <c r="B46" s="42" t="str">
        <f t="shared" si="1"/>
        <v>W2</v>
      </c>
      <c r="C46" s="43" cm="1">
        <f t="array" aca="1" ref="C46" ca="1">INDIRECT(ADDRESS($A46,C$4,,,$B46))</f>
        <v>0</v>
      </c>
      <c r="D46" s="43" cm="1">
        <f t="array" aca="1" ref="D46" ca="1">INDIRECT(ADDRESS($A46,D$4,,,$B46))</f>
        <v>0</v>
      </c>
      <c r="E46" s="43" cm="1">
        <f t="array" aca="1" ref="E46" ca="1">INDIRECT(ADDRESS($A46,E$4,,,$B46))</f>
        <v>0</v>
      </c>
      <c r="F46" s="43" cm="1">
        <f t="array" aca="1" ref="F46" ca="1">INDIRECT(ADDRESS($A46,F$4,,,$B46))</f>
        <v>0</v>
      </c>
      <c r="G46" s="43" cm="1">
        <f t="array" aca="1" ref="G46" ca="1">INDIRECT(ADDRESS($A46,G$4,,,$B46))</f>
        <v>0</v>
      </c>
      <c r="H46" s="307" cm="1">
        <f t="array" aca="1" ref="H46" ca="1">INDIRECT(ADDRESS($A46,H$4,,,$B46))</f>
        <v>0</v>
      </c>
      <c r="I46" s="307" cm="1">
        <f t="array" aca="1" ref="I46" ca="1">INDIRECT(ADDRESS($A46,I$4,,,$B46))</f>
        <v>0</v>
      </c>
      <c r="J46" s="43" cm="1">
        <f t="array" aca="1" ref="J46" ca="1">INDIRECT(ADDRESS($A46,J$4,,,$B46))</f>
        <v>0</v>
      </c>
    </row>
    <row r="47" spans="1:10">
      <c r="A47" s="39">
        <f t="shared" si="2"/>
        <v>65</v>
      </c>
      <c r="B47" s="42" t="str">
        <f t="shared" si="1"/>
        <v>W2</v>
      </c>
      <c r="C47" s="43" cm="1">
        <f t="array" aca="1" ref="C47" ca="1">INDIRECT(ADDRESS($A47,C$4,,,$B47))</f>
        <v>0</v>
      </c>
      <c r="D47" s="43" cm="1">
        <f t="array" aca="1" ref="D47" ca="1">INDIRECT(ADDRESS($A47,D$4,,,$B47))</f>
        <v>0</v>
      </c>
      <c r="E47" s="43" cm="1">
        <f t="array" aca="1" ref="E47" ca="1">INDIRECT(ADDRESS($A47,E$4,,,$B47))</f>
        <v>0</v>
      </c>
      <c r="F47" s="43" cm="1">
        <f t="array" aca="1" ref="F47" ca="1">INDIRECT(ADDRESS($A47,F$4,,,$B47))</f>
        <v>0</v>
      </c>
      <c r="G47" s="43" cm="1">
        <f t="array" aca="1" ref="G47" ca="1">INDIRECT(ADDRESS($A47,G$4,,,$B47))</f>
        <v>0</v>
      </c>
      <c r="H47" s="307" cm="1">
        <f t="array" aca="1" ref="H47" ca="1">INDIRECT(ADDRESS($A47,H$4,,,$B47))</f>
        <v>0</v>
      </c>
      <c r="I47" s="307" cm="1">
        <f t="array" aca="1" ref="I47" ca="1">INDIRECT(ADDRESS($A47,I$4,,,$B47))</f>
        <v>0</v>
      </c>
      <c r="J47" s="43" cm="1">
        <f t="array" aca="1" ref="J47" ca="1">INDIRECT(ADDRESS($A47,J$4,,,$B47))</f>
        <v>0</v>
      </c>
    </row>
    <row r="48" spans="1:10">
      <c r="A48" s="39">
        <f t="shared" si="2"/>
        <v>66</v>
      </c>
      <c r="B48" s="42" t="str">
        <f t="shared" si="1"/>
        <v>W2</v>
      </c>
      <c r="C48" s="43" cm="1">
        <f t="array" aca="1" ref="C48" ca="1">INDIRECT(ADDRESS($A48,C$4,,,$B48))</f>
        <v>0</v>
      </c>
      <c r="D48" s="43" cm="1">
        <f t="array" aca="1" ref="D48" ca="1">INDIRECT(ADDRESS($A48,D$4,,,$B48))</f>
        <v>0</v>
      </c>
      <c r="E48" s="43" cm="1">
        <f t="array" aca="1" ref="E48" ca="1">INDIRECT(ADDRESS($A48,E$4,,,$B48))</f>
        <v>0</v>
      </c>
      <c r="F48" s="43" cm="1">
        <f t="array" aca="1" ref="F48" ca="1">INDIRECT(ADDRESS($A48,F$4,,,$B48))</f>
        <v>0</v>
      </c>
      <c r="G48" s="43" cm="1">
        <f t="array" aca="1" ref="G48" ca="1">INDIRECT(ADDRESS($A48,G$4,,,$B48))</f>
        <v>0</v>
      </c>
      <c r="H48" s="307" cm="1">
        <f t="array" aca="1" ref="H48" ca="1">INDIRECT(ADDRESS($A48,H$4,,,$B48))</f>
        <v>0</v>
      </c>
      <c r="I48" s="307" cm="1">
        <f t="array" aca="1" ref="I48" ca="1">INDIRECT(ADDRESS($A48,I$4,,,$B48))</f>
        <v>0</v>
      </c>
      <c r="J48" s="43" cm="1">
        <f t="array" aca="1" ref="J48" ca="1">INDIRECT(ADDRESS($A48,J$4,,,$B48))</f>
        <v>0</v>
      </c>
    </row>
    <row r="49" spans="1:10">
      <c r="A49" s="39">
        <f t="shared" si="2"/>
        <v>67</v>
      </c>
      <c r="B49" s="42" t="str">
        <f t="shared" si="1"/>
        <v>W2</v>
      </c>
      <c r="C49" s="43" cm="1">
        <f t="array" aca="1" ref="C49" ca="1">INDIRECT(ADDRESS($A49,C$4,,,$B49))</f>
        <v>0</v>
      </c>
      <c r="D49" s="43" cm="1">
        <f t="array" aca="1" ref="D49" ca="1">INDIRECT(ADDRESS($A49,D$4,,,$B49))</f>
        <v>0</v>
      </c>
      <c r="E49" s="43" cm="1">
        <f t="array" aca="1" ref="E49" ca="1">INDIRECT(ADDRESS($A49,E$4,,,$B49))</f>
        <v>0</v>
      </c>
      <c r="F49" s="43" cm="1">
        <f t="array" aca="1" ref="F49" ca="1">INDIRECT(ADDRESS($A49,F$4,,,$B49))</f>
        <v>0</v>
      </c>
      <c r="G49" s="43" cm="1">
        <f t="array" aca="1" ref="G49" ca="1">INDIRECT(ADDRESS($A49,G$4,,,$B49))</f>
        <v>0</v>
      </c>
      <c r="H49" s="307" cm="1">
        <f t="array" aca="1" ref="H49" ca="1">INDIRECT(ADDRESS($A49,H$4,,,$B49))</f>
        <v>0</v>
      </c>
      <c r="I49" s="307" cm="1">
        <f t="array" aca="1" ref="I49" ca="1">INDIRECT(ADDRESS($A49,I$4,,,$B49))</f>
        <v>0</v>
      </c>
      <c r="J49" s="43" cm="1">
        <f t="array" aca="1" ref="J49" ca="1">INDIRECT(ADDRESS($A49,J$4,,,$B49))</f>
        <v>0</v>
      </c>
    </row>
    <row r="50" spans="1:10">
      <c r="A50" s="39">
        <f t="shared" si="2"/>
        <v>68</v>
      </c>
      <c r="B50" s="42" t="str">
        <f t="shared" si="1"/>
        <v>W2</v>
      </c>
      <c r="C50" s="43" cm="1">
        <f t="array" aca="1" ref="C50" ca="1">INDIRECT(ADDRESS($A50,C$4,,,$B50))</f>
        <v>0</v>
      </c>
      <c r="D50" s="43" cm="1">
        <f t="array" aca="1" ref="D50" ca="1">INDIRECT(ADDRESS($A50,D$4,,,$B50))</f>
        <v>0</v>
      </c>
      <c r="E50" s="43" cm="1">
        <f t="array" aca="1" ref="E50" ca="1">INDIRECT(ADDRESS($A50,E$4,,,$B50))</f>
        <v>0</v>
      </c>
      <c r="F50" s="43" cm="1">
        <f t="array" aca="1" ref="F50" ca="1">INDIRECT(ADDRESS($A50,F$4,,,$B50))</f>
        <v>0</v>
      </c>
      <c r="G50" s="43" cm="1">
        <f t="array" aca="1" ref="G50" ca="1">INDIRECT(ADDRESS($A50,G$4,,,$B50))</f>
        <v>0</v>
      </c>
      <c r="H50" s="307" cm="1">
        <f t="array" aca="1" ref="H50" ca="1">INDIRECT(ADDRESS($A50,H$4,,,$B50))</f>
        <v>0</v>
      </c>
      <c r="I50" s="307" cm="1">
        <f t="array" aca="1" ref="I50" ca="1">INDIRECT(ADDRESS($A50,I$4,,,$B50))</f>
        <v>0</v>
      </c>
      <c r="J50" s="43" cm="1">
        <f t="array" aca="1" ref="J50" ca="1">INDIRECT(ADDRESS($A50,J$4,,,$B50))</f>
        <v>0</v>
      </c>
    </row>
    <row r="51" spans="1:10">
      <c r="A51" s="39">
        <f t="shared" si="2"/>
        <v>69</v>
      </c>
      <c r="B51" s="42" t="str">
        <f t="shared" si="1"/>
        <v>W2</v>
      </c>
      <c r="C51" s="43" cm="1">
        <f t="array" aca="1" ref="C51" ca="1">INDIRECT(ADDRESS($A51,C$4,,,$B51))</f>
        <v>0</v>
      </c>
      <c r="D51" s="43" cm="1">
        <f t="array" aca="1" ref="D51" ca="1">INDIRECT(ADDRESS($A51,D$4,,,$B51))</f>
        <v>0</v>
      </c>
      <c r="E51" s="43" cm="1">
        <f t="array" aca="1" ref="E51" ca="1">INDIRECT(ADDRESS($A51,E$4,,,$B51))</f>
        <v>0</v>
      </c>
      <c r="F51" s="43" cm="1">
        <f t="array" aca="1" ref="F51" ca="1">INDIRECT(ADDRESS($A51,F$4,,,$B51))</f>
        <v>0</v>
      </c>
      <c r="G51" s="43" cm="1">
        <f t="array" aca="1" ref="G51" ca="1">INDIRECT(ADDRESS($A51,G$4,,,$B51))</f>
        <v>0</v>
      </c>
      <c r="H51" s="307" cm="1">
        <f t="array" aca="1" ref="H51" ca="1">INDIRECT(ADDRESS($A51,H$4,,,$B51))</f>
        <v>0</v>
      </c>
      <c r="I51" s="307" cm="1">
        <f t="array" aca="1" ref="I51" ca="1">INDIRECT(ADDRESS($A51,I$4,,,$B51))</f>
        <v>0</v>
      </c>
      <c r="J51" s="43" cm="1">
        <f t="array" aca="1" ref="J51" ca="1">INDIRECT(ADDRESS($A51,J$4,,,$B51))</f>
        <v>0</v>
      </c>
    </row>
    <row r="52" spans="1:10">
      <c r="A52" s="39">
        <f t="shared" si="2"/>
        <v>70</v>
      </c>
      <c r="B52" s="42" t="str">
        <f t="shared" si="1"/>
        <v>W2</v>
      </c>
      <c r="C52" s="43" cm="1">
        <f t="array" aca="1" ref="C52" ca="1">INDIRECT(ADDRESS($A52,C$4,,,$B52))</f>
        <v>0</v>
      </c>
      <c r="D52" s="43" cm="1">
        <f t="array" aca="1" ref="D52" ca="1">INDIRECT(ADDRESS($A52,D$4,,,$B52))</f>
        <v>0</v>
      </c>
      <c r="E52" s="43" cm="1">
        <f t="array" aca="1" ref="E52" ca="1">INDIRECT(ADDRESS($A52,E$4,,,$B52))</f>
        <v>0</v>
      </c>
      <c r="F52" s="43" cm="1">
        <f t="array" aca="1" ref="F52" ca="1">INDIRECT(ADDRESS($A52,F$4,,,$B52))</f>
        <v>0</v>
      </c>
      <c r="G52" s="43" cm="1">
        <f t="array" aca="1" ref="G52" ca="1">INDIRECT(ADDRESS($A52,G$4,,,$B52))</f>
        <v>0</v>
      </c>
      <c r="H52" s="307" cm="1">
        <f t="array" aca="1" ref="H52" ca="1">INDIRECT(ADDRESS($A52,H$4,,,$B52))</f>
        <v>0</v>
      </c>
      <c r="I52" s="307" cm="1">
        <f t="array" aca="1" ref="I52" ca="1">INDIRECT(ADDRESS($A52,I$4,,,$B52))</f>
        <v>0</v>
      </c>
      <c r="J52" s="43" cm="1">
        <f t="array" aca="1" ref="J52" ca="1">INDIRECT(ADDRESS($A52,J$4,,,$B52))</f>
        <v>0</v>
      </c>
    </row>
    <row r="53" spans="1:10">
      <c r="A53" s="39">
        <f t="shared" si="2"/>
        <v>71</v>
      </c>
      <c r="B53" s="42" t="str">
        <f t="shared" si="1"/>
        <v>W2</v>
      </c>
      <c r="C53" s="43" cm="1">
        <f t="array" aca="1" ref="C53" ca="1">INDIRECT(ADDRESS($A53,C$4,,,$B53))</f>
        <v>0</v>
      </c>
      <c r="D53" s="43" cm="1">
        <f t="array" aca="1" ref="D53" ca="1">INDIRECT(ADDRESS($A53,D$4,,,$B53))</f>
        <v>0</v>
      </c>
      <c r="E53" s="43" cm="1">
        <f t="array" aca="1" ref="E53" ca="1">INDIRECT(ADDRESS($A53,E$4,,,$B53))</f>
        <v>0</v>
      </c>
      <c r="F53" s="43" cm="1">
        <f t="array" aca="1" ref="F53" ca="1">INDIRECT(ADDRESS($A53,F$4,,,$B53))</f>
        <v>0</v>
      </c>
      <c r="G53" s="43" cm="1">
        <f t="array" aca="1" ref="G53" ca="1">INDIRECT(ADDRESS($A53,G$4,,,$B53))</f>
        <v>0</v>
      </c>
      <c r="H53" s="307" cm="1">
        <f t="array" aca="1" ref="H53" ca="1">INDIRECT(ADDRESS($A53,H$4,,,$B53))</f>
        <v>0</v>
      </c>
      <c r="I53" s="307" cm="1">
        <f t="array" aca="1" ref="I53" ca="1">INDIRECT(ADDRESS($A53,I$4,,,$B53))</f>
        <v>0</v>
      </c>
      <c r="J53" s="43" cm="1">
        <f t="array" aca="1" ref="J53" ca="1">INDIRECT(ADDRESS($A53,J$4,,,$B53))</f>
        <v>0</v>
      </c>
    </row>
    <row r="54" spans="1:10">
      <c r="A54" s="39">
        <f t="shared" si="2"/>
        <v>72</v>
      </c>
      <c r="B54" s="42" t="str">
        <f t="shared" si="1"/>
        <v>W2</v>
      </c>
      <c r="C54" s="43" cm="1">
        <f t="array" aca="1" ref="C54" ca="1">INDIRECT(ADDRESS($A54,C$4,,,$B54))</f>
        <v>0</v>
      </c>
      <c r="D54" s="43" cm="1">
        <f t="array" aca="1" ref="D54" ca="1">INDIRECT(ADDRESS($A54,D$4,,,$B54))</f>
        <v>0</v>
      </c>
      <c r="E54" s="43" cm="1">
        <f t="array" aca="1" ref="E54" ca="1">INDIRECT(ADDRESS($A54,E$4,,,$B54))</f>
        <v>0</v>
      </c>
      <c r="F54" s="43" cm="1">
        <f t="array" aca="1" ref="F54" ca="1">INDIRECT(ADDRESS($A54,F$4,,,$B54))</f>
        <v>0</v>
      </c>
      <c r="G54" s="43" cm="1">
        <f t="array" aca="1" ref="G54" ca="1">INDIRECT(ADDRESS($A54,G$4,,,$B54))</f>
        <v>0</v>
      </c>
      <c r="H54" s="307" cm="1">
        <f t="array" aca="1" ref="H54" ca="1">INDIRECT(ADDRESS($A54,H$4,,,$B54))</f>
        <v>0</v>
      </c>
      <c r="I54" s="307" cm="1">
        <f t="array" aca="1" ref="I54" ca="1">INDIRECT(ADDRESS($A54,I$4,,,$B54))</f>
        <v>0</v>
      </c>
      <c r="J54" s="43" cm="1">
        <f t="array" aca="1" ref="J54" ca="1">INDIRECT(ADDRESS($A54,J$4,,,$B54))</f>
        <v>0</v>
      </c>
    </row>
    <row r="55" spans="1:10">
      <c r="A55" s="39">
        <f t="shared" si="2"/>
        <v>73</v>
      </c>
      <c r="B55" s="42" t="str">
        <f t="shared" si="1"/>
        <v>W2</v>
      </c>
      <c r="C55" s="43" cm="1">
        <f t="array" aca="1" ref="C55" ca="1">INDIRECT(ADDRESS($A55,C$4,,,$B55))</f>
        <v>0</v>
      </c>
      <c r="D55" s="43" cm="1">
        <f t="array" aca="1" ref="D55" ca="1">INDIRECT(ADDRESS($A55,D$4,,,$B55))</f>
        <v>0</v>
      </c>
      <c r="E55" s="43" cm="1">
        <f t="array" aca="1" ref="E55" ca="1">INDIRECT(ADDRESS($A55,E$4,,,$B55))</f>
        <v>0</v>
      </c>
      <c r="F55" s="43" cm="1">
        <f t="array" aca="1" ref="F55" ca="1">INDIRECT(ADDRESS($A55,F$4,,,$B55))</f>
        <v>0</v>
      </c>
      <c r="G55" s="43" cm="1">
        <f t="array" aca="1" ref="G55" ca="1">INDIRECT(ADDRESS($A55,G$4,,,$B55))</f>
        <v>0</v>
      </c>
      <c r="H55" s="307" cm="1">
        <f t="array" aca="1" ref="H55" ca="1">INDIRECT(ADDRESS($A55,H$4,,,$B55))</f>
        <v>0</v>
      </c>
      <c r="I55" s="307" cm="1">
        <f t="array" aca="1" ref="I55" ca="1">INDIRECT(ADDRESS($A55,I$4,,,$B55))</f>
        <v>0</v>
      </c>
      <c r="J55" s="43" cm="1">
        <f t="array" aca="1" ref="J55" ca="1">INDIRECT(ADDRESS($A55,J$4,,,$B55))</f>
        <v>0</v>
      </c>
    </row>
    <row r="56" spans="1:10">
      <c r="A56" s="39">
        <f t="shared" si="2"/>
        <v>74</v>
      </c>
      <c r="B56" s="42" t="str">
        <f t="shared" si="1"/>
        <v>W2</v>
      </c>
      <c r="C56" s="43" cm="1">
        <f t="array" aca="1" ref="C56" ca="1">INDIRECT(ADDRESS($A56,C$4,,,$B56))</f>
        <v>0</v>
      </c>
      <c r="D56" s="43" cm="1">
        <f t="array" aca="1" ref="D56" ca="1">INDIRECT(ADDRESS($A56,D$4,,,$B56))</f>
        <v>0</v>
      </c>
      <c r="E56" s="43" cm="1">
        <f t="array" aca="1" ref="E56" ca="1">INDIRECT(ADDRESS($A56,E$4,,,$B56))</f>
        <v>0</v>
      </c>
      <c r="F56" s="43" cm="1">
        <f t="array" aca="1" ref="F56" ca="1">INDIRECT(ADDRESS($A56,F$4,,,$B56))</f>
        <v>0</v>
      </c>
      <c r="G56" s="43" cm="1">
        <f t="array" aca="1" ref="G56" ca="1">INDIRECT(ADDRESS($A56,G$4,,,$B56))</f>
        <v>0</v>
      </c>
      <c r="H56" s="307" cm="1">
        <f t="array" aca="1" ref="H56" ca="1">INDIRECT(ADDRESS($A56,H$4,,,$B56))</f>
        <v>0</v>
      </c>
      <c r="I56" s="307" cm="1">
        <f t="array" aca="1" ref="I56" ca="1">INDIRECT(ADDRESS($A56,I$4,,,$B56))</f>
        <v>0</v>
      </c>
      <c r="J56" s="43" cm="1">
        <f t="array" aca="1" ref="J56" ca="1">INDIRECT(ADDRESS($A56,J$4,,,$B56))</f>
        <v>0</v>
      </c>
    </row>
    <row r="57" spans="1:10">
      <c r="A57" s="39">
        <f t="shared" si="2"/>
        <v>75</v>
      </c>
      <c r="B57" s="42" t="str">
        <f t="shared" si="1"/>
        <v>W2</v>
      </c>
      <c r="C57" s="43" cm="1">
        <f t="array" aca="1" ref="C57" ca="1">INDIRECT(ADDRESS($A57,C$4,,,$B57))</f>
        <v>0</v>
      </c>
      <c r="D57" s="43" cm="1">
        <f t="array" aca="1" ref="D57" ca="1">INDIRECT(ADDRESS($A57,D$4,,,$B57))</f>
        <v>0</v>
      </c>
      <c r="E57" s="43" cm="1">
        <f t="array" aca="1" ref="E57" ca="1">INDIRECT(ADDRESS($A57,E$4,,,$B57))</f>
        <v>0</v>
      </c>
      <c r="F57" s="43" cm="1">
        <f t="array" aca="1" ref="F57" ca="1">INDIRECT(ADDRESS($A57,F$4,,,$B57))</f>
        <v>0</v>
      </c>
      <c r="G57" s="43" cm="1">
        <f t="array" aca="1" ref="G57" ca="1">INDIRECT(ADDRESS($A57,G$4,,,$B57))</f>
        <v>0</v>
      </c>
      <c r="H57" s="307" cm="1">
        <f t="array" aca="1" ref="H57" ca="1">INDIRECT(ADDRESS($A57,H$4,,,$B57))</f>
        <v>0</v>
      </c>
      <c r="I57" s="307" cm="1">
        <f t="array" aca="1" ref="I57" ca="1">INDIRECT(ADDRESS($A57,I$4,,,$B57))</f>
        <v>0</v>
      </c>
      <c r="J57" s="43" cm="1">
        <f t="array" aca="1" ref="J57" ca="1">INDIRECT(ADDRESS($A57,J$4,,,$B57))</f>
        <v>0</v>
      </c>
    </row>
    <row r="58" spans="1:10">
      <c r="A58" s="39">
        <f t="shared" si="2"/>
        <v>76</v>
      </c>
      <c r="B58" s="42" t="str">
        <f t="shared" si="1"/>
        <v>W2</v>
      </c>
      <c r="C58" s="43" cm="1">
        <f t="array" aca="1" ref="C58" ca="1">INDIRECT(ADDRESS($A58,C$4,,,$B58))</f>
        <v>0</v>
      </c>
      <c r="D58" s="43" cm="1">
        <f t="array" aca="1" ref="D58" ca="1">INDIRECT(ADDRESS($A58,D$4,,,$B58))</f>
        <v>0</v>
      </c>
      <c r="E58" s="43" cm="1">
        <f t="array" aca="1" ref="E58" ca="1">INDIRECT(ADDRESS($A58,E$4,,,$B58))</f>
        <v>0</v>
      </c>
      <c r="F58" s="43" cm="1">
        <f t="array" aca="1" ref="F58" ca="1">INDIRECT(ADDRESS($A58,F$4,,,$B58))</f>
        <v>0</v>
      </c>
      <c r="G58" s="43" cm="1">
        <f t="array" aca="1" ref="G58" ca="1">INDIRECT(ADDRESS($A58,G$4,,,$B58))</f>
        <v>0</v>
      </c>
      <c r="H58" s="307" cm="1">
        <f t="array" aca="1" ref="H58" ca="1">INDIRECT(ADDRESS($A58,H$4,,,$B58))</f>
        <v>0</v>
      </c>
      <c r="I58" s="307" cm="1">
        <f t="array" aca="1" ref="I58" ca="1">INDIRECT(ADDRESS($A58,I$4,,,$B58))</f>
        <v>0</v>
      </c>
      <c r="J58" s="43" cm="1">
        <f t="array" aca="1" ref="J58" ca="1">INDIRECT(ADDRESS($A58,J$4,,,$B58))</f>
        <v>0</v>
      </c>
    </row>
    <row r="59" spans="1:10">
      <c r="A59" s="39">
        <f t="shared" si="2"/>
        <v>77</v>
      </c>
      <c r="B59" s="42" t="str">
        <f t="shared" si="1"/>
        <v>W2</v>
      </c>
      <c r="C59" s="43" cm="1">
        <f t="array" aca="1" ref="C59" ca="1">INDIRECT(ADDRESS($A59,C$4,,,$B59))</f>
        <v>0</v>
      </c>
      <c r="D59" s="43" cm="1">
        <f t="array" aca="1" ref="D59" ca="1">INDIRECT(ADDRESS($A59,D$4,,,$B59))</f>
        <v>0</v>
      </c>
      <c r="E59" s="43" cm="1">
        <f t="array" aca="1" ref="E59" ca="1">INDIRECT(ADDRESS($A59,E$4,,,$B59))</f>
        <v>0</v>
      </c>
      <c r="F59" s="43" cm="1">
        <f t="array" aca="1" ref="F59" ca="1">INDIRECT(ADDRESS($A59,F$4,,,$B59))</f>
        <v>0</v>
      </c>
      <c r="G59" s="43" cm="1">
        <f t="array" aca="1" ref="G59" ca="1">INDIRECT(ADDRESS($A59,G$4,,,$B59))</f>
        <v>0</v>
      </c>
      <c r="H59" s="307" cm="1">
        <f t="array" aca="1" ref="H59" ca="1">INDIRECT(ADDRESS($A59,H$4,,,$B59))</f>
        <v>0</v>
      </c>
      <c r="I59" s="307" cm="1">
        <f t="array" aca="1" ref="I59" ca="1">INDIRECT(ADDRESS($A59,I$4,,,$B59))</f>
        <v>0</v>
      </c>
      <c r="J59" s="43" cm="1">
        <f t="array" aca="1" ref="J59" ca="1">INDIRECT(ADDRESS($A59,J$4,,,$B59))</f>
        <v>0</v>
      </c>
    </row>
    <row r="60" spans="1:10">
      <c r="A60" s="39">
        <f t="shared" si="2"/>
        <v>78</v>
      </c>
      <c r="B60" s="42" t="str">
        <f t="shared" si="1"/>
        <v>W2</v>
      </c>
      <c r="C60" s="43" cm="1">
        <f t="array" aca="1" ref="C60" ca="1">INDIRECT(ADDRESS($A60,C$4,,,$B60))</f>
        <v>0</v>
      </c>
      <c r="D60" s="43" cm="1">
        <f t="array" aca="1" ref="D60" ca="1">INDIRECT(ADDRESS($A60,D$4,,,$B60))</f>
        <v>0</v>
      </c>
      <c r="E60" s="43" cm="1">
        <f t="array" aca="1" ref="E60" ca="1">INDIRECT(ADDRESS($A60,E$4,,,$B60))</f>
        <v>0</v>
      </c>
      <c r="F60" s="43" cm="1">
        <f t="array" aca="1" ref="F60" ca="1">INDIRECT(ADDRESS($A60,F$4,,,$B60))</f>
        <v>0</v>
      </c>
      <c r="G60" s="43" cm="1">
        <f t="array" aca="1" ref="G60" ca="1">INDIRECT(ADDRESS($A60,G$4,,,$B60))</f>
        <v>0</v>
      </c>
      <c r="H60" s="307" cm="1">
        <f t="array" aca="1" ref="H60" ca="1">INDIRECT(ADDRESS($A60,H$4,,,$B60))</f>
        <v>0</v>
      </c>
      <c r="I60" s="307" cm="1">
        <f t="array" aca="1" ref="I60" ca="1">INDIRECT(ADDRESS($A60,I$4,,,$B60))</f>
        <v>0</v>
      </c>
      <c r="J60" s="43" cm="1">
        <f t="array" aca="1" ref="J60" ca="1">INDIRECT(ADDRESS($A60,J$4,,,$B60))</f>
        <v>0</v>
      </c>
    </row>
    <row r="61" spans="1:10">
      <c r="A61" s="39">
        <f t="shared" si="2"/>
        <v>79</v>
      </c>
      <c r="B61" s="42" t="str">
        <f t="shared" si="1"/>
        <v>W2</v>
      </c>
      <c r="C61" s="43" cm="1">
        <f t="array" aca="1" ref="C61" ca="1">INDIRECT(ADDRESS($A61,C$4,,,$B61))</f>
        <v>0</v>
      </c>
      <c r="D61" s="43" cm="1">
        <f t="array" aca="1" ref="D61" ca="1">INDIRECT(ADDRESS($A61,D$4,,,$B61))</f>
        <v>0</v>
      </c>
      <c r="E61" s="43" cm="1">
        <f t="array" aca="1" ref="E61" ca="1">INDIRECT(ADDRESS($A61,E$4,,,$B61))</f>
        <v>0</v>
      </c>
      <c r="F61" s="43" cm="1">
        <f t="array" aca="1" ref="F61" ca="1">INDIRECT(ADDRESS($A61,F$4,,,$B61))</f>
        <v>0</v>
      </c>
      <c r="G61" s="43" cm="1">
        <f t="array" aca="1" ref="G61" ca="1">INDIRECT(ADDRESS($A61,G$4,,,$B61))</f>
        <v>0</v>
      </c>
      <c r="H61" s="307" cm="1">
        <f t="array" aca="1" ref="H61" ca="1">INDIRECT(ADDRESS($A61,H$4,,,$B61))</f>
        <v>0</v>
      </c>
      <c r="I61" s="307" cm="1">
        <f t="array" aca="1" ref="I61" ca="1">INDIRECT(ADDRESS($A61,I$4,,,$B61))</f>
        <v>0</v>
      </c>
      <c r="J61" s="43" cm="1">
        <f t="array" aca="1" ref="J61" ca="1">INDIRECT(ADDRESS($A61,J$4,,,$B61))</f>
        <v>0</v>
      </c>
    </row>
    <row r="62" spans="1:10">
      <c r="A62" s="39">
        <f t="shared" si="2"/>
        <v>80</v>
      </c>
      <c r="B62" s="42" t="str">
        <f t="shared" si="1"/>
        <v>W2</v>
      </c>
      <c r="C62" s="43" cm="1">
        <f t="array" aca="1" ref="C62" ca="1">INDIRECT(ADDRESS($A62,C$4,,,$B62))</f>
        <v>0</v>
      </c>
      <c r="D62" s="43" cm="1">
        <f t="array" aca="1" ref="D62" ca="1">INDIRECT(ADDRESS($A62,D$4,,,$B62))</f>
        <v>0</v>
      </c>
      <c r="E62" s="43" cm="1">
        <f t="array" aca="1" ref="E62" ca="1">INDIRECT(ADDRESS($A62,E$4,,,$B62))</f>
        <v>0</v>
      </c>
      <c r="F62" s="43" cm="1">
        <f t="array" aca="1" ref="F62" ca="1">INDIRECT(ADDRESS($A62,F$4,,,$B62))</f>
        <v>0</v>
      </c>
      <c r="G62" s="43" cm="1">
        <f t="array" aca="1" ref="G62" ca="1">INDIRECT(ADDRESS($A62,G$4,,,$B62))</f>
        <v>0</v>
      </c>
      <c r="H62" s="307" cm="1">
        <f t="array" aca="1" ref="H62" ca="1">INDIRECT(ADDRESS($A62,H$4,,,$B62))</f>
        <v>0</v>
      </c>
      <c r="I62" s="307" cm="1">
        <f t="array" aca="1" ref="I62" ca="1">INDIRECT(ADDRESS($A62,I$4,,,$B62))</f>
        <v>0</v>
      </c>
      <c r="J62" s="43" cm="1">
        <f t="array" aca="1" ref="J62" ca="1">INDIRECT(ADDRESS($A62,J$4,,,$B62))</f>
        <v>0</v>
      </c>
    </row>
    <row r="63" spans="1:10">
      <c r="A63" s="39">
        <f t="shared" si="2"/>
        <v>81</v>
      </c>
      <c r="B63" s="42" t="str">
        <f t="shared" si="1"/>
        <v>W2</v>
      </c>
      <c r="C63" s="43" cm="1">
        <f t="array" aca="1" ref="C63" ca="1">INDIRECT(ADDRESS($A63,C$4,,,$B63))</f>
        <v>0</v>
      </c>
      <c r="D63" s="43" cm="1">
        <f t="array" aca="1" ref="D63" ca="1">INDIRECT(ADDRESS($A63,D$4,,,$B63))</f>
        <v>0</v>
      </c>
      <c r="E63" s="43" cm="1">
        <f t="array" aca="1" ref="E63" ca="1">INDIRECT(ADDRESS($A63,E$4,,,$B63))</f>
        <v>0</v>
      </c>
      <c r="F63" s="43" cm="1">
        <f t="array" aca="1" ref="F63" ca="1">INDIRECT(ADDRESS($A63,F$4,,,$B63))</f>
        <v>0</v>
      </c>
      <c r="G63" s="43" cm="1">
        <f t="array" aca="1" ref="G63" ca="1">INDIRECT(ADDRESS($A63,G$4,,,$B63))</f>
        <v>0</v>
      </c>
      <c r="H63" s="307" cm="1">
        <f t="array" aca="1" ref="H63" ca="1">INDIRECT(ADDRESS($A63,H$4,,,$B63))</f>
        <v>0</v>
      </c>
      <c r="I63" s="307" cm="1">
        <f t="array" aca="1" ref="I63" ca="1">INDIRECT(ADDRESS($A63,I$4,,,$B63))</f>
        <v>0</v>
      </c>
      <c r="J63" s="43" cm="1">
        <f t="array" aca="1" ref="J63" ca="1">INDIRECT(ADDRESS($A63,J$4,,,$B63))</f>
        <v>0</v>
      </c>
    </row>
    <row r="64" spans="1:10">
      <c r="A64" s="39">
        <f t="shared" si="2"/>
        <v>82</v>
      </c>
      <c r="B64" s="42" t="str">
        <f t="shared" si="1"/>
        <v>W2</v>
      </c>
      <c r="C64" s="43" cm="1">
        <f t="array" aca="1" ref="C64" ca="1">INDIRECT(ADDRESS($A64,C$4,,,$B64))</f>
        <v>0</v>
      </c>
      <c r="D64" s="43" cm="1">
        <f t="array" aca="1" ref="D64" ca="1">INDIRECT(ADDRESS($A64,D$4,,,$B64))</f>
        <v>0</v>
      </c>
      <c r="E64" s="43" cm="1">
        <f t="array" aca="1" ref="E64" ca="1">INDIRECT(ADDRESS($A64,E$4,,,$B64))</f>
        <v>0</v>
      </c>
      <c r="F64" s="43" cm="1">
        <f t="array" aca="1" ref="F64" ca="1">INDIRECT(ADDRESS($A64,F$4,,,$B64))</f>
        <v>0</v>
      </c>
      <c r="G64" s="43" cm="1">
        <f t="array" aca="1" ref="G64" ca="1">INDIRECT(ADDRESS($A64,G$4,,,$B64))</f>
        <v>0</v>
      </c>
      <c r="H64" s="43" cm="1">
        <f t="array" aca="1" ref="H64" ca="1">INDIRECT(ADDRESS($A64,H$4,,,$B64))</f>
        <v>0</v>
      </c>
      <c r="I64" s="43" cm="1">
        <f t="array" aca="1" ref="I64" ca="1">INDIRECT(ADDRESS($A64,I$4,,,$B64))</f>
        <v>0</v>
      </c>
      <c r="J64" s="43" cm="1">
        <f t="array" aca="1" ref="J64" ca="1">INDIRECT(ADDRESS($A64,J$4,,,$B64))</f>
        <v>0</v>
      </c>
    </row>
    <row r="65" spans="1:10">
      <c r="A65" s="39">
        <f t="shared" si="2"/>
        <v>83</v>
      </c>
      <c r="B65" s="42" t="str">
        <f t="shared" si="1"/>
        <v>W2</v>
      </c>
      <c r="C65" s="43" cm="1">
        <f t="array" aca="1" ref="C65" ca="1">INDIRECT(ADDRESS($A65,C$4,,,$B65))</f>
        <v>0</v>
      </c>
      <c r="D65" s="43" cm="1">
        <f t="array" aca="1" ref="D65" ca="1">INDIRECT(ADDRESS($A65,D$4,,,$B65))</f>
        <v>0</v>
      </c>
      <c r="E65" s="43" cm="1">
        <f t="array" aca="1" ref="E65" ca="1">INDIRECT(ADDRESS($A65,E$4,,,$B65))</f>
        <v>0</v>
      </c>
      <c r="F65" s="43" cm="1">
        <f t="array" aca="1" ref="F65" ca="1">INDIRECT(ADDRESS($A65,F$4,,,$B65))</f>
        <v>0</v>
      </c>
      <c r="G65" s="43" cm="1">
        <f t="array" aca="1" ref="G65" ca="1">INDIRECT(ADDRESS($A65,G$4,,,$B65))</f>
        <v>0</v>
      </c>
      <c r="H65" s="43" cm="1">
        <f t="array" aca="1" ref="H65" ca="1">INDIRECT(ADDRESS($A65,H$4,,,$B65))</f>
        <v>0</v>
      </c>
      <c r="I65" s="43" cm="1">
        <f t="array" aca="1" ref="I65" ca="1">INDIRECT(ADDRESS($A65,I$4,,,$B65))</f>
        <v>0</v>
      </c>
      <c r="J65" s="43" cm="1">
        <f t="array" aca="1" ref="J65" ca="1">INDIRECT(ADDRESS($A65,J$4,,,$B65))</f>
        <v>0</v>
      </c>
    </row>
    <row r="66" spans="1:10">
      <c r="A66" s="39">
        <f t="shared" si="2"/>
        <v>84</v>
      </c>
      <c r="B66" s="42" t="str">
        <f t="shared" si="1"/>
        <v>W2</v>
      </c>
      <c r="C66" s="43" cm="1">
        <f t="array" aca="1" ref="C66" ca="1">INDIRECT(ADDRESS($A66,C$4,,,$B66))</f>
        <v>0</v>
      </c>
      <c r="D66" s="43" cm="1">
        <f t="array" aca="1" ref="D66" ca="1">INDIRECT(ADDRESS($A66,D$4,,,$B66))</f>
        <v>0</v>
      </c>
      <c r="E66" s="43" cm="1">
        <f t="array" aca="1" ref="E66" ca="1">INDIRECT(ADDRESS($A66,E$4,,,$B66))</f>
        <v>0</v>
      </c>
      <c r="F66" s="43" cm="1">
        <f t="array" aca="1" ref="F66" ca="1">INDIRECT(ADDRESS($A66,F$4,,,$B66))</f>
        <v>0</v>
      </c>
      <c r="G66" s="43" cm="1">
        <f t="array" aca="1" ref="G66" ca="1">INDIRECT(ADDRESS($A66,G$4,,,$B66))</f>
        <v>0</v>
      </c>
      <c r="H66" s="43" cm="1">
        <f t="array" aca="1" ref="H66" ca="1">INDIRECT(ADDRESS($A66,H$4,,,$B66))</f>
        <v>0</v>
      </c>
      <c r="I66" s="43" cm="1">
        <f t="array" aca="1" ref="I66" ca="1">INDIRECT(ADDRESS($A66,I$4,,,$B66))</f>
        <v>0</v>
      </c>
      <c r="J66" s="43" cm="1">
        <f t="array" aca="1" ref="J66" ca="1">INDIRECT(ADDRESS($A66,J$4,,,$B66))</f>
        <v>0</v>
      </c>
    </row>
    <row r="67" spans="1:10">
      <c r="A67" s="39">
        <f t="shared" si="2"/>
        <v>85</v>
      </c>
      <c r="B67" s="42" t="str">
        <f t="shared" si="1"/>
        <v>W2</v>
      </c>
      <c r="C67" s="43" cm="1">
        <f t="array" aca="1" ref="C67" ca="1">INDIRECT(ADDRESS($A67,C$4,,,$B67))</f>
        <v>0</v>
      </c>
      <c r="D67" s="43" cm="1">
        <f t="array" aca="1" ref="D67" ca="1">INDIRECT(ADDRESS($A67,D$4,,,$B67))</f>
        <v>0</v>
      </c>
      <c r="E67" s="43" cm="1">
        <f t="array" aca="1" ref="E67" ca="1">INDIRECT(ADDRESS($A67,E$4,,,$B67))</f>
        <v>0</v>
      </c>
      <c r="F67" s="43" cm="1">
        <f t="array" aca="1" ref="F67" ca="1">INDIRECT(ADDRESS($A67,F$4,,,$B67))</f>
        <v>0</v>
      </c>
      <c r="G67" s="43" cm="1">
        <f t="array" aca="1" ref="G67" ca="1">INDIRECT(ADDRESS($A67,G$4,,,$B67))</f>
        <v>0</v>
      </c>
      <c r="H67" s="43" cm="1">
        <f t="array" aca="1" ref="H67" ca="1">INDIRECT(ADDRESS($A67,H$4,,,$B67))</f>
        <v>0</v>
      </c>
      <c r="I67" s="43" cm="1">
        <f t="array" aca="1" ref="I67" ca="1">INDIRECT(ADDRESS($A67,I$4,,,$B67))</f>
        <v>0</v>
      </c>
      <c r="J67" s="43" cm="1">
        <f t="array" aca="1" ref="J67" ca="1">INDIRECT(ADDRESS($A67,J$4,,,$B67))</f>
        <v>0</v>
      </c>
    </row>
    <row r="68" spans="1:10">
      <c r="A68" s="39">
        <f t="shared" si="2"/>
        <v>86</v>
      </c>
      <c r="B68" s="42" t="str">
        <f t="shared" si="1"/>
        <v>W2</v>
      </c>
      <c r="C68" s="43" cm="1">
        <f t="array" aca="1" ref="C68" ca="1">INDIRECT(ADDRESS($A68,C$4,,,$B68))</f>
        <v>0</v>
      </c>
      <c r="D68" s="43" cm="1">
        <f t="array" aca="1" ref="D68" ca="1">INDIRECT(ADDRESS($A68,D$4,,,$B68))</f>
        <v>0</v>
      </c>
      <c r="E68" s="43" cm="1">
        <f t="array" aca="1" ref="E68" ca="1">INDIRECT(ADDRESS($A68,E$4,,,$B68))</f>
        <v>0</v>
      </c>
      <c r="F68" s="43" cm="1">
        <f t="array" aca="1" ref="F68" ca="1">INDIRECT(ADDRESS($A68,F$4,,,$B68))</f>
        <v>0</v>
      </c>
      <c r="G68" s="43" cm="1">
        <f t="array" aca="1" ref="G68" ca="1">INDIRECT(ADDRESS($A68,G$4,,,$B68))</f>
        <v>0</v>
      </c>
      <c r="H68" s="43" cm="1">
        <f t="array" aca="1" ref="H68" ca="1">INDIRECT(ADDRESS($A68,H$4,,,$B68))</f>
        <v>0</v>
      </c>
      <c r="I68" s="43" cm="1">
        <f t="array" aca="1" ref="I68" ca="1">INDIRECT(ADDRESS($A68,I$4,,,$B68))</f>
        <v>0</v>
      </c>
      <c r="J68" s="43" cm="1">
        <f t="array" aca="1" ref="J68" ca="1">INDIRECT(ADDRESS($A68,J$4,,,$B68))</f>
        <v>0</v>
      </c>
    </row>
    <row r="69" spans="1:10">
      <c r="A69" s="39">
        <f t="shared" si="2"/>
        <v>87</v>
      </c>
      <c r="B69" s="42" t="str">
        <f t="shared" si="1"/>
        <v>W2</v>
      </c>
      <c r="C69" s="43" cm="1">
        <f t="array" aca="1" ref="C69" ca="1">INDIRECT(ADDRESS($A69,C$4,,,$B69))</f>
        <v>0</v>
      </c>
      <c r="D69" s="43" cm="1">
        <f t="array" aca="1" ref="D69" ca="1">INDIRECT(ADDRESS($A69,D$4,,,$B69))</f>
        <v>0</v>
      </c>
      <c r="E69" s="43" cm="1">
        <f t="array" aca="1" ref="E69" ca="1">INDIRECT(ADDRESS($A69,E$4,,,$B69))</f>
        <v>0</v>
      </c>
      <c r="F69" s="43" cm="1">
        <f t="array" aca="1" ref="F69" ca="1">INDIRECT(ADDRESS($A69,F$4,,,$B69))</f>
        <v>0</v>
      </c>
      <c r="G69" s="43" cm="1">
        <f t="array" aca="1" ref="G69" ca="1">INDIRECT(ADDRESS($A69,G$4,,,$B69))</f>
        <v>0</v>
      </c>
      <c r="H69" s="43" cm="1">
        <f t="array" aca="1" ref="H69" ca="1">INDIRECT(ADDRESS($A69,H$4,,,$B69))</f>
        <v>0</v>
      </c>
      <c r="I69" s="43" cm="1">
        <f t="array" aca="1" ref="I69" ca="1">INDIRECT(ADDRESS($A69,I$4,,,$B69))</f>
        <v>0</v>
      </c>
      <c r="J69" s="43" cm="1">
        <f t="array" aca="1" ref="J69" ca="1">INDIRECT(ADDRESS($A69,J$4,,,$B69))</f>
        <v>0</v>
      </c>
    </row>
    <row r="70" spans="1:10">
      <c r="A70" s="39">
        <f t="shared" si="2"/>
        <v>88</v>
      </c>
      <c r="B70" s="42" t="str">
        <f t="shared" si="1"/>
        <v>W2</v>
      </c>
      <c r="C70" s="43" cm="1">
        <f t="array" aca="1" ref="C70" ca="1">INDIRECT(ADDRESS($A70,C$4,,,$B70))</f>
        <v>0</v>
      </c>
      <c r="D70" s="43" cm="1">
        <f t="array" aca="1" ref="D70" ca="1">INDIRECT(ADDRESS($A70,D$4,,,$B70))</f>
        <v>0</v>
      </c>
      <c r="E70" s="43" cm="1">
        <f t="array" aca="1" ref="E70" ca="1">INDIRECT(ADDRESS($A70,E$4,,,$B70))</f>
        <v>0</v>
      </c>
      <c r="F70" s="43" cm="1">
        <f t="array" aca="1" ref="F70" ca="1">INDIRECT(ADDRESS($A70,F$4,,,$B70))</f>
        <v>0</v>
      </c>
      <c r="G70" s="43" cm="1">
        <f t="array" aca="1" ref="G70" ca="1">INDIRECT(ADDRESS($A70,G$4,,,$B70))</f>
        <v>0</v>
      </c>
      <c r="H70" s="43" cm="1">
        <f t="array" aca="1" ref="H70" ca="1">INDIRECT(ADDRESS($A70,H$4,,,$B70))</f>
        <v>0</v>
      </c>
      <c r="I70" s="43" cm="1">
        <f t="array" aca="1" ref="I70" ca="1">INDIRECT(ADDRESS($A70,I$4,,,$B70))</f>
        <v>0</v>
      </c>
      <c r="J70" s="43" cm="1">
        <f t="array" aca="1" ref="J70" ca="1">INDIRECT(ADDRESS($A70,J$4,,,$B70))</f>
        <v>0</v>
      </c>
    </row>
    <row r="71" spans="1:10">
      <c r="A71" s="39">
        <f t="shared" si="2"/>
        <v>89</v>
      </c>
      <c r="B71" s="42" t="str">
        <f t="shared" ref="B71:B134" si="3">+$D$2</f>
        <v>W2</v>
      </c>
      <c r="C71" s="43" cm="1">
        <f t="array" aca="1" ref="C71" ca="1">INDIRECT(ADDRESS($A71,C$4,,,$B71))</f>
        <v>0</v>
      </c>
      <c r="D71" s="43" cm="1">
        <f t="array" aca="1" ref="D71" ca="1">INDIRECT(ADDRESS($A71,D$4,,,$B71))</f>
        <v>0</v>
      </c>
      <c r="E71" s="43" cm="1">
        <f t="array" aca="1" ref="E71" ca="1">INDIRECT(ADDRESS($A71,E$4,,,$B71))</f>
        <v>0</v>
      </c>
      <c r="F71" s="43" cm="1">
        <f t="array" aca="1" ref="F71" ca="1">INDIRECT(ADDRESS($A71,F$4,,,$B71))</f>
        <v>0</v>
      </c>
      <c r="G71" s="43" cm="1">
        <f t="array" aca="1" ref="G71" ca="1">INDIRECT(ADDRESS($A71,G$4,,,$B71))</f>
        <v>0</v>
      </c>
      <c r="H71" s="43" cm="1">
        <f t="array" aca="1" ref="H71" ca="1">INDIRECT(ADDRESS($A71,H$4,,,$B71))</f>
        <v>0</v>
      </c>
      <c r="I71" s="43" cm="1">
        <f t="array" aca="1" ref="I71" ca="1">INDIRECT(ADDRESS($A71,I$4,,,$B71))</f>
        <v>0</v>
      </c>
      <c r="J71" s="43" cm="1">
        <f t="array" aca="1" ref="J71" ca="1">INDIRECT(ADDRESS($A71,J$4,,,$B71))</f>
        <v>0</v>
      </c>
    </row>
    <row r="72" spans="1:10">
      <c r="A72" s="39">
        <f t="shared" ref="A72:A135" si="4">+A71+1</f>
        <v>90</v>
      </c>
      <c r="B72" s="42" t="str">
        <f t="shared" si="3"/>
        <v>W2</v>
      </c>
      <c r="C72" s="43" cm="1">
        <f t="array" aca="1" ref="C72" ca="1">INDIRECT(ADDRESS($A72,C$4,,,$B72))</f>
        <v>0</v>
      </c>
      <c r="D72" s="43" cm="1">
        <f t="array" aca="1" ref="D72" ca="1">INDIRECT(ADDRESS($A72,D$4,,,$B72))</f>
        <v>0</v>
      </c>
      <c r="E72" s="43" cm="1">
        <f t="array" aca="1" ref="E72" ca="1">INDIRECT(ADDRESS($A72,E$4,,,$B72))</f>
        <v>0</v>
      </c>
      <c r="F72" s="43" cm="1">
        <f t="array" aca="1" ref="F72" ca="1">INDIRECT(ADDRESS($A72,F$4,,,$B72))</f>
        <v>0</v>
      </c>
      <c r="G72" s="43" cm="1">
        <f t="array" aca="1" ref="G72" ca="1">INDIRECT(ADDRESS($A72,G$4,,,$B72))</f>
        <v>0</v>
      </c>
      <c r="H72" s="43" cm="1">
        <f t="array" aca="1" ref="H72" ca="1">INDIRECT(ADDRESS($A72,H$4,,,$B72))</f>
        <v>0</v>
      </c>
      <c r="I72" s="43" cm="1">
        <f t="array" aca="1" ref="I72" ca="1">INDIRECT(ADDRESS($A72,I$4,,,$B72))</f>
        <v>0</v>
      </c>
      <c r="J72" s="43" cm="1">
        <f t="array" aca="1" ref="J72" ca="1">INDIRECT(ADDRESS($A72,J$4,,,$B72))</f>
        <v>0</v>
      </c>
    </row>
    <row r="73" spans="1:10">
      <c r="A73" s="39">
        <f t="shared" si="4"/>
        <v>91</v>
      </c>
      <c r="B73" s="42" t="str">
        <f t="shared" si="3"/>
        <v>W2</v>
      </c>
      <c r="C73" s="43" cm="1">
        <f t="array" aca="1" ref="C73" ca="1">INDIRECT(ADDRESS($A73,C$4,,,$B73))</f>
        <v>0</v>
      </c>
      <c r="D73" s="43" cm="1">
        <f t="array" aca="1" ref="D73" ca="1">INDIRECT(ADDRESS($A73,D$4,,,$B73))</f>
        <v>0</v>
      </c>
      <c r="E73" s="43" cm="1">
        <f t="array" aca="1" ref="E73" ca="1">INDIRECT(ADDRESS($A73,E$4,,,$B73))</f>
        <v>0</v>
      </c>
      <c r="F73" s="43" cm="1">
        <f t="array" aca="1" ref="F73" ca="1">INDIRECT(ADDRESS($A73,F$4,,,$B73))</f>
        <v>0</v>
      </c>
      <c r="G73" s="43" cm="1">
        <f t="array" aca="1" ref="G73" ca="1">INDIRECT(ADDRESS($A73,G$4,,,$B73))</f>
        <v>0</v>
      </c>
      <c r="H73" s="43" cm="1">
        <f t="array" aca="1" ref="H73" ca="1">INDIRECT(ADDRESS($A73,H$4,,,$B73))</f>
        <v>0</v>
      </c>
      <c r="I73" s="43" cm="1">
        <f t="array" aca="1" ref="I73" ca="1">INDIRECT(ADDRESS($A73,I$4,,,$B73))</f>
        <v>0</v>
      </c>
      <c r="J73" s="43" cm="1">
        <f t="array" aca="1" ref="J73" ca="1">INDIRECT(ADDRESS($A73,J$4,,,$B73))</f>
        <v>0</v>
      </c>
    </row>
    <row r="74" spans="1:10">
      <c r="A74" s="39">
        <f t="shared" si="4"/>
        <v>92</v>
      </c>
      <c r="B74" s="42" t="str">
        <f t="shared" si="3"/>
        <v>W2</v>
      </c>
      <c r="C74" s="43" cm="1">
        <f t="array" aca="1" ref="C74" ca="1">INDIRECT(ADDRESS($A74,C$4,,,$B74))</f>
        <v>0</v>
      </c>
      <c r="D74" s="43" cm="1">
        <f t="array" aca="1" ref="D74" ca="1">INDIRECT(ADDRESS($A74,D$4,,,$B74))</f>
        <v>0</v>
      </c>
      <c r="E74" s="43" cm="1">
        <f t="array" aca="1" ref="E74" ca="1">INDIRECT(ADDRESS($A74,E$4,,,$B74))</f>
        <v>0</v>
      </c>
      <c r="F74" s="43" cm="1">
        <f t="array" aca="1" ref="F74" ca="1">INDIRECT(ADDRESS($A74,F$4,,,$B74))</f>
        <v>0</v>
      </c>
      <c r="G74" s="43" cm="1">
        <f t="array" aca="1" ref="G74" ca="1">INDIRECT(ADDRESS($A74,G$4,,,$B74))</f>
        <v>0</v>
      </c>
      <c r="H74" s="43" cm="1">
        <f t="array" aca="1" ref="H74" ca="1">INDIRECT(ADDRESS($A74,H$4,,,$B74))</f>
        <v>0</v>
      </c>
      <c r="I74" s="43" cm="1">
        <f t="array" aca="1" ref="I74" ca="1">INDIRECT(ADDRESS($A74,I$4,,,$B74))</f>
        <v>0</v>
      </c>
      <c r="J74" s="43" cm="1">
        <f t="array" aca="1" ref="J74" ca="1">INDIRECT(ADDRESS($A74,J$4,,,$B74))</f>
        <v>0</v>
      </c>
    </row>
    <row r="75" spans="1:10">
      <c r="A75" s="39">
        <f t="shared" si="4"/>
        <v>93</v>
      </c>
      <c r="B75" s="42" t="str">
        <f t="shared" si="3"/>
        <v>W2</v>
      </c>
      <c r="C75" s="43" cm="1">
        <f t="array" aca="1" ref="C75" ca="1">INDIRECT(ADDRESS($A75,C$4,,,$B75))</f>
        <v>0</v>
      </c>
      <c r="D75" s="43" cm="1">
        <f t="array" aca="1" ref="D75" ca="1">INDIRECT(ADDRESS($A75,D$4,,,$B75))</f>
        <v>0</v>
      </c>
      <c r="E75" s="43" cm="1">
        <f t="array" aca="1" ref="E75" ca="1">INDIRECT(ADDRESS($A75,E$4,,,$B75))</f>
        <v>0</v>
      </c>
      <c r="F75" s="43" cm="1">
        <f t="array" aca="1" ref="F75" ca="1">INDIRECT(ADDRESS($A75,F$4,,,$B75))</f>
        <v>0</v>
      </c>
      <c r="G75" s="43" cm="1">
        <f t="array" aca="1" ref="G75" ca="1">INDIRECT(ADDRESS($A75,G$4,,,$B75))</f>
        <v>0</v>
      </c>
      <c r="H75" s="43" cm="1">
        <f t="array" aca="1" ref="H75" ca="1">INDIRECT(ADDRESS($A75,H$4,,,$B75))</f>
        <v>0</v>
      </c>
      <c r="I75" s="43" cm="1">
        <f t="array" aca="1" ref="I75" ca="1">INDIRECT(ADDRESS($A75,I$4,,,$B75))</f>
        <v>0</v>
      </c>
      <c r="J75" s="43" cm="1">
        <f t="array" aca="1" ref="J75" ca="1">INDIRECT(ADDRESS($A75,J$4,,,$B75))</f>
        <v>0</v>
      </c>
    </row>
    <row r="76" spans="1:10">
      <c r="A76" s="39">
        <f t="shared" si="4"/>
        <v>94</v>
      </c>
      <c r="B76" s="42" t="str">
        <f t="shared" si="3"/>
        <v>W2</v>
      </c>
      <c r="C76" s="43" cm="1">
        <f t="array" aca="1" ref="C76" ca="1">INDIRECT(ADDRESS($A76,C$4,,,$B76))</f>
        <v>0</v>
      </c>
      <c r="D76" s="43" cm="1">
        <f t="array" aca="1" ref="D76" ca="1">INDIRECT(ADDRESS($A76,D$4,,,$B76))</f>
        <v>0</v>
      </c>
      <c r="E76" s="43" cm="1">
        <f t="array" aca="1" ref="E76" ca="1">INDIRECT(ADDRESS($A76,E$4,,,$B76))</f>
        <v>0</v>
      </c>
      <c r="F76" s="43" cm="1">
        <f t="array" aca="1" ref="F76" ca="1">INDIRECT(ADDRESS($A76,F$4,,,$B76))</f>
        <v>0</v>
      </c>
      <c r="G76" s="43" cm="1">
        <f t="array" aca="1" ref="G76" ca="1">INDIRECT(ADDRESS($A76,G$4,,,$B76))</f>
        <v>0</v>
      </c>
      <c r="H76" s="43" cm="1">
        <f t="array" aca="1" ref="H76" ca="1">INDIRECT(ADDRESS($A76,H$4,,,$B76))</f>
        <v>0</v>
      </c>
      <c r="I76" s="43" cm="1">
        <f t="array" aca="1" ref="I76" ca="1">INDIRECT(ADDRESS($A76,I$4,,,$B76))</f>
        <v>0</v>
      </c>
      <c r="J76" s="43" cm="1">
        <f t="array" aca="1" ref="J76" ca="1">INDIRECT(ADDRESS($A76,J$4,,,$B76))</f>
        <v>0</v>
      </c>
    </row>
    <row r="77" spans="1:10">
      <c r="A77" s="39">
        <f t="shared" si="4"/>
        <v>95</v>
      </c>
      <c r="B77" s="42" t="str">
        <f t="shared" si="3"/>
        <v>W2</v>
      </c>
      <c r="C77" s="43" cm="1">
        <f t="array" aca="1" ref="C77" ca="1">INDIRECT(ADDRESS($A77,C$4,,,$B77))</f>
        <v>0</v>
      </c>
      <c r="D77" s="43" cm="1">
        <f t="array" aca="1" ref="D77" ca="1">INDIRECT(ADDRESS($A77,D$4,,,$B77))</f>
        <v>0</v>
      </c>
      <c r="E77" s="43" cm="1">
        <f t="array" aca="1" ref="E77" ca="1">INDIRECT(ADDRESS($A77,E$4,,,$B77))</f>
        <v>0</v>
      </c>
      <c r="F77" s="43" cm="1">
        <f t="array" aca="1" ref="F77" ca="1">INDIRECT(ADDRESS($A77,F$4,,,$B77))</f>
        <v>0</v>
      </c>
      <c r="G77" s="43" cm="1">
        <f t="array" aca="1" ref="G77" ca="1">INDIRECT(ADDRESS($A77,G$4,,,$B77))</f>
        <v>0</v>
      </c>
      <c r="H77" s="43" cm="1">
        <f t="array" aca="1" ref="H77" ca="1">INDIRECT(ADDRESS($A77,H$4,,,$B77))</f>
        <v>0</v>
      </c>
      <c r="I77" s="43" cm="1">
        <f t="array" aca="1" ref="I77" ca="1">INDIRECT(ADDRESS($A77,I$4,,,$B77))</f>
        <v>0</v>
      </c>
      <c r="J77" s="43" cm="1">
        <f t="array" aca="1" ref="J77" ca="1">INDIRECT(ADDRESS($A77,J$4,,,$B77))</f>
        <v>0</v>
      </c>
    </row>
    <row r="78" spans="1:10">
      <c r="A78" s="39">
        <f t="shared" si="4"/>
        <v>96</v>
      </c>
      <c r="B78" s="42" t="str">
        <f t="shared" si="3"/>
        <v>W2</v>
      </c>
      <c r="C78" s="43" cm="1">
        <f t="array" aca="1" ref="C78" ca="1">INDIRECT(ADDRESS($A78,C$4,,,$B78))</f>
        <v>0</v>
      </c>
      <c r="D78" s="43" cm="1">
        <f t="array" aca="1" ref="D78" ca="1">INDIRECT(ADDRESS($A78,D$4,,,$B78))</f>
        <v>0</v>
      </c>
      <c r="E78" s="43" cm="1">
        <f t="array" aca="1" ref="E78" ca="1">INDIRECT(ADDRESS($A78,E$4,,,$B78))</f>
        <v>0</v>
      </c>
      <c r="F78" s="43" cm="1">
        <f t="array" aca="1" ref="F78" ca="1">INDIRECT(ADDRESS($A78,F$4,,,$B78))</f>
        <v>0</v>
      </c>
      <c r="G78" s="43" cm="1">
        <f t="array" aca="1" ref="G78" ca="1">INDIRECT(ADDRESS($A78,G$4,,,$B78))</f>
        <v>0</v>
      </c>
      <c r="H78" s="43" cm="1">
        <f t="array" aca="1" ref="H78" ca="1">INDIRECT(ADDRESS($A78,H$4,,,$B78))</f>
        <v>0</v>
      </c>
      <c r="I78" s="43" cm="1">
        <f t="array" aca="1" ref="I78" ca="1">INDIRECT(ADDRESS($A78,I$4,,,$B78))</f>
        <v>0</v>
      </c>
      <c r="J78" s="43" cm="1">
        <f t="array" aca="1" ref="J78" ca="1">INDIRECT(ADDRESS($A78,J$4,,,$B78))</f>
        <v>0</v>
      </c>
    </row>
    <row r="79" spans="1:10">
      <c r="A79" s="39">
        <f t="shared" si="4"/>
        <v>97</v>
      </c>
      <c r="B79" s="42" t="str">
        <f t="shared" si="3"/>
        <v>W2</v>
      </c>
      <c r="C79" s="43" cm="1">
        <f t="array" aca="1" ref="C79" ca="1">INDIRECT(ADDRESS($A79,C$4,,,$B79))</f>
        <v>0</v>
      </c>
      <c r="D79" s="43" cm="1">
        <f t="array" aca="1" ref="D79" ca="1">INDIRECT(ADDRESS($A79,D$4,,,$B79))</f>
        <v>0</v>
      </c>
      <c r="E79" s="43" cm="1">
        <f t="array" aca="1" ref="E79" ca="1">INDIRECT(ADDRESS($A79,E$4,,,$B79))</f>
        <v>0</v>
      </c>
      <c r="F79" s="43" cm="1">
        <f t="array" aca="1" ref="F79" ca="1">INDIRECT(ADDRESS($A79,F$4,,,$B79))</f>
        <v>0</v>
      </c>
      <c r="G79" s="43" cm="1">
        <f t="array" aca="1" ref="G79" ca="1">INDIRECT(ADDRESS($A79,G$4,,,$B79))</f>
        <v>0</v>
      </c>
      <c r="H79" s="43" cm="1">
        <f t="array" aca="1" ref="H79" ca="1">INDIRECT(ADDRESS($A79,H$4,,,$B79))</f>
        <v>0</v>
      </c>
      <c r="I79" s="43" cm="1">
        <f t="array" aca="1" ref="I79" ca="1">INDIRECT(ADDRESS($A79,I$4,,,$B79))</f>
        <v>0</v>
      </c>
      <c r="J79" s="43" cm="1">
        <f t="array" aca="1" ref="J79" ca="1">INDIRECT(ADDRESS($A79,J$4,,,$B79))</f>
        <v>0</v>
      </c>
    </row>
    <row r="80" spans="1:10">
      <c r="A80" s="39">
        <f t="shared" si="4"/>
        <v>98</v>
      </c>
      <c r="B80" s="42" t="str">
        <f t="shared" si="3"/>
        <v>W2</v>
      </c>
      <c r="C80" s="43" cm="1">
        <f t="array" aca="1" ref="C80" ca="1">INDIRECT(ADDRESS($A80,C$4,,,$B80))</f>
        <v>0</v>
      </c>
      <c r="D80" s="43" cm="1">
        <f t="array" aca="1" ref="D80" ca="1">INDIRECT(ADDRESS($A80,D$4,,,$B80))</f>
        <v>0</v>
      </c>
      <c r="E80" s="43" cm="1">
        <f t="array" aca="1" ref="E80" ca="1">INDIRECT(ADDRESS($A80,E$4,,,$B80))</f>
        <v>0</v>
      </c>
      <c r="F80" s="43" cm="1">
        <f t="array" aca="1" ref="F80" ca="1">INDIRECT(ADDRESS($A80,F$4,,,$B80))</f>
        <v>0</v>
      </c>
      <c r="G80" s="43" cm="1">
        <f t="array" aca="1" ref="G80" ca="1">INDIRECT(ADDRESS($A80,G$4,,,$B80))</f>
        <v>0</v>
      </c>
      <c r="H80" s="43" cm="1">
        <f t="array" aca="1" ref="H80" ca="1">INDIRECT(ADDRESS($A80,H$4,,,$B80))</f>
        <v>0</v>
      </c>
      <c r="I80" s="43" cm="1">
        <f t="array" aca="1" ref="I80" ca="1">INDIRECT(ADDRESS($A80,I$4,,,$B80))</f>
        <v>0</v>
      </c>
      <c r="J80" s="43" cm="1">
        <f t="array" aca="1" ref="J80" ca="1">INDIRECT(ADDRESS($A80,J$4,,,$B80))</f>
        <v>0</v>
      </c>
    </row>
    <row r="81" spans="1:10">
      <c r="A81" s="39">
        <f t="shared" si="4"/>
        <v>99</v>
      </c>
      <c r="B81" s="42" t="str">
        <f t="shared" si="3"/>
        <v>W2</v>
      </c>
      <c r="C81" s="43" cm="1">
        <f t="array" aca="1" ref="C81" ca="1">INDIRECT(ADDRESS($A81,C$4,,,$B81))</f>
        <v>0</v>
      </c>
      <c r="D81" s="43" cm="1">
        <f t="array" aca="1" ref="D81" ca="1">INDIRECT(ADDRESS($A81,D$4,,,$B81))</f>
        <v>0</v>
      </c>
      <c r="E81" s="43" cm="1">
        <f t="array" aca="1" ref="E81" ca="1">INDIRECT(ADDRESS($A81,E$4,,,$B81))</f>
        <v>0</v>
      </c>
      <c r="F81" s="43" cm="1">
        <f t="array" aca="1" ref="F81" ca="1">INDIRECT(ADDRESS($A81,F$4,,,$B81))</f>
        <v>0</v>
      </c>
      <c r="G81" s="43" cm="1">
        <f t="array" aca="1" ref="G81" ca="1">INDIRECT(ADDRESS($A81,G$4,,,$B81))</f>
        <v>0</v>
      </c>
      <c r="H81" s="43" cm="1">
        <f t="array" aca="1" ref="H81" ca="1">INDIRECT(ADDRESS($A81,H$4,,,$B81))</f>
        <v>0</v>
      </c>
      <c r="I81" s="43" cm="1">
        <f t="array" aca="1" ref="I81" ca="1">INDIRECT(ADDRESS($A81,I$4,,,$B81))</f>
        <v>0</v>
      </c>
      <c r="J81" s="43" cm="1">
        <f t="array" aca="1" ref="J81" ca="1">INDIRECT(ADDRESS($A81,J$4,,,$B81))</f>
        <v>0</v>
      </c>
    </row>
    <row r="82" spans="1:10">
      <c r="A82" s="39">
        <f t="shared" si="4"/>
        <v>100</v>
      </c>
      <c r="B82" s="42" t="str">
        <f t="shared" si="3"/>
        <v>W2</v>
      </c>
      <c r="C82" s="43" cm="1">
        <f t="array" aca="1" ref="C82" ca="1">INDIRECT(ADDRESS($A82,C$4,,,$B82))</f>
        <v>0</v>
      </c>
      <c r="D82" s="43" cm="1">
        <f t="array" aca="1" ref="D82" ca="1">INDIRECT(ADDRESS($A82,D$4,,,$B82))</f>
        <v>0</v>
      </c>
      <c r="E82" s="43" cm="1">
        <f t="array" aca="1" ref="E82" ca="1">INDIRECT(ADDRESS($A82,E$4,,,$B82))</f>
        <v>0</v>
      </c>
      <c r="F82" s="43" cm="1">
        <f t="array" aca="1" ref="F82" ca="1">INDIRECT(ADDRESS($A82,F$4,,,$B82))</f>
        <v>0</v>
      </c>
      <c r="G82" s="43" cm="1">
        <f t="array" aca="1" ref="G82" ca="1">INDIRECT(ADDRESS($A82,G$4,,,$B82))</f>
        <v>0</v>
      </c>
      <c r="H82" s="43" cm="1">
        <f t="array" aca="1" ref="H82" ca="1">INDIRECT(ADDRESS($A82,H$4,,,$B82))</f>
        <v>0</v>
      </c>
      <c r="I82" s="43" cm="1">
        <f t="array" aca="1" ref="I82" ca="1">INDIRECT(ADDRESS($A82,I$4,,,$B82))</f>
        <v>0</v>
      </c>
      <c r="J82" s="43" cm="1">
        <f t="array" aca="1" ref="J82" ca="1">INDIRECT(ADDRESS($A82,J$4,,,$B82))</f>
        <v>0</v>
      </c>
    </row>
    <row r="83" spans="1:10">
      <c r="A83" s="39">
        <f t="shared" si="4"/>
        <v>101</v>
      </c>
      <c r="B83" s="42" t="str">
        <f t="shared" si="3"/>
        <v>W2</v>
      </c>
      <c r="C83" s="43" cm="1">
        <f t="array" aca="1" ref="C83" ca="1">INDIRECT(ADDRESS($A83,C$4,,,$B83))</f>
        <v>0</v>
      </c>
      <c r="D83" s="43" cm="1">
        <f t="array" aca="1" ref="D83" ca="1">INDIRECT(ADDRESS($A83,D$4,,,$B83))</f>
        <v>0</v>
      </c>
      <c r="E83" s="43" cm="1">
        <f t="array" aca="1" ref="E83" ca="1">INDIRECT(ADDRESS($A83,E$4,,,$B83))</f>
        <v>0</v>
      </c>
      <c r="F83" s="307" cm="1">
        <f t="array" aca="1" ref="F83" ca="1">INDIRECT(ADDRESS($A83,F$4,,,$B83))</f>
        <v>0</v>
      </c>
      <c r="G83" s="43" cm="1">
        <f t="array" aca="1" ref="G83" ca="1">INDIRECT(ADDRESS($A83,G$4,,,$B83))</f>
        <v>0</v>
      </c>
      <c r="H83" s="43" cm="1">
        <f t="array" aca="1" ref="H83" ca="1">INDIRECT(ADDRESS($A83,H$4,,,$B83))</f>
        <v>0</v>
      </c>
      <c r="I83" s="43" cm="1">
        <f t="array" aca="1" ref="I83" ca="1">INDIRECT(ADDRESS($A83,I$4,,,$B83))</f>
        <v>0</v>
      </c>
      <c r="J83" s="43" cm="1">
        <f t="array" aca="1" ref="J83" ca="1">INDIRECT(ADDRESS($A83,J$4,,,$B83))</f>
        <v>0</v>
      </c>
    </row>
    <row r="84" spans="1:10">
      <c r="A84" s="39">
        <f t="shared" si="4"/>
        <v>102</v>
      </c>
      <c r="B84" s="42" t="str">
        <f t="shared" si="3"/>
        <v>W2</v>
      </c>
      <c r="C84" s="43" cm="1">
        <f t="array" aca="1" ref="C84" ca="1">INDIRECT(ADDRESS($A84,C$4,,,$B84))</f>
        <v>0</v>
      </c>
      <c r="D84" s="43" cm="1">
        <f t="array" aca="1" ref="D84" ca="1">INDIRECT(ADDRESS($A84,D$4,,,$B84))</f>
        <v>0</v>
      </c>
      <c r="E84" s="43" cm="1">
        <f t="array" aca="1" ref="E84" ca="1">INDIRECT(ADDRESS($A84,E$4,,,$B84))</f>
        <v>0</v>
      </c>
      <c r="F84" s="307" cm="1">
        <f t="array" aca="1" ref="F84" ca="1">INDIRECT(ADDRESS($A84,F$4,,,$B84))</f>
        <v>0</v>
      </c>
      <c r="G84" s="43" cm="1">
        <f t="array" aca="1" ref="G84" ca="1">INDIRECT(ADDRESS($A84,G$4,,,$B84))</f>
        <v>0</v>
      </c>
      <c r="H84" s="43" cm="1">
        <f t="array" aca="1" ref="H84" ca="1">INDIRECT(ADDRESS($A84,H$4,,,$B84))</f>
        <v>0</v>
      </c>
      <c r="I84" s="43" cm="1">
        <f t="array" aca="1" ref="I84" ca="1">INDIRECT(ADDRESS($A84,I$4,,,$B84))</f>
        <v>0</v>
      </c>
      <c r="J84" s="43" cm="1">
        <f t="array" aca="1" ref="J84" ca="1">INDIRECT(ADDRESS($A84,J$4,,,$B84))</f>
        <v>0</v>
      </c>
    </row>
    <row r="85" spans="1:10">
      <c r="A85" s="39">
        <f t="shared" si="4"/>
        <v>103</v>
      </c>
      <c r="B85" s="42" t="str">
        <f t="shared" si="3"/>
        <v>W2</v>
      </c>
      <c r="C85" s="43" cm="1">
        <f t="array" aca="1" ref="C85" ca="1">INDIRECT(ADDRESS($A85,C$4,,,$B85))</f>
        <v>0</v>
      </c>
      <c r="D85" s="43" cm="1">
        <f t="array" aca="1" ref="D85" ca="1">INDIRECT(ADDRESS($A85,D$4,,,$B85))</f>
        <v>0</v>
      </c>
      <c r="E85" s="43" cm="1">
        <f t="array" aca="1" ref="E85" ca="1">INDIRECT(ADDRESS($A85,E$4,,,$B85))</f>
        <v>0</v>
      </c>
      <c r="F85" s="307" cm="1">
        <f t="array" aca="1" ref="F85" ca="1">INDIRECT(ADDRESS($A85,F$4,,,$B85))</f>
        <v>0</v>
      </c>
      <c r="G85" s="43" cm="1">
        <f t="array" aca="1" ref="G85" ca="1">INDIRECT(ADDRESS($A85,G$4,,,$B85))</f>
        <v>0</v>
      </c>
      <c r="H85" s="43" cm="1">
        <f t="array" aca="1" ref="H85" ca="1">INDIRECT(ADDRESS($A85,H$4,,,$B85))</f>
        <v>0</v>
      </c>
      <c r="I85" s="43" cm="1">
        <f t="array" aca="1" ref="I85" ca="1">INDIRECT(ADDRESS($A85,I$4,,,$B85))</f>
        <v>0</v>
      </c>
      <c r="J85" s="43" cm="1">
        <f t="array" aca="1" ref="J85" ca="1">INDIRECT(ADDRESS($A85,J$4,,,$B85))</f>
        <v>0</v>
      </c>
    </row>
    <row r="86" spans="1:10">
      <c r="A86" s="39">
        <f t="shared" si="4"/>
        <v>104</v>
      </c>
      <c r="B86" s="42" t="str">
        <f t="shared" si="3"/>
        <v>W2</v>
      </c>
      <c r="C86" s="43" cm="1">
        <f t="array" aca="1" ref="C86" ca="1">INDIRECT(ADDRESS($A86,C$4,,,$B86))</f>
        <v>0</v>
      </c>
      <c r="D86" s="43" cm="1">
        <f t="array" aca="1" ref="D86" ca="1">INDIRECT(ADDRESS($A86,D$4,,,$B86))</f>
        <v>0</v>
      </c>
      <c r="E86" s="43" cm="1">
        <f t="array" aca="1" ref="E86" ca="1">INDIRECT(ADDRESS($A86,E$4,,,$B86))</f>
        <v>0</v>
      </c>
      <c r="F86" s="307" cm="1">
        <f t="array" aca="1" ref="F86" ca="1">INDIRECT(ADDRESS($A86,F$4,,,$B86))</f>
        <v>0</v>
      </c>
      <c r="G86" s="43" cm="1">
        <f t="array" aca="1" ref="G86" ca="1">INDIRECT(ADDRESS($A86,G$4,,,$B86))</f>
        <v>0</v>
      </c>
      <c r="H86" s="43" cm="1">
        <f t="array" aca="1" ref="H86" ca="1">INDIRECT(ADDRESS($A86,H$4,,,$B86))</f>
        <v>0</v>
      </c>
      <c r="I86" s="43" cm="1">
        <f t="array" aca="1" ref="I86" ca="1">INDIRECT(ADDRESS($A86,I$4,,,$B86))</f>
        <v>0</v>
      </c>
      <c r="J86" s="43" cm="1">
        <f t="array" aca="1" ref="J86" ca="1">INDIRECT(ADDRESS($A86,J$4,,,$B86))</f>
        <v>0</v>
      </c>
    </row>
    <row r="87" spans="1:10">
      <c r="A87" s="39">
        <f t="shared" si="4"/>
        <v>105</v>
      </c>
      <c r="B87" s="42" t="str">
        <f t="shared" si="3"/>
        <v>W2</v>
      </c>
      <c r="C87" s="43" cm="1">
        <f t="array" aca="1" ref="C87" ca="1">INDIRECT(ADDRESS($A87,C$4,,,$B87))</f>
        <v>0</v>
      </c>
      <c r="D87" s="43" cm="1">
        <f t="array" aca="1" ref="D87" ca="1">INDIRECT(ADDRESS($A87,D$4,,,$B87))</f>
        <v>0</v>
      </c>
      <c r="E87" s="43" cm="1">
        <f t="array" aca="1" ref="E87" ca="1">INDIRECT(ADDRESS($A87,E$4,,,$B87))</f>
        <v>0</v>
      </c>
      <c r="F87" s="307" cm="1">
        <f t="array" aca="1" ref="F87" ca="1">INDIRECT(ADDRESS($A87,F$4,,,$B87))</f>
        <v>0</v>
      </c>
      <c r="G87" s="43" cm="1">
        <f t="array" aca="1" ref="G87" ca="1">INDIRECT(ADDRESS($A87,G$4,,,$B87))</f>
        <v>0</v>
      </c>
      <c r="H87" s="43" cm="1">
        <f t="array" aca="1" ref="H87" ca="1">INDIRECT(ADDRESS($A87,H$4,,,$B87))</f>
        <v>0</v>
      </c>
      <c r="I87" s="43" cm="1">
        <f t="array" aca="1" ref="I87" ca="1">INDIRECT(ADDRESS($A87,I$4,,,$B87))</f>
        <v>0</v>
      </c>
      <c r="J87" s="43" cm="1">
        <f t="array" aca="1" ref="J87" ca="1">INDIRECT(ADDRESS($A87,J$4,,,$B87))</f>
        <v>0</v>
      </c>
    </row>
    <row r="88" spans="1:10">
      <c r="A88" s="39">
        <f t="shared" si="4"/>
        <v>106</v>
      </c>
      <c r="B88" s="42" t="str">
        <f t="shared" si="3"/>
        <v>W2</v>
      </c>
      <c r="C88" s="43" cm="1">
        <f t="array" aca="1" ref="C88" ca="1">INDIRECT(ADDRESS($A88,C$4,,,$B88))</f>
        <v>0</v>
      </c>
      <c r="D88" s="43" cm="1">
        <f t="array" aca="1" ref="D88" ca="1">INDIRECT(ADDRESS($A88,D$4,,,$B88))</f>
        <v>0</v>
      </c>
      <c r="E88" s="43" cm="1">
        <f t="array" aca="1" ref="E88" ca="1">INDIRECT(ADDRESS($A88,E$4,,,$B88))</f>
        <v>0</v>
      </c>
      <c r="F88" s="307" cm="1">
        <f t="array" aca="1" ref="F88" ca="1">INDIRECT(ADDRESS($A88,F$4,,,$B88))</f>
        <v>0</v>
      </c>
      <c r="G88" s="43" cm="1">
        <f t="array" aca="1" ref="G88" ca="1">INDIRECT(ADDRESS($A88,G$4,,,$B88))</f>
        <v>0</v>
      </c>
      <c r="H88" s="43" cm="1">
        <f t="array" aca="1" ref="H88" ca="1">INDIRECT(ADDRESS($A88,H$4,,,$B88))</f>
        <v>0</v>
      </c>
      <c r="I88" s="43" cm="1">
        <f t="array" aca="1" ref="I88" ca="1">INDIRECT(ADDRESS($A88,I$4,,,$B88))</f>
        <v>0</v>
      </c>
      <c r="J88" s="43" cm="1">
        <f t="array" aca="1" ref="J88" ca="1">INDIRECT(ADDRESS($A88,J$4,,,$B88))</f>
        <v>0</v>
      </c>
    </row>
    <row r="89" spans="1:10">
      <c r="A89" s="39">
        <f t="shared" si="4"/>
        <v>107</v>
      </c>
      <c r="B89" s="42" t="str">
        <f t="shared" si="3"/>
        <v>W2</v>
      </c>
      <c r="C89" s="43" cm="1">
        <f t="array" aca="1" ref="C89" ca="1">INDIRECT(ADDRESS($A89,C$4,,,$B89))</f>
        <v>0</v>
      </c>
      <c r="D89" s="43" cm="1">
        <f t="array" aca="1" ref="D89" ca="1">INDIRECT(ADDRESS($A89,D$4,,,$B89))</f>
        <v>0</v>
      </c>
      <c r="E89" s="43" cm="1">
        <f t="array" aca="1" ref="E89" ca="1">INDIRECT(ADDRESS($A89,E$4,,,$B89))</f>
        <v>0</v>
      </c>
      <c r="F89" s="307" cm="1">
        <f t="array" aca="1" ref="F89" ca="1">INDIRECT(ADDRESS($A89,F$4,,,$B89))</f>
        <v>0</v>
      </c>
      <c r="G89" s="43" cm="1">
        <f t="array" aca="1" ref="G89" ca="1">INDIRECT(ADDRESS($A89,G$4,,,$B89))</f>
        <v>0</v>
      </c>
      <c r="H89" s="43" cm="1">
        <f t="array" aca="1" ref="H89" ca="1">INDIRECT(ADDRESS($A89,H$4,,,$B89))</f>
        <v>0</v>
      </c>
      <c r="I89" s="43" cm="1">
        <f t="array" aca="1" ref="I89" ca="1">INDIRECT(ADDRESS($A89,I$4,,,$B89))</f>
        <v>0</v>
      </c>
      <c r="J89" s="43" cm="1">
        <f t="array" aca="1" ref="J89" ca="1">INDIRECT(ADDRESS($A89,J$4,,,$B89))</f>
        <v>0</v>
      </c>
    </row>
    <row r="90" spans="1:10">
      <c r="A90" s="39">
        <f t="shared" si="4"/>
        <v>108</v>
      </c>
      <c r="B90" s="42" t="str">
        <f t="shared" si="3"/>
        <v>W2</v>
      </c>
      <c r="C90" s="43" cm="1">
        <f t="array" aca="1" ref="C90" ca="1">INDIRECT(ADDRESS($A90,C$4,,,$B90))</f>
        <v>0</v>
      </c>
      <c r="D90" s="43" cm="1">
        <f t="array" aca="1" ref="D90" ca="1">INDIRECT(ADDRESS($A90,D$4,,,$B90))</f>
        <v>0</v>
      </c>
      <c r="E90" s="43" cm="1">
        <f t="array" aca="1" ref="E90" ca="1">INDIRECT(ADDRESS($A90,E$4,,,$B90))</f>
        <v>0</v>
      </c>
      <c r="F90" s="43" cm="1">
        <f t="array" aca="1" ref="F90" ca="1">INDIRECT(ADDRESS($A90,F$4,,,$B90))</f>
        <v>0</v>
      </c>
      <c r="G90" s="43" cm="1">
        <f t="array" aca="1" ref="G90" ca="1">INDIRECT(ADDRESS($A90,G$4,,,$B90))</f>
        <v>0</v>
      </c>
      <c r="H90" s="43" cm="1">
        <f t="array" aca="1" ref="H90" ca="1">INDIRECT(ADDRESS($A90,H$4,,,$B90))</f>
        <v>0</v>
      </c>
      <c r="I90" s="43" cm="1">
        <f t="array" aca="1" ref="I90" ca="1">INDIRECT(ADDRESS($A90,I$4,,,$B90))</f>
        <v>0</v>
      </c>
      <c r="J90" s="43" cm="1">
        <f t="array" aca="1" ref="J90" ca="1">INDIRECT(ADDRESS($A90,J$4,,,$B90))</f>
        <v>0</v>
      </c>
    </row>
    <row r="91" spans="1:10">
      <c r="A91" s="39">
        <f t="shared" si="4"/>
        <v>109</v>
      </c>
      <c r="B91" s="42" t="str">
        <f t="shared" si="3"/>
        <v>W2</v>
      </c>
      <c r="C91" s="43" cm="1">
        <f t="array" aca="1" ref="C91" ca="1">INDIRECT(ADDRESS($A91,C$4,,,$B91))</f>
        <v>0</v>
      </c>
      <c r="D91" s="43" cm="1">
        <f t="array" aca="1" ref="D91" ca="1">INDIRECT(ADDRESS($A91,D$4,,,$B91))</f>
        <v>0</v>
      </c>
      <c r="E91" s="43" cm="1">
        <f t="array" aca="1" ref="E91" ca="1">INDIRECT(ADDRESS($A91,E$4,,,$B91))</f>
        <v>0</v>
      </c>
      <c r="F91" s="43" cm="1">
        <f t="array" aca="1" ref="F91" ca="1">INDIRECT(ADDRESS($A91,F$4,,,$B91))</f>
        <v>0</v>
      </c>
      <c r="G91" s="43" cm="1">
        <f t="array" aca="1" ref="G91" ca="1">INDIRECT(ADDRESS($A91,G$4,,,$B91))</f>
        <v>0</v>
      </c>
      <c r="H91" s="43" cm="1">
        <f t="array" aca="1" ref="H91" ca="1">INDIRECT(ADDRESS($A91,H$4,,,$B91))</f>
        <v>0</v>
      </c>
      <c r="I91" s="43" cm="1">
        <f t="array" aca="1" ref="I91" ca="1">INDIRECT(ADDRESS($A91,I$4,,,$B91))</f>
        <v>0</v>
      </c>
      <c r="J91" s="43" cm="1">
        <f t="array" aca="1" ref="J91" ca="1">INDIRECT(ADDRESS($A91,J$4,,,$B91))</f>
        <v>0</v>
      </c>
    </row>
    <row r="92" spans="1:10">
      <c r="A92" s="39">
        <f t="shared" si="4"/>
        <v>110</v>
      </c>
      <c r="B92" s="42" t="str">
        <f t="shared" si="3"/>
        <v>W2</v>
      </c>
      <c r="C92" s="43" cm="1">
        <f t="array" aca="1" ref="C92" ca="1">INDIRECT(ADDRESS($A92,C$4,,,$B92))</f>
        <v>0</v>
      </c>
      <c r="D92" s="43" cm="1">
        <f t="array" aca="1" ref="D92" ca="1">INDIRECT(ADDRESS($A92,D$4,,,$B92))</f>
        <v>0</v>
      </c>
      <c r="E92" s="43" cm="1">
        <f t="array" aca="1" ref="E92" ca="1">INDIRECT(ADDRESS($A92,E$4,,,$B92))</f>
        <v>0</v>
      </c>
      <c r="F92" s="43" cm="1">
        <f t="array" aca="1" ref="F92" ca="1">INDIRECT(ADDRESS($A92,F$4,,,$B92))</f>
        <v>0</v>
      </c>
      <c r="G92" s="43" cm="1">
        <f t="array" aca="1" ref="G92" ca="1">INDIRECT(ADDRESS($A92,G$4,,,$B92))</f>
        <v>0</v>
      </c>
      <c r="H92" s="43" cm="1">
        <f t="array" aca="1" ref="H92" ca="1">INDIRECT(ADDRESS($A92,H$4,,,$B92))</f>
        <v>0</v>
      </c>
      <c r="I92" s="43" cm="1">
        <f t="array" aca="1" ref="I92" ca="1">INDIRECT(ADDRESS($A92,I$4,,,$B92))</f>
        <v>0</v>
      </c>
      <c r="J92" s="43" cm="1">
        <f t="array" aca="1" ref="J92" ca="1">INDIRECT(ADDRESS($A92,J$4,,,$B92))</f>
        <v>0</v>
      </c>
    </row>
    <row r="93" spans="1:10">
      <c r="A93" s="39">
        <f t="shared" si="4"/>
        <v>111</v>
      </c>
      <c r="B93" s="42" t="str">
        <f t="shared" si="3"/>
        <v>W2</v>
      </c>
      <c r="C93" s="43" cm="1">
        <f t="array" aca="1" ref="C93" ca="1">INDIRECT(ADDRESS($A93,C$4,,,$B93))</f>
        <v>0</v>
      </c>
      <c r="D93" s="43" cm="1">
        <f t="array" aca="1" ref="D93" ca="1">INDIRECT(ADDRESS($A93,D$4,,,$B93))</f>
        <v>0</v>
      </c>
      <c r="E93" s="43" cm="1">
        <f t="array" aca="1" ref="E93" ca="1">INDIRECT(ADDRESS($A93,E$4,,,$B93))</f>
        <v>0</v>
      </c>
      <c r="F93" s="43" cm="1">
        <f t="array" aca="1" ref="F93" ca="1">INDIRECT(ADDRESS($A93,F$4,,,$B93))</f>
        <v>0</v>
      </c>
      <c r="G93" s="43" cm="1">
        <f t="array" aca="1" ref="G93" ca="1">INDIRECT(ADDRESS($A93,G$4,,,$B93))</f>
        <v>0</v>
      </c>
      <c r="H93" s="43" cm="1">
        <f t="array" aca="1" ref="H93" ca="1">INDIRECT(ADDRESS($A93,H$4,,,$B93))</f>
        <v>0</v>
      </c>
      <c r="I93" s="43" cm="1">
        <f t="array" aca="1" ref="I93" ca="1">INDIRECT(ADDRESS($A93,I$4,,,$B93))</f>
        <v>0</v>
      </c>
      <c r="J93" s="43" cm="1">
        <f t="array" aca="1" ref="J93" ca="1">INDIRECT(ADDRESS($A93,J$4,,,$B93))</f>
        <v>0</v>
      </c>
    </row>
    <row r="94" spans="1:10">
      <c r="A94" s="39">
        <f t="shared" si="4"/>
        <v>112</v>
      </c>
      <c r="B94" s="42" t="str">
        <f t="shared" si="3"/>
        <v>W2</v>
      </c>
      <c r="C94" s="43" cm="1">
        <f t="array" aca="1" ref="C94" ca="1">INDIRECT(ADDRESS($A94,C$4,,,$B94))</f>
        <v>0</v>
      </c>
      <c r="D94" s="43" cm="1">
        <f t="array" aca="1" ref="D94" ca="1">INDIRECT(ADDRESS($A94,D$4,,,$B94))</f>
        <v>0</v>
      </c>
      <c r="E94" s="43" cm="1">
        <f t="array" aca="1" ref="E94" ca="1">INDIRECT(ADDRESS($A94,E$4,,,$B94))</f>
        <v>0</v>
      </c>
      <c r="F94" s="43" cm="1">
        <f t="array" aca="1" ref="F94" ca="1">INDIRECT(ADDRESS($A94,F$4,,,$B94))</f>
        <v>0</v>
      </c>
      <c r="G94" s="43" cm="1">
        <f t="array" aca="1" ref="G94" ca="1">INDIRECT(ADDRESS($A94,G$4,,,$B94))</f>
        <v>0</v>
      </c>
      <c r="H94" s="43" cm="1">
        <f t="array" aca="1" ref="H94" ca="1">INDIRECT(ADDRESS($A94,H$4,,,$B94))</f>
        <v>0</v>
      </c>
      <c r="I94" s="43" cm="1">
        <f t="array" aca="1" ref="I94" ca="1">INDIRECT(ADDRESS($A94,I$4,,,$B94))</f>
        <v>0</v>
      </c>
      <c r="J94" s="43" cm="1">
        <f t="array" aca="1" ref="J94" ca="1">INDIRECT(ADDRESS($A94,J$4,,,$B94))</f>
        <v>0</v>
      </c>
    </row>
    <row r="95" spans="1:10">
      <c r="A95" s="39">
        <f t="shared" si="4"/>
        <v>113</v>
      </c>
      <c r="B95" s="42" t="str">
        <f t="shared" si="3"/>
        <v>W2</v>
      </c>
      <c r="C95" s="43" cm="1">
        <f t="array" aca="1" ref="C95" ca="1">INDIRECT(ADDRESS($A95,C$4,,,$B95))</f>
        <v>0</v>
      </c>
      <c r="D95" s="43" cm="1">
        <f t="array" aca="1" ref="D95" ca="1">INDIRECT(ADDRESS($A95,D$4,,,$B95))</f>
        <v>0</v>
      </c>
      <c r="E95" s="43" cm="1">
        <f t="array" aca="1" ref="E95" ca="1">INDIRECT(ADDRESS($A95,E$4,,,$B95))</f>
        <v>0</v>
      </c>
      <c r="F95" s="43" cm="1">
        <f t="array" aca="1" ref="F95" ca="1">INDIRECT(ADDRESS($A95,F$4,,,$B95))</f>
        <v>0</v>
      </c>
      <c r="G95" s="43" cm="1">
        <f t="array" aca="1" ref="G95" ca="1">INDIRECT(ADDRESS($A95,G$4,,,$B95))</f>
        <v>0</v>
      </c>
      <c r="H95" s="43" cm="1">
        <f t="array" aca="1" ref="H95" ca="1">INDIRECT(ADDRESS($A95,H$4,,,$B95))</f>
        <v>0</v>
      </c>
      <c r="I95" s="43" cm="1">
        <f t="array" aca="1" ref="I95" ca="1">INDIRECT(ADDRESS($A95,I$4,,,$B95))</f>
        <v>0</v>
      </c>
      <c r="J95" s="43" cm="1">
        <f t="array" aca="1" ref="J95" ca="1">INDIRECT(ADDRESS($A95,J$4,,,$B95))</f>
        <v>0</v>
      </c>
    </row>
    <row r="96" spans="1:10">
      <c r="A96" s="39">
        <f t="shared" si="4"/>
        <v>114</v>
      </c>
      <c r="B96" s="42" t="str">
        <f t="shared" si="3"/>
        <v>W2</v>
      </c>
      <c r="C96" s="43" cm="1">
        <f t="array" aca="1" ref="C96" ca="1">INDIRECT(ADDRESS($A96,C$4,,,$B96))</f>
        <v>0</v>
      </c>
      <c r="D96" s="43" cm="1">
        <f t="array" aca="1" ref="D96" ca="1">INDIRECT(ADDRESS($A96,D$4,,,$B96))</f>
        <v>0</v>
      </c>
      <c r="E96" s="43" cm="1">
        <f t="array" aca="1" ref="E96" ca="1">INDIRECT(ADDRESS($A96,E$4,,,$B96))</f>
        <v>0</v>
      </c>
      <c r="F96" s="43" cm="1">
        <f t="array" aca="1" ref="F96" ca="1">INDIRECT(ADDRESS($A96,F$4,,,$B96))</f>
        <v>0</v>
      </c>
      <c r="G96" s="43" cm="1">
        <f t="array" aca="1" ref="G96" ca="1">INDIRECT(ADDRESS($A96,G$4,,,$B96))</f>
        <v>0</v>
      </c>
      <c r="H96" s="43" cm="1">
        <f t="array" aca="1" ref="H96" ca="1">INDIRECT(ADDRESS($A96,H$4,,,$B96))</f>
        <v>0</v>
      </c>
      <c r="I96" s="43" cm="1">
        <f t="array" aca="1" ref="I96" ca="1">INDIRECT(ADDRESS($A96,I$4,,,$B96))</f>
        <v>0</v>
      </c>
      <c r="J96" s="43" cm="1">
        <f t="array" aca="1" ref="J96" ca="1">INDIRECT(ADDRESS($A96,J$4,,,$B96))</f>
        <v>0</v>
      </c>
    </row>
    <row r="97" spans="1:10">
      <c r="A97" s="39">
        <f t="shared" si="4"/>
        <v>115</v>
      </c>
      <c r="B97" s="42" t="str">
        <f t="shared" si="3"/>
        <v>W2</v>
      </c>
      <c r="C97" s="43" cm="1">
        <f t="array" aca="1" ref="C97" ca="1">INDIRECT(ADDRESS($A97,C$4,,,$B97))</f>
        <v>0</v>
      </c>
      <c r="D97" s="43" cm="1">
        <f t="array" aca="1" ref="D97" ca="1">INDIRECT(ADDRESS($A97,D$4,,,$B97))</f>
        <v>0</v>
      </c>
      <c r="E97" s="43" cm="1">
        <f t="array" aca="1" ref="E97" ca="1">INDIRECT(ADDRESS($A97,E$4,,,$B97))</f>
        <v>0</v>
      </c>
      <c r="F97" s="43" cm="1">
        <f t="array" aca="1" ref="F97" ca="1">INDIRECT(ADDRESS($A97,F$4,,,$B97))</f>
        <v>0</v>
      </c>
      <c r="G97" s="43" cm="1">
        <f t="array" aca="1" ref="G97" ca="1">INDIRECT(ADDRESS($A97,G$4,,,$B97))</f>
        <v>0</v>
      </c>
      <c r="H97" s="43" cm="1">
        <f t="array" aca="1" ref="H97" ca="1">INDIRECT(ADDRESS($A97,H$4,,,$B97))</f>
        <v>0</v>
      </c>
      <c r="I97" s="43" cm="1">
        <f t="array" aca="1" ref="I97" ca="1">INDIRECT(ADDRESS($A97,I$4,,,$B97))</f>
        <v>0</v>
      </c>
      <c r="J97" s="43" cm="1">
        <f t="array" aca="1" ref="J97" ca="1">INDIRECT(ADDRESS($A97,J$4,,,$B97))</f>
        <v>0</v>
      </c>
    </row>
    <row r="98" spans="1:10">
      <c r="A98" s="39">
        <f t="shared" si="4"/>
        <v>116</v>
      </c>
      <c r="B98" s="42" t="str">
        <f t="shared" si="3"/>
        <v>W2</v>
      </c>
      <c r="C98" s="43" cm="1">
        <f t="array" aca="1" ref="C98" ca="1">INDIRECT(ADDRESS($A98,C$4,,,$B98))</f>
        <v>0</v>
      </c>
      <c r="D98" s="43" cm="1">
        <f t="array" aca="1" ref="D98" ca="1">INDIRECT(ADDRESS($A98,D$4,,,$B98))</f>
        <v>0</v>
      </c>
      <c r="E98" s="43" cm="1">
        <f t="array" aca="1" ref="E98" ca="1">INDIRECT(ADDRESS($A98,E$4,,,$B98))</f>
        <v>0</v>
      </c>
      <c r="F98" s="43" cm="1">
        <f t="array" aca="1" ref="F98" ca="1">INDIRECT(ADDRESS($A98,F$4,,,$B98))</f>
        <v>0</v>
      </c>
      <c r="G98" s="43" cm="1">
        <f t="array" aca="1" ref="G98" ca="1">INDIRECT(ADDRESS($A98,G$4,,,$B98))</f>
        <v>0</v>
      </c>
      <c r="H98" s="43" cm="1">
        <f t="array" aca="1" ref="H98" ca="1">INDIRECT(ADDRESS($A98,H$4,,,$B98))</f>
        <v>0</v>
      </c>
      <c r="I98" s="43" cm="1">
        <f t="array" aca="1" ref="I98" ca="1">INDIRECT(ADDRESS($A98,I$4,,,$B98))</f>
        <v>0</v>
      </c>
      <c r="J98" s="43" cm="1">
        <f t="array" aca="1" ref="J98" ca="1">INDIRECT(ADDRESS($A98,J$4,,,$B98))</f>
        <v>0</v>
      </c>
    </row>
    <row r="99" spans="1:10">
      <c r="A99" s="39">
        <f t="shared" si="4"/>
        <v>117</v>
      </c>
      <c r="B99" s="42" t="str">
        <f t="shared" si="3"/>
        <v>W2</v>
      </c>
      <c r="C99" s="43" cm="1">
        <f t="array" aca="1" ref="C99" ca="1">INDIRECT(ADDRESS($A99,C$4,,,$B99))</f>
        <v>0</v>
      </c>
      <c r="D99" s="43" cm="1">
        <f t="array" aca="1" ref="D99" ca="1">INDIRECT(ADDRESS($A99,D$4,,,$B99))</f>
        <v>0</v>
      </c>
      <c r="E99" s="43" cm="1">
        <f t="array" aca="1" ref="E99" ca="1">INDIRECT(ADDRESS($A99,E$4,,,$B99))</f>
        <v>0</v>
      </c>
      <c r="F99" s="43" cm="1">
        <f t="array" aca="1" ref="F99" ca="1">INDIRECT(ADDRESS($A99,F$4,,,$B99))</f>
        <v>0</v>
      </c>
      <c r="G99" s="43" cm="1">
        <f t="array" aca="1" ref="G99" ca="1">INDIRECT(ADDRESS($A99,G$4,,,$B99))</f>
        <v>0</v>
      </c>
      <c r="H99" s="43" cm="1">
        <f t="array" aca="1" ref="H99" ca="1">INDIRECT(ADDRESS($A99,H$4,,,$B99))</f>
        <v>0</v>
      </c>
      <c r="I99" s="43" cm="1">
        <f t="array" aca="1" ref="I99" ca="1">INDIRECT(ADDRESS($A99,I$4,,,$B99))</f>
        <v>0</v>
      </c>
      <c r="J99" s="43" cm="1">
        <f t="array" aca="1" ref="J99" ca="1">INDIRECT(ADDRESS($A99,J$4,,,$B99))</f>
        <v>0</v>
      </c>
    </row>
    <row r="100" spans="1:10">
      <c r="A100" s="39">
        <f t="shared" si="4"/>
        <v>118</v>
      </c>
      <c r="B100" s="42" t="str">
        <f t="shared" si="3"/>
        <v>W2</v>
      </c>
      <c r="C100" s="43" cm="1">
        <f t="array" aca="1" ref="C100" ca="1">INDIRECT(ADDRESS($A100,C$4,,,$B100))</f>
        <v>0</v>
      </c>
      <c r="D100" s="43" cm="1">
        <f t="array" aca="1" ref="D100" ca="1">INDIRECT(ADDRESS($A100,D$4,,,$B100))</f>
        <v>0</v>
      </c>
      <c r="E100" s="43" cm="1">
        <f t="array" aca="1" ref="E100" ca="1">INDIRECT(ADDRESS($A100,E$4,,,$B100))</f>
        <v>0</v>
      </c>
      <c r="F100" s="43" cm="1">
        <f t="array" aca="1" ref="F100" ca="1">INDIRECT(ADDRESS($A100,F$4,,,$B100))</f>
        <v>0</v>
      </c>
      <c r="G100" s="43" cm="1">
        <f t="array" aca="1" ref="G100" ca="1">INDIRECT(ADDRESS($A100,G$4,,,$B100))</f>
        <v>0</v>
      </c>
      <c r="H100" s="43" cm="1">
        <f t="array" aca="1" ref="H100" ca="1">INDIRECT(ADDRESS($A100,H$4,,,$B100))</f>
        <v>0</v>
      </c>
      <c r="I100" s="43" cm="1">
        <f t="array" aca="1" ref="I100" ca="1">INDIRECT(ADDRESS($A100,I$4,,,$B100))</f>
        <v>0</v>
      </c>
      <c r="J100" s="43" cm="1">
        <f t="array" aca="1" ref="J100" ca="1">INDIRECT(ADDRESS($A100,J$4,,,$B100))</f>
        <v>0</v>
      </c>
    </row>
    <row r="101" spans="1:10">
      <c r="A101" s="39">
        <f t="shared" si="4"/>
        <v>119</v>
      </c>
      <c r="B101" s="42" t="str">
        <f t="shared" si="3"/>
        <v>W2</v>
      </c>
      <c r="C101" s="43" cm="1">
        <f t="array" aca="1" ref="C101" ca="1">INDIRECT(ADDRESS($A101,C$4,,,$B101))</f>
        <v>0</v>
      </c>
      <c r="D101" s="43" cm="1">
        <f t="array" aca="1" ref="D101" ca="1">INDIRECT(ADDRESS($A101,D$4,,,$B101))</f>
        <v>0</v>
      </c>
      <c r="E101" s="43" cm="1">
        <f t="array" aca="1" ref="E101" ca="1">INDIRECT(ADDRESS($A101,E$4,,,$B101))</f>
        <v>0</v>
      </c>
      <c r="F101" s="43" cm="1">
        <f t="array" aca="1" ref="F101" ca="1">INDIRECT(ADDRESS($A101,F$4,,,$B101))</f>
        <v>0</v>
      </c>
      <c r="G101" s="43" cm="1">
        <f t="array" aca="1" ref="G101" ca="1">INDIRECT(ADDRESS($A101,G$4,,,$B101))</f>
        <v>0</v>
      </c>
      <c r="H101" s="43" cm="1">
        <f t="array" aca="1" ref="H101" ca="1">INDIRECT(ADDRESS($A101,H$4,,,$B101))</f>
        <v>0</v>
      </c>
      <c r="I101" s="43" cm="1">
        <f t="array" aca="1" ref="I101" ca="1">INDIRECT(ADDRESS($A101,I$4,,,$B101))</f>
        <v>0</v>
      </c>
      <c r="J101" s="43" cm="1">
        <f t="array" aca="1" ref="J101" ca="1">INDIRECT(ADDRESS($A101,J$4,,,$B101))</f>
        <v>0</v>
      </c>
    </row>
    <row r="102" spans="1:10">
      <c r="A102" s="39">
        <f t="shared" si="4"/>
        <v>120</v>
      </c>
      <c r="B102" s="42" t="str">
        <f t="shared" si="3"/>
        <v>W2</v>
      </c>
      <c r="C102" s="43" cm="1">
        <f t="array" aca="1" ref="C102" ca="1">INDIRECT(ADDRESS($A102,C$4,,,$B102))</f>
        <v>0</v>
      </c>
      <c r="D102" s="43" cm="1">
        <f t="array" aca="1" ref="D102" ca="1">INDIRECT(ADDRESS($A102,D$4,,,$B102))</f>
        <v>0</v>
      </c>
      <c r="E102" s="43" cm="1">
        <f t="array" aca="1" ref="E102" ca="1">INDIRECT(ADDRESS($A102,E$4,,,$B102))</f>
        <v>0</v>
      </c>
      <c r="F102" s="43" cm="1">
        <f t="array" aca="1" ref="F102" ca="1">INDIRECT(ADDRESS($A102,F$4,,,$B102))</f>
        <v>0</v>
      </c>
      <c r="G102" s="43" cm="1">
        <f t="array" aca="1" ref="G102" ca="1">INDIRECT(ADDRESS($A102,G$4,,,$B102))</f>
        <v>0</v>
      </c>
      <c r="H102" s="43" cm="1">
        <f t="array" aca="1" ref="H102" ca="1">INDIRECT(ADDRESS($A102,H$4,,,$B102))</f>
        <v>0</v>
      </c>
      <c r="I102" s="43" cm="1">
        <f t="array" aca="1" ref="I102" ca="1">INDIRECT(ADDRESS($A102,I$4,,,$B102))</f>
        <v>0</v>
      </c>
      <c r="J102" s="43" cm="1">
        <f t="array" aca="1" ref="J102" ca="1">INDIRECT(ADDRESS($A102,J$4,,,$B102))</f>
        <v>0</v>
      </c>
    </row>
    <row r="103" spans="1:10">
      <c r="A103" s="39">
        <f t="shared" si="4"/>
        <v>121</v>
      </c>
      <c r="B103" s="42" t="str">
        <f t="shared" si="3"/>
        <v>W2</v>
      </c>
      <c r="C103" s="43" cm="1">
        <f t="array" aca="1" ref="C103" ca="1">INDIRECT(ADDRESS($A103,C$4,,,$B103))</f>
        <v>0</v>
      </c>
      <c r="D103" s="43" cm="1">
        <f t="array" aca="1" ref="D103" ca="1">INDIRECT(ADDRESS($A103,D$4,,,$B103))</f>
        <v>0</v>
      </c>
      <c r="E103" s="43" cm="1">
        <f t="array" aca="1" ref="E103" ca="1">INDIRECT(ADDRESS($A103,E$4,,,$B103))</f>
        <v>0</v>
      </c>
      <c r="F103" s="43" cm="1">
        <f t="array" aca="1" ref="F103" ca="1">INDIRECT(ADDRESS($A103,F$4,,,$B103))</f>
        <v>0</v>
      </c>
      <c r="G103" s="43" cm="1">
        <f t="array" aca="1" ref="G103" ca="1">INDIRECT(ADDRESS($A103,G$4,,,$B103))</f>
        <v>0</v>
      </c>
      <c r="H103" s="43" cm="1">
        <f t="array" aca="1" ref="H103" ca="1">INDIRECT(ADDRESS($A103,H$4,,,$B103))</f>
        <v>0</v>
      </c>
      <c r="I103" s="43" cm="1">
        <f t="array" aca="1" ref="I103" ca="1">INDIRECT(ADDRESS($A103,I$4,,,$B103))</f>
        <v>0</v>
      </c>
      <c r="J103" s="43" cm="1">
        <f t="array" aca="1" ref="J103" ca="1">INDIRECT(ADDRESS($A103,J$4,,,$B103))</f>
        <v>0</v>
      </c>
    </row>
    <row r="104" spans="1:10">
      <c r="A104" s="39">
        <f t="shared" si="4"/>
        <v>122</v>
      </c>
      <c r="B104" s="42" t="str">
        <f t="shared" si="3"/>
        <v>W2</v>
      </c>
      <c r="C104" s="43" cm="1">
        <f t="array" aca="1" ref="C104" ca="1">INDIRECT(ADDRESS($A104,C$4,,,$B104))</f>
        <v>0</v>
      </c>
      <c r="D104" s="43" cm="1">
        <f t="array" aca="1" ref="D104" ca="1">INDIRECT(ADDRESS($A104,D$4,,,$B104))</f>
        <v>0</v>
      </c>
      <c r="E104" s="43" cm="1">
        <f t="array" aca="1" ref="E104" ca="1">INDIRECT(ADDRESS($A104,E$4,,,$B104))</f>
        <v>0</v>
      </c>
      <c r="F104" s="43" cm="1">
        <f t="array" aca="1" ref="F104" ca="1">INDIRECT(ADDRESS($A104,F$4,,,$B104))</f>
        <v>0</v>
      </c>
      <c r="G104" s="43" cm="1">
        <f t="array" aca="1" ref="G104" ca="1">INDIRECT(ADDRESS($A104,G$4,,,$B104))</f>
        <v>0</v>
      </c>
      <c r="H104" s="43" cm="1">
        <f t="array" aca="1" ref="H104" ca="1">INDIRECT(ADDRESS($A104,H$4,,,$B104))</f>
        <v>0</v>
      </c>
      <c r="I104" s="43" cm="1">
        <f t="array" aca="1" ref="I104" ca="1">INDIRECT(ADDRESS($A104,I$4,,,$B104))</f>
        <v>0</v>
      </c>
      <c r="J104" s="43" cm="1">
        <f t="array" aca="1" ref="J104" ca="1">INDIRECT(ADDRESS($A104,J$4,,,$B104))</f>
        <v>0</v>
      </c>
    </row>
    <row r="105" spans="1:10">
      <c r="A105" s="39">
        <f t="shared" si="4"/>
        <v>123</v>
      </c>
      <c r="B105" s="42" t="str">
        <f t="shared" si="3"/>
        <v>W2</v>
      </c>
      <c r="C105" s="43" cm="1">
        <f t="array" aca="1" ref="C105" ca="1">INDIRECT(ADDRESS($A105,C$4,,,$B105))</f>
        <v>0</v>
      </c>
      <c r="D105" s="43" cm="1">
        <f t="array" aca="1" ref="D105" ca="1">INDIRECT(ADDRESS($A105,D$4,,,$B105))</f>
        <v>0</v>
      </c>
      <c r="E105" s="43" cm="1">
        <f t="array" aca="1" ref="E105" ca="1">INDIRECT(ADDRESS($A105,E$4,,,$B105))</f>
        <v>0</v>
      </c>
      <c r="F105" s="43" cm="1">
        <f t="array" aca="1" ref="F105" ca="1">INDIRECT(ADDRESS($A105,F$4,,,$B105))</f>
        <v>0</v>
      </c>
      <c r="G105" s="43" cm="1">
        <f t="array" aca="1" ref="G105" ca="1">INDIRECT(ADDRESS($A105,G$4,,,$B105))</f>
        <v>0</v>
      </c>
      <c r="H105" s="43" cm="1">
        <f t="array" aca="1" ref="H105" ca="1">INDIRECT(ADDRESS($A105,H$4,,,$B105))</f>
        <v>0</v>
      </c>
      <c r="I105" s="43" cm="1">
        <f t="array" aca="1" ref="I105" ca="1">INDIRECT(ADDRESS($A105,I$4,,,$B105))</f>
        <v>0</v>
      </c>
      <c r="J105" s="43" cm="1">
        <f t="array" aca="1" ref="J105" ca="1">INDIRECT(ADDRESS($A105,J$4,,,$B105))</f>
        <v>0</v>
      </c>
    </row>
    <row r="106" spans="1:10">
      <c r="A106" s="39">
        <f t="shared" si="4"/>
        <v>124</v>
      </c>
      <c r="B106" s="42" t="str">
        <f t="shared" si="3"/>
        <v>W2</v>
      </c>
      <c r="C106" s="43" cm="1">
        <f t="array" aca="1" ref="C106" ca="1">INDIRECT(ADDRESS($A106,C$4,,,$B106))</f>
        <v>0</v>
      </c>
      <c r="D106" s="43" cm="1">
        <f t="array" aca="1" ref="D106" ca="1">INDIRECT(ADDRESS($A106,D$4,,,$B106))</f>
        <v>0</v>
      </c>
      <c r="E106" s="43" cm="1">
        <f t="array" aca="1" ref="E106" ca="1">INDIRECT(ADDRESS($A106,E$4,,,$B106))</f>
        <v>0</v>
      </c>
      <c r="F106" s="43" cm="1">
        <f t="array" aca="1" ref="F106" ca="1">INDIRECT(ADDRESS($A106,F$4,,,$B106))</f>
        <v>0</v>
      </c>
      <c r="G106" s="43" cm="1">
        <f t="array" aca="1" ref="G106" ca="1">INDIRECT(ADDRESS($A106,G$4,,,$B106))</f>
        <v>0</v>
      </c>
      <c r="H106" s="43" cm="1">
        <f t="array" aca="1" ref="H106" ca="1">INDIRECT(ADDRESS($A106,H$4,,,$B106))</f>
        <v>0</v>
      </c>
      <c r="I106" s="43" cm="1">
        <f t="array" aca="1" ref="I106" ca="1">INDIRECT(ADDRESS($A106,I$4,,,$B106))</f>
        <v>0</v>
      </c>
      <c r="J106" s="43" cm="1">
        <f t="array" aca="1" ref="J106" ca="1">INDIRECT(ADDRESS($A106,J$4,,,$B106))</f>
        <v>0</v>
      </c>
    </row>
    <row r="107" spans="1:10">
      <c r="A107" s="39">
        <f t="shared" si="4"/>
        <v>125</v>
      </c>
      <c r="B107" s="42" t="str">
        <f t="shared" si="3"/>
        <v>W2</v>
      </c>
      <c r="C107" s="43" cm="1">
        <f t="array" aca="1" ref="C107" ca="1">INDIRECT(ADDRESS($A107,C$4,,,$B107))</f>
        <v>0</v>
      </c>
      <c r="D107" s="43" cm="1">
        <f t="array" aca="1" ref="D107" ca="1">INDIRECT(ADDRESS($A107,D$4,,,$B107))</f>
        <v>0</v>
      </c>
      <c r="E107" s="43" cm="1">
        <f t="array" aca="1" ref="E107" ca="1">INDIRECT(ADDRESS($A107,E$4,,,$B107))</f>
        <v>0</v>
      </c>
      <c r="F107" s="43" cm="1">
        <f t="array" aca="1" ref="F107" ca="1">INDIRECT(ADDRESS($A107,F$4,,,$B107))</f>
        <v>0</v>
      </c>
      <c r="G107" s="43" cm="1">
        <f t="array" aca="1" ref="G107" ca="1">INDIRECT(ADDRESS($A107,G$4,,,$B107))</f>
        <v>0</v>
      </c>
      <c r="H107" s="43" cm="1">
        <f t="array" aca="1" ref="H107" ca="1">INDIRECT(ADDRESS($A107,H$4,,,$B107))</f>
        <v>0</v>
      </c>
      <c r="I107" s="43" cm="1">
        <f t="array" aca="1" ref="I107" ca="1">INDIRECT(ADDRESS($A107,I$4,,,$B107))</f>
        <v>0</v>
      </c>
      <c r="J107" s="43" cm="1">
        <f t="array" aca="1" ref="J107" ca="1">INDIRECT(ADDRESS($A107,J$4,,,$B107))</f>
        <v>0</v>
      </c>
    </row>
    <row r="108" spans="1:10">
      <c r="A108" s="39">
        <f t="shared" si="4"/>
        <v>126</v>
      </c>
      <c r="B108" s="42" t="str">
        <f t="shared" si="3"/>
        <v>W2</v>
      </c>
      <c r="C108" s="43" cm="1">
        <f t="array" aca="1" ref="C108" ca="1">INDIRECT(ADDRESS($A108,C$4,,,$B108))</f>
        <v>0</v>
      </c>
      <c r="D108" s="43" cm="1">
        <f t="array" aca="1" ref="D108" ca="1">INDIRECT(ADDRESS($A108,D$4,,,$B108))</f>
        <v>0</v>
      </c>
      <c r="E108" s="43" cm="1">
        <f t="array" aca="1" ref="E108" ca="1">INDIRECT(ADDRESS($A108,E$4,,,$B108))</f>
        <v>0</v>
      </c>
      <c r="F108" s="43" cm="1">
        <f t="array" aca="1" ref="F108" ca="1">INDIRECT(ADDRESS($A108,F$4,,,$B108))</f>
        <v>0</v>
      </c>
      <c r="G108" s="43" cm="1">
        <f t="array" aca="1" ref="G108" ca="1">INDIRECT(ADDRESS($A108,G$4,,,$B108))</f>
        <v>0</v>
      </c>
      <c r="H108" s="43" cm="1">
        <f t="array" aca="1" ref="H108" ca="1">INDIRECT(ADDRESS($A108,H$4,,,$B108))</f>
        <v>0</v>
      </c>
      <c r="I108" s="43" cm="1">
        <f t="array" aca="1" ref="I108" ca="1">INDIRECT(ADDRESS($A108,I$4,,,$B108))</f>
        <v>0</v>
      </c>
      <c r="J108" s="43" cm="1">
        <f t="array" aca="1" ref="J108" ca="1">INDIRECT(ADDRESS($A108,J$4,,,$B108))</f>
        <v>0</v>
      </c>
    </row>
    <row r="109" spans="1:10">
      <c r="A109" s="39">
        <f t="shared" si="4"/>
        <v>127</v>
      </c>
      <c r="B109" s="42" t="str">
        <f t="shared" si="3"/>
        <v>W2</v>
      </c>
      <c r="C109" s="43" cm="1">
        <f t="array" aca="1" ref="C109" ca="1">INDIRECT(ADDRESS($A109,C$4,,,$B109))</f>
        <v>0</v>
      </c>
      <c r="D109" s="43" cm="1">
        <f t="array" aca="1" ref="D109" ca="1">INDIRECT(ADDRESS($A109,D$4,,,$B109))</f>
        <v>0</v>
      </c>
      <c r="E109" s="43" cm="1">
        <f t="array" aca="1" ref="E109" ca="1">INDIRECT(ADDRESS($A109,E$4,,,$B109))</f>
        <v>0</v>
      </c>
      <c r="F109" s="43" cm="1">
        <f t="array" aca="1" ref="F109" ca="1">INDIRECT(ADDRESS($A109,F$4,,,$B109))</f>
        <v>0</v>
      </c>
      <c r="G109" s="43" cm="1">
        <f t="array" aca="1" ref="G109" ca="1">INDIRECT(ADDRESS($A109,G$4,,,$B109))</f>
        <v>0</v>
      </c>
      <c r="H109" s="43" cm="1">
        <f t="array" aca="1" ref="H109" ca="1">INDIRECT(ADDRESS($A109,H$4,,,$B109))</f>
        <v>0</v>
      </c>
      <c r="I109" s="43" cm="1">
        <f t="array" aca="1" ref="I109" ca="1">INDIRECT(ADDRESS($A109,I$4,,,$B109))</f>
        <v>0</v>
      </c>
      <c r="J109" s="43" cm="1">
        <f t="array" aca="1" ref="J109" ca="1">INDIRECT(ADDRESS($A109,J$4,,,$B109))</f>
        <v>0</v>
      </c>
    </row>
    <row r="110" spans="1:10">
      <c r="A110" s="39">
        <f t="shared" si="4"/>
        <v>128</v>
      </c>
      <c r="B110" s="42" t="str">
        <f t="shared" si="3"/>
        <v>W2</v>
      </c>
      <c r="C110" s="43" cm="1">
        <f t="array" aca="1" ref="C110" ca="1">INDIRECT(ADDRESS($A110,C$4,,,$B110))</f>
        <v>0</v>
      </c>
      <c r="D110" s="43" cm="1">
        <f t="array" aca="1" ref="D110" ca="1">INDIRECT(ADDRESS($A110,D$4,,,$B110))</f>
        <v>0</v>
      </c>
      <c r="E110" s="43" cm="1">
        <f t="array" aca="1" ref="E110" ca="1">INDIRECT(ADDRESS($A110,E$4,,,$B110))</f>
        <v>0</v>
      </c>
      <c r="F110" s="43" cm="1">
        <f t="array" aca="1" ref="F110" ca="1">INDIRECT(ADDRESS($A110,F$4,,,$B110))</f>
        <v>0</v>
      </c>
      <c r="G110" s="43" cm="1">
        <f t="array" aca="1" ref="G110" ca="1">INDIRECT(ADDRESS($A110,G$4,,,$B110))</f>
        <v>0</v>
      </c>
      <c r="H110" s="43" cm="1">
        <f t="array" aca="1" ref="H110" ca="1">INDIRECT(ADDRESS($A110,H$4,,,$B110))</f>
        <v>0</v>
      </c>
      <c r="I110" s="43" cm="1">
        <f t="array" aca="1" ref="I110" ca="1">INDIRECT(ADDRESS($A110,I$4,,,$B110))</f>
        <v>0</v>
      </c>
      <c r="J110" s="43" cm="1">
        <f t="array" aca="1" ref="J110" ca="1">INDIRECT(ADDRESS($A110,J$4,,,$B110))</f>
        <v>0</v>
      </c>
    </row>
    <row r="111" spans="1:10">
      <c r="A111" s="39">
        <f t="shared" si="4"/>
        <v>129</v>
      </c>
      <c r="B111" s="42" t="str">
        <f t="shared" si="3"/>
        <v>W2</v>
      </c>
      <c r="C111" s="43" cm="1">
        <f t="array" aca="1" ref="C111" ca="1">INDIRECT(ADDRESS($A111,C$4,,,$B111))</f>
        <v>0</v>
      </c>
      <c r="D111" s="43" cm="1">
        <f t="array" aca="1" ref="D111" ca="1">INDIRECT(ADDRESS($A111,D$4,,,$B111))</f>
        <v>0</v>
      </c>
      <c r="E111" s="43" cm="1">
        <f t="array" aca="1" ref="E111" ca="1">INDIRECT(ADDRESS($A111,E$4,,,$B111))</f>
        <v>0</v>
      </c>
      <c r="F111" s="43" cm="1">
        <f t="array" aca="1" ref="F111" ca="1">INDIRECT(ADDRESS($A111,F$4,,,$B111))</f>
        <v>0</v>
      </c>
      <c r="G111" s="43" cm="1">
        <f t="array" aca="1" ref="G111" ca="1">INDIRECT(ADDRESS($A111,G$4,,,$B111))</f>
        <v>0</v>
      </c>
      <c r="H111" s="43" cm="1">
        <f t="array" aca="1" ref="H111" ca="1">INDIRECT(ADDRESS($A111,H$4,,,$B111))</f>
        <v>0</v>
      </c>
      <c r="I111" s="43" cm="1">
        <f t="array" aca="1" ref="I111" ca="1">INDIRECT(ADDRESS($A111,I$4,,,$B111))</f>
        <v>0</v>
      </c>
      <c r="J111" s="43" cm="1">
        <f t="array" aca="1" ref="J111" ca="1">INDIRECT(ADDRESS($A111,J$4,,,$B111))</f>
        <v>0</v>
      </c>
    </row>
    <row r="112" spans="1:10">
      <c r="A112" s="39">
        <f t="shared" si="4"/>
        <v>130</v>
      </c>
      <c r="B112" s="42" t="str">
        <f t="shared" si="3"/>
        <v>W2</v>
      </c>
      <c r="C112" s="43" cm="1">
        <f t="array" aca="1" ref="C112" ca="1">INDIRECT(ADDRESS($A112,C$4,,,$B112))</f>
        <v>0</v>
      </c>
      <c r="D112" s="43" cm="1">
        <f t="array" aca="1" ref="D112" ca="1">INDIRECT(ADDRESS($A112,D$4,,,$B112))</f>
        <v>0</v>
      </c>
      <c r="E112" s="43" cm="1">
        <f t="array" aca="1" ref="E112" ca="1">INDIRECT(ADDRESS($A112,E$4,,,$B112))</f>
        <v>0</v>
      </c>
      <c r="F112" s="43" cm="1">
        <f t="array" aca="1" ref="F112" ca="1">INDIRECT(ADDRESS($A112,F$4,,,$B112))</f>
        <v>0</v>
      </c>
      <c r="G112" s="43" cm="1">
        <f t="array" aca="1" ref="G112" ca="1">INDIRECT(ADDRESS($A112,G$4,,,$B112))</f>
        <v>0</v>
      </c>
      <c r="H112" s="43" cm="1">
        <f t="array" aca="1" ref="H112" ca="1">INDIRECT(ADDRESS($A112,H$4,,,$B112))</f>
        <v>0</v>
      </c>
      <c r="I112" s="43" cm="1">
        <f t="array" aca="1" ref="I112" ca="1">INDIRECT(ADDRESS($A112,I$4,,,$B112))</f>
        <v>0</v>
      </c>
      <c r="J112" s="43" cm="1">
        <f t="array" aca="1" ref="J112" ca="1">INDIRECT(ADDRESS($A112,J$4,,,$B112))</f>
        <v>0</v>
      </c>
    </row>
    <row r="113" spans="1:10">
      <c r="A113" s="39">
        <f t="shared" si="4"/>
        <v>131</v>
      </c>
      <c r="B113" s="42" t="str">
        <f t="shared" si="3"/>
        <v>W2</v>
      </c>
      <c r="C113" s="43" cm="1">
        <f t="array" aca="1" ref="C113" ca="1">INDIRECT(ADDRESS($A113,C$4,,,$B113))</f>
        <v>0</v>
      </c>
      <c r="D113" s="43" cm="1">
        <f t="array" aca="1" ref="D113" ca="1">INDIRECT(ADDRESS($A113,D$4,,,$B113))</f>
        <v>0</v>
      </c>
      <c r="E113" s="43" cm="1">
        <f t="array" aca="1" ref="E113" ca="1">INDIRECT(ADDRESS($A113,E$4,,,$B113))</f>
        <v>0</v>
      </c>
      <c r="F113" s="43" cm="1">
        <f t="array" aca="1" ref="F113" ca="1">INDIRECT(ADDRESS($A113,F$4,,,$B113))</f>
        <v>0</v>
      </c>
      <c r="G113" s="43" cm="1">
        <f t="array" aca="1" ref="G113" ca="1">INDIRECT(ADDRESS($A113,G$4,,,$B113))</f>
        <v>0</v>
      </c>
      <c r="H113" s="43" cm="1">
        <f t="array" aca="1" ref="H113" ca="1">INDIRECT(ADDRESS($A113,H$4,,,$B113))</f>
        <v>0</v>
      </c>
      <c r="I113" s="43" cm="1">
        <f t="array" aca="1" ref="I113" ca="1">INDIRECT(ADDRESS($A113,I$4,,,$B113))</f>
        <v>0</v>
      </c>
      <c r="J113" s="43" cm="1">
        <f t="array" aca="1" ref="J113" ca="1">INDIRECT(ADDRESS($A113,J$4,,,$B113))</f>
        <v>0</v>
      </c>
    </row>
    <row r="114" spans="1:10">
      <c r="A114" s="39">
        <f t="shared" si="4"/>
        <v>132</v>
      </c>
      <c r="B114" s="42" t="str">
        <f t="shared" si="3"/>
        <v>W2</v>
      </c>
      <c r="C114" s="43" cm="1">
        <f t="array" aca="1" ref="C114" ca="1">INDIRECT(ADDRESS($A114,C$4,,,$B114))</f>
        <v>0</v>
      </c>
      <c r="D114" s="43" cm="1">
        <f t="array" aca="1" ref="D114" ca="1">INDIRECT(ADDRESS($A114,D$4,,,$B114))</f>
        <v>0</v>
      </c>
      <c r="E114" s="43" cm="1">
        <f t="array" aca="1" ref="E114" ca="1">INDIRECT(ADDRESS($A114,E$4,,,$B114))</f>
        <v>0</v>
      </c>
      <c r="F114" s="43" cm="1">
        <f t="array" aca="1" ref="F114" ca="1">INDIRECT(ADDRESS($A114,F$4,,,$B114))</f>
        <v>0</v>
      </c>
      <c r="G114" s="43" cm="1">
        <f t="array" aca="1" ref="G114" ca="1">INDIRECT(ADDRESS($A114,G$4,,,$B114))</f>
        <v>0</v>
      </c>
      <c r="H114" s="43" cm="1">
        <f t="array" aca="1" ref="H114" ca="1">INDIRECT(ADDRESS($A114,H$4,,,$B114))</f>
        <v>0</v>
      </c>
      <c r="I114" s="43" cm="1">
        <f t="array" aca="1" ref="I114" ca="1">INDIRECT(ADDRESS($A114,I$4,,,$B114))</f>
        <v>0</v>
      </c>
      <c r="J114" s="43" cm="1">
        <f t="array" aca="1" ref="J114" ca="1">INDIRECT(ADDRESS($A114,J$4,,,$B114))</f>
        <v>0</v>
      </c>
    </row>
    <row r="115" spans="1:10">
      <c r="A115" s="39">
        <f t="shared" si="4"/>
        <v>133</v>
      </c>
      <c r="B115" s="42" t="str">
        <f t="shared" si="3"/>
        <v>W2</v>
      </c>
      <c r="C115" s="43" cm="1">
        <f t="array" aca="1" ref="C115" ca="1">INDIRECT(ADDRESS($A115,C$4,,,$B115))</f>
        <v>0</v>
      </c>
      <c r="D115" s="43" cm="1">
        <f t="array" aca="1" ref="D115" ca="1">INDIRECT(ADDRESS($A115,D$4,,,$B115))</f>
        <v>0</v>
      </c>
      <c r="E115" s="43" cm="1">
        <f t="array" aca="1" ref="E115" ca="1">INDIRECT(ADDRESS($A115,E$4,,,$B115))</f>
        <v>0</v>
      </c>
      <c r="F115" s="43" cm="1">
        <f t="array" aca="1" ref="F115" ca="1">INDIRECT(ADDRESS($A115,F$4,,,$B115))</f>
        <v>0</v>
      </c>
      <c r="G115" s="43" cm="1">
        <f t="array" aca="1" ref="G115" ca="1">INDIRECT(ADDRESS($A115,G$4,,,$B115))</f>
        <v>0</v>
      </c>
      <c r="H115" s="43" cm="1">
        <f t="array" aca="1" ref="H115" ca="1">INDIRECT(ADDRESS($A115,H$4,,,$B115))</f>
        <v>0</v>
      </c>
      <c r="I115" s="43" cm="1">
        <f t="array" aca="1" ref="I115" ca="1">INDIRECT(ADDRESS($A115,I$4,,,$B115))</f>
        <v>0</v>
      </c>
      <c r="J115" s="43" cm="1">
        <f t="array" aca="1" ref="J115" ca="1">INDIRECT(ADDRESS($A115,J$4,,,$B115))</f>
        <v>0</v>
      </c>
    </row>
    <row r="116" spans="1:10">
      <c r="A116" s="39">
        <f t="shared" si="4"/>
        <v>134</v>
      </c>
      <c r="B116" s="42" t="str">
        <f t="shared" si="3"/>
        <v>W2</v>
      </c>
      <c r="C116" s="43" cm="1">
        <f t="array" aca="1" ref="C116" ca="1">INDIRECT(ADDRESS($A116,C$4,,,$B116))</f>
        <v>0</v>
      </c>
      <c r="D116" s="43" cm="1">
        <f t="array" aca="1" ref="D116" ca="1">INDIRECT(ADDRESS($A116,D$4,,,$B116))</f>
        <v>0</v>
      </c>
      <c r="E116" s="43" cm="1">
        <f t="array" aca="1" ref="E116" ca="1">INDIRECT(ADDRESS($A116,E$4,,,$B116))</f>
        <v>0</v>
      </c>
      <c r="F116" s="43" cm="1">
        <f t="array" aca="1" ref="F116" ca="1">INDIRECT(ADDRESS($A116,F$4,,,$B116))</f>
        <v>0</v>
      </c>
      <c r="G116" s="43" cm="1">
        <f t="array" aca="1" ref="G116" ca="1">INDIRECT(ADDRESS($A116,G$4,,,$B116))</f>
        <v>0</v>
      </c>
      <c r="H116" s="43" cm="1">
        <f t="array" aca="1" ref="H116" ca="1">INDIRECT(ADDRESS($A116,H$4,,,$B116))</f>
        <v>0</v>
      </c>
      <c r="I116" s="43" cm="1">
        <f t="array" aca="1" ref="I116" ca="1">INDIRECT(ADDRESS($A116,I$4,,,$B116))</f>
        <v>0</v>
      </c>
      <c r="J116" s="43" cm="1">
        <f t="array" aca="1" ref="J116" ca="1">INDIRECT(ADDRESS($A116,J$4,,,$B116))</f>
        <v>0</v>
      </c>
    </row>
    <row r="117" spans="1:10">
      <c r="A117" s="39">
        <f t="shared" si="4"/>
        <v>135</v>
      </c>
      <c r="B117" s="42" t="str">
        <f t="shared" si="3"/>
        <v>W2</v>
      </c>
      <c r="C117" s="43" cm="1">
        <f t="array" aca="1" ref="C117" ca="1">INDIRECT(ADDRESS($A117,C$4,,,$B117))</f>
        <v>0</v>
      </c>
      <c r="D117" s="43" cm="1">
        <f t="array" aca="1" ref="D117" ca="1">INDIRECT(ADDRESS($A117,D$4,,,$B117))</f>
        <v>0</v>
      </c>
      <c r="E117" s="43" cm="1">
        <f t="array" aca="1" ref="E117" ca="1">INDIRECT(ADDRESS($A117,E$4,,,$B117))</f>
        <v>0</v>
      </c>
      <c r="F117" s="43" cm="1">
        <f t="array" aca="1" ref="F117" ca="1">INDIRECT(ADDRESS($A117,F$4,,,$B117))</f>
        <v>0</v>
      </c>
      <c r="G117" s="43" cm="1">
        <f t="array" aca="1" ref="G117" ca="1">INDIRECT(ADDRESS($A117,G$4,,,$B117))</f>
        <v>0</v>
      </c>
      <c r="H117" s="43" cm="1">
        <f t="array" aca="1" ref="H117" ca="1">INDIRECT(ADDRESS($A117,H$4,,,$B117))</f>
        <v>0</v>
      </c>
      <c r="I117" s="43" cm="1">
        <f t="array" aca="1" ref="I117" ca="1">INDIRECT(ADDRESS($A117,I$4,,,$B117))</f>
        <v>0</v>
      </c>
      <c r="J117" s="43" cm="1">
        <f t="array" aca="1" ref="J117" ca="1">INDIRECT(ADDRESS($A117,J$4,,,$B117))</f>
        <v>0</v>
      </c>
    </row>
    <row r="118" spans="1:10">
      <c r="A118" s="39">
        <f t="shared" si="4"/>
        <v>136</v>
      </c>
      <c r="B118" s="42" t="str">
        <f t="shared" si="3"/>
        <v>W2</v>
      </c>
      <c r="C118" s="43" cm="1">
        <f t="array" aca="1" ref="C118" ca="1">INDIRECT(ADDRESS($A118,C$4,,,$B118))</f>
        <v>0</v>
      </c>
      <c r="D118" s="43" cm="1">
        <f t="array" aca="1" ref="D118" ca="1">INDIRECT(ADDRESS($A118,D$4,,,$B118))</f>
        <v>0</v>
      </c>
      <c r="E118" s="43" cm="1">
        <f t="array" aca="1" ref="E118" ca="1">INDIRECT(ADDRESS($A118,E$4,,,$B118))</f>
        <v>0</v>
      </c>
      <c r="F118" s="43" cm="1">
        <f t="array" aca="1" ref="F118" ca="1">INDIRECT(ADDRESS($A118,F$4,,,$B118))</f>
        <v>0</v>
      </c>
      <c r="G118" s="43" cm="1">
        <f t="array" aca="1" ref="G118" ca="1">INDIRECT(ADDRESS($A118,G$4,,,$B118))</f>
        <v>0</v>
      </c>
      <c r="H118" s="43" cm="1">
        <f t="array" aca="1" ref="H118" ca="1">INDIRECT(ADDRESS($A118,H$4,,,$B118))</f>
        <v>0</v>
      </c>
      <c r="I118" s="43" cm="1">
        <f t="array" aca="1" ref="I118" ca="1">INDIRECT(ADDRESS($A118,I$4,,,$B118))</f>
        <v>0</v>
      </c>
      <c r="J118" s="43" cm="1">
        <f t="array" aca="1" ref="J118" ca="1">INDIRECT(ADDRESS($A118,J$4,,,$B118))</f>
        <v>0</v>
      </c>
    </row>
    <row r="119" spans="1:10">
      <c r="A119" s="39">
        <f t="shared" si="4"/>
        <v>137</v>
      </c>
      <c r="B119" s="42" t="str">
        <f t="shared" si="3"/>
        <v>W2</v>
      </c>
      <c r="C119" s="43" cm="1">
        <f t="array" aca="1" ref="C119" ca="1">INDIRECT(ADDRESS($A119,C$4,,,$B119))</f>
        <v>0</v>
      </c>
      <c r="D119" s="43" cm="1">
        <f t="array" aca="1" ref="D119" ca="1">INDIRECT(ADDRESS($A119,D$4,,,$B119))</f>
        <v>0</v>
      </c>
      <c r="E119" s="43" cm="1">
        <f t="array" aca="1" ref="E119" ca="1">INDIRECT(ADDRESS($A119,E$4,,,$B119))</f>
        <v>0</v>
      </c>
      <c r="F119" s="43" cm="1">
        <f t="array" aca="1" ref="F119" ca="1">INDIRECT(ADDRESS($A119,F$4,,,$B119))</f>
        <v>0</v>
      </c>
      <c r="G119" s="43" cm="1">
        <f t="array" aca="1" ref="G119" ca="1">INDIRECT(ADDRESS($A119,G$4,,,$B119))</f>
        <v>0</v>
      </c>
      <c r="H119" s="43" cm="1">
        <f t="array" aca="1" ref="H119" ca="1">INDIRECT(ADDRESS($A119,H$4,,,$B119))</f>
        <v>0</v>
      </c>
      <c r="I119" s="43" cm="1">
        <f t="array" aca="1" ref="I119" ca="1">INDIRECT(ADDRESS($A119,I$4,,,$B119))</f>
        <v>0</v>
      </c>
      <c r="J119" s="43" cm="1">
        <f t="array" aca="1" ref="J119" ca="1">INDIRECT(ADDRESS($A119,J$4,,,$B119))</f>
        <v>0</v>
      </c>
    </row>
    <row r="120" spans="1:10">
      <c r="A120" s="39">
        <f t="shared" si="4"/>
        <v>138</v>
      </c>
      <c r="B120" s="42" t="str">
        <f t="shared" si="3"/>
        <v>W2</v>
      </c>
      <c r="C120" s="43" cm="1">
        <f t="array" aca="1" ref="C120" ca="1">INDIRECT(ADDRESS($A120,C$4,,,$B120))</f>
        <v>0</v>
      </c>
      <c r="D120" s="43" cm="1">
        <f t="array" aca="1" ref="D120" ca="1">INDIRECT(ADDRESS($A120,D$4,,,$B120))</f>
        <v>0</v>
      </c>
      <c r="E120" s="43" cm="1">
        <f t="array" aca="1" ref="E120" ca="1">INDIRECT(ADDRESS($A120,E$4,,,$B120))</f>
        <v>0</v>
      </c>
      <c r="F120" s="43" cm="1">
        <f t="array" aca="1" ref="F120" ca="1">INDIRECT(ADDRESS($A120,F$4,,,$B120))</f>
        <v>0</v>
      </c>
      <c r="G120" s="43" cm="1">
        <f t="array" aca="1" ref="G120" ca="1">INDIRECT(ADDRESS($A120,G$4,,,$B120))</f>
        <v>0</v>
      </c>
      <c r="H120" s="43" cm="1">
        <f t="array" aca="1" ref="H120" ca="1">INDIRECT(ADDRESS($A120,H$4,,,$B120))</f>
        <v>0</v>
      </c>
      <c r="I120" s="43" cm="1">
        <f t="array" aca="1" ref="I120" ca="1">INDIRECT(ADDRESS($A120,I$4,,,$B120))</f>
        <v>0</v>
      </c>
      <c r="J120" s="43" cm="1">
        <f t="array" aca="1" ref="J120" ca="1">INDIRECT(ADDRESS($A120,J$4,,,$B120))</f>
        <v>0</v>
      </c>
    </row>
    <row r="121" spans="1:10">
      <c r="A121" s="39">
        <f t="shared" si="4"/>
        <v>139</v>
      </c>
      <c r="B121" s="42" t="str">
        <f t="shared" si="3"/>
        <v>W2</v>
      </c>
      <c r="C121" s="43" cm="1">
        <f t="array" aca="1" ref="C121" ca="1">INDIRECT(ADDRESS($A121,C$4,,,$B121))</f>
        <v>0</v>
      </c>
      <c r="D121" s="43" cm="1">
        <f t="array" aca="1" ref="D121" ca="1">INDIRECT(ADDRESS($A121,D$4,,,$B121))</f>
        <v>0</v>
      </c>
      <c r="E121" s="43" cm="1">
        <f t="array" aca="1" ref="E121" ca="1">INDIRECT(ADDRESS($A121,E$4,,,$B121))</f>
        <v>0</v>
      </c>
      <c r="F121" s="43" cm="1">
        <f t="array" aca="1" ref="F121" ca="1">INDIRECT(ADDRESS($A121,F$4,,,$B121))</f>
        <v>0</v>
      </c>
      <c r="G121" s="43" cm="1">
        <f t="array" aca="1" ref="G121" ca="1">INDIRECT(ADDRESS($A121,G$4,,,$B121))</f>
        <v>0</v>
      </c>
      <c r="H121" s="43" cm="1">
        <f t="array" aca="1" ref="H121" ca="1">INDIRECT(ADDRESS($A121,H$4,,,$B121))</f>
        <v>0</v>
      </c>
      <c r="I121" s="43" cm="1">
        <f t="array" aca="1" ref="I121" ca="1">INDIRECT(ADDRESS($A121,I$4,,,$B121))</f>
        <v>0</v>
      </c>
      <c r="J121" s="43" cm="1">
        <f t="array" aca="1" ref="J121" ca="1">INDIRECT(ADDRESS($A121,J$4,,,$B121))</f>
        <v>0</v>
      </c>
    </row>
    <row r="122" spans="1:10">
      <c r="A122" s="39">
        <f t="shared" si="4"/>
        <v>140</v>
      </c>
      <c r="B122" s="42" t="str">
        <f t="shared" si="3"/>
        <v>W2</v>
      </c>
      <c r="C122" s="43" cm="1">
        <f t="array" aca="1" ref="C122" ca="1">INDIRECT(ADDRESS($A122,C$4,,,$B122))</f>
        <v>0</v>
      </c>
      <c r="D122" s="43" cm="1">
        <f t="array" aca="1" ref="D122" ca="1">INDIRECT(ADDRESS($A122,D$4,,,$B122))</f>
        <v>0</v>
      </c>
      <c r="E122" s="43" cm="1">
        <f t="array" aca="1" ref="E122" ca="1">INDIRECT(ADDRESS($A122,E$4,,,$B122))</f>
        <v>0</v>
      </c>
      <c r="F122" s="43" cm="1">
        <f t="array" aca="1" ref="F122" ca="1">INDIRECT(ADDRESS($A122,F$4,,,$B122))</f>
        <v>0</v>
      </c>
      <c r="G122" s="43" cm="1">
        <f t="array" aca="1" ref="G122" ca="1">INDIRECT(ADDRESS($A122,G$4,,,$B122))</f>
        <v>0</v>
      </c>
      <c r="H122" s="43" cm="1">
        <f t="array" aca="1" ref="H122" ca="1">INDIRECT(ADDRESS($A122,H$4,,,$B122))</f>
        <v>0</v>
      </c>
      <c r="I122" s="43" cm="1">
        <f t="array" aca="1" ref="I122" ca="1">INDIRECT(ADDRESS($A122,I$4,,,$B122))</f>
        <v>0</v>
      </c>
      <c r="J122" s="43" cm="1">
        <f t="array" aca="1" ref="J122" ca="1">INDIRECT(ADDRESS($A122,J$4,,,$B122))</f>
        <v>0</v>
      </c>
    </row>
    <row r="123" spans="1:10">
      <c r="A123" s="39">
        <f t="shared" si="4"/>
        <v>141</v>
      </c>
      <c r="B123" s="42" t="str">
        <f t="shared" si="3"/>
        <v>W2</v>
      </c>
      <c r="C123" s="43" cm="1">
        <f t="array" aca="1" ref="C123" ca="1">INDIRECT(ADDRESS($A123,C$4,,,$B123))</f>
        <v>0</v>
      </c>
      <c r="D123" s="43" cm="1">
        <f t="array" aca="1" ref="D123" ca="1">INDIRECT(ADDRESS($A123,D$4,,,$B123))</f>
        <v>0</v>
      </c>
      <c r="E123" s="43" cm="1">
        <f t="array" aca="1" ref="E123" ca="1">INDIRECT(ADDRESS($A123,E$4,,,$B123))</f>
        <v>0</v>
      </c>
      <c r="F123" s="43" cm="1">
        <f t="array" aca="1" ref="F123" ca="1">INDIRECT(ADDRESS($A123,F$4,,,$B123))</f>
        <v>0</v>
      </c>
      <c r="G123" s="43" cm="1">
        <f t="array" aca="1" ref="G123" ca="1">INDIRECT(ADDRESS($A123,G$4,,,$B123))</f>
        <v>0</v>
      </c>
      <c r="H123" s="43" cm="1">
        <f t="array" aca="1" ref="H123" ca="1">INDIRECT(ADDRESS($A123,H$4,,,$B123))</f>
        <v>0</v>
      </c>
      <c r="I123" s="43" cm="1">
        <f t="array" aca="1" ref="I123" ca="1">INDIRECT(ADDRESS($A123,I$4,,,$B123))</f>
        <v>0</v>
      </c>
      <c r="J123" s="43" cm="1">
        <f t="array" aca="1" ref="J123" ca="1">INDIRECT(ADDRESS($A123,J$4,,,$B123))</f>
        <v>0</v>
      </c>
    </row>
    <row r="124" spans="1:10">
      <c r="A124" s="39">
        <f t="shared" si="4"/>
        <v>142</v>
      </c>
      <c r="B124" s="42" t="str">
        <f t="shared" si="3"/>
        <v>W2</v>
      </c>
      <c r="C124" s="43" cm="1">
        <f t="array" aca="1" ref="C124" ca="1">INDIRECT(ADDRESS($A124,C$4,,,$B124))</f>
        <v>0</v>
      </c>
      <c r="D124" s="43" cm="1">
        <f t="array" aca="1" ref="D124" ca="1">INDIRECT(ADDRESS($A124,D$4,,,$B124))</f>
        <v>0</v>
      </c>
      <c r="E124" s="43" cm="1">
        <f t="array" aca="1" ref="E124" ca="1">INDIRECT(ADDRESS($A124,E$4,,,$B124))</f>
        <v>0</v>
      </c>
      <c r="F124" s="43" cm="1">
        <f t="array" aca="1" ref="F124" ca="1">INDIRECT(ADDRESS($A124,F$4,,,$B124))</f>
        <v>0</v>
      </c>
      <c r="G124" s="43" cm="1">
        <f t="array" aca="1" ref="G124" ca="1">INDIRECT(ADDRESS($A124,G$4,,,$B124))</f>
        <v>0</v>
      </c>
      <c r="H124" s="43" cm="1">
        <f t="array" aca="1" ref="H124" ca="1">INDIRECT(ADDRESS($A124,H$4,,,$B124))</f>
        <v>0</v>
      </c>
      <c r="I124" s="43" cm="1">
        <f t="array" aca="1" ref="I124" ca="1">INDIRECT(ADDRESS($A124,I$4,,,$B124))</f>
        <v>0</v>
      </c>
      <c r="J124" s="43" cm="1">
        <f t="array" aca="1" ref="J124" ca="1">INDIRECT(ADDRESS($A124,J$4,,,$B124))</f>
        <v>0</v>
      </c>
    </row>
    <row r="125" spans="1:10">
      <c r="A125" s="39">
        <f t="shared" si="4"/>
        <v>143</v>
      </c>
      <c r="B125" s="42" t="str">
        <f t="shared" si="3"/>
        <v>W2</v>
      </c>
      <c r="C125" s="43" cm="1">
        <f t="array" aca="1" ref="C125" ca="1">INDIRECT(ADDRESS($A125,C$4,,,$B125))</f>
        <v>0</v>
      </c>
      <c r="D125" s="43" cm="1">
        <f t="array" aca="1" ref="D125" ca="1">INDIRECT(ADDRESS($A125,D$4,,,$B125))</f>
        <v>0</v>
      </c>
      <c r="E125" s="43" cm="1">
        <f t="array" aca="1" ref="E125" ca="1">INDIRECT(ADDRESS($A125,E$4,,,$B125))</f>
        <v>0</v>
      </c>
      <c r="F125" s="43" cm="1">
        <f t="array" aca="1" ref="F125" ca="1">INDIRECT(ADDRESS($A125,F$4,,,$B125))</f>
        <v>0</v>
      </c>
      <c r="G125" s="43" cm="1">
        <f t="array" aca="1" ref="G125" ca="1">INDIRECT(ADDRESS($A125,G$4,,,$B125))</f>
        <v>0</v>
      </c>
      <c r="H125" s="43" cm="1">
        <f t="array" aca="1" ref="H125" ca="1">INDIRECT(ADDRESS($A125,H$4,,,$B125))</f>
        <v>0</v>
      </c>
      <c r="I125" s="43" cm="1">
        <f t="array" aca="1" ref="I125" ca="1">INDIRECT(ADDRESS($A125,I$4,,,$B125))</f>
        <v>0</v>
      </c>
      <c r="J125" s="43" cm="1">
        <f t="array" aca="1" ref="J125" ca="1">INDIRECT(ADDRESS($A125,J$4,,,$B125))</f>
        <v>0</v>
      </c>
    </row>
    <row r="126" spans="1:10">
      <c r="A126" s="39">
        <f t="shared" si="4"/>
        <v>144</v>
      </c>
      <c r="B126" s="42" t="str">
        <f t="shared" si="3"/>
        <v>W2</v>
      </c>
      <c r="C126" s="43" cm="1">
        <f t="array" aca="1" ref="C126" ca="1">INDIRECT(ADDRESS($A126,C$4,,,$B126))</f>
        <v>0</v>
      </c>
      <c r="D126" s="43" cm="1">
        <f t="array" aca="1" ref="D126" ca="1">INDIRECT(ADDRESS($A126,D$4,,,$B126))</f>
        <v>0</v>
      </c>
      <c r="E126" s="43" cm="1">
        <f t="array" aca="1" ref="E126" ca="1">INDIRECT(ADDRESS($A126,E$4,,,$B126))</f>
        <v>0</v>
      </c>
      <c r="F126" s="43" cm="1">
        <f t="array" aca="1" ref="F126" ca="1">INDIRECT(ADDRESS($A126,F$4,,,$B126))</f>
        <v>0</v>
      </c>
      <c r="G126" s="43" cm="1">
        <f t="array" aca="1" ref="G126" ca="1">INDIRECT(ADDRESS($A126,G$4,,,$B126))</f>
        <v>0</v>
      </c>
      <c r="H126" s="43" cm="1">
        <f t="array" aca="1" ref="H126" ca="1">INDIRECT(ADDRESS($A126,H$4,,,$B126))</f>
        <v>0</v>
      </c>
      <c r="I126" s="43" cm="1">
        <f t="array" aca="1" ref="I126" ca="1">INDIRECT(ADDRESS($A126,I$4,,,$B126))</f>
        <v>0</v>
      </c>
      <c r="J126" s="43" cm="1">
        <f t="array" aca="1" ref="J126" ca="1">INDIRECT(ADDRESS($A126,J$4,,,$B126))</f>
        <v>0</v>
      </c>
    </row>
    <row r="127" spans="1:10">
      <c r="A127" s="39">
        <f t="shared" si="4"/>
        <v>145</v>
      </c>
      <c r="B127" s="42" t="str">
        <f t="shared" si="3"/>
        <v>W2</v>
      </c>
      <c r="C127" s="43" cm="1">
        <f t="array" aca="1" ref="C127" ca="1">INDIRECT(ADDRESS($A127,C$4,,,$B127))</f>
        <v>0</v>
      </c>
      <c r="D127" s="43" cm="1">
        <f t="array" aca="1" ref="D127" ca="1">INDIRECT(ADDRESS($A127,D$4,,,$B127))</f>
        <v>0</v>
      </c>
      <c r="E127" s="43" cm="1">
        <f t="array" aca="1" ref="E127" ca="1">INDIRECT(ADDRESS($A127,E$4,,,$B127))</f>
        <v>0</v>
      </c>
      <c r="F127" s="43" cm="1">
        <f t="array" aca="1" ref="F127" ca="1">INDIRECT(ADDRESS($A127,F$4,,,$B127))</f>
        <v>0</v>
      </c>
      <c r="G127" s="43" cm="1">
        <f t="array" aca="1" ref="G127" ca="1">INDIRECT(ADDRESS($A127,G$4,,,$B127))</f>
        <v>0</v>
      </c>
      <c r="H127" s="43" cm="1">
        <f t="array" aca="1" ref="H127" ca="1">INDIRECT(ADDRESS($A127,H$4,,,$B127))</f>
        <v>0</v>
      </c>
      <c r="I127" s="43" cm="1">
        <f t="array" aca="1" ref="I127" ca="1">INDIRECT(ADDRESS($A127,I$4,,,$B127))</f>
        <v>0</v>
      </c>
      <c r="J127" s="43" cm="1">
        <f t="array" aca="1" ref="J127" ca="1">INDIRECT(ADDRESS($A127,J$4,,,$B127))</f>
        <v>0</v>
      </c>
    </row>
    <row r="128" spans="1:10">
      <c r="A128" s="39">
        <f t="shared" si="4"/>
        <v>146</v>
      </c>
      <c r="B128" s="42" t="str">
        <f t="shared" si="3"/>
        <v>W2</v>
      </c>
      <c r="C128" s="43" cm="1">
        <f t="array" aca="1" ref="C128" ca="1">INDIRECT(ADDRESS($A128,C$4,,,$B128))</f>
        <v>0</v>
      </c>
      <c r="D128" s="43" cm="1">
        <f t="array" aca="1" ref="D128" ca="1">INDIRECT(ADDRESS($A128,D$4,,,$B128))</f>
        <v>0</v>
      </c>
      <c r="E128" s="43" cm="1">
        <f t="array" aca="1" ref="E128" ca="1">INDIRECT(ADDRESS($A128,E$4,,,$B128))</f>
        <v>0</v>
      </c>
      <c r="F128" s="43" cm="1">
        <f t="array" aca="1" ref="F128" ca="1">INDIRECT(ADDRESS($A128,F$4,,,$B128))</f>
        <v>0</v>
      </c>
      <c r="G128" s="43" cm="1">
        <f t="array" aca="1" ref="G128" ca="1">INDIRECT(ADDRESS($A128,G$4,,,$B128))</f>
        <v>0</v>
      </c>
      <c r="H128" s="43" cm="1">
        <f t="array" aca="1" ref="H128" ca="1">INDIRECT(ADDRESS($A128,H$4,,,$B128))</f>
        <v>0</v>
      </c>
      <c r="I128" s="43" cm="1">
        <f t="array" aca="1" ref="I128" ca="1">INDIRECT(ADDRESS($A128,I$4,,,$B128))</f>
        <v>0</v>
      </c>
      <c r="J128" s="43" cm="1">
        <f t="array" aca="1" ref="J128" ca="1">INDIRECT(ADDRESS($A128,J$4,,,$B128))</f>
        <v>0</v>
      </c>
    </row>
    <row r="129" spans="1:10">
      <c r="A129" s="39">
        <f t="shared" si="4"/>
        <v>147</v>
      </c>
      <c r="B129" s="42" t="str">
        <f t="shared" si="3"/>
        <v>W2</v>
      </c>
      <c r="C129" s="43" cm="1">
        <f t="array" aca="1" ref="C129" ca="1">INDIRECT(ADDRESS($A129,C$4,,,$B129))</f>
        <v>0</v>
      </c>
      <c r="D129" s="43" cm="1">
        <f t="array" aca="1" ref="D129" ca="1">INDIRECT(ADDRESS($A129,D$4,,,$B129))</f>
        <v>0</v>
      </c>
      <c r="E129" s="43" cm="1">
        <f t="array" aca="1" ref="E129" ca="1">INDIRECT(ADDRESS($A129,E$4,,,$B129))</f>
        <v>0</v>
      </c>
      <c r="F129" s="43" cm="1">
        <f t="array" aca="1" ref="F129" ca="1">INDIRECT(ADDRESS($A129,F$4,,,$B129))</f>
        <v>0</v>
      </c>
      <c r="G129" s="43" cm="1">
        <f t="array" aca="1" ref="G129" ca="1">INDIRECT(ADDRESS($A129,G$4,,,$B129))</f>
        <v>0</v>
      </c>
      <c r="H129" s="43" cm="1">
        <f t="array" aca="1" ref="H129" ca="1">INDIRECT(ADDRESS($A129,H$4,,,$B129))</f>
        <v>0</v>
      </c>
      <c r="I129" s="43" cm="1">
        <f t="array" aca="1" ref="I129" ca="1">INDIRECT(ADDRESS($A129,I$4,,,$B129))</f>
        <v>0</v>
      </c>
      <c r="J129" s="43" cm="1">
        <f t="array" aca="1" ref="J129" ca="1">INDIRECT(ADDRESS($A129,J$4,,,$B129))</f>
        <v>0</v>
      </c>
    </row>
    <row r="130" spans="1:10">
      <c r="A130" s="39">
        <f t="shared" si="4"/>
        <v>148</v>
      </c>
      <c r="B130" s="42" t="str">
        <f t="shared" si="3"/>
        <v>W2</v>
      </c>
      <c r="C130" s="43" cm="1">
        <f t="array" aca="1" ref="C130" ca="1">INDIRECT(ADDRESS($A130,C$4,,,$B130))</f>
        <v>0</v>
      </c>
      <c r="D130" s="43" cm="1">
        <f t="array" aca="1" ref="D130" ca="1">INDIRECT(ADDRESS($A130,D$4,,,$B130))</f>
        <v>0</v>
      </c>
      <c r="E130" s="43" cm="1">
        <f t="array" aca="1" ref="E130" ca="1">INDIRECT(ADDRESS($A130,E$4,,,$B130))</f>
        <v>0</v>
      </c>
      <c r="F130" s="43" cm="1">
        <f t="array" aca="1" ref="F130" ca="1">INDIRECT(ADDRESS($A130,F$4,,,$B130))</f>
        <v>0</v>
      </c>
      <c r="G130" s="43" cm="1">
        <f t="array" aca="1" ref="G130" ca="1">INDIRECT(ADDRESS($A130,G$4,,,$B130))</f>
        <v>0</v>
      </c>
      <c r="H130" s="43" cm="1">
        <f t="array" aca="1" ref="H130" ca="1">INDIRECT(ADDRESS($A130,H$4,,,$B130))</f>
        <v>0</v>
      </c>
      <c r="I130" s="43" cm="1">
        <f t="array" aca="1" ref="I130" ca="1">INDIRECT(ADDRESS($A130,I$4,,,$B130))</f>
        <v>0</v>
      </c>
      <c r="J130" s="43" cm="1">
        <f t="array" aca="1" ref="J130" ca="1">INDIRECT(ADDRESS($A130,J$4,,,$B130))</f>
        <v>0</v>
      </c>
    </row>
    <row r="131" spans="1:10">
      <c r="A131" s="39">
        <f t="shared" si="4"/>
        <v>149</v>
      </c>
      <c r="B131" s="42" t="str">
        <f t="shared" si="3"/>
        <v>W2</v>
      </c>
      <c r="C131" s="43" cm="1">
        <f t="array" aca="1" ref="C131" ca="1">INDIRECT(ADDRESS($A131,C$4,,,$B131))</f>
        <v>0</v>
      </c>
      <c r="D131" s="43" cm="1">
        <f t="array" aca="1" ref="D131" ca="1">INDIRECT(ADDRESS($A131,D$4,,,$B131))</f>
        <v>0</v>
      </c>
      <c r="E131" s="43" cm="1">
        <f t="array" aca="1" ref="E131" ca="1">INDIRECT(ADDRESS($A131,E$4,,,$B131))</f>
        <v>0</v>
      </c>
      <c r="F131" s="43" cm="1">
        <f t="array" aca="1" ref="F131" ca="1">INDIRECT(ADDRESS($A131,F$4,,,$B131))</f>
        <v>0</v>
      </c>
      <c r="G131" s="43" cm="1">
        <f t="array" aca="1" ref="G131" ca="1">INDIRECT(ADDRESS($A131,G$4,,,$B131))</f>
        <v>0</v>
      </c>
      <c r="H131" s="43" cm="1">
        <f t="array" aca="1" ref="H131" ca="1">INDIRECT(ADDRESS($A131,H$4,,,$B131))</f>
        <v>0</v>
      </c>
      <c r="I131" s="43" cm="1">
        <f t="array" aca="1" ref="I131" ca="1">INDIRECT(ADDRESS($A131,I$4,,,$B131))</f>
        <v>0</v>
      </c>
      <c r="J131" s="43" cm="1">
        <f t="array" aca="1" ref="J131" ca="1">INDIRECT(ADDRESS($A131,J$4,,,$B131))</f>
        <v>0</v>
      </c>
    </row>
    <row r="132" spans="1:10">
      <c r="A132" s="39">
        <f t="shared" si="4"/>
        <v>150</v>
      </c>
      <c r="B132" s="42" t="str">
        <f t="shared" si="3"/>
        <v>W2</v>
      </c>
      <c r="C132" s="43" cm="1">
        <f t="array" aca="1" ref="C132" ca="1">INDIRECT(ADDRESS($A132,C$4,,,$B132))</f>
        <v>0</v>
      </c>
      <c r="D132" s="43" cm="1">
        <f t="array" aca="1" ref="D132" ca="1">INDIRECT(ADDRESS($A132,D$4,,,$B132))</f>
        <v>0</v>
      </c>
      <c r="E132" s="43" cm="1">
        <f t="array" aca="1" ref="E132" ca="1">INDIRECT(ADDRESS($A132,E$4,,,$B132))</f>
        <v>0</v>
      </c>
      <c r="F132" s="43" cm="1">
        <f t="array" aca="1" ref="F132" ca="1">INDIRECT(ADDRESS($A132,F$4,,,$B132))</f>
        <v>0</v>
      </c>
      <c r="G132" s="43" cm="1">
        <f t="array" aca="1" ref="G132" ca="1">INDIRECT(ADDRESS($A132,G$4,,,$B132))</f>
        <v>0</v>
      </c>
      <c r="H132" s="43" cm="1">
        <f t="array" aca="1" ref="H132" ca="1">INDIRECT(ADDRESS($A132,H$4,,,$B132))</f>
        <v>0</v>
      </c>
      <c r="I132" s="43" cm="1">
        <f t="array" aca="1" ref="I132" ca="1">INDIRECT(ADDRESS($A132,I$4,,,$B132))</f>
        <v>0</v>
      </c>
      <c r="J132" s="43" cm="1">
        <f t="array" aca="1" ref="J132" ca="1">INDIRECT(ADDRESS($A132,J$4,,,$B132))</f>
        <v>0</v>
      </c>
    </row>
    <row r="133" spans="1:10">
      <c r="A133" s="39">
        <f t="shared" si="4"/>
        <v>151</v>
      </c>
      <c r="B133" s="42" t="str">
        <f t="shared" si="3"/>
        <v>W2</v>
      </c>
      <c r="C133" s="43" cm="1">
        <f t="array" aca="1" ref="C133" ca="1">INDIRECT(ADDRESS($A133,C$4,,,$B133))</f>
        <v>0</v>
      </c>
      <c r="D133" s="43" cm="1">
        <f t="array" aca="1" ref="D133" ca="1">INDIRECT(ADDRESS($A133,D$4,,,$B133))</f>
        <v>0</v>
      </c>
      <c r="E133" s="43" cm="1">
        <f t="array" aca="1" ref="E133" ca="1">INDIRECT(ADDRESS($A133,E$4,,,$B133))</f>
        <v>0</v>
      </c>
      <c r="F133" s="43" cm="1">
        <f t="array" aca="1" ref="F133" ca="1">INDIRECT(ADDRESS($A133,F$4,,,$B133))</f>
        <v>0</v>
      </c>
      <c r="G133" s="43" cm="1">
        <f t="array" aca="1" ref="G133" ca="1">INDIRECT(ADDRESS($A133,G$4,,,$B133))</f>
        <v>0</v>
      </c>
      <c r="H133" s="43" cm="1">
        <f t="array" aca="1" ref="H133" ca="1">INDIRECT(ADDRESS($A133,H$4,,,$B133))</f>
        <v>0</v>
      </c>
      <c r="I133" s="43" cm="1">
        <f t="array" aca="1" ref="I133" ca="1">INDIRECT(ADDRESS($A133,I$4,,,$B133))</f>
        <v>0</v>
      </c>
      <c r="J133" s="43" cm="1">
        <f t="array" aca="1" ref="J133" ca="1">INDIRECT(ADDRESS($A133,J$4,,,$B133))</f>
        <v>0</v>
      </c>
    </row>
    <row r="134" spans="1:10">
      <c r="A134" s="39">
        <f t="shared" si="4"/>
        <v>152</v>
      </c>
      <c r="B134" s="42" t="str">
        <f t="shared" si="3"/>
        <v>W2</v>
      </c>
      <c r="C134" s="43" cm="1">
        <f t="array" aca="1" ref="C134" ca="1">INDIRECT(ADDRESS($A134,C$4,,,$B134))</f>
        <v>0</v>
      </c>
      <c r="D134" s="43" cm="1">
        <f t="array" aca="1" ref="D134" ca="1">INDIRECT(ADDRESS($A134,D$4,,,$B134))</f>
        <v>0</v>
      </c>
      <c r="E134" s="43" cm="1">
        <f t="array" aca="1" ref="E134" ca="1">INDIRECT(ADDRESS($A134,E$4,,,$B134))</f>
        <v>0</v>
      </c>
      <c r="F134" s="43" cm="1">
        <f t="array" aca="1" ref="F134" ca="1">INDIRECT(ADDRESS($A134,F$4,,,$B134))</f>
        <v>0</v>
      </c>
      <c r="G134" s="43" cm="1">
        <f t="array" aca="1" ref="G134" ca="1">INDIRECT(ADDRESS($A134,G$4,,,$B134))</f>
        <v>0</v>
      </c>
      <c r="H134" s="43" cm="1">
        <f t="array" aca="1" ref="H134" ca="1">INDIRECT(ADDRESS($A134,H$4,,,$B134))</f>
        <v>0</v>
      </c>
      <c r="I134" s="43" cm="1">
        <f t="array" aca="1" ref="I134" ca="1">INDIRECT(ADDRESS($A134,I$4,,,$B134))</f>
        <v>0</v>
      </c>
      <c r="J134" s="43" cm="1">
        <f t="array" aca="1" ref="J134" ca="1">INDIRECT(ADDRESS($A134,J$4,,,$B134))</f>
        <v>0</v>
      </c>
    </row>
    <row r="135" spans="1:10">
      <c r="A135" s="39">
        <f t="shared" si="4"/>
        <v>153</v>
      </c>
      <c r="B135" s="42" t="str">
        <f t="shared" ref="B135:B198" si="5">+$D$2</f>
        <v>W2</v>
      </c>
      <c r="C135" s="43" cm="1">
        <f t="array" aca="1" ref="C135" ca="1">INDIRECT(ADDRESS($A135,C$4,,,$B135))</f>
        <v>0</v>
      </c>
      <c r="D135" s="43" cm="1">
        <f t="array" aca="1" ref="D135" ca="1">INDIRECT(ADDRESS($A135,D$4,,,$B135))</f>
        <v>0</v>
      </c>
      <c r="E135" s="43" cm="1">
        <f t="array" aca="1" ref="E135" ca="1">INDIRECT(ADDRESS($A135,E$4,,,$B135))</f>
        <v>0</v>
      </c>
      <c r="F135" s="43" cm="1">
        <f t="array" aca="1" ref="F135" ca="1">INDIRECT(ADDRESS($A135,F$4,,,$B135))</f>
        <v>0</v>
      </c>
      <c r="G135" s="43" cm="1">
        <f t="array" aca="1" ref="G135" ca="1">INDIRECT(ADDRESS($A135,G$4,,,$B135))</f>
        <v>0</v>
      </c>
      <c r="H135" s="43" cm="1">
        <f t="array" aca="1" ref="H135" ca="1">INDIRECT(ADDRESS($A135,H$4,,,$B135))</f>
        <v>0</v>
      </c>
      <c r="I135" s="43" cm="1">
        <f t="array" aca="1" ref="I135" ca="1">INDIRECT(ADDRESS($A135,I$4,,,$B135))</f>
        <v>0</v>
      </c>
      <c r="J135" s="43" cm="1">
        <f t="array" aca="1" ref="J135" ca="1">INDIRECT(ADDRESS($A135,J$4,,,$B135))</f>
        <v>0</v>
      </c>
    </row>
    <row r="136" spans="1:10">
      <c r="A136" s="39">
        <f t="shared" ref="A136:A199" si="6">+A135+1</f>
        <v>154</v>
      </c>
      <c r="B136" s="42" t="str">
        <f t="shared" si="5"/>
        <v>W2</v>
      </c>
      <c r="C136" s="43" cm="1">
        <f t="array" aca="1" ref="C136" ca="1">INDIRECT(ADDRESS($A136,C$4,,,$B136))</f>
        <v>0</v>
      </c>
      <c r="D136" s="43" cm="1">
        <f t="array" aca="1" ref="D136" ca="1">INDIRECT(ADDRESS($A136,D$4,,,$B136))</f>
        <v>0</v>
      </c>
      <c r="E136" s="43" cm="1">
        <f t="array" aca="1" ref="E136" ca="1">INDIRECT(ADDRESS($A136,E$4,,,$B136))</f>
        <v>0</v>
      </c>
      <c r="F136" s="43" cm="1">
        <f t="array" aca="1" ref="F136" ca="1">INDIRECT(ADDRESS($A136,F$4,,,$B136))</f>
        <v>0</v>
      </c>
      <c r="G136" s="43" cm="1">
        <f t="array" aca="1" ref="G136" ca="1">INDIRECT(ADDRESS($A136,G$4,,,$B136))</f>
        <v>0</v>
      </c>
      <c r="H136" s="43" cm="1">
        <f t="array" aca="1" ref="H136" ca="1">INDIRECT(ADDRESS($A136,H$4,,,$B136))</f>
        <v>0</v>
      </c>
      <c r="I136" s="43" cm="1">
        <f t="array" aca="1" ref="I136" ca="1">INDIRECT(ADDRESS($A136,I$4,,,$B136))</f>
        <v>0</v>
      </c>
      <c r="J136" s="43" cm="1">
        <f t="array" aca="1" ref="J136" ca="1">INDIRECT(ADDRESS($A136,J$4,,,$B136))</f>
        <v>0</v>
      </c>
    </row>
    <row r="137" spans="1:10">
      <c r="A137" s="39">
        <f t="shared" si="6"/>
        <v>155</v>
      </c>
      <c r="B137" s="42" t="str">
        <f t="shared" si="5"/>
        <v>W2</v>
      </c>
      <c r="C137" s="43" cm="1">
        <f t="array" aca="1" ref="C137" ca="1">INDIRECT(ADDRESS($A137,C$4,,,$B137))</f>
        <v>0</v>
      </c>
      <c r="D137" s="43" cm="1">
        <f t="array" aca="1" ref="D137" ca="1">INDIRECT(ADDRESS($A137,D$4,,,$B137))</f>
        <v>0</v>
      </c>
      <c r="E137" s="43" cm="1">
        <f t="array" aca="1" ref="E137" ca="1">INDIRECT(ADDRESS($A137,E$4,,,$B137))</f>
        <v>0</v>
      </c>
      <c r="F137" s="43" cm="1">
        <f t="array" aca="1" ref="F137" ca="1">INDIRECT(ADDRESS($A137,F$4,,,$B137))</f>
        <v>0</v>
      </c>
      <c r="G137" s="43" cm="1">
        <f t="array" aca="1" ref="G137" ca="1">INDIRECT(ADDRESS($A137,G$4,,,$B137))</f>
        <v>0</v>
      </c>
      <c r="H137" s="43" cm="1">
        <f t="array" aca="1" ref="H137" ca="1">INDIRECT(ADDRESS($A137,H$4,,,$B137))</f>
        <v>0</v>
      </c>
      <c r="I137" s="43" cm="1">
        <f t="array" aca="1" ref="I137" ca="1">INDIRECT(ADDRESS($A137,I$4,,,$B137))</f>
        <v>0</v>
      </c>
      <c r="J137" s="43" cm="1">
        <f t="array" aca="1" ref="J137" ca="1">INDIRECT(ADDRESS($A137,J$4,,,$B137))</f>
        <v>0</v>
      </c>
    </row>
    <row r="138" spans="1:10">
      <c r="A138" s="39">
        <f t="shared" si="6"/>
        <v>156</v>
      </c>
      <c r="B138" s="42" t="str">
        <f t="shared" si="5"/>
        <v>W2</v>
      </c>
      <c r="C138" s="43" cm="1">
        <f t="array" aca="1" ref="C138" ca="1">INDIRECT(ADDRESS($A138,C$4,,,$B138))</f>
        <v>0</v>
      </c>
      <c r="D138" s="43" cm="1">
        <f t="array" aca="1" ref="D138" ca="1">INDIRECT(ADDRESS($A138,D$4,,,$B138))</f>
        <v>0</v>
      </c>
      <c r="E138" s="43" cm="1">
        <f t="array" aca="1" ref="E138" ca="1">INDIRECT(ADDRESS($A138,E$4,,,$B138))</f>
        <v>0</v>
      </c>
      <c r="F138" s="43" cm="1">
        <f t="array" aca="1" ref="F138" ca="1">INDIRECT(ADDRESS($A138,F$4,,,$B138))</f>
        <v>0</v>
      </c>
      <c r="G138" s="43" cm="1">
        <f t="array" aca="1" ref="G138" ca="1">INDIRECT(ADDRESS($A138,G$4,,,$B138))</f>
        <v>0</v>
      </c>
      <c r="H138" s="43" cm="1">
        <f t="array" aca="1" ref="H138" ca="1">INDIRECT(ADDRESS($A138,H$4,,,$B138))</f>
        <v>0</v>
      </c>
      <c r="I138" s="43" cm="1">
        <f t="array" aca="1" ref="I138" ca="1">INDIRECT(ADDRESS($A138,I$4,,,$B138))</f>
        <v>0</v>
      </c>
      <c r="J138" s="43" cm="1">
        <f t="array" aca="1" ref="J138" ca="1">INDIRECT(ADDRESS($A138,J$4,,,$B138))</f>
        <v>0</v>
      </c>
    </row>
    <row r="139" spans="1:10">
      <c r="A139" s="39">
        <f t="shared" si="6"/>
        <v>157</v>
      </c>
      <c r="B139" s="42" t="str">
        <f t="shared" si="5"/>
        <v>W2</v>
      </c>
      <c r="C139" s="43" cm="1">
        <f t="array" aca="1" ref="C139" ca="1">INDIRECT(ADDRESS($A139,C$4,,,$B139))</f>
        <v>0</v>
      </c>
      <c r="D139" s="43" cm="1">
        <f t="array" aca="1" ref="D139" ca="1">INDIRECT(ADDRESS($A139,D$4,,,$B139))</f>
        <v>0</v>
      </c>
      <c r="E139" s="43" cm="1">
        <f t="array" aca="1" ref="E139" ca="1">INDIRECT(ADDRESS($A139,E$4,,,$B139))</f>
        <v>0</v>
      </c>
      <c r="F139" s="43" cm="1">
        <f t="array" aca="1" ref="F139" ca="1">INDIRECT(ADDRESS($A139,F$4,,,$B139))</f>
        <v>0</v>
      </c>
      <c r="G139" s="43" cm="1">
        <f t="array" aca="1" ref="G139" ca="1">INDIRECT(ADDRESS($A139,G$4,,,$B139))</f>
        <v>0</v>
      </c>
      <c r="H139" s="43" cm="1">
        <f t="array" aca="1" ref="H139" ca="1">INDIRECT(ADDRESS($A139,H$4,,,$B139))</f>
        <v>0</v>
      </c>
      <c r="I139" s="43" cm="1">
        <f t="array" aca="1" ref="I139" ca="1">INDIRECT(ADDRESS($A139,I$4,,,$B139))</f>
        <v>0</v>
      </c>
      <c r="J139" s="43" cm="1">
        <f t="array" aca="1" ref="J139" ca="1">INDIRECT(ADDRESS($A139,J$4,,,$B139))</f>
        <v>0</v>
      </c>
    </row>
    <row r="140" spans="1:10">
      <c r="A140" s="39">
        <f t="shared" si="6"/>
        <v>158</v>
      </c>
      <c r="B140" s="42" t="str">
        <f t="shared" si="5"/>
        <v>W2</v>
      </c>
      <c r="C140" s="43" cm="1">
        <f t="array" aca="1" ref="C140" ca="1">INDIRECT(ADDRESS($A140,C$4,,,$B140))</f>
        <v>0</v>
      </c>
      <c r="D140" s="43" cm="1">
        <f t="array" aca="1" ref="D140" ca="1">INDIRECT(ADDRESS($A140,D$4,,,$B140))</f>
        <v>0</v>
      </c>
      <c r="E140" s="43" cm="1">
        <f t="array" aca="1" ref="E140" ca="1">INDIRECT(ADDRESS($A140,E$4,,,$B140))</f>
        <v>0</v>
      </c>
      <c r="F140" s="43" cm="1">
        <f t="array" aca="1" ref="F140" ca="1">INDIRECT(ADDRESS($A140,F$4,,,$B140))</f>
        <v>0</v>
      </c>
      <c r="G140" s="43" cm="1">
        <f t="array" aca="1" ref="G140" ca="1">INDIRECT(ADDRESS($A140,G$4,,,$B140))</f>
        <v>0</v>
      </c>
      <c r="H140" s="43" cm="1">
        <f t="array" aca="1" ref="H140" ca="1">INDIRECT(ADDRESS($A140,H$4,,,$B140))</f>
        <v>0</v>
      </c>
      <c r="I140" s="43" cm="1">
        <f t="array" aca="1" ref="I140" ca="1">INDIRECT(ADDRESS($A140,I$4,,,$B140))</f>
        <v>0</v>
      </c>
      <c r="J140" s="43" cm="1">
        <f t="array" aca="1" ref="J140" ca="1">INDIRECT(ADDRESS($A140,J$4,,,$B140))</f>
        <v>0</v>
      </c>
    </row>
    <row r="141" spans="1:10">
      <c r="A141" s="39">
        <f t="shared" si="6"/>
        <v>159</v>
      </c>
      <c r="B141" s="42" t="str">
        <f t="shared" si="5"/>
        <v>W2</v>
      </c>
      <c r="C141" s="43" cm="1">
        <f t="array" aca="1" ref="C141" ca="1">INDIRECT(ADDRESS($A141,C$4,,,$B141))</f>
        <v>0</v>
      </c>
      <c r="D141" s="43" cm="1">
        <f t="array" aca="1" ref="D141" ca="1">INDIRECT(ADDRESS($A141,D$4,,,$B141))</f>
        <v>0</v>
      </c>
      <c r="E141" s="43" cm="1">
        <f t="array" aca="1" ref="E141" ca="1">INDIRECT(ADDRESS($A141,E$4,,,$B141))</f>
        <v>0</v>
      </c>
      <c r="F141" s="43" cm="1">
        <f t="array" aca="1" ref="F141" ca="1">INDIRECT(ADDRESS($A141,F$4,,,$B141))</f>
        <v>0</v>
      </c>
      <c r="G141" s="43" cm="1">
        <f t="array" aca="1" ref="G141" ca="1">INDIRECT(ADDRESS($A141,G$4,,,$B141))</f>
        <v>0</v>
      </c>
      <c r="H141" s="43" cm="1">
        <f t="array" aca="1" ref="H141" ca="1">INDIRECT(ADDRESS($A141,H$4,,,$B141))</f>
        <v>0</v>
      </c>
      <c r="I141" s="43" cm="1">
        <f t="array" aca="1" ref="I141" ca="1">INDIRECT(ADDRESS($A141,I$4,,,$B141))</f>
        <v>0</v>
      </c>
      <c r="J141" s="43" cm="1">
        <f t="array" aca="1" ref="J141" ca="1">INDIRECT(ADDRESS($A141,J$4,,,$B141))</f>
        <v>0</v>
      </c>
    </row>
    <row r="142" spans="1:10">
      <c r="A142" s="39">
        <f t="shared" si="6"/>
        <v>160</v>
      </c>
      <c r="B142" s="42" t="str">
        <f t="shared" si="5"/>
        <v>W2</v>
      </c>
      <c r="C142" s="43" cm="1">
        <f t="array" aca="1" ref="C142" ca="1">INDIRECT(ADDRESS($A142,C$4,,,$B142))</f>
        <v>0</v>
      </c>
      <c r="D142" s="43" cm="1">
        <f t="array" aca="1" ref="D142" ca="1">INDIRECT(ADDRESS($A142,D$4,,,$B142))</f>
        <v>0</v>
      </c>
      <c r="E142" s="43" cm="1">
        <f t="array" aca="1" ref="E142" ca="1">INDIRECT(ADDRESS($A142,E$4,,,$B142))</f>
        <v>0</v>
      </c>
      <c r="F142" s="43" cm="1">
        <f t="array" aca="1" ref="F142" ca="1">INDIRECT(ADDRESS($A142,F$4,,,$B142))</f>
        <v>0</v>
      </c>
      <c r="G142" s="43" cm="1">
        <f t="array" aca="1" ref="G142" ca="1">INDIRECT(ADDRESS($A142,G$4,,,$B142))</f>
        <v>0</v>
      </c>
      <c r="H142" s="43" cm="1">
        <f t="array" aca="1" ref="H142" ca="1">INDIRECT(ADDRESS($A142,H$4,,,$B142))</f>
        <v>0</v>
      </c>
      <c r="I142" s="43" cm="1">
        <f t="array" aca="1" ref="I142" ca="1">INDIRECT(ADDRESS($A142,I$4,,,$B142))</f>
        <v>0</v>
      </c>
      <c r="J142" s="43" cm="1">
        <f t="array" aca="1" ref="J142" ca="1">INDIRECT(ADDRESS($A142,J$4,,,$B142))</f>
        <v>0</v>
      </c>
    </row>
    <row r="143" spans="1:10">
      <c r="A143" s="39">
        <f t="shared" si="6"/>
        <v>161</v>
      </c>
      <c r="B143" s="42" t="str">
        <f t="shared" si="5"/>
        <v>W2</v>
      </c>
      <c r="C143" s="43" cm="1">
        <f t="array" aca="1" ref="C143" ca="1">INDIRECT(ADDRESS($A143,C$4,,,$B143))</f>
        <v>0</v>
      </c>
      <c r="D143" s="43" cm="1">
        <f t="array" aca="1" ref="D143" ca="1">INDIRECT(ADDRESS($A143,D$4,,,$B143))</f>
        <v>0</v>
      </c>
      <c r="E143" s="43" cm="1">
        <f t="array" aca="1" ref="E143" ca="1">INDIRECT(ADDRESS($A143,E$4,,,$B143))</f>
        <v>0</v>
      </c>
      <c r="F143" s="43" cm="1">
        <f t="array" aca="1" ref="F143" ca="1">INDIRECT(ADDRESS($A143,F$4,,,$B143))</f>
        <v>0</v>
      </c>
      <c r="G143" s="43" cm="1">
        <f t="array" aca="1" ref="G143" ca="1">INDIRECT(ADDRESS($A143,G$4,,,$B143))</f>
        <v>0</v>
      </c>
      <c r="H143" s="43" cm="1">
        <f t="array" aca="1" ref="H143" ca="1">INDIRECT(ADDRESS($A143,H$4,,,$B143))</f>
        <v>0</v>
      </c>
      <c r="I143" s="43" cm="1">
        <f t="array" aca="1" ref="I143" ca="1">INDIRECT(ADDRESS($A143,I$4,,,$B143))</f>
        <v>0</v>
      </c>
      <c r="J143" s="43" cm="1">
        <f t="array" aca="1" ref="J143" ca="1">INDIRECT(ADDRESS($A143,J$4,,,$B143))</f>
        <v>0</v>
      </c>
    </row>
    <row r="144" spans="1:10">
      <c r="A144" s="39">
        <f t="shared" si="6"/>
        <v>162</v>
      </c>
      <c r="B144" s="42" t="str">
        <f t="shared" si="5"/>
        <v>W2</v>
      </c>
      <c r="C144" s="43" cm="1">
        <f t="array" aca="1" ref="C144" ca="1">INDIRECT(ADDRESS($A144,C$4,,,$B144))</f>
        <v>0</v>
      </c>
      <c r="D144" s="43" cm="1">
        <f t="array" aca="1" ref="D144" ca="1">INDIRECT(ADDRESS($A144,D$4,,,$B144))</f>
        <v>0</v>
      </c>
      <c r="E144" s="43" cm="1">
        <f t="array" aca="1" ref="E144" ca="1">INDIRECT(ADDRESS($A144,E$4,,,$B144))</f>
        <v>0</v>
      </c>
      <c r="F144" s="43" cm="1">
        <f t="array" aca="1" ref="F144" ca="1">INDIRECT(ADDRESS($A144,F$4,,,$B144))</f>
        <v>0</v>
      </c>
      <c r="G144" s="43" cm="1">
        <f t="array" aca="1" ref="G144" ca="1">INDIRECT(ADDRESS($A144,G$4,,,$B144))</f>
        <v>0</v>
      </c>
      <c r="H144" s="43" cm="1">
        <f t="array" aca="1" ref="H144" ca="1">INDIRECT(ADDRESS($A144,H$4,,,$B144))</f>
        <v>0</v>
      </c>
      <c r="I144" s="43" cm="1">
        <f t="array" aca="1" ref="I144" ca="1">INDIRECT(ADDRESS($A144,I$4,,,$B144))</f>
        <v>0</v>
      </c>
      <c r="J144" s="43" cm="1">
        <f t="array" aca="1" ref="J144" ca="1">INDIRECT(ADDRESS($A144,J$4,,,$B144))</f>
        <v>0</v>
      </c>
    </row>
    <row r="145" spans="1:10">
      <c r="A145" s="39">
        <f t="shared" si="6"/>
        <v>163</v>
      </c>
      <c r="B145" s="42" t="str">
        <f t="shared" si="5"/>
        <v>W2</v>
      </c>
      <c r="C145" s="43" cm="1">
        <f t="array" aca="1" ref="C145" ca="1">INDIRECT(ADDRESS($A145,C$4,,,$B145))</f>
        <v>0</v>
      </c>
      <c r="D145" s="43" cm="1">
        <f t="array" aca="1" ref="D145" ca="1">INDIRECT(ADDRESS($A145,D$4,,,$B145))</f>
        <v>0</v>
      </c>
      <c r="E145" s="43" cm="1">
        <f t="array" aca="1" ref="E145" ca="1">INDIRECT(ADDRESS($A145,E$4,,,$B145))</f>
        <v>0</v>
      </c>
      <c r="F145" s="43" cm="1">
        <f t="array" aca="1" ref="F145" ca="1">INDIRECT(ADDRESS($A145,F$4,,,$B145))</f>
        <v>0</v>
      </c>
      <c r="G145" s="43" cm="1">
        <f t="array" aca="1" ref="G145" ca="1">INDIRECT(ADDRESS($A145,G$4,,,$B145))</f>
        <v>0</v>
      </c>
      <c r="H145" s="43" cm="1">
        <f t="array" aca="1" ref="H145" ca="1">INDIRECT(ADDRESS($A145,H$4,,,$B145))</f>
        <v>0</v>
      </c>
      <c r="I145" s="43" cm="1">
        <f t="array" aca="1" ref="I145" ca="1">INDIRECT(ADDRESS($A145,I$4,,,$B145))</f>
        <v>0</v>
      </c>
      <c r="J145" s="43" cm="1">
        <f t="array" aca="1" ref="J145" ca="1">INDIRECT(ADDRESS($A145,J$4,,,$B145))</f>
        <v>0</v>
      </c>
    </row>
    <row r="146" spans="1:10">
      <c r="A146" s="39">
        <f t="shared" si="6"/>
        <v>164</v>
      </c>
      <c r="B146" s="42" t="str">
        <f t="shared" si="5"/>
        <v>W2</v>
      </c>
      <c r="C146" s="43" cm="1">
        <f t="array" aca="1" ref="C146" ca="1">INDIRECT(ADDRESS($A146,C$4,,,$B146))</f>
        <v>0</v>
      </c>
      <c r="D146" s="43" cm="1">
        <f t="array" aca="1" ref="D146" ca="1">INDIRECT(ADDRESS($A146,D$4,,,$B146))</f>
        <v>0</v>
      </c>
      <c r="E146" s="43" cm="1">
        <f t="array" aca="1" ref="E146" ca="1">INDIRECT(ADDRESS($A146,E$4,,,$B146))</f>
        <v>0</v>
      </c>
      <c r="F146" s="43" cm="1">
        <f t="array" aca="1" ref="F146" ca="1">INDIRECT(ADDRESS($A146,F$4,,,$B146))</f>
        <v>0</v>
      </c>
      <c r="G146" s="43" cm="1">
        <f t="array" aca="1" ref="G146" ca="1">INDIRECT(ADDRESS($A146,G$4,,,$B146))</f>
        <v>0</v>
      </c>
      <c r="H146" s="43" cm="1">
        <f t="array" aca="1" ref="H146" ca="1">INDIRECT(ADDRESS($A146,H$4,,,$B146))</f>
        <v>0</v>
      </c>
      <c r="I146" s="43" cm="1">
        <f t="array" aca="1" ref="I146" ca="1">INDIRECT(ADDRESS($A146,I$4,,,$B146))</f>
        <v>0</v>
      </c>
      <c r="J146" s="43" cm="1">
        <f t="array" aca="1" ref="J146" ca="1">INDIRECT(ADDRESS($A146,J$4,,,$B146))</f>
        <v>0</v>
      </c>
    </row>
    <row r="147" spans="1:10">
      <c r="A147" s="39">
        <f t="shared" si="6"/>
        <v>165</v>
      </c>
      <c r="B147" s="42" t="str">
        <f t="shared" si="5"/>
        <v>W2</v>
      </c>
      <c r="C147" s="43" cm="1">
        <f t="array" aca="1" ref="C147" ca="1">INDIRECT(ADDRESS($A147,C$4,,,$B147))</f>
        <v>0</v>
      </c>
      <c r="D147" s="43" cm="1">
        <f t="array" aca="1" ref="D147" ca="1">INDIRECT(ADDRESS($A147,D$4,,,$B147))</f>
        <v>0</v>
      </c>
      <c r="E147" s="43" cm="1">
        <f t="array" aca="1" ref="E147" ca="1">INDIRECT(ADDRESS($A147,E$4,,,$B147))</f>
        <v>0</v>
      </c>
      <c r="F147" s="43" cm="1">
        <f t="array" aca="1" ref="F147" ca="1">INDIRECT(ADDRESS($A147,F$4,,,$B147))</f>
        <v>0</v>
      </c>
      <c r="G147" s="43" cm="1">
        <f t="array" aca="1" ref="G147" ca="1">INDIRECT(ADDRESS($A147,G$4,,,$B147))</f>
        <v>0</v>
      </c>
      <c r="H147" s="43" cm="1">
        <f t="array" aca="1" ref="H147" ca="1">INDIRECT(ADDRESS($A147,H$4,,,$B147))</f>
        <v>0</v>
      </c>
      <c r="I147" s="43" cm="1">
        <f t="array" aca="1" ref="I147" ca="1">INDIRECT(ADDRESS($A147,I$4,,,$B147))</f>
        <v>0</v>
      </c>
      <c r="J147" s="43" cm="1">
        <f t="array" aca="1" ref="J147" ca="1">INDIRECT(ADDRESS($A147,J$4,,,$B147))</f>
        <v>0</v>
      </c>
    </row>
    <row r="148" spans="1:10">
      <c r="A148" s="39">
        <f t="shared" si="6"/>
        <v>166</v>
      </c>
      <c r="B148" s="42" t="str">
        <f t="shared" si="5"/>
        <v>W2</v>
      </c>
      <c r="C148" s="43" cm="1">
        <f t="array" aca="1" ref="C148" ca="1">INDIRECT(ADDRESS($A148,C$4,,,$B148))</f>
        <v>0</v>
      </c>
      <c r="D148" s="43" cm="1">
        <f t="array" aca="1" ref="D148" ca="1">INDIRECT(ADDRESS($A148,D$4,,,$B148))</f>
        <v>0</v>
      </c>
      <c r="E148" s="43" cm="1">
        <f t="array" aca="1" ref="E148" ca="1">INDIRECT(ADDRESS($A148,E$4,,,$B148))</f>
        <v>0</v>
      </c>
      <c r="F148" s="43" cm="1">
        <f t="array" aca="1" ref="F148" ca="1">INDIRECT(ADDRESS($A148,F$4,,,$B148))</f>
        <v>0</v>
      </c>
      <c r="G148" s="43" cm="1">
        <f t="array" aca="1" ref="G148" ca="1">INDIRECT(ADDRESS($A148,G$4,,,$B148))</f>
        <v>0</v>
      </c>
      <c r="H148" s="43" cm="1">
        <f t="array" aca="1" ref="H148" ca="1">INDIRECT(ADDRESS($A148,H$4,,,$B148))</f>
        <v>0</v>
      </c>
      <c r="I148" s="43" cm="1">
        <f t="array" aca="1" ref="I148" ca="1">INDIRECT(ADDRESS($A148,I$4,,,$B148))</f>
        <v>0</v>
      </c>
      <c r="J148" s="43" cm="1">
        <f t="array" aca="1" ref="J148" ca="1">INDIRECT(ADDRESS($A148,J$4,,,$B148))</f>
        <v>0</v>
      </c>
    </row>
    <row r="149" spans="1:10">
      <c r="A149" s="39">
        <f t="shared" si="6"/>
        <v>167</v>
      </c>
      <c r="B149" s="42" t="str">
        <f t="shared" si="5"/>
        <v>W2</v>
      </c>
      <c r="C149" s="43" cm="1">
        <f t="array" aca="1" ref="C149" ca="1">INDIRECT(ADDRESS($A149,C$4,,,$B149))</f>
        <v>0</v>
      </c>
      <c r="D149" s="43" cm="1">
        <f t="array" aca="1" ref="D149" ca="1">INDIRECT(ADDRESS($A149,D$4,,,$B149))</f>
        <v>0</v>
      </c>
      <c r="E149" s="43" cm="1">
        <f t="array" aca="1" ref="E149" ca="1">INDIRECT(ADDRESS($A149,E$4,,,$B149))</f>
        <v>0</v>
      </c>
      <c r="F149" s="43" cm="1">
        <f t="array" aca="1" ref="F149" ca="1">INDIRECT(ADDRESS($A149,F$4,,,$B149))</f>
        <v>0</v>
      </c>
      <c r="G149" s="43" cm="1">
        <f t="array" aca="1" ref="G149" ca="1">INDIRECT(ADDRESS($A149,G$4,,,$B149))</f>
        <v>0</v>
      </c>
      <c r="H149" s="43" cm="1">
        <f t="array" aca="1" ref="H149" ca="1">INDIRECT(ADDRESS($A149,H$4,,,$B149))</f>
        <v>0</v>
      </c>
      <c r="I149" s="43" cm="1">
        <f t="array" aca="1" ref="I149" ca="1">INDIRECT(ADDRESS($A149,I$4,,,$B149))</f>
        <v>0</v>
      </c>
      <c r="J149" s="43" cm="1">
        <f t="array" aca="1" ref="J149" ca="1">INDIRECT(ADDRESS($A149,J$4,,,$B149))</f>
        <v>0</v>
      </c>
    </row>
    <row r="150" spans="1:10">
      <c r="A150" s="39">
        <f t="shared" si="6"/>
        <v>168</v>
      </c>
      <c r="B150" s="42" t="str">
        <f t="shared" si="5"/>
        <v>W2</v>
      </c>
      <c r="C150" s="43" cm="1">
        <f t="array" aca="1" ref="C150" ca="1">INDIRECT(ADDRESS($A150,C$4,,,$B150))</f>
        <v>0</v>
      </c>
      <c r="D150" s="43" cm="1">
        <f t="array" aca="1" ref="D150" ca="1">INDIRECT(ADDRESS($A150,D$4,,,$B150))</f>
        <v>0</v>
      </c>
      <c r="E150" s="43" cm="1">
        <f t="array" aca="1" ref="E150" ca="1">INDIRECT(ADDRESS($A150,E$4,,,$B150))</f>
        <v>0</v>
      </c>
      <c r="F150" s="43" cm="1">
        <f t="array" aca="1" ref="F150" ca="1">INDIRECT(ADDRESS($A150,F$4,,,$B150))</f>
        <v>0</v>
      </c>
      <c r="G150" s="43" cm="1">
        <f t="array" aca="1" ref="G150" ca="1">INDIRECT(ADDRESS($A150,G$4,,,$B150))</f>
        <v>0</v>
      </c>
      <c r="H150" s="43" cm="1">
        <f t="array" aca="1" ref="H150" ca="1">INDIRECT(ADDRESS($A150,H$4,,,$B150))</f>
        <v>0</v>
      </c>
      <c r="I150" s="43" cm="1">
        <f t="array" aca="1" ref="I150" ca="1">INDIRECT(ADDRESS($A150,I$4,,,$B150))</f>
        <v>0</v>
      </c>
      <c r="J150" s="43" cm="1">
        <f t="array" aca="1" ref="J150" ca="1">INDIRECT(ADDRESS($A150,J$4,,,$B150))</f>
        <v>0</v>
      </c>
    </row>
    <row r="151" spans="1:10">
      <c r="A151" s="39">
        <f t="shared" si="6"/>
        <v>169</v>
      </c>
      <c r="B151" s="42" t="str">
        <f t="shared" si="5"/>
        <v>W2</v>
      </c>
      <c r="C151" s="43" cm="1">
        <f t="array" aca="1" ref="C151" ca="1">INDIRECT(ADDRESS($A151,C$4,,,$B151))</f>
        <v>0</v>
      </c>
      <c r="D151" s="43" cm="1">
        <f t="array" aca="1" ref="D151" ca="1">INDIRECT(ADDRESS($A151,D$4,,,$B151))</f>
        <v>0</v>
      </c>
      <c r="E151" s="43" cm="1">
        <f t="array" aca="1" ref="E151" ca="1">INDIRECT(ADDRESS($A151,E$4,,,$B151))</f>
        <v>0</v>
      </c>
      <c r="F151" s="43" cm="1">
        <f t="array" aca="1" ref="F151" ca="1">INDIRECT(ADDRESS($A151,F$4,,,$B151))</f>
        <v>0</v>
      </c>
      <c r="G151" s="43" cm="1">
        <f t="array" aca="1" ref="G151" ca="1">INDIRECT(ADDRESS($A151,G$4,,,$B151))</f>
        <v>0</v>
      </c>
      <c r="H151" s="43" cm="1">
        <f t="array" aca="1" ref="H151" ca="1">INDIRECT(ADDRESS($A151,H$4,,,$B151))</f>
        <v>0</v>
      </c>
      <c r="I151" s="43" cm="1">
        <f t="array" aca="1" ref="I151" ca="1">INDIRECT(ADDRESS($A151,I$4,,,$B151))</f>
        <v>0</v>
      </c>
      <c r="J151" s="43" cm="1">
        <f t="array" aca="1" ref="J151" ca="1">INDIRECT(ADDRESS($A151,J$4,,,$B151))</f>
        <v>0</v>
      </c>
    </row>
    <row r="152" spans="1:10">
      <c r="A152" s="39">
        <f t="shared" si="6"/>
        <v>170</v>
      </c>
      <c r="B152" s="42" t="str">
        <f t="shared" si="5"/>
        <v>W2</v>
      </c>
      <c r="C152" s="43" cm="1">
        <f t="array" aca="1" ref="C152" ca="1">INDIRECT(ADDRESS($A152,C$4,,,$B152))</f>
        <v>0</v>
      </c>
      <c r="D152" s="43" cm="1">
        <f t="array" aca="1" ref="D152" ca="1">INDIRECT(ADDRESS($A152,D$4,,,$B152))</f>
        <v>0</v>
      </c>
      <c r="E152" s="43" cm="1">
        <f t="array" aca="1" ref="E152" ca="1">INDIRECT(ADDRESS($A152,E$4,,,$B152))</f>
        <v>0</v>
      </c>
      <c r="F152" s="43" cm="1">
        <f t="array" aca="1" ref="F152" ca="1">INDIRECT(ADDRESS($A152,F$4,,,$B152))</f>
        <v>0</v>
      </c>
      <c r="G152" s="43" cm="1">
        <f t="array" aca="1" ref="G152" ca="1">INDIRECT(ADDRESS($A152,G$4,,,$B152))</f>
        <v>0</v>
      </c>
      <c r="H152" s="43" cm="1">
        <f t="array" aca="1" ref="H152" ca="1">INDIRECT(ADDRESS($A152,H$4,,,$B152))</f>
        <v>0</v>
      </c>
      <c r="I152" s="43" cm="1">
        <f t="array" aca="1" ref="I152" ca="1">INDIRECT(ADDRESS($A152,I$4,,,$B152))</f>
        <v>0</v>
      </c>
      <c r="J152" s="43" cm="1">
        <f t="array" aca="1" ref="J152" ca="1">INDIRECT(ADDRESS($A152,J$4,,,$B152))</f>
        <v>0</v>
      </c>
    </row>
    <row r="153" spans="1:10">
      <c r="A153" s="39">
        <f t="shared" si="6"/>
        <v>171</v>
      </c>
      <c r="B153" s="42" t="str">
        <f t="shared" si="5"/>
        <v>W2</v>
      </c>
      <c r="C153" s="43" cm="1">
        <f t="array" aca="1" ref="C153" ca="1">INDIRECT(ADDRESS($A153,C$4,,,$B153))</f>
        <v>0</v>
      </c>
      <c r="D153" s="43" cm="1">
        <f t="array" aca="1" ref="D153" ca="1">INDIRECT(ADDRESS($A153,D$4,,,$B153))</f>
        <v>0</v>
      </c>
      <c r="E153" s="43" cm="1">
        <f t="array" aca="1" ref="E153" ca="1">INDIRECT(ADDRESS($A153,E$4,,,$B153))</f>
        <v>0</v>
      </c>
      <c r="F153" s="43" cm="1">
        <f t="array" aca="1" ref="F153" ca="1">INDIRECT(ADDRESS($A153,F$4,,,$B153))</f>
        <v>0</v>
      </c>
      <c r="G153" s="43" cm="1">
        <f t="array" aca="1" ref="G153" ca="1">INDIRECT(ADDRESS($A153,G$4,,,$B153))</f>
        <v>0</v>
      </c>
      <c r="H153" s="43" cm="1">
        <f t="array" aca="1" ref="H153" ca="1">INDIRECT(ADDRESS($A153,H$4,,,$B153))</f>
        <v>0</v>
      </c>
      <c r="I153" s="43" cm="1">
        <f t="array" aca="1" ref="I153" ca="1">INDIRECT(ADDRESS($A153,I$4,,,$B153))</f>
        <v>0</v>
      </c>
      <c r="J153" s="43" cm="1">
        <f t="array" aca="1" ref="J153" ca="1">INDIRECT(ADDRESS($A153,J$4,,,$B153))</f>
        <v>0</v>
      </c>
    </row>
    <row r="154" spans="1:10">
      <c r="A154" s="39">
        <f t="shared" si="6"/>
        <v>172</v>
      </c>
      <c r="B154" s="42" t="str">
        <f t="shared" si="5"/>
        <v>W2</v>
      </c>
      <c r="C154" s="43" cm="1">
        <f t="array" aca="1" ref="C154" ca="1">INDIRECT(ADDRESS($A154,C$4,,,$B154))</f>
        <v>0</v>
      </c>
      <c r="D154" s="43" cm="1">
        <f t="array" aca="1" ref="D154" ca="1">INDIRECT(ADDRESS($A154,D$4,,,$B154))</f>
        <v>0</v>
      </c>
      <c r="E154" s="43" cm="1">
        <f t="array" aca="1" ref="E154" ca="1">INDIRECT(ADDRESS($A154,E$4,,,$B154))</f>
        <v>0</v>
      </c>
      <c r="F154" s="43" cm="1">
        <f t="array" aca="1" ref="F154" ca="1">INDIRECT(ADDRESS($A154,F$4,,,$B154))</f>
        <v>0</v>
      </c>
      <c r="G154" s="43" cm="1">
        <f t="array" aca="1" ref="G154" ca="1">INDIRECT(ADDRESS($A154,G$4,,,$B154))</f>
        <v>0</v>
      </c>
      <c r="H154" s="43" cm="1">
        <f t="array" aca="1" ref="H154" ca="1">INDIRECT(ADDRESS($A154,H$4,,,$B154))</f>
        <v>0</v>
      </c>
      <c r="I154" s="43" cm="1">
        <f t="array" aca="1" ref="I154" ca="1">INDIRECT(ADDRESS($A154,I$4,,,$B154))</f>
        <v>0</v>
      </c>
      <c r="J154" s="43" cm="1">
        <f t="array" aca="1" ref="J154" ca="1">INDIRECT(ADDRESS($A154,J$4,,,$B154))</f>
        <v>0</v>
      </c>
    </row>
    <row r="155" spans="1:10">
      <c r="A155" s="39">
        <f t="shared" si="6"/>
        <v>173</v>
      </c>
      <c r="B155" s="42" t="str">
        <f t="shared" si="5"/>
        <v>W2</v>
      </c>
      <c r="C155" s="43" cm="1">
        <f t="array" aca="1" ref="C155" ca="1">INDIRECT(ADDRESS($A155,C$4,,,$B155))</f>
        <v>0</v>
      </c>
      <c r="D155" s="43" cm="1">
        <f t="array" aca="1" ref="D155" ca="1">INDIRECT(ADDRESS($A155,D$4,,,$B155))</f>
        <v>0</v>
      </c>
      <c r="E155" s="43" cm="1">
        <f t="array" aca="1" ref="E155" ca="1">INDIRECT(ADDRESS($A155,E$4,,,$B155))</f>
        <v>0</v>
      </c>
      <c r="F155" s="43" cm="1">
        <f t="array" aca="1" ref="F155" ca="1">INDIRECT(ADDRESS($A155,F$4,,,$B155))</f>
        <v>0</v>
      </c>
      <c r="G155" s="43" cm="1">
        <f t="array" aca="1" ref="G155" ca="1">INDIRECT(ADDRESS($A155,G$4,,,$B155))</f>
        <v>0</v>
      </c>
      <c r="H155" s="43" cm="1">
        <f t="array" aca="1" ref="H155" ca="1">INDIRECT(ADDRESS($A155,H$4,,,$B155))</f>
        <v>0</v>
      </c>
      <c r="I155" s="43" cm="1">
        <f t="array" aca="1" ref="I155" ca="1">INDIRECT(ADDRESS($A155,I$4,,,$B155))</f>
        <v>0</v>
      </c>
      <c r="J155" s="43" cm="1">
        <f t="array" aca="1" ref="J155" ca="1">INDIRECT(ADDRESS($A155,J$4,,,$B155))</f>
        <v>0</v>
      </c>
    </row>
    <row r="156" spans="1:10">
      <c r="A156" s="39">
        <f t="shared" si="6"/>
        <v>174</v>
      </c>
      <c r="B156" s="42" t="str">
        <f t="shared" si="5"/>
        <v>W2</v>
      </c>
      <c r="C156" s="43" cm="1">
        <f t="array" aca="1" ref="C156" ca="1">INDIRECT(ADDRESS($A156,C$4,,,$B156))</f>
        <v>0</v>
      </c>
      <c r="D156" s="43" cm="1">
        <f t="array" aca="1" ref="D156" ca="1">INDIRECT(ADDRESS($A156,D$4,,,$B156))</f>
        <v>0</v>
      </c>
      <c r="E156" s="43" cm="1">
        <f t="array" aca="1" ref="E156" ca="1">INDIRECT(ADDRESS($A156,E$4,,,$B156))</f>
        <v>0</v>
      </c>
      <c r="F156" s="43" cm="1">
        <f t="array" aca="1" ref="F156" ca="1">INDIRECT(ADDRESS($A156,F$4,,,$B156))</f>
        <v>0</v>
      </c>
      <c r="G156" s="43" cm="1">
        <f t="array" aca="1" ref="G156" ca="1">INDIRECT(ADDRESS($A156,G$4,,,$B156))</f>
        <v>0</v>
      </c>
      <c r="H156" s="43" cm="1">
        <f t="array" aca="1" ref="H156" ca="1">INDIRECT(ADDRESS($A156,H$4,,,$B156))</f>
        <v>0</v>
      </c>
      <c r="I156" s="43" cm="1">
        <f t="array" aca="1" ref="I156" ca="1">INDIRECT(ADDRESS($A156,I$4,,,$B156))</f>
        <v>0</v>
      </c>
      <c r="J156" s="43" cm="1">
        <f t="array" aca="1" ref="J156" ca="1">INDIRECT(ADDRESS($A156,J$4,,,$B156))</f>
        <v>0</v>
      </c>
    </row>
    <row r="157" spans="1:10">
      <c r="A157" s="39">
        <f t="shared" si="6"/>
        <v>175</v>
      </c>
      <c r="B157" s="42" t="str">
        <f t="shared" si="5"/>
        <v>W2</v>
      </c>
      <c r="C157" s="43" cm="1">
        <f t="array" aca="1" ref="C157" ca="1">INDIRECT(ADDRESS($A157,C$4,,,$B157))</f>
        <v>0</v>
      </c>
      <c r="D157" s="43" cm="1">
        <f t="array" aca="1" ref="D157" ca="1">INDIRECT(ADDRESS($A157,D$4,,,$B157))</f>
        <v>0</v>
      </c>
      <c r="E157" s="43" cm="1">
        <f t="array" aca="1" ref="E157" ca="1">INDIRECT(ADDRESS($A157,E$4,,,$B157))</f>
        <v>0</v>
      </c>
      <c r="F157" s="43" cm="1">
        <f t="array" aca="1" ref="F157" ca="1">INDIRECT(ADDRESS($A157,F$4,,,$B157))</f>
        <v>0</v>
      </c>
      <c r="G157" s="43" cm="1">
        <f t="array" aca="1" ref="G157" ca="1">INDIRECT(ADDRESS($A157,G$4,,,$B157))</f>
        <v>0</v>
      </c>
      <c r="H157" s="43" cm="1">
        <f t="array" aca="1" ref="H157" ca="1">INDIRECT(ADDRESS($A157,H$4,,,$B157))</f>
        <v>0</v>
      </c>
      <c r="I157" s="43" cm="1">
        <f t="array" aca="1" ref="I157" ca="1">INDIRECT(ADDRESS($A157,I$4,,,$B157))</f>
        <v>0</v>
      </c>
      <c r="J157" s="43" cm="1">
        <f t="array" aca="1" ref="J157" ca="1">INDIRECT(ADDRESS($A157,J$4,,,$B157))</f>
        <v>0</v>
      </c>
    </row>
    <row r="158" spans="1:10">
      <c r="A158" s="39">
        <f t="shared" si="6"/>
        <v>176</v>
      </c>
      <c r="B158" s="42" t="str">
        <f t="shared" si="5"/>
        <v>W2</v>
      </c>
      <c r="C158" s="43" cm="1">
        <f t="array" aca="1" ref="C158" ca="1">INDIRECT(ADDRESS($A158,C$4,,,$B158))</f>
        <v>0</v>
      </c>
      <c r="D158" s="43" cm="1">
        <f t="array" aca="1" ref="D158" ca="1">INDIRECT(ADDRESS($A158,D$4,,,$B158))</f>
        <v>0</v>
      </c>
      <c r="E158" s="43" cm="1">
        <f t="array" aca="1" ref="E158" ca="1">INDIRECT(ADDRESS($A158,E$4,,,$B158))</f>
        <v>0</v>
      </c>
      <c r="F158" s="43" cm="1">
        <f t="array" aca="1" ref="F158" ca="1">INDIRECT(ADDRESS($A158,F$4,,,$B158))</f>
        <v>0</v>
      </c>
      <c r="G158" s="43" cm="1">
        <f t="array" aca="1" ref="G158" ca="1">INDIRECT(ADDRESS($A158,G$4,,,$B158))</f>
        <v>0</v>
      </c>
      <c r="H158" s="43" cm="1">
        <f t="array" aca="1" ref="H158" ca="1">INDIRECT(ADDRESS($A158,H$4,,,$B158))</f>
        <v>0</v>
      </c>
      <c r="I158" s="43" cm="1">
        <f t="array" aca="1" ref="I158" ca="1">INDIRECT(ADDRESS($A158,I$4,,,$B158))</f>
        <v>0</v>
      </c>
      <c r="J158" s="43" cm="1">
        <f t="array" aca="1" ref="J158" ca="1">INDIRECT(ADDRESS($A158,J$4,,,$B158))</f>
        <v>0</v>
      </c>
    </row>
    <row r="159" spans="1:10">
      <c r="A159" s="39">
        <f t="shared" si="6"/>
        <v>177</v>
      </c>
      <c r="B159" s="42" t="str">
        <f t="shared" si="5"/>
        <v>W2</v>
      </c>
      <c r="C159" s="43" cm="1">
        <f t="array" aca="1" ref="C159" ca="1">INDIRECT(ADDRESS($A159,C$4,,,$B159))</f>
        <v>0</v>
      </c>
      <c r="D159" s="43" cm="1">
        <f t="array" aca="1" ref="D159" ca="1">INDIRECT(ADDRESS($A159,D$4,,,$B159))</f>
        <v>0</v>
      </c>
      <c r="E159" s="43" cm="1">
        <f t="array" aca="1" ref="E159" ca="1">INDIRECT(ADDRESS($A159,E$4,,,$B159))</f>
        <v>0</v>
      </c>
      <c r="F159" s="43" cm="1">
        <f t="array" aca="1" ref="F159" ca="1">INDIRECT(ADDRESS($A159,F$4,,,$B159))</f>
        <v>0</v>
      </c>
      <c r="G159" s="43" cm="1">
        <f t="array" aca="1" ref="G159" ca="1">INDIRECT(ADDRESS($A159,G$4,,,$B159))</f>
        <v>0</v>
      </c>
      <c r="H159" s="43" cm="1">
        <f t="array" aca="1" ref="H159" ca="1">INDIRECT(ADDRESS($A159,H$4,,,$B159))</f>
        <v>0</v>
      </c>
      <c r="I159" s="43" cm="1">
        <f t="array" aca="1" ref="I159" ca="1">INDIRECT(ADDRESS($A159,I$4,,,$B159))</f>
        <v>0</v>
      </c>
      <c r="J159" s="43" cm="1">
        <f t="array" aca="1" ref="J159" ca="1">INDIRECT(ADDRESS($A159,J$4,,,$B159))</f>
        <v>0</v>
      </c>
    </row>
    <row r="160" spans="1:10">
      <c r="A160" s="39">
        <f t="shared" si="6"/>
        <v>178</v>
      </c>
      <c r="B160" s="42" t="str">
        <f t="shared" si="5"/>
        <v>W2</v>
      </c>
      <c r="C160" s="43" cm="1">
        <f t="array" aca="1" ref="C160" ca="1">INDIRECT(ADDRESS($A160,C$4,,,$B160))</f>
        <v>0</v>
      </c>
      <c r="D160" s="43" cm="1">
        <f t="array" aca="1" ref="D160" ca="1">INDIRECT(ADDRESS($A160,D$4,,,$B160))</f>
        <v>0</v>
      </c>
      <c r="E160" s="43" cm="1">
        <f t="array" aca="1" ref="E160" ca="1">INDIRECT(ADDRESS($A160,E$4,,,$B160))</f>
        <v>0</v>
      </c>
      <c r="F160" s="43" cm="1">
        <f t="array" aca="1" ref="F160" ca="1">INDIRECT(ADDRESS($A160,F$4,,,$B160))</f>
        <v>0</v>
      </c>
      <c r="G160" s="43" cm="1">
        <f t="array" aca="1" ref="G160" ca="1">INDIRECT(ADDRESS($A160,G$4,,,$B160))</f>
        <v>0</v>
      </c>
      <c r="H160" s="43" cm="1">
        <f t="array" aca="1" ref="H160" ca="1">INDIRECT(ADDRESS($A160,H$4,,,$B160))</f>
        <v>0</v>
      </c>
      <c r="I160" s="43" cm="1">
        <f t="array" aca="1" ref="I160" ca="1">INDIRECT(ADDRESS($A160,I$4,,,$B160))</f>
        <v>0</v>
      </c>
      <c r="J160" s="43" cm="1">
        <f t="array" aca="1" ref="J160" ca="1">INDIRECT(ADDRESS($A160,J$4,,,$B160))</f>
        <v>0</v>
      </c>
    </row>
    <row r="161" spans="1:10">
      <c r="A161" s="39">
        <f t="shared" si="6"/>
        <v>179</v>
      </c>
      <c r="B161" s="42" t="str">
        <f t="shared" si="5"/>
        <v>W2</v>
      </c>
      <c r="C161" s="43" cm="1">
        <f t="array" aca="1" ref="C161" ca="1">INDIRECT(ADDRESS($A161,C$4,,,$B161))</f>
        <v>0</v>
      </c>
      <c r="D161" s="43" cm="1">
        <f t="array" aca="1" ref="D161" ca="1">INDIRECT(ADDRESS($A161,D$4,,,$B161))</f>
        <v>0</v>
      </c>
      <c r="E161" s="43" cm="1">
        <f t="array" aca="1" ref="E161" ca="1">INDIRECT(ADDRESS($A161,E$4,,,$B161))</f>
        <v>0</v>
      </c>
      <c r="F161" s="43" cm="1">
        <f t="array" aca="1" ref="F161" ca="1">INDIRECT(ADDRESS($A161,F$4,,,$B161))</f>
        <v>0</v>
      </c>
      <c r="G161" s="43" cm="1">
        <f t="array" aca="1" ref="G161" ca="1">INDIRECT(ADDRESS($A161,G$4,,,$B161))</f>
        <v>0</v>
      </c>
      <c r="H161" s="43" cm="1">
        <f t="array" aca="1" ref="H161" ca="1">INDIRECT(ADDRESS($A161,H$4,,,$B161))</f>
        <v>0</v>
      </c>
      <c r="I161" s="43" cm="1">
        <f t="array" aca="1" ref="I161" ca="1">INDIRECT(ADDRESS($A161,I$4,,,$B161))</f>
        <v>0</v>
      </c>
      <c r="J161" s="43" cm="1">
        <f t="array" aca="1" ref="J161" ca="1">INDIRECT(ADDRESS($A161,J$4,,,$B161))</f>
        <v>0</v>
      </c>
    </row>
    <row r="162" spans="1:10">
      <c r="A162" s="39">
        <f t="shared" si="6"/>
        <v>180</v>
      </c>
      <c r="B162" s="42" t="str">
        <f t="shared" si="5"/>
        <v>W2</v>
      </c>
      <c r="C162" s="43" cm="1">
        <f t="array" aca="1" ref="C162" ca="1">INDIRECT(ADDRESS($A162,C$4,,,$B162))</f>
        <v>0</v>
      </c>
      <c r="D162" s="43" cm="1">
        <f t="array" aca="1" ref="D162" ca="1">INDIRECT(ADDRESS($A162,D$4,,,$B162))</f>
        <v>0</v>
      </c>
      <c r="E162" s="43" cm="1">
        <f t="array" aca="1" ref="E162" ca="1">INDIRECT(ADDRESS($A162,E$4,,,$B162))</f>
        <v>0</v>
      </c>
      <c r="F162" s="43" cm="1">
        <f t="array" aca="1" ref="F162" ca="1">INDIRECT(ADDRESS($A162,F$4,,,$B162))</f>
        <v>0</v>
      </c>
      <c r="G162" s="43" cm="1">
        <f t="array" aca="1" ref="G162" ca="1">INDIRECT(ADDRESS($A162,G$4,,,$B162))</f>
        <v>0</v>
      </c>
      <c r="H162" s="43" cm="1">
        <f t="array" aca="1" ref="H162" ca="1">INDIRECT(ADDRESS($A162,H$4,,,$B162))</f>
        <v>0</v>
      </c>
      <c r="I162" s="43" cm="1">
        <f t="array" aca="1" ref="I162" ca="1">INDIRECT(ADDRESS($A162,I$4,,,$B162))</f>
        <v>0</v>
      </c>
      <c r="J162" s="43" cm="1">
        <f t="array" aca="1" ref="J162" ca="1">INDIRECT(ADDRESS($A162,J$4,,,$B162))</f>
        <v>0</v>
      </c>
    </row>
    <row r="163" spans="1:10">
      <c r="A163" s="39">
        <f t="shared" si="6"/>
        <v>181</v>
      </c>
      <c r="B163" s="42" t="str">
        <f t="shared" si="5"/>
        <v>W2</v>
      </c>
      <c r="C163" s="43" cm="1">
        <f t="array" aca="1" ref="C163" ca="1">INDIRECT(ADDRESS($A163,C$4,,,$B163))</f>
        <v>0</v>
      </c>
      <c r="D163" s="43" cm="1">
        <f t="array" aca="1" ref="D163" ca="1">INDIRECT(ADDRESS($A163,D$4,,,$B163))</f>
        <v>0</v>
      </c>
      <c r="E163" s="43" cm="1">
        <f t="array" aca="1" ref="E163" ca="1">INDIRECT(ADDRESS($A163,E$4,,,$B163))</f>
        <v>0</v>
      </c>
      <c r="F163" s="43" cm="1">
        <f t="array" aca="1" ref="F163" ca="1">INDIRECT(ADDRESS($A163,F$4,,,$B163))</f>
        <v>0</v>
      </c>
      <c r="G163" s="43" cm="1">
        <f t="array" aca="1" ref="G163" ca="1">INDIRECT(ADDRESS($A163,G$4,,,$B163))</f>
        <v>0</v>
      </c>
      <c r="H163" s="43" cm="1">
        <f t="array" aca="1" ref="H163" ca="1">INDIRECT(ADDRESS($A163,H$4,,,$B163))</f>
        <v>0</v>
      </c>
      <c r="I163" s="43" cm="1">
        <f t="array" aca="1" ref="I163" ca="1">INDIRECT(ADDRESS($A163,I$4,,,$B163))</f>
        <v>0</v>
      </c>
      <c r="J163" s="43" cm="1">
        <f t="array" aca="1" ref="J163" ca="1">INDIRECT(ADDRESS($A163,J$4,,,$B163))</f>
        <v>0</v>
      </c>
    </row>
    <row r="164" spans="1:10">
      <c r="A164" s="39">
        <f t="shared" si="6"/>
        <v>182</v>
      </c>
      <c r="B164" s="42" t="str">
        <f t="shared" si="5"/>
        <v>W2</v>
      </c>
      <c r="C164" s="43" cm="1">
        <f t="array" aca="1" ref="C164" ca="1">INDIRECT(ADDRESS($A164,C$4,,,$B164))</f>
        <v>0</v>
      </c>
      <c r="D164" s="43" cm="1">
        <f t="array" aca="1" ref="D164" ca="1">INDIRECT(ADDRESS($A164,D$4,,,$B164))</f>
        <v>0</v>
      </c>
      <c r="E164" s="43" cm="1">
        <f t="array" aca="1" ref="E164" ca="1">INDIRECT(ADDRESS($A164,E$4,,,$B164))</f>
        <v>0</v>
      </c>
      <c r="F164" s="43" cm="1">
        <f t="array" aca="1" ref="F164" ca="1">INDIRECT(ADDRESS($A164,F$4,,,$B164))</f>
        <v>0</v>
      </c>
      <c r="G164" s="43" cm="1">
        <f t="array" aca="1" ref="G164" ca="1">INDIRECT(ADDRESS($A164,G$4,,,$B164))</f>
        <v>0</v>
      </c>
      <c r="H164" s="43" cm="1">
        <f t="array" aca="1" ref="H164" ca="1">INDIRECT(ADDRESS($A164,H$4,,,$B164))</f>
        <v>0</v>
      </c>
      <c r="I164" s="43" cm="1">
        <f t="array" aca="1" ref="I164" ca="1">INDIRECT(ADDRESS($A164,I$4,,,$B164))</f>
        <v>0</v>
      </c>
      <c r="J164" s="43" cm="1">
        <f t="array" aca="1" ref="J164" ca="1">INDIRECT(ADDRESS($A164,J$4,,,$B164))</f>
        <v>0</v>
      </c>
    </row>
    <row r="165" spans="1:10">
      <c r="A165" s="39">
        <f t="shared" si="6"/>
        <v>183</v>
      </c>
      <c r="B165" s="42" t="str">
        <f t="shared" si="5"/>
        <v>W2</v>
      </c>
      <c r="C165" s="43" cm="1">
        <f t="array" aca="1" ref="C165" ca="1">INDIRECT(ADDRESS($A165,C$4,,,$B165))</f>
        <v>0</v>
      </c>
      <c r="D165" s="43" cm="1">
        <f t="array" aca="1" ref="D165" ca="1">INDIRECT(ADDRESS($A165,D$4,,,$B165))</f>
        <v>0</v>
      </c>
      <c r="E165" s="43" cm="1">
        <f t="array" aca="1" ref="E165" ca="1">INDIRECT(ADDRESS($A165,E$4,,,$B165))</f>
        <v>0</v>
      </c>
      <c r="F165" s="43" cm="1">
        <f t="array" aca="1" ref="F165" ca="1">INDIRECT(ADDRESS($A165,F$4,,,$B165))</f>
        <v>0</v>
      </c>
      <c r="G165" s="43" cm="1">
        <f t="array" aca="1" ref="G165" ca="1">INDIRECT(ADDRESS($A165,G$4,,,$B165))</f>
        <v>0</v>
      </c>
      <c r="H165" s="43" cm="1">
        <f t="array" aca="1" ref="H165" ca="1">INDIRECT(ADDRESS($A165,H$4,,,$B165))</f>
        <v>0</v>
      </c>
      <c r="I165" s="43" cm="1">
        <f t="array" aca="1" ref="I165" ca="1">INDIRECT(ADDRESS($A165,I$4,,,$B165))</f>
        <v>0</v>
      </c>
      <c r="J165" s="43" cm="1">
        <f t="array" aca="1" ref="J165" ca="1">INDIRECT(ADDRESS($A165,J$4,,,$B165))</f>
        <v>0</v>
      </c>
    </row>
    <row r="166" spans="1:10">
      <c r="A166" s="39">
        <f t="shared" si="6"/>
        <v>184</v>
      </c>
      <c r="B166" s="42" t="str">
        <f t="shared" si="5"/>
        <v>W2</v>
      </c>
      <c r="C166" s="43" cm="1">
        <f t="array" aca="1" ref="C166" ca="1">INDIRECT(ADDRESS($A166,C$4,,,$B166))</f>
        <v>0</v>
      </c>
      <c r="D166" s="43" cm="1">
        <f t="array" aca="1" ref="D166" ca="1">INDIRECT(ADDRESS($A166,D$4,,,$B166))</f>
        <v>0</v>
      </c>
      <c r="E166" s="43" cm="1">
        <f t="array" aca="1" ref="E166" ca="1">INDIRECT(ADDRESS($A166,E$4,,,$B166))</f>
        <v>0</v>
      </c>
      <c r="F166" s="43" cm="1">
        <f t="array" aca="1" ref="F166" ca="1">INDIRECT(ADDRESS($A166,F$4,,,$B166))</f>
        <v>0</v>
      </c>
      <c r="G166" s="43" cm="1">
        <f t="array" aca="1" ref="G166" ca="1">INDIRECT(ADDRESS($A166,G$4,,,$B166))</f>
        <v>0</v>
      </c>
      <c r="H166" s="43" cm="1">
        <f t="array" aca="1" ref="H166" ca="1">INDIRECT(ADDRESS($A166,H$4,,,$B166))</f>
        <v>0</v>
      </c>
      <c r="I166" s="43" cm="1">
        <f t="array" aca="1" ref="I166" ca="1">INDIRECT(ADDRESS($A166,I$4,,,$B166))</f>
        <v>0</v>
      </c>
      <c r="J166" s="43" cm="1">
        <f t="array" aca="1" ref="J166" ca="1">INDIRECT(ADDRESS($A166,J$4,,,$B166))</f>
        <v>0</v>
      </c>
    </row>
    <row r="167" spans="1:10">
      <c r="A167" s="39">
        <f t="shared" si="6"/>
        <v>185</v>
      </c>
      <c r="B167" s="42" t="str">
        <f t="shared" si="5"/>
        <v>W2</v>
      </c>
      <c r="C167" s="43" cm="1">
        <f t="array" aca="1" ref="C167" ca="1">INDIRECT(ADDRESS($A167,C$4,,,$B167))</f>
        <v>0</v>
      </c>
      <c r="D167" s="43" cm="1">
        <f t="array" aca="1" ref="D167" ca="1">INDIRECT(ADDRESS($A167,D$4,,,$B167))</f>
        <v>0</v>
      </c>
      <c r="E167" s="43" cm="1">
        <f t="array" aca="1" ref="E167" ca="1">INDIRECT(ADDRESS($A167,E$4,,,$B167))</f>
        <v>0</v>
      </c>
      <c r="F167" s="43" cm="1">
        <f t="array" aca="1" ref="F167" ca="1">INDIRECT(ADDRESS($A167,F$4,,,$B167))</f>
        <v>0</v>
      </c>
      <c r="G167" s="43" cm="1">
        <f t="array" aca="1" ref="G167" ca="1">INDIRECT(ADDRESS($A167,G$4,,,$B167))</f>
        <v>0</v>
      </c>
      <c r="H167" s="43" cm="1">
        <f t="array" aca="1" ref="H167" ca="1">INDIRECT(ADDRESS($A167,H$4,,,$B167))</f>
        <v>0</v>
      </c>
      <c r="I167" s="43" cm="1">
        <f t="array" aca="1" ref="I167" ca="1">INDIRECT(ADDRESS($A167,I$4,,,$B167))</f>
        <v>0</v>
      </c>
      <c r="J167" s="43" cm="1">
        <f t="array" aca="1" ref="J167" ca="1">INDIRECT(ADDRESS($A167,J$4,,,$B167))</f>
        <v>0</v>
      </c>
    </row>
    <row r="168" spans="1:10">
      <c r="A168" s="39">
        <f t="shared" si="6"/>
        <v>186</v>
      </c>
      <c r="B168" s="42" t="str">
        <f t="shared" si="5"/>
        <v>W2</v>
      </c>
      <c r="C168" s="43" cm="1">
        <f t="array" aca="1" ref="C168" ca="1">INDIRECT(ADDRESS($A168,C$4,,,$B168))</f>
        <v>0</v>
      </c>
      <c r="D168" s="43" cm="1">
        <f t="array" aca="1" ref="D168" ca="1">INDIRECT(ADDRESS($A168,D$4,,,$B168))</f>
        <v>0</v>
      </c>
      <c r="E168" s="43" cm="1">
        <f t="array" aca="1" ref="E168" ca="1">INDIRECT(ADDRESS($A168,E$4,,,$B168))</f>
        <v>0</v>
      </c>
      <c r="F168" s="43" cm="1">
        <f t="array" aca="1" ref="F168" ca="1">INDIRECT(ADDRESS($A168,F$4,,,$B168))</f>
        <v>0</v>
      </c>
      <c r="G168" s="43" cm="1">
        <f t="array" aca="1" ref="G168" ca="1">INDIRECT(ADDRESS($A168,G$4,,,$B168))</f>
        <v>0</v>
      </c>
      <c r="H168" s="43" cm="1">
        <f t="array" aca="1" ref="H168" ca="1">INDIRECT(ADDRESS($A168,H$4,,,$B168))</f>
        <v>0</v>
      </c>
      <c r="I168" s="43" cm="1">
        <f t="array" aca="1" ref="I168" ca="1">INDIRECT(ADDRESS($A168,I$4,,,$B168))</f>
        <v>0</v>
      </c>
      <c r="J168" s="43" cm="1">
        <f t="array" aca="1" ref="J168" ca="1">INDIRECT(ADDRESS($A168,J$4,,,$B168))</f>
        <v>0</v>
      </c>
    </row>
    <row r="169" spans="1:10">
      <c r="A169" s="39">
        <f t="shared" si="6"/>
        <v>187</v>
      </c>
      <c r="B169" s="42" t="str">
        <f t="shared" si="5"/>
        <v>W2</v>
      </c>
      <c r="C169" s="43" cm="1">
        <f t="array" aca="1" ref="C169" ca="1">INDIRECT(ADDRESS($A169,C$4,,,$B169))</f>
        <v>0</v>
      </c>
      <c r="D169" s="43" cm="1">
        <f t="array" aca="1" ref="D169" ca="1">INDIRECT(ADDRESS($A169,D$4,,,$B169))</f>
        <v>0</v>
      </c>
      <c r="E169" s="43" cm="1">
        <f t="array" aca="1" ref="E169" ca="1">INDIRECT(ADDRESS($A169,E$4,,,$B169))</f>
        <v>0</v>
      </c>
      <c r="F169" s="43" cm="1">
        <f t="array" aca="1" ref="F169" ca="1">INDIRECT(ADDRESS($A169,F$4,,,$B169))</f>
        <v>0</v>
      </c>
      <c r="G169" s="43" cm="1">
        <f t="array" aca="1" ref="G169" ca="1">INDIRECT(ADDRESS($A169,G$4,,,$B169))</f>
        <v>0</v>
      </c>
      <c r="H169" s="43" cm="1">
        <f t="array" aca="1" ref="H169" ca="1">INDIRECT(ADDRESS($A169,H$4,,,$B169))</f>
        <v>0</v>
      </c>
      <c r="I169" s="43" cm="1">
        <f t="array" aca="1" ref="I169" ca="1">INDIRECT(ADDRESS($A169,I$4,,,$B169))</f>
        <v>0</v>
      </c>
      <c r="J169" s="43" cm="1">
        <f t="array" aca="1" ref="J169" ca="1">INDIRECT(ADDRESS($A169,J$4,,,$B169))</f>
        <v>0</v>
      </c>
    </row>
    <row r="170" spans="1:10">
      <c r="A170" s="39">
        <f t="shared" si="6"/>
        <v>188</v>
      </c>
      <c r="B170" s="42" t="str">
        <f t="shared" si="5"/>
        <v>W2</v>
      </c>
      <c r="C170" s="43" cm="1">
        <f t="array" aca="1" ref="C170" ca="1">INDIRECT(ADDRESS($A170,C$4,,,$B170))</f>
        <v>0</v>
      </c>
      <c r="D170" s="43" cm="1">
        <f t="array" aca="1" ref="D170" ca="1">INDIRECT(ADDRESS($A170,D$4,,,$B170))</f>
        <v>0</v>
      </c>
      <c r="E170" s="43" cm="1">
        <f t="array" aca="1" ref="E170" ca="1">INDIRECT(ADDRESS($A170,E$4,,,$B170))</f>
        <v>0</v>
      </c>
      <c r="F170" s="43" cm="1">
        <f t="array" aca="1" ref="F170" ca="1">INDIRECT(ADDRESS($A170,F$4,,,$B170))</f>
        <v>0</v>
      </c>
      <c r="G170" s="43" cm="1">
        <f t="array" aca="1" ref="G170" ca="1">INDIRECT(ADDRESS($A170,G$4,,,$B170))</f>
        <v>0</v>
      </c>
      <c r="H170" s="43" cm="1">
        <f t="array" aca="1" ref="H170" ca="1">INDIRECT(ADDRESS($A170,H$4,,,$B170))</f>
        <v>0</v>
      </c>
      <c r="I170" s="43" cm="1">
        <f t="array" aca="1" ref="I170" ca="1">INDIRECT(ADDRESS($A170,I$4,,,$B170))</f>
        <v>0</v>
      </c>
      <c r="J170" s="43" cm="1">
        <f t="array" aca="1" ref="J170" ca="1">INDIRECT(ADDRESS($A170,J$4,,,$B170))</f>
        <v>0</v>
      </c>
    </row>
    <row r="171" spans="1:10">
      <c r="A171" s="39">
        <f t="shared" si="6"/>
        <v>189</v>
      </c>
      <c r="B171" s="42" t="str">
        <f t="shared" si="5"/>
        <v>W2</v>
      </c>
      <c r="C171" s="43" cm="1">
        <f t="array" aca="1" ref="C171" ca="1">INDIRECT(ADDRESS($A171,C$4,,,$B171))</f>
        <v>0</v>
      </c>
      <c r="D171" s="43" cm="1">
        <f t="array" aca="1" ref="D171" ca="1">INDIRECT(ADDRESS($A171,D$4,,,$B171))</f>
        <v>0</v>
      </c>
      <c r="E171" s="43" cm="1">
        <f t="array" aca="1" ref="E171" ca="1">INDIRECT(ADDRESS($A171,E$4,,,$B171))</f>
        <v>0</v>
      </c>
      <c r="F171" s="43" cm="1">
        <f t="array" aca="1" ref="F171" ca="1">INDIRECT(ADDRESS($A171,F$4,,,$B171))</f>
        <v>0</v>
      </c>
      <c r="G171" s="43" cm="1">
        <f t="array" aca="1" ref="G171" ca="1">INDIRECT(ADDRESS($A171,G$4,,,$B171))</f>
        <v>0</v>
      </c>
      <c r="H171" s="43" cm="1">
        <f t="array" aca="1" ref="H171" ca="1">INDIRECT(ADDRESS($A171,H$4,,,$B171))</f>
        <v>0</v>
      </c>
      <c r="I171" s="43" cm="1">
        <f t="array" aca="1" ref="I171" ca="1">INDIRECT(ADDRESS($A171,I$4,,,$B171))</f>
        <v>0</v>
      </c>
      <c r="J171" s="43" cm="1">
        <f t="array" aca="1" ref="J171" ca="1">INDIRECT(ADDRESS($A171,J$4,,,$B171))</f>
        <v>0</v>
      </c>
    </row>
    <row r="172" spans="1:10">
      <c r="A172" s="39">
        <f t="shared" si="6"/>
        <v>190</v>
      </c>
      <c r="B172" s="42" t="str">
        <f t="shared" si="5"/>
        <v>W2</v>
      </c>
      <c r="C172" s="43" cm="1">
        <f t="array" aca="1" ref="C172" ca="1">INDIRECT(ADDRESS($A172,C$4,,,$B172))</f>
        <v>0</v>
      </c>
      <c r="D172" s="43" cm="1">
        <f t="array" aca="1" ref="D172" ca="1">INDIRECT(ADDRESS($A172,D$4,,,$B172))</f>
        <v>0</v>
      </c>
      <c r="E172" s="43" cm="1">
        <f t="array" aca="1" ref="E172" ca="1">INDIRECT(ADDRESS($A172,E$4,,,$B172))</f>
        <v>0</v>
      </c>
      <c r="F172" s="43" cm="1">
        <f t="array" aca="1" ref="F172" ca="1">INDIRECT(ADDRESS($A172,F$4,,,$B172))</f>
        <v>0</v>
      </c>
      <c r="G172" s="43" cm="1">
        <f t="array" aca="1" ref="G172" ca="1">INDIRECT(ADDRESS($A172,G$4,,,$B172))</f>
        <v>0</v>
      </c>
      <c r="H172" s="43" cm="1">
        <f t="array" aca="1" ref="H172" ca="1">INDIRECT(ADDRESS($A172,H$4,,,$B172))</f>
        <v>0</v>
      </c>
      <c r="I172" s="43" cm="1">
        <f t="array" aca="1" ref="I172" ca="1">INDIRECT(ADDRESS($A172,I$4,,,$B172))</f>
        <v>0</v>
      </c>
      <c r="J172" s="43" cm="1">
        <f t="array" aca="1" ref="J172" ca="1">INDIRECT(ADDRESS($A172,J$4,,,$B172))</f>
        <v>0</v>
      </c>
    </row>
    <row r="173" spans="1:10">
      <c r="A173" s="39">
        <f t="shared" si="6"/>
        <v>191</v>
      </c>
      <c r="B173" s="42" t="str">
        <f t="shared" si="5"/>
        <v>W2</v>
      </c>
      <c r="C173" s="43" cm="1">
        <f t="array" aca="1" ref="C173" ca="1">INDIRECT(ADDRESS($A173,C$4,,,$B173))</f>
        <v>0</v>
      </c>
      <c r="D173" s="43" cm="1">
        <f t="array" aca="1" ref="D173" ca="1">INDIRECT(ADDRESS($A173,D$4,,,$B173))</f>
        <v>0</v>
      </c>
      <c r="E173" s="43" cm="1">
        <f t="array" aca="1" ref="E173" ca="1">INDIRECT(ADDRESS($A173,E$4,,,$B173))</f>
        <v>0</v>
      </c>
      <c r="F173" s="43" cm="1">
        <f t="array" aca="1" ref="F173" ca="1">INDIRECT(ADDRESS($A173,F$4,,,$B173))</f>
        <v>0</v>
      </c>
      <c r="G173" s="43" cm="1">
        <f t="array" aca="1" ref="G173" ca="1">INDIRECT(ADDRESS($A173,G$4,,,$B173))</f>
        <v>0</v>
      </c>
      <c r="H173" s="43" cm="1">
        <f t="array" aca="1" ref="H173" ca="1">INDIRECT(ADDRESS($A173,H$4,,,$B173))</f>
        <v>0</v>
      </c>
      <c r="I173" s="43" cm="1">
        <f t="array" aca="1" ref="I173" ca="1">INDIRECT(ADDRESS($A173,I$4,,,$B173))</f>
        <v>0</v>
      </c>
      <c r="J173" s="43" cm="1">
        <f t="array" aca="1" ref="J173" ca="1">INDIRECT(ADDRESS($A173,J$4,,,$B173))</f>
        <v>0</v>
      </c>
    </row>
    <row r="174" spans="1:10">
      <c r="A174" s="39">
        <f t="shared" si="6"/>
        <v>192</v>
      </c>
      <c r="B174" s="42" t="str">
        <f t="shared" si="5"/>
        <v>W2</v>
      </c>
      <c r="C174" s="43" cm="1">
        <f t="array" aca="1" ref="C174" ca="1">INDIRECT(ADDRESS($A174,C$4,,,$B174))</f>
        <v>0</v>
      </c>
      <c r="D174" s="43" cm="1">
        <f t="array" aca="1" ref="D174" ca="1">INDIRECT(ADDRESS($A174,D$4,,,$B174))</f>
        <v>0</v>
      </c>
      <c r="E174" s="43" cm="1">
        <f t="array" aca="1" ref="E174" ca="1">INDIRECT(ADDRESS($A174,E$4,,,$B174))</f>
        <v>0</v>
      </c>
      <c r="F174" s="43" cm="1">
        <f t="array" aca="1" ref="F174" ca="1">INDIRECT(ADDRESS($A174,F$4,,,$B174))</f>
        <v>0</v>
      </c>
      <c r="G174" s="43" cm="1">
        <f t="array" aca="1" ref="G174" ca="1">INDIRECT(ADDRESS($A174,G$4,,,$B174))</f>
        <v>0</v>
      </c>
      <c r="H174" s="43" cm="1">
        <f t="array" aca="1" ref="H174" ca="1">INDIRECT(ADDRESS($A174,H$4,,,$B174))</f>
        <v>0</v>
      </c>
      <c r="I174" s="43" cm="1">
        <f t="array" aca="1" ref="I174" ca="1">INDIRECT(ADDRESS($A174,I$4,,,$B174))</f>
        <v>0</v>
      </c>
      <c r="J174" s="43" cm="1">
        <f t="array" aca="1" ref="J174" ca="1">INDIRECT(ADDRESS($A174,J$4,,,$B174))</f>
        <v>0</v>
      </c>
    </row>
    <row r="175" spans="1:10">
      <c r="A175" s="39">
        <f t="shared" si="6"/>
        <v>193</v>
      </c>
      <c r="B175" s="42" t="str">
        <f t="shared" si="5"/>
        <v>W2</v>
      </c>
      <c r="C175" s="43" cm="1">
        <f t="array" aca="1" ref="C175" ca="1">INDIRECT(ADDRESS($A175,C$4,,,$B175))</f>
        <v>0</v>
      </c>
      <c r="D175" s="43" cm="1">
        <f t="array" aca="1" ref="D175" ca="1">INDIRECT(ADDRESS($A175,D$4,,,$B175))</f>
        <v>0</v>
      </c>
      <c r="E175" s="43" cm="1">
        <f t="array" aca="1" ref="E175" ca="1">INDIRECT(ADDRESS($A175,E$4,,,$B175))</f>
        <v>0</v>
      </c>
      <c r="F175" s="43" cm="1">
        <f t="array" aca="1" ref="F175" ca="1">INDIRECT(ADDRESS($A175,F$4,,,$B175))</f>
        <v>0</v>
      </c>
      <c r="G175" s="43" cm="1">
        <f t="array" aca="1" ref="G175" ca="1">INDIRECT(ADDRESS($A175,G$4,,,$B175))</f>
        <v>0</v>
      </c>
      <c r="H175" s="43" cm="1">
        <f t="array" aca="1" ref="H175" ca="1">INDIRECT(ADDRESS($A175,H$4,,,$B175))</f>
        <v>0</v>
      </c>
      <c r="I175" s="43" cm="1">
        <f t="array" aca="1" ref="I175" ca="1">INDIRECT(ADDRESS($A175,I$4,,,$B175))</f>
        <v>0</v>
      </c>
      <c r="J175" s="43" cm="1">
        <f t="array" aca="1" ref="J175" ca="1">INDIRECT(ADDRESS($A175,J$4,,,$B175))</f>
        <v>0</v>
      </c>
    </row>
    <row r="176" spans="1:10">
      <c r="A176" s="39">
        <f t="shared" si="6"/>
        <v>194</v>
      </c>
      <c r="B176" s="42" t="str">
        <f t="shared" si="5"/>
        <v>W2</v>
      </c>
      <c r="C176" s="43" cm="1">
        <f t="array" aca="1" ref="C176" ca="1">INDIRECT(ADDRESS($A176,C$4,,,$B176))</f>
        <v>0</v>
      </c>
      <c r="D176" s="43" cm="1">
        <f t="array" aca="1" ref="D176" ca="1">INDIRECT(ADDRESS($A176,D$4,,,$B176))</f>
        <v>0</v>
      </c>
      <c r="E176" s="43" cm="1">
        <f t="array" aca="1" ref="E176" ca="1">INDIRECT(ADDRESS($A176,E$4,,,$B176))</f>
        <v>0</v>
      </c>
      <c r="F176" s="43" cm="1">
        <f t="array" aca="1" ref="F176" ca="1">INDIRECT(ADDRESS($A176,F$4,,,$B176))</f>
        <v>0</v>
      </c>
      <c r="G176" s="43" cm="1">
        <f t="array" aca="1" ref="G176" ca="1">INDIRECT(ADDRESS($A176,G$4,,,$B176))</f>
        <v>0</v>
      </c>
      <c r="H176" s="43" cm="1">
        <f t="array" aca="1" ref="H176" ca="1">INDIRECT(ADDRESS($A176,H$4,,,$B176))</f>
        <v>0</v>
      </c>
      <c r="I176" s="43" cm="1">
        <f t="array" aca="1" ref="I176" ca="1">INDIRECT(ADDRESS($A176,I$4,,,$B176))</f>
        <v>0</v>
      </c>
      <c r="J176" s="43" cm="1">
        <f t="array" aca="1" ref="J176" ca="1">INDIRECT(ADDRESS($A176,J$4,,,$B176))</f>
        <v>0</v>
      </c>
    </row>
    <row r="177" spans="1:10">
      <c r="A177" s="39">
        <f t="shared" si="6"/>
        <v>195</v>
      </c>
      <c r="B177" s="42" t="str">
        <f t="shared" si="5"/>
        <v>W2</v>
      </c>
      <c r="C177" s="43" cm="1">
        <f t="array" aca="1" ref="C177" ca="1">INDIRECT(ADDRESS($A177,C$4,,,$B177))</f>
        <v>0</v>
      </c>
      <c r="D177" s="43" cm="1">
        <f t="array" aca="1" ref="D177" ca="1">INDIRECT(ADDRESS($A177,D$4,,,$B177))</f>
        <v>0</v>
      </c>
      <c r="E177" s="43" cm="1">
        <f t="array" aca="1" ref="E177" ca="1">INDIRECT(ADDRESS($A177,E$4,,,$B177))</f>
        <v>0</v>
      </c>
      <c r="F177" s="43" cm="1">
        <f t="array" aca="1" ref="F177" ca="1">INDIRECT(ADDRESS($A177,F$4,,,$B177))</f>
        <v>0</v>
      </c>
      <c r="G177" s="43" cm="1">
        <f t="array" aca="1" ref="G177" ca="1">INDIRECT(ADDRESS($A177,G$4,,,$B177))</f>
        <v>0</v>
      </c>
      <c r="H177" s="43" cm="1">
        <f t="array" aca="1" ref="H177" ca="1">INDIRECT(ADDRESS($A177,H$4,,,$B177))</f>
        <v>0</v>
      </c>
      <c r="I177" s="43" cm="1">
        <f t="array" aca="1" ref="I177" ca="1">INDIRECT(ADDRESS($A177,I$4,,,$B177))</f>
        <v>0</v>
      </c>
      <c r="J177" s="43" cm="1">
        <f t="array" aca="1" ref="J177" ca="1">INDIRECT(ADDRESS($A177,J$4,,,$B177))</f>
        <v>0</v>
      </c>
    </row>
    <row r="178" spans="1:10">
      <c r="A178" s="39">
        <f t="shared" si="6"/>
        <v>196</v>
      </c>
      <c r="B178" s="42" t="str">
        <f t="shared" si="5"/>
        <v>W2</v>
      </c>
      <c r="C178" s="43" cm="1">
        <f t="array" aca="1" ref="C178" ca="1">INDIRECT(ADDRESS($A178,C$4,,,$B178))</f>
        <v>0</v>
      </c>
      <c r="D178" s="43" cm="1">
        <f t="array" aca="1" ref="D178" ca="1">INDIRECT(ADDRESS($A178,D$4,,,$B178))</f>
        <v>0</v>
      </c>
      <c r="E178" s="43" cm="1">
        <f t="array" aca="1" ref="E178" ca="1">INDIRECT(ADDRESS($A178,E$4,,,$B178))</f>
        <v>0</v>
      </c>
      <c r="F178" s="43" cm="1">
        <f t="array" aca="1" ref="F178" ca="1">INDIRECT(ADDRESS($A178,F$4,,,$B178))</f>
        <v>0</v>
      </c>
      <c r="G178" s="43" cm="1">
        <f t="array" aca="1" ref="G178" ca="1">INDIRECT(ADDRESS($A178,G$4,,,$B178))</f>
        <v>0</v>
      </c>
      <c r="H178" s="43" cm="1">
        <f t="array" aca="1" ref="H178" ca="1">INDIRECT(ADDRESS($A178,H$4,,,$B178))</f>
        <v>0</v>
      </c>
      <c r="I178" s="43" cm="1">
        <f t="array" aca="1" ref="I178" ca="1">INDIRECT(ADDRESS($A178,I$4,,,$B178))</f>
        <v>0</v>
      </c>
      <c r="J178" s="43" cm="1">
        <f t="array" aca="1" ref="J178" ca="1">INDIRECT(ADDRESS($A178,J$4,,,$B178))</f>
        <v>0</v>
      </c>
    </row>
    <row r="179" spans="1:10">
      <c r="A179" s="39">
        <f t="shared" si="6"/>
        <v>197</v>
      </c>
      <c r="B179" s="42" t="str">
        <f t="shared" si="5"/>
        <v>W2</v>
      </c>
      <c r="C179" s="43" cm="1">
        <f t="array" aca="1" ref="C179" ca="1">INDIRECT(ADDRESS($A179,C$4,,,$B179))</f>
        <v>0</v>
      </c>
      <c r="D179" s="43" cm="1">
        <f t="array" aca="1" ref="D179" ca="1">INDIRECT(ADDRESS($A179,D$4,,,$B179))</f>
        <v>0</v>
      </c>
      <c r="E179" s="43" cm="1">
        <f t="array" aca="1" ref="E179" ca="1">INDIRECT(ADDRESS($A179,E$4,,,$B179))</f>
        <v>0</v>
      </c>
      <c r="F179" s="43" cm="1">
        <f t="array" aca="1" ref="F179" ca="1">INDIRECT(ADDRESS($A179,F$4,,,$B179))</f>
        <v>0</v>
      </c>
      <c r="G179" s="43" cm="1">
        <f t="array" aca="1" ref="G179" ca="1">INDIRECT(ADDRESS($A179,G$4,,,$B179))</f>
        <v>0</v>
      </c>
      <c r="H179" s="43" cm="1">
        <f t="array" aca="1" ref="H179" ca="1">INDIRECT(ADDRESS($A179,H$4,,,$B179))</f>
        <v>0</v>
      </c>
      <c r="I179" s="43" cm="1">
        <f t="array" aca="1" ref="I179" ca="1">INDIRECT(ADDRESS($A179,I$4,,,$B179))</f>
        <v>0</v>
      </c>
      <c r="J179" s="43" cm="1">
        <f t="array" aca="1" ref="J179" ca="1">INDIRECT(ADDRESS($A179,J$4,,,$B179))</f>
        <v>0</v>
      </c>
    </row>
    <row r="180" spans="1:10">
      <c r="A180" s="39">
        <f t="shared" si="6"/>
        <v>198</v>
      </c>
      <c r="B180" s="42" t="str">
        <f t="shared" si="5"/>
        <v>W2</v>
      </c>
      <c r="C180" s="43" cm="1">
        <f t="array" aca="1" ref="C180" ca="1">INDIRECT(ADDRESS($A180,C$4,,,$B180))</f>
        <v>0</v>
      </c>
      <c r="D180" s="43" cm="1">
        <f t="array" aca="1" ref="D180" ca="1">INDIRECT(ADDRESS($A180,D$4,,,$B180))</f>
        <v>0</v>
      </c>
      <c r="E180" s="43" cm="1">
        <f t="array" aca="1" ref="E180" ca="1">INDIRECT(ADDRESS($A180,E$4,,,$B180))</f>
        <v>0</v>
      </c>
      <c r="F180" s="43" cm="1">
        <f t="array" aca="1" ref="F180" ca="1">INDIRECT(ADDRESS($A180,F$4,,,$B180))</f>
        <v>0</v>
      </c>
      <c r="G180" s="43" cm="1">
        <f t="array" aca="1" ref="G180" ca="1">INDIRECT(ADDRESS($A180,G$4,,,$B180))</f>
        <v>0</v>
      </c>
      <c r="H180" s="43" cm="1">
        <f t="array" aca="1" ref="H180" ca="1">INDIRECT(ADDRESS($A180,H$4,,,$B180))</f>
        <v>0</v>
      </c>
      <c r="I180" s="43" cm="1">
        <f t="array" aca="1" ref="I180" ca="1">INDIRECT(ADDRESS($A180,I$4,,,$B180))</f>
        <v>0</v>
      </c>
      <c r="J180" s="43" cm="1">
        <f t="array" aca="1" ref="J180" ca="1">INDIRECT(ADDRESS($A180,J$4,,,$B180))</f>
        <v>0</v>
      </c>
    </row>
    <row r="181" spans="1:10">
      <c r="A181" s="39">
        <f t="shared" si="6"/>
        <v>199</v>
      </c>
      <c r="B181" s="42" t="str">
        <f t="shared" si="5"/>
        <v>W2</v>
      </c>
      <c r="C181" s="43" cm="1">
        <f t="array" aca="1" ref="C181" ca="1">INDIRECT(ADDRESS($A181,C$4,,,$B181))</f>
        <v>0</v>
      </c>
      <c r="D181" s="43" cm="1">
        <f t="array" aca="1" ref="D181" ca="1">INDIRECT(ADDRESS($A181,D$4,,,$B181))</f>
        <v>0</v>
      </c>
      <c r="E181" s="43" cm="1">
        <f t="array" aca="1" ref="E181" ca="1">INDIRECT(ADDRESS($A181,E$4,,,$B181))</f>
        <v>0</v>
      </c>
      <c r="F181" s="43" cm="1">
        <f t="array" aca="1" ref="F181" ca="1">INDIRECT(ADDRESS($A181,F$4,,,$B181))</f>
        <v>0</v>
      </c>
      <c r="G181" s="43" cm="1">
        <f t="array" aca="1" ref="G181" ca="1">INDIRECT(ADDRESS($A181,G$4,,,$B181))</f>
        <v>0</v>
      </c>
      <c r="H181" s="43" cm="1">
        <f t="array" aca="1" ref="H181" ca="1">INDIRECT(ADDRESS($A181,H$4,,,$B181))</f>
        <v>0</v>
      </c>
      <c r="I181" s="43" cm="1">
        <f t="array" aca="1" ref="I181" ca="1">INDIRECT(ADDRESS($A181,I$4,,,$B181))</f>
        <v>0</v>
      </c>
      <c r="J181" s="43" cm="1">
        <f t="array" aca="1" ref="J181" ca="1">INDIRECT(ADDRESS($A181,J$4,,,$B181))</f>
        <v>0</v>
      </c>
    </row>
    <row r="182" spans="1:10">
      <c r="A182" s="39">
        <f t="shared" si="6"/>
        <v>200</v>
      </c>
      <c r="B182" s="42" t="str">
        <f t="shared" si="5"/>
        <v>W2</v>
      </c>
      <c r="C182" s="43" cm="1">
        <f t="array" aca="1" ref="C182" ca="1">INDIRECT(ADDRESS($A182,C$4,,,$B182))</f>
        <v>0</v>
      </c>
      <c r="D182" s="43" cm="1">
        <f t="array" aca="1" ref="D182" ca="1">INDIRECT(ADDRESS($A182,D$4,,,$B182))</f>
        <v>0</v>
      </c>
      <c r="E182" s="43" cm="1">
        <f t="array" aca="1" ref="E182" ca="1">INDIRECT(ADDRESS($A182,E$4,,,$B182))</f>
        <v>0</v>
      </c>
      <c r="F182" s="43" cm="1">
        <f t="array" aca="1" ref="F182" ca="1">INDIRECT(ADDRESS($A182,F$4,,,$B182))</f>
        <v>0</v>
      </c>
      <c r="G182" s="43" cm="1">
        <f t="array" aca="1" ref="G182" ca="1">INDIRECT(ADDRESS($A182,G$4,,,$B182))</f>
        <v>0</v>
      </c>
      <c r="H182" s="43" cm="1">
        <f t="array" aca="1" ref="H182" ca="1">INDIRECT(ADDRESS($A182,H$4,,,$B182))</f>
        <v>0</v>
      </c>
      <c r="I182" s="43" cm="1">
        <f t="array" aca="1" ref="I182" ca="1">INDIRECT(ADDRESS($A182,I$4,,,$B182))</f>
        <v>0</v>
      </c>
      <c r="J182" s="43" cm="1">
        <f t="array" aca="1" ref="J182" ca="1">INDIRECT(ADDRESS($A182,J$4,,,$B182))</f>
        <v>0</v>
      </c>
    </row>
    <row r="183" spans="1:10">
      <c r="A183" s="39">
        <f t="shared" si="6"/>
        <v>201</v>
      </c>
      <c r="B183" s="42" t="str">
        <f t="shared" si="5"/>
        <v>W2</v>
      </c>
      <c r="C183" s="43" cm="1">
        <f t="array" aca="1" ref="C183" ca="1">INDIRECT(ADDRESS($A183,C$4,,,$B183))</f>
        <v>0</v>
      </c>
      <c r="D183" s="43" cm="1">
        <f t="array" aca="1" ref="D183" ca="1">INDIRECT(ADDRESS($A183,D$4,,,$B183))</f>
        <v>0</v>
      </c>
      <c r="E183" s="43" cm="1">
        <f t="array" aca="1" ref="E183" ca="1">INDIRECT(ADDRESS($A183,E$4,,,$B183))</f>
        <v>0</v>
      </c>
      <c r="F183" s="43" cm="1">
        <f t="array" aca="1" ref="F183" ca="1">INDIRECT(ADDRESS($A183,F$4,,,$B183))</f>
        <v>0</v>
      </c>
      <c r="G183" s="43" cm="1">
        <f t="array" aca="1" ref="G183" ca="1">INDIRECT(ADDRESS($A183,G$4,,,$B183))</f>
        <v>0</v>
      </c>
      <c r="H183" s="43" cm="1">
        <f t="array" aca="1" ref="H183" ca="1">INDIRECT(ADDRESS($A183,H$4,,,$B183))</f>
        <v>0</v>
      </c>
      <c r="I183" s="43" cm="1">
        <f t="array" aca="1" ref="I183" ca="1">INDIRECT(ADDRESS($A183,I$4,,,$B183))</f>
        <v>0</v>
      </c>
      <c r="J183" s="43" cm="1">
        <f t="array" aca="1" ref="J183" ca="1">INDIRECT(ADDRESS($A183,J$4,,,$B183))</f>
        <v>0</v>
      </c>
    </row>
    <row r="184" spans="1:10">
      <c r="A184" s="39">
        <f t="shared" si="6"/>
        <v>202</v>
      </c>
      <c r="B184" s="42" t="str">
        <f t="shared" si="5"/>
        <v>W2</v>
      </c>
      <c r="C184" s="43" cm="1">
        <f t="array" aca="1" ref="C184" ca="1">INDIRECT(ADDRESS($A184,C$4,,,$B184))</f>
        <v>0</v>
      </c>
      <c r="D184" s="43" cm="1">
        <f t="array" aca="1" ref="D184" ca="1">INDIRECT(ADDRESS($A184,D$4,,,$B184))</f>
        <v>0</v>
      </c>
      <c r="E184" s="43" cm="1">
        <f t="array" aca="1" ref="E184" ca="1">INDIRECT(ADDRESS($A184,E$4,,,$B184))</f>
        <v>0</v>
      </c>
      <c r="F184" s="43" cm="1">
        <f t="array" aca="1" ref="F184" ca="1">INDIRECT(ADDRESS($A184,F$4,,,$B184))</f>
        <v>0</v>
      </c>
      <c r="G184" s="43" cm="1">
        <f t="array" aca="1" ref="G184" ca="1">INDIRECT(ADDRESS($A184,G$4,,,$B184))</f>
        <v>0</v>
      </c>
      <c r="H184" s="43" cm="1">
        <f t="array" aca="1" ref="H184" ca="1">INDIRECT(ADDRESS($A184,H$4,,,$B184))</f>
        <v>0</v>
      </c>
      <c r="I184" s="43" cm="1">
        <f t="array" aca="1" ref="I184" ca="1">INDIRECT(ADDRESS($A184,I$4,,,$B184))</f>
        <v>0</v>
      </c>
      <c r="J184" s="43" cm="1">
        <f t="array" aca="1" ref="J184" ca="1">INDIRECT(ADDRESS($A184,J$4,,,$B184))</f>
        <v>0</v>
      </c>
    </row>
    <row r="185" spans="1:10">
      <c r="A185" s="39">
        <f t="shared" si="6"/>
        <v>203</v>
      </c>
      <c r="B185" s="42" t="str">
        <f t="shared" si="5"/>
        <v>W2</v>
      </c>
      <c r="C185" s="43" cm="1">
        <f t="array" aca="1" ref="C185" ca="1">INDIRECT(ADDRESS($A185,C$4,,,$B185))</f>
        <v>0</v>
      </c>
      <c r="D185" s="43" cm="1">
        <f t="array" aca="1" ref="D185" ca="1">INDIRECT(ADDRESS($A185,D$4,,,$B185))</f>
        <v>0</v>
      </c>
      <c r="E185" s="43" cm="1">
        <f t="array" aca="1" ref="E185" ca="1">INDIRECT(ADDRESS($A185,E$4,,,$B185))</f>
        <v>0</v>
      </c>
      <c r="F185" s="43" cm="1">
        <f t="array" aca="1" ref="F185" ca="1">INDIRECT(ADDRESS($A185,F$4,,,$B185))</f>
        <v>0</v>
      </c>
      <c r="G185" s="43" cm="1">
        <f t="array" aca="1" ref="G185" ca="1">INDIRECT(ADDRESS($A185,G$4,,,$B185))</f>
        <v>0</v>
      </c>
      <c r="H185" s="43" cm="1">
        <f t="array" aca="1" ref="H185" ca="1">INDIRECT(ADDRESS($A185,H$4,,,$B185))</f>
        <v>0</v>
      </c>
      <c r="I185" s="43" cm="1">
        <f t="array" aca="1" ref="I185" ca="1">INDIRECT(ADDRESS($A185,I$4,,,$B185))</f>
        <v>0</v>
      </c>
      <c r="J185" s="43" cm="1">
        <f t="array" aca="1" ref="J185" ca="1">INDIRECT(ADDRESS($A185,J$4,,,$B185))</f>
        <v>0</v>
      </c>
    </row>
    <row r="186" spans="1:10">
      <c r="A186" s="39">
        <f t="shared" si="6"/>
        <v>204</v>
      </c>
      <c r="B186" s="42" t="str">
        <f t="shared" si="5"/>
        <v>W2</v>
      </c>
      <c r="C186" s="43" cm="1">
        <f t="array" aca="1" ref="C186" ca="1">INDIRECT(ADDRESS($A186,C$4,,,$B186))</f>
        <v>0</v>
      </c>
      <c r="D186" s="43" cm="1">
        <f t="array" aca="1" ref="D186" ca="1">INDIRECT(ADDRESS($A186,D$4,,,$B186))</f>
        <v>0</v>
      </c>
      <c r="E186" s="43" cm="1">
        <f t="array" aca="1" ref="E186" ca="1">INDIRECT(ADDRESS($A186,E$4,,,$B186))</f>
        <v>0</v>
      </c>
      <c r="F186" s="43" cm="1">
        <f t="array" aca="1" ref="F186" ca="1">INDIRECT(ADDRESS($A186,F$4,,,$B186))</f>
        <v>0</v>
      </c>
      <c r="G186" s="43" cm="1">
        <f t="array" aca="1" ref="G186" ca="1">INDIRECT(ADDRESS($A186,G$4,,,$B186))</f>
        <v>0</v>
      </c>
      <c r="H186" s="43" cm="1">
        <f t="array" aca="1" ref="H186" ca="1">INDIRECT(ADDRESS($A186,H$4,,,$B186))</f>
        <v>0</v>
      </c>
      <c r="I186" s="43" cm="1">
        <f t="array" aca="1" ref="I186" ca="1">INDIRECT(ADDRESS($A186,I$4,,,$B186))</f>
        <v>0</v>
      </c>
      <c r="J186" s="43" cm="1">
        <f t="array" aca="1" ref="J186" ca="1">INDIRECT(ADDRESS($A186,J$4,,,$B186))</f>
        <v>0</v>
      </c>
    </row>
    <row r="187" spans="1:10">
      <c r="A187" s="39">
        <f t="shared" si="6"/>
        <v>205</v>
      </c>
      <c r="B187" s="42" t="str">
        <f t="shared" si="5"/>
        <v>W2</v>
      </c>
      <c r="C187" s="43" cm="1">
        <f t="array" aca="1" ref="C187" ca="1">INDIRECT(ADDRESS($A187,C$4,,,$B187))</f>
        <v>0</v>
      </c>
      <c r="D187" s="43" cm="1">
        <f t="array" aca="1" ref="D187" ca="1">INDIRECT(ADDRESS($A187,D$4,,,$B187))</f>
        <v>0</v>
      </c>
      <c r="E187" s="43" cm="1">
        <f t="array" aca="1" ref="E187" ca="1">INDIRECT(ADDRESS($A187,E$4,,,$B187))</f>
        <v>0</v>
      </c>
      <c r="F187" s="43" cm="1">
        <f t="array" aca="1" ref="F187" ca="1">INDIRECT(ADDRESS($A187,F$4,,,$B187))</f>
        <v>0</v>
      </c>
      <c r="G187" s="43" cm="1">
        <f t="array" aca="1" ref="G187" ca="1">INDIRECT(ADDRESS($A187,G$4,,,$B187))</f>
        <v>0</v>
      </c>
      <c r="H187" s="43" cm="1">
        <f t="array" aca="1" ref="H187" ca="1">INDIRECT(ADDRESS($A187,H$4,,,$B187))</f>
        <v>0</v>
      </c>
      <c r="I187" s="43" cm="1">
        <f t="array" aca="1" ref="I187" ca="1">INDIRECT(ADDRESS($A187,I$4,,,$B187))</f>
        <v>0</v>
      </c>
      <c r="J187" s="43" cm="1">
        <f t="array" aca="1" ref="J187" ca="1">INDIRECT(ADDRESS($A187,J$4,,,$B187))</f>
        <v>0</v>
      </c>
    </row>
    <row r="188" spans="1:10">
      <c r="A188" s="39">
        <f t="shared" si="6"/>
        <v>206</v>
      </c>
      <c r="B188" s="42" t="str">
        <f t="shared" si="5"/>
        <v>W2</v>
      </c>
      <c r="C188" s="43" cm="1">
        <f t="array" aca="1" ref="C188" ca="1">INDIRECT(ADDRESS($A188,C$4,,,$B188))</f>
        <v>0</v>
      </c>
      <c r="D188" s="43" cm="1">
        <f t="array" aca="1" ref="D188" ca="1">INDIRECT(ADDRESS($A188,D$4,,,$B188))</f>
        <v>0</v>
      </c>
      <c r="E188" s="43" cm="1">
        <f t="array" aca="1" ref="E188" ca="1">INDIRECT(ADDRESS($A188,E$4,,,$B188))</f>
        <v>0</v>
      </c>
      <c r="F188" s="43" cm="1">
        <f t="array" aca="1" ref="F188" ca="1">INDIRECT(ADDRESS($A188,F$4,,,$B188))</f>
        <v>0</v>
      </c>
      <c r="G188" s="43" cm="1">
        <f t="array" aca="1" ref="G188" ca="1">INDIRECT(ADDRESS($A188,G$4,,,$B188))</f>
        <v>0</v>
      </c>
      <c r="H188" s="43" cm="1">
        <f t="array" aca="1" ref="H188" ca="1">INDIRECT(ADDRESS($A188,H$4,,,$B188))</f>
        <v>0</v>
      </c>
      <c r="I188" s="43" cm="1">
        <f t="array" aca="1" ref="I188" ca="1">INDIRECT(ADDRESS($A188,I$4,,,$B188))</f>
        <v>0</v>
      </c>
      <c r="J188" s="43" cm="1">
        <f t="array" aca="1" ref="J188" ca="1">INDIRECT(ADDRESS($A188,J$4,,,$B188))</f>
        <v>0</v>
      </c>
    </row>
    <row r="189" spans="1:10">
      <c r="A189" s="39">
        <f t="shared" si="6"/>
        <v>207</v>
      </c>
      <c r="B189" s="42" t="str">
        <f t="shared" si="5"/>
        <v>W2</v>
      </c>
      <c r="C189" s="43" cm="1">
        <f t="array" aca="1" ref="C189" ca="1">INDIRECT(ADDRESS($A189,C$4,,,$B189))</f>
        <v>0</v>
      </c>
      <c r="D189" s="43" cm="1">
        <f t="array" aca="1" ref="D189" ca="1">INDIRECT(ADDRESS($A189,D$4,,,$B189))</f>
        <v>0</v>
      </c>
      <c r="E189" s="43" cm="1">
        <f t="array" aca="1" ref="E189" ca="1">INDIRECT(ADDRESS($A189,E$4,,,$B189))</f>
        <v>0</v>
      </c>
      <c r="F189" s="43" cm="1">
        <f t="array" aca="1" ref="F189" ca="1">INDIRECT(ADDRESS($A189,F$4,,,$B189))</f>
        <v>0</v>
      </c>
      <c r="G189" s="43" cm="1">
        <f t="array" aca="1" ref="G189" ca="1">INDIRECT(ADDRESS($A189,G$4,,,$B189))</f>
        <v>0</v>
      </c>
      <c r="H189" s="43" cm="1">
        <f t="array" aca="1" ref="H189" ca="1">INDIRECT(ADDRESS($A189,H$4,,,$B189))</f>
        <v>0</v>
      </c>
      <c r="I189" s="43" cm="1">
        <f t="array" aca="1" ref="I189" ca="1">INDIRECT(ADDRESS($A189,I$4,,,$B189))</f>
        <v>0</v>
      </c>
      <c r="J189" s="43" cm="1">
        <f t="array" aca="1" ref="J189" ca="1">INDIRECT(ADDRESS($A189,J$4,,,$B189))</f>
        <v>0</v>
      </c>
    </row>
    <row r="190" spans="1:10">
      <c r="A190" s="39">
        <f t="shared" si="6"/>
        <v>208</v>
      </c>
      <c r="B190" s="42" t="str">
        <f t="shared" si="5"/>
        <v>W2</v>
      </c>
      <c r="C190" s="43" cm="1">
        <f t="array" aca="1" ref="C190" ca="1">INDIRECT(ADDRESS($A190,C$4,,,$B190))</f>
        <v>0</v>
      </c>
      <c r="D190" s="43" cm="1">
        <f t="array" aca="1" ref="D190" ca="1">INDIRECT(ADDRESS($A190,D$4,,,$B190))</f>
        <v>0</v>
      </c>
      <c r="E190" s="43" cm="1">
        <f t="array" aca="1" ref="E190" ca="1">INDIRECT(ADDRESS($A190,E$4,,,$B190))</f>
        <v>0</v>
      </c>
      <c r="F190" s="43" cm="1">
        <f t="array" aca="1" ref="F190" ca="1">INDIRECT(ADDRESS($A190,F$4,,,$B190))</f>
        <v>0</v>
      </c>
      <c r="G190" s="43" cm="1">
        <f t="array" aca="1" ref="G190" ca="1">INDIRECT(ADDRESS($A190,G$4,,,$B190))</f>
        <v>0</v>
      </c>
      <c r="H190" s="43" cm="1">
        <f t="array" aca="1" ref="H190" ca="1">INDIRECT(ADDRESS($A190,H$4,,,$B190))</f>
        <v>0</v>
      </c>
      <c r="I190" s="43" cm="1">
        <f t="array" aca="1" ref="I190" ca="1">INDIRECT(ADDRESS($A190,I$4,,,$B190))</f>
        <v>0</v>
      </c>
      <c r="J190" s="43" cm="1">
        <f t="array" aca="1" ref="J190" ca="1">INDIRECT(ADDRESS($A190,J$4,,,$B190))</f>
        <v>0</v>
      </c>
    </row>
    <row r="191" spans="1:10">
      <c r="A191" s="39">
        <f t="shared" si="6"/>
        <v>209</v>
      </c>
      <c r="B191" s="42" t="str">
        <f t="shared" si="5"/>
        <v>W2</v>
      </c>
      <c r="C191" s="43" cm="1">
        <f t="array" aca="1" ref="C191" ca="1">INDIRECT(ADDRESS($A191,C$4,,,$B191))</f>
        <v>0</v>
      </c>
      <c r="D191" s="43" cm="1">
        <f t="array" aca="1" ref="D191" ca="1">INDIRECT(ADDRESS($A191,D$4,,,$B191))</f>
        <v>0</v>
      </c>
      <c r="E191" s="43" cm="1">
        <f t="array" aca="1" ref="E191" ca="1">INDIRECT(ADDRESS($A191,E$4,,,$B191))</f>
        <v>0</v>
      </c>
      <c r="F191" s="43" cm="1">
        <f t="array" aca="1" ref="F191" ca="1">INDIRECT(ADDRESS($A191,F$4,,,$B191))</f>
        <v>0</v>
      </c>
      <c r="G191" s="43" cm="1">
        <f t="array" aca="1" ref="G191" ca="1">INDIRECT(ADDRESS($A191,G$4,,,$B191))</f>
        <v>0</v>
      </c>
      <c r="H191" s="43" cm="1">
        <f t="array" aca="1" ref="H191" ca="1">INDIRECT(ADDRESS($A191,H$4,,,$B191))</f>
        <v>0</v>
      </c>
      <c r="I191" s="43" cm="1">
        <f t="array" aca="1" ref="I191" ca="1">INDIRECT(ADDRESS($A191,I$4,,,$B191))</f>
        <v>0</v>
      </c>
      <c r="J191" s="43" cm="1">
        <f t="array" aca="1" ref="J191" ca="1">INDIRECT(ADDRESS($A191,J$4,,,$B191))</f>
        <v>0</v>
      </c>
    </row>
    <row r="192" spans="1:10">
      <c r="A192" s="39">
        <f t="shared" si="6"/>
        <v>210</v>
      </c>
      <c r="B192" s="42" t="str">
        <f t="shared" si="5"/>
        <v>W2</v>
      </c>
      <c r="C192" s="43" cm="1">
        <f t="array" aca="1" ref="C192" ca="1">INDIRECT(ADDRESS($A192,C$4,,,$B192))</f>
        <v>0</v>
      </c>
      <c r="D192" s="43" cm="1">
        <f t="array" aca="1" ref="D192" ca="1">INDIRECT(ADDRESS($A192,D$4,,,$B192))</f>
        <v>0</v>
      </c>
      <c r="E192" s="43" cm="1">
        <f t="array" aca="1" ref="E192" ca="1">INDIRECT(ADDRESS($A192,E$4,,,$B192))</f>
        <v>0</v>
      </c>
      <c r="F192" s="43" cm="1">
        <f t="array" aca="1" ref="F192" ca="1">INDIRECT(ADDRESS($A192,F$4,,,$B192))</f>
        <v>0</v>
      </c>
      <c r="G192" s="43" cm="1">
        <f t="array" aca="1" ref="G192" ca="1">INDIRECT(ADDRESS($A192,G$4,,,$B192))</f>
        <v>0</v>
      </c>
      <c r="H192" s="43" cm="1">
        <f t="array" aca="1" ref="H192" ca="1">INDIRECT(ADDRESS($A192,H$4,,,$B192))</f>
        <v>0</v>
      </c>
      <c r="I192" s="43" cm="1">
        <f t="array" aca="1" ref="I192" ca="1">INDIRECT(ADDRESS($A192,I$4,,,$B192))</f>
        <v>0</v>
      </c>
      <c r="J192" s="43" cm="1">
        <f t="array" aca="1" ref="J192" ca="1">INDIRECT(ADDRESS($A192,J$4,,,$B192))</f>
        <v>0</v>
      </c>
    </row>
    <row r="193" spans="1:10">
      <c r="A193" s="39">
        <f t="shared" si="6"/>
        <v>211</v>
      </c>
      <c r="B193" s="42" t="str">
        <f t="shared" si="5"/>
        <v>W2</v>
      </c>
      <c r="C193" s="43" cm="1">
        <f t="array" aca="1" ref="C193" ca="1">INDIRECT(ADDRESS($A193,C$4,,,$B193))</f>
        <v>0</v>
      </c>
      <c r="D193" s="43" cm="1">
        <f t="array" aca="1" ref="D193" ca="1">INDIRECT(ADDRESS($A193,D$4,,,$B193))</f>
        <v>0</v>
      </c>
      <c r="E193" s="43" cm="1">
        <f t="array" aca="1" ref="E193" ca="1">INDIRECT(ADDRESS($A193,E$4,,,$B193))</f>
        <v>0</v>
      </c>
      <c r="F193" s="43" cm="1">
        <f t="array" aca="1" ref="F193" ca="1">INDIRECT(ADDRESS($A193,F$4,,,$B193))</f>
        <v>0</v>
      </c>
      <c r="G193" s="43" cm="1">
        <f t="array" aca="1" ref="G193" ca="1">INDIRECT(ADDRESS($A193,G$4,,,$B193))</f>
        <v>0</v>
      </c>
      <c r="H193" s="43" cm="1">
        <f t="array" aca="1" ref="H193" ca="1">INDIRECT(ADDRESS($A193,H$4,,,$B193))</f>
        <v>0</v>
      </c>
      <c r="I193" s="43" cm="1">
        <f t="array" aca="1" ref="I193" ca="1">INDIRECT(ADDRESS($A193,I$4,,,$B193))</f>
        <v>0</v>
      </c>
      <c r="J193" s="43" cm="1">
        <f t="array" aca="1" ref="J193" ca="1">INDIRECT(ADDRESS($A193,J$4,,,$B193))</f>
        <v>0</v>
      </c>
    </row>
    <row r="194" spans="1:10">
      <c r="A194" s="39">
        <f t="shared" si="6"/>
        <v>212</v>
      </c>
      <c r="B194" s="42" t="str">
        <f t="shared" si="5"/>
        <v>W2</v>
      </c>
      <c r="C194" s="43" cm="1">
        <f t="array" aca="1" ref="C194" ca="1">INDIRECT(ADDRESS($A194,C$4,,,$B194))</f>
        <v>0</v>
      </c>
      <c r="D194" s="43" cm="1">
        <f t="array" aca="1" ref="D194" ca="1">INDIRECT(ADDRESS($A194,D$4,,,$B194))</f>
        <v>0</v>
      </c>
      <c r="E194" s="43" cm="1">
        <f t="array" aca="1" ref="E194" ca="1">INDIRECT(ADDRESS($A194,E$4,,,$B194))</f>
        <v>0</v>
      </c>
      <c r="F194" s="43" cm="1">
        <f t="array" aca="1" ref="F194" ca="1">INDIRECT(ADDRESS($A194,F$4,,,$B194))</f>
        <v>0</v>
      </c>
      <c r="G194" s="43" cm="1">
        <f t="array" aca="1" ref="G194" ca="1">INDIRECT(ADDRESS($A194,G$4,,,$B194))</f>
        <v>0</v>
      </c>
      <c r="H194" s="43" cm="1">
        <f t="array" aca="1" ref="H194" ca="1">INDIRECT(ADDRESS($A194,H$4,,,$B194))</f>
        <v>0</v>
      </c>
      <c r="I194" s="43" cm="1">
        <f t="array" aca="1" ref="I194" ca="1">INDIRECT(ADDRESS($A194,I$4,,,$B194))</f>
        <v>0</v>
      </c>
      <c r="J194" s="43" cm="1">
        <f t="array" aca="1" ref="J194" ca="1">INDIRECT(ADDRESS($A194,J$4,,,$B194))</f>
        <v>0</v>
      </c>
    </row>
    <row r="195" spans="1:10">
      <c r="A195" s="39">
        <f t="shared" si="6"/>
        <v>213</v>
      </c>
      <c r="B195" s="42" t="str">
        <f t="shared" si="5"/>
        <v>W2</v>
      </c>
      <c r="C195" s="43" cm="1">
        <f t="array" aca="1" ref="C195" ca="1">INDIRECT(ADDRESS($A195,C$4,,,$B195))</f>
        <v>0</v>
      </c>
      <c r="D195" s="43" cm="1">
        <f t="array" aca="1" ref="D195" ca="1">INDIRECT(ADDRESS($A195,D$4,,,$B195))</f>
        <v>0</v>
      </c>
      <c r="E195" s="43" cm="1">
        <f t="array" aca="1" ref="E195" ca="1">INDIRECT(ADDRESS($A195,E$4,,,$B195))</f>
        <v>0</v>
      </c>
      <c r="F195" s="43" cm="1">
        <f t="array" aca="1" ref="F195" ca="1">INDIRECT(ADDRESS($A195,F$4,,,$B195))</f>
        <v>0</v>
      </c>
      <c r="G195" s="43" cm="1">
        <f t="array" aca="1" ref="G195" ca="1">INDIRECT(ADDRESS($A195,G$4,,,$B195))</f>
        <v>0</v>
      </c>
      <c r="H195" s="43" cm="1">
        <f t="array" aca="1" ref="H195" ca="1">INDIRECT(ADDRESS($A195,H$4,,,$B195))</f>
        <v>0</v>
      </c>
      <c r="I195" s="43" cm="1">
        <f t="array" aca="1" ref="I195" ca="1">INDIRECT(ADDRESS($A195,I$4,,,$B195))</f>
        <v>0</v>
      </c>
      <c r="J195" s="43" cm="1">
        <f t="array" aca="1" ref="J195" ca="1">INDIRECT(ADDRESS($A195,J$4,,,$B195))</f>
        <v>0</v>
      </c>
    </row>
    <row r="196" spans="1:10">
      <c r="A196" s="39">
        <f t="shared" si="6"/>
        <v>214</v>
      </c>
      <c r="B196" s="42" t="str">
        <f t="shared" si="5"/>
        <v>W2</v>
      </c>
      <c r="C196" s="43" cm="1">
        <f t="array" aca="1" ref="C196" ca="1">INDIRECT(ADDRESS($A196,C$4,,,$B196))</f>
        <v>0</v>
      </c>
      <c r="D196" s="43" cm="1">
        <f t="array" aca="1" ref="D196" ca="1">INDIRECT(ADDRESS($A196,D$4,,,$B196))</f>
        <v>0</v>
      </c>
      <c r="E196" s="43" cm="1">
        <f t="array" aca="1" ref="E196" ca="1">INDIRECT(ADDRESS($A196,E$4,,,$B196))</f>
        <v>0</v>
      </c>
      <c r="F196" s="43" cm="1">
        <f t="array" aca="1" ref="F196" ca="1">INDIRECT(ADDRESS($A196,F$4,,,$B196))</f>
        <v>0</v>
      </c>
      <c r="G196" s="43" cm="1">
        <f t="array" aca="1" ref="G196" ca="1">INDIRECT(ADDRESS($A196,G$4,,,$B196))</f>
        <v>0</v>
      </c>
      <c r="H196" s="43" cm="1">
        <f t="array" aca="1" ref="H196" ca="1">INDIRECT(ADDRESS($A196,H$4,,,$B196))</f>
        <v>0</v>
      </c>
      <c r="I196" s="43" cm="1">
        <f t="array" aca="1" ref="I196" ca="1">INDIRECT(ADDRESS($A196,I$4,,,$B196))</f>
        <v>0</v>
      </c>
      <c r="J196" s="43" cm="1">
        <f t="array" aca="1" ref="J196" ca="1">INDIRECT(ADDRESS($A196,J$4,,,$B196))</f>
        <v>0</v>
      </c>
    </row>
    <row r="197" spans="1:10">
      <c r="A197" s="39">
        <f t="shared" si="6"/>
        <v>215</v>
      </c>
      <c r="B197" s="42" t="str">
        <f t="shared" si="5"/>
        <v>W2</v>
      </c>
      <c r="C197" s="43" cm="1">
        <f t="array" aca="1" ref="C197" ca="1">INDIRECT(ADDRESS($A197,C$4,,,$B197))</f>
        <v>0</v>
      </c>
      <c r="D197" s="43" cm="1">
        <f t="array" aca="1" ref="D197" ca="1">INDIRECT(ADDRESS($A197,D$4,,,$B197))</f>
        <v>0</v>
      </c>
      <c r="E197" s="43" cm="1">
        <f t="array" aca="1" ref="E197" ca="1">INDIRECT(ADDRESS($A197,E$4,,,$B197))</f>
        <v>0</v>
      </c>
      <c r="F197" s="43" cm="1">
        <f t="array" aca="1" ref="F197" ca="1">INDIRECT(ADDRESS($A197,F$4,,,$B197))</f>
        <v>0</v>
      </c>
      <c r="G197" s="43" cm="1">
        <f t="array" aca="1" ref="G197" ca="1">INDIRECT(ADDRESS($A197,G$4,,,$B197))</f>
        <v>0</v>
      </c>
      <c r="H197" s="43" cm="1">
        <f t="array" aca="1" ref="H197" ca="1">INDIRECT(ADDRESS($A197,H$4,,,$B197))</f>
        <v>0</v>
      </c>
      <c r="I197" s="43" cm="1">
        <f t="array" aca="1" ref="I197" ca="1">INDIRECT(ADDRESS($A197,I$4,,,$B197))</f>
        <v>0</v>
      </c>
      <c r="J197" s="43" cm="1">
        <f t="array" aca="1" ref="J197" ca="1">INDIRECT(ADDRESS($A197,J$4,,,$B197))</f>
        <v>0</v>
      </c>
    </row>
    <row r="198" spans="1:10">
      <c r="A198" s="39">
        <f t="shared" si="6"/>
        <v>216</v>
      </c>
      <c r="B198" s="42" t="str">
        <f t="shared" si="5"/>
        <v>W2</v>
      </c>
      <c r="C198" s="43" cm="1">
        <f t="array" aca="1" ref="C198" ca="1">INDIRECT(ADDRESS($A198,C$4,,,$B198))</f>
        <v>0</v>
      </c>
      <c r="D198" s="43" cm="1">
        <f t="array" aca="1" ref="D198" ca="1">INDIRECT(ADDRESS($A198,D$4,,,$B198))</f>
        <v>0</v>
      </c>
      <c r="E198" s="43" cm="1">
        <f t="array" aca="1" ref="E198" ca="1">INDIRECT(ADDRESS($A198,E$4,,,$B198))</f>
        <v>0</v>
      </c>
      <c r="F198" s="43" cm="1">
        <f t="array" aca="1" ref="F198" ca="1">INDIRECT(ADDRESS($A198,F$4,,,$B198))</f>
        <v>0</v>
      </c>
      <c r="G198" s="43" cm="1">
        <f t="array" aca="1" ref="G198" ca="1">INDIRECT(ADDRESS($A198,G$4,,,$B198))</f>
        <v>0</v>
      </c>
      <c r="H198" s="43" cm="1">
        <f t="array" aca="1" ref="H198" ca="1">INDIRECT(ADDRESS($A198,H$4,,,$B198))</f>
        <v>0</v>
      </c>
      <c r="I198" s="43" cm="1">
        <f t="array" aca="1" ref="I198" ca="1">INDIRECT(ADDRESS($A198,I$4,,,$B198))</f>
        <v>0</v>
      </c>
      <c r="J198" s="43" cm="1">
        <f t="array" aca="1" ref="J198" ca="1">INDIRECT(ADDRESS($A198,J$4,,,$B198))</f>
        <v>0</v>
      </c>
    </row>
    <row r="199" spans="1:10">
      <c r="A199" s="39">
        <f t="shared" si="6"/>
        <v>217</v>
      </c>
      <c r="B199" s="42" t="str">
        <f t="shared" ref="B199:B233" si="7">+$D$2</f>
        <v>W2</v>
      </c>
      <c r="C199" s="43" cm="1">
        <f t="array" aca="1" ref="C199" ca="1">INDIRECT(ADDRESS($A199,C$4,,,$B199))</f>
        <v>0</v>
      </c>
      <c r="D199" s="43" cm="1">
        <f t="array" aca="1" ref="D199" ca="1">INDIRECT(ADDRESS($A199,D$4,,,$B199))</f>
        <v>0</v>
      </c>
      <c r="E199" s="43" cm="1">
        <f t="array" aca="1" ref="E199" ca="1">INDIRECT(ADDRESS($A199,E$4,,,$B199))</f>
        <v>0</v>
      </c>
      <c r="F199" s="43" cm="1">
        <f t="array" aca="1" ref="F199" ca="1">INDIRECT(ADDRESS($A199,F$4,,,$B199))</f>
        <v>0</v>
      </c>
      <c r="G199" s="43" cm="1">
        <f t="array" aca="1" ref="G199" ca="1">INDIRECT(ADDRESS($A199,G$4,,,$B199))</f>
        <v>0</v>
      </c>
      <c r="H199" s="43" cm="1">
        <f t="array" aca="1" ref="H199" ca="1">INDIRECT(ADDRESS($A199,H$4,,,$B199))</f>
        <v>0</v>
      </c>
      <c r="I199" s="43" cm="1">
        <f t="array" aca="1" ref="I199" ca="1">INDIRECT(ADDRESS($A199,I$4,,,$B199))</f>
        <v>0</v>
      </c>
      <c r="J199" s="43" cm="1">
        <f t="array" aca="1" ref="J199" ca="1">INDIRECT(ADDRESS($A199,J$4,,,$B199))</f>
        <v>0</v>
      </c>
    </row>
    <row r="200" spans="1:10">
      <c r="A200" s="39">
        <f t="shared" ref="A200:A233" si="8">+A199+1</f>
        <v>218</v>
      </c>
      <c r="B200" s="42" t="str">
        <f t="shared" si="7"/>
        <v>W2</v>
      </c>
      <c r="C200" s="43" cm="1">
        <f t="array" aca="1" ref="C200" ca="1">INDIRECT(ADDRESS($A200,C$4,,,$B200))</f>
        <v>0</v>
      </c>
      <c r="D200" s="43" cm="1">
        <f t="array" aca="1" ref="D200" ca="1">INDIRECT(ADDRESS($A200,D$4,,,$B200))</f>
        <v>0</v>
      </c>
      <c r="E200" s="43" cm="1">
        <f t="array" aca="1" ref="E200" ca="1">INDIRECT(ADDRESS($A200,E$4,,,$B200))</f>
        <v>0</v>
      </c>
      <c r="F200" s="43" cm="1">
        <f t="array" aca="1" ref="F200" ca="1">INDIRECT(ADDRESS($A200,F$4,,,$B200))</f>
        <v>0</v>
      </c>
      <c r="G200" s="43" cm="1">
        <f t="array" aca="1" ref="G200" ca="1">INDIRECT(ADDRESS($A200,G$4,,,$B200))</f>
        <v>0</v>
      </c>
      <c r="H200" s="43" cm="1">
        <f t="array" aca="1" ref="H200" ca="1">INDIRECT(ADDRESS($A200,H$4,,,$B200))</f>
        <v>0</v>
      </c>
      <c r="I200" s="43" cm="1">
        <f t="array" aca="1" ref="I200" ca="1">INDIRECT(ADDRESS($A200,I$4,,,$B200))</f>
        <v>0</v>
      </c>
      <c r="J200" s="43" cm="1">
        <f t="array" aca="1" ref="J200" ca="1">INDIRECT(ADDRESS($A200,J$4,,,$B200))</f>
        <v>0</v>
      </c>
    </row>
    <row r="201" spans="1:10">
      <c r="A201" s="39">
        <f t="shared" si="8"/>
        <v>219</v>
      </c>
      <c r="B201" s="42" t="str">
        <f t="shared" si="7"/>
        <v>W2</v>
      </c>
      <c r="C201" s="43" cm="1">
        <f t="array" aca="1" ref="C201" ca="1">INDIRECT(ADDRESS($A201,C$4,,,$B201))</f>
        <v>0</v>
      </c>
      <c r="D201" s="43" cm="1">
        <f t="array" aca="1" ref="D201" ca="1">INDIRECT(ADDRESS($A201,D$4,,,$B201))</f>
        <v>0</v>
      </c>
      <c r="E201" s="43" cm="1">
        <f t="array" aca="1" ref="E201" ca="1">INDIRECT(ADDRESS($A201,E$4,,,$B201))</f>
        <v>0</v>
      </c>
      <c r="F201" s="43" cm="1">
        <f t="array" aca="1" ref="F201" ca="1">INDIRECT(ADDRESS($A201,F$4,,,$B201))</f>
        <v>0</v>
      </c>
      <c r="G201" s="43" cm="1">
        <f t="array" aca="1" ref="G201" ca="1">INDIRECT(ADDRESS($A201,G$4,,,$B201))</f>
        <v>0</v>
      </c>
      <c r="H201" s="43" cm="1">
        <f t="array" aca="1" ref="H201" ca="1">INDIRECT(ADDRESS($A201,H$4,,,$B201))</f>
        <v>0</v>
      </c>
      <c r="I201" s="43" cm="1">
        <f t="array" aca="1" ref="I201" ca="1">INDIRECT(ADDRESS($A201,I$4,,,$B201))</f>
        <v>0</v>
      </c>
      <c r="J201" s="43" cm="1">
        <f t="array" aca="1" ref="J201" ca="1">INDIRECT(ADDRESS($A201,J$4,,,$B201))</f>
        <v>0</v>
      </c>
    </row>
    <row r="202" spans="1:10">
      <c r="A202" s="39">
        <f t="shared" si="8"/>
        <v>220</v>
      </c>
      <c r="B202" s="42" t="str">
        <f t="shared" si="7"/>
        <v>W2</v>
      </c>
      <c r="C202" s="43" cm="1">
        <f t="array" aca="1" ref="C202" ca="1">INDIRECT(ADDRESS($A202,C$4,,,$B202))</f>
        <v>0</v>
      </c>
      <c r="D202" s="43" cm="1">
        <f t="array" aca="1" ref="D202" ca="1">INDIRECT(ADDRESS($A202,D$4,,,$B202))</f>
        <v>0</v>
      </c>
      <c r="E202" s="43" cm="1">
        <f t="array" aca="1" ref="E202" ca="1">INDIRECT(ADDRESS($A202,E$4,,,$B202))</f>
        <v>0</v>
      </c>
      <c r="F202" s="43" cm="1">
        <f t="array" aca="1" ref="F202" ca="1">INDIRECT(ADDRESS($A202,F$4,,,$B202))</f>
        <v>0</v>
      </c>
      <c r="G202" s="43" cm="1">
        <f t="array" aca="1" ref="G202" ca="1">INDIRECT(ADDRESS($A202,G$4,,,$B202))</f>
        <v>0</v>
      </c>
      <c r="H202" s="43" cm="1">
        <f t="array" aca="1" ref="H202" ca="1">INDIRECT(ADDRESS($A202,H$4,,,$B202))</f>
        <v>0</v>
      </c>
      <c r="I202" s="43" cm="1">
        <f t="array" aca="1" ref="I202" ca="1">INDIRECT(ADDRESS($A202,I$4,,,$B202))</f>
        <v>0</v>
      </c>
      <c r="J202" s="43" cm="1">
        <f t="array" aca="1" ref="J202" ca="1">INDIRECT(ADDRESS($A202,J$4,,,$B202))</f>
        <v>0</v>
      </c>
    </row>
    <row r="203" spans="1:10">
      <c r="A203" s="39">
        <f t="shared" si="8"/>
        <v>221</v>
      </c>
      <c r="B203" s="42" t="str">
        <f t="shared" si="7"/>
        <v>W2</v>
      </c>
      <c r="C203" s="43" cm="1">
        <f t="array" aca="1" ref="C203" ca="1">INDIRECT(ADDRESS($A203,C$4,,,$B203))</f>
        <v>0</v>
      </c>
      <c r="D203" s="43" cm="1">
        <f t="array" aca="1" ref="D203" ca="1">INDIRECT(ADDRESS($A203,D$4,,,$B203))</f>
        <v>0</v>
      </c>
      <c r="E203" s="43" cm="1">
        <f t="array" aca="1" ref="E203" ca="1">INDIRECT(ADDRESS($A203,E$4,,,$B203))</f>
        <v>0</v>
      </c>
      <c r="F203" s="43" cm="1">
        <f t="array" aca="1" ref="F203" ca="1">INDIRECT(ADDRESS($A203,F$4,,,$B203))</f>
        <v>0</v>
      </c>
      <c r="G203" s="43" cm="1">
        <f t="array" aca="1" ref="G203" ca="1">INDIRECT(ADDRESS($A203,G$4,,,$B203))</f>
        <v>0</v>
      </c>
      <c r="H203" s="43" cm="1">
        <f t="array" aca="1" ref="H203" ca="1">INDIRECT(ADDRESS($A203,H$4,,,$B203))</f>
        <v>0</v>
      </c>
      <c r="I203" s="43" cm="1">
        <f t="array" aca="1" ref="I203" ca="1">INDIRECT(ADDRESS($A203,I$4,,,$B203))</f>
        <v>0</v>
      </c>
      <c r="J203" s="43" cm="1">
        <f t="array" aca="1" ref="J203" ca="1">INDIRECT(ADDRESS($A203,J$4,,,$B203))</f>
        <v>0</v>
      </c>
    </row>
    <row r="204" spans="1:10">
      <c r="A204" s="39">
        <f t="shared" si="8"/>
        <v>222</v>
      </c>
      <c r="B204" s="42" t="str">
        <f t="shared" si="7"/>
        <v>W2</v>
      </c>
      <c r="C204" s="43" cm="1">
        <f t="array" aca="1" ref="C204" ca="1">INDIRECT(ADDRESS($A204,C$4,,,$B204))</f>
        <v>0</v>
      </c>
      <c r="D204" s="43" cm="1">
        <f t="array" aca="1" ref="D204" ca="1">INDIRECT(ADDRESS($A204,D$4,,,$B204))</f>
        <v>0</v>
      </c>
      <c r="E204" s="43" cm="1">
        <f t="array" aca="1" ref="E204" ca="1">INDIRECT(ADDRESS($A204,E$4,,,$B204))</f>
        <v>0</v>
      </c>
      <c r="F204" s="43" cm="1">
        <f t="array" aca="1" ref="F204" ca="1">INDIRECT(ADDRESS($A204,F$4,,,$B204))</f>
        <v>0</v>
      </c>
      <c r="G204" s="43" cm="1">
        <f t="array" aca="1" ref="G204" ca="1">INDIRECT(ADDRESS($A204,G$4,,,$B204))</f>
        <v>0</v>
      </c>
      <c r="H204" s="43" cm="1">
        <f t="array" aca="1" ref="H204" ca="1">INDIRECT(ADDRESS($A204,H$4,,,$B204))</f>
        <v>0</v>
      </c>
      <c r="I204" s="43" cm="1">
        <f t="array" aca="1" ref="I204" ca="1">INDIRECT(ADDRESS($A204,I$4,,,$B204))</f>
        <v>0</v>
      </c>
      <c r="J204" s="43" cm="1">
        <f t="array" aca="1" ref="J204" ca="1">INDIRECT(ADDRESS($A204,J$4,,,$B204))</f>
        <v>0</v>
      </c>
    </row>
    <row r="205" spans="1:10">
      <c r="A205" s="39">
        <f t="shared" si="8"/>
        <v>223</v>
      </c>
      <c r="B205" s="42" t="str">
        <f t="shared" si="7"/>
        <v>W2</v>
      </c>
      <c r="C205" s="43" cm="1">
        <f t="array" aca="1" ref="C205" ca="1">INDIRECT(ADDRESS($A205,C$4,,,$B205))</f>
        <v>0</v>
      </c>
      <c r="D205" s="43" cm="1">
        <f t="array" aca="1" ref="D205" ca="1">INDIRECT(ADDRESS($A205,D$4,,,$B205))</f>
        <v>0</v>
      </c>
      <c r="E205" s="43" cm="1">
        <f t="array" aca="1" ref="E205" ca="1">INDIRECT(ADDRESS($A205,E$4,,,$B205))</f>
        <v>0</v>
      </c>
      <c r="F205" s="43" cm="1">
        <f t="array" aca="1" ref="F205" ca="1">INDIRECT(ADDRESS($A205,F$4,,,$B205))</f>
        <v>0</v>
      </c>
      <c r="G205" s="43" cm="1">
        <f t="array" aca="1" ref="G205" ca="1">INDIRECT(ADDRESS($A205,G$4,,,$B205))</f>
        <v>0</v>
      </c>
      <c r="H205" s="43" cm="1">
        <f t="array" aca="1" ref="H205" ca="1">INDIRECT(ADDRESS($A205,H$4,,,$B205))</f>
        <v>0</v>
      </c>
      <c r="I205" s="43" cm="1">
        <f t="array" aca="1" ref="I205" ca="1">INDIRECT(ADDRESS($A205,I$4,,,$B205))</f>
        <v>0</v>
      </c>
      <c r="J205" s="43" cm="1">
        <f t="array" aca="1" ref="J205" ca="1">INDIRECT(ADDRESS($A205,J$4,,,$B205))</f>
        <v>0</v>
      </c>
    </row>
    <row r="206" spans="1:10">
      <c r="A206" s="39">
        <f t="shared" si="8"/>
        <v>224</v>
      </c>
      <c r="B206" s="42" t="str">
        <f t="shared" si="7"/>
        <v>W2</v>
      </c>
      <c r="C206" s="43" cm="1">
        <f t="array" aca="1" ref="C206" ca="1">INDIRECT(ADDRESS($A206,C$4,,,$B206))</f>
        <v>0</v>
      </c>
      <c r="D206" s="43" cm="1">
        <f t="array" aca="1" ref="D206" ca="1">INDIRECT(ADDRESS($A206,D$4,,,$B206))</f>
        <v>0</v>
      </c>
      <c r="E206" s="43" cm="1">
        <f t="array" aca="1" ref="E206" ca="1">INDIRECT(ADDRESS($A206,E$4,,,$B206))</f>
        <v>0</v>
      </c>
      <c r="F206" s="43" cm="1">
        <f t="array" aca="1" ref="F206" ca="1">INDIRECT(ADDRESS($A206,F$4,,,$B206))</f>
        <v>0</v>
      </c>
      <c r="G206" s="43" cm="1">
        <f t="array" aca="1" ref="G206" ca="1">INDIRECT(ADDRESS($A206,G$4,,,$B206))</f>
        <v>0</v>
      </c>
      <c r="H206" s="43" cm="1">
        <f t="array" aca="1" ref="H206" ca="1">INDIRECT(ADDRESS($A206,H$4,,,$B206))</f>
        <v>0</v>
      </c>
      <c r="I206" s="43" cm="1">
        <f t="array" aca="1" ref="I206" ca="1">INDIRECT(ADDRESS($A206,I$4,,,$B206))</f>
        <v>0</v>
      </c>
      <c r="J206" s="43" cm="1">
        <f t="array" aca="1" ref="J206" ca="1">INDIRECT(ADDRESS($A206,J$4,,,$B206))</f>
        <v>0</v>
      </c>
    </row>
    <row r="207" spans="1:10">
      <c r="A207" s="39">
        <f t="shared" si="8"/>
        <v>225</v>
      </c>
      <c r="B207" s="42" t="str">
        <f t="shared" si="7"/>
        <v>W2</v>
      </c>
      <c r="C207" s="43" cm="1">
        <f t="array" aca="1" ref="C207" ca="1">INDIRECT(ADDRESS($A207,C$4,,,$B207))</f>
        <v>0</v>
      </c>
      <c r="D207" s="43" cm="1">
        <f t="array" aca="1" ref="D207" ca="1">INDIRECT(ADDRESS($A207,D$4,,,$B207))</f>
        <v>0</v>
      </c>
      <c r="E207" s="43" cm="1">
        <f t="array" aca="1" ref="E207" ca="1">INDIRECT(ADDRESS($A207,E$4,,,$B207))</f>
        <v>0</v>
      </c>
      <c r="F207" s="43" cm="1">
        <f t="array" aca="1" ref="F207" ca="1">INDIRECT(ADDRESS($A207,F$4,,,$B207))</f>
        <v>0</v>
      </c>
      <c r="G207" s="43" cm="1">
        <f t="array" aca="1" ref="G207" ca="1">INDIRECT(ADDRESS($A207,G$4,,,$B207))</f>
        <v>0</v>
      </c>
      <c r="H207" s="43" cm="1">
        <f t="array" aca="1" ref="H207" ca="1">INDIRECT(ADDRESS($A207,H$4,,,$B207))</f>
        <v>0</v>
      </c>
      <c r="I207" s="43" cm="1">
        <f t="array" aca="1" ref="I207" ca="1">INDIRECT(ADDRESS($A207,I$4,,,$B207))</f>
        <v>0</v>
      </c>
      <c r="J207" s="43" cm="1">
        <f t="array" aca="1" ref="J207" ca="1">INDIRECT(ADDRESS($A207,J$4,,,$B207))</f>
        <v>0</v>
      </c>
    </row>
    <row r="208" spans="1:10">
      <c r="A208" s="39">
        <f t="shared" si="8"/>
        <v>226</v>
      </c>
      <c r="B208" s="42" t="str">
        <f t="shared" si="7"/>
        <v>W2</v>
      </c>
      <c r="C208" s="43" cm="1">
        <f t="array" aca="1" ref="C208" ca="1">INDIRECT(ADDRESS($A208,C$4,,,$B208))</f>
        <v>0</v>
      </c>
      <c r="D208" s="43" cm="1">
        <f t="array" aca="1" ref="D208" ca="1">INDIRECT(ADDRESS($A208,D$4,,,$B208))</f>
        <v>0</v>
      </c>
      <c r="E208" s="43" cm="1">
        <f t="array" aca="1" ref="E208" ca="1">INDIRECT(ADDRESS($A208,E$4,,,$B208))</f>
        <v>0</v>
      </c>
      <c r="F208" s="43" cm="1">
        <f t="array" aca="1" ref="F208" ca="1">INDIRECT(ADDRESS($A208,F$4,,,$B208))</f>
        <v>0</v>
      </c>
      <c r="G208" s="43" cm="1">
        <f t="array" aca="1" ref="G208" ca="1">INDIRECT(ADDRESS($A208,G$4,,,$B208))</f>
        <v>0</v>
      </c>
      <c r="H208" s="43" cm="1">
        <f t="array" aca="1" ref="H208" ca="1">INDIRECT(ADDRESS($A208,H$4,,,$B208))</f>
        <v>0</v>
      </c>
      <c r="I208" s="43" cm="1">
        <f t="array" aca="1" ref="I208" ca="1">INDIRECT(ADDRESS($A208,I$4,,,$B208))</f>
        <v>0</v>
      </c>
      <c r="J208" s="43" cm="1">
        <f t="array" aca="1" ref="J208" ca="1">INDIRECT(ADDRESS($A208,J$4,,,$B208))</f>
        <v>0</v>
      </c>
    </row>
    <row r="209" spans="1:10">
      <c r="A209" s="39">
        <f t="shared" si="8"/>
        <v>227</v>
      </c>
      <c r="B209" s="42" t="str">
        <f t="shared" si="7"/>
        <v>W2</v>
      </c>
      <c r="C209" s="43" cm="1">
        <f t="array" aca="1" ref="C209" ca="1">INDIRECT(ADDRESS($A209,C$4,,,$B209))</f>
        <v>0</v>
      </c>
      <c r="D209" s="43" cm="1">
        <f t="array" aca="1" ref="D209" ca="1">INDIRECT(ADDRESS($A209,D$4,,,$B209))</f>
        <v>0</v>
      </c>
      <c r="E209" s="43" cm="1">
        <f t="array" aca="1" ref="E209" ca="1">INDIRECT(ADDRESS($A209,E$4,,,$B209))</f>
        <v>0</v>
      </c>
      <c r="F209" s="43" cm="1">
        <f t="array" aca="1" ref="F209" ca="1">INDIRECT(ADDRESS($A209,F$4,,,$B209))</f>
        <v>0</v>
      </c>
      <c r="G209" s="43" cm="1">
        <f t="array" aca="1" ref="G209" ca="1">INDIRECT(ADDRESS($A209,G$4,,,$B209))</f>
        <v>0</v>
      </c>
      <c r="H209" s="43" cm="1">
        <f t="array" aca="1" ref="H209" ca="1">INDIRECT(ADDRESS($A209,H$4,,,$B209))</f>
        <v>0</v>
      </c>
      <c r="I209" s="43" cm="1">
        <f t="array" aca="1" ref="I209" ca="1">INDIRECT(ADDRESS($A209,I$4,,,$B209))</f>
        <v>0</v>
      </c>
      <c r="J209" s="43" cm="1">
        <f t="array" aca="1" ref="J209" ca="1">INDIRECT(ADDRESS($A209,J$4,,,$B209))</f>
        <v>0</v>
      </c>
    </row>
    <row r="210" spans="1:10">
      <c r="A210" s="39">
        <f t="shared" si="8"/>
        <v>228</v>
      </c>
      <c r="B210" s="42" t="str">
        <f t="shared" si="7"/>
        <v>W2</v>
      </c>
      <c r="C210" s="43" cm="1">
        <f t="array" aca="1" ref="C210" ca="1">INDIRECT(ADDRESS($A210,C$4,,,$B210))</f>
        <v>0</v>
      </c>
      <c r="D210" s="43" cm="1">
        <f t="array" aca="1" ref="D210" ca="1">INDIRECT(ADDRESS($A210,D$4,,,$B210))</f>
        <v>0</v>
      </c>
      <c r="E210" s="43" cm="1">
        <f t="array" aca="1" ref="E210" ca="1">INDIRECT(ADDRESS($A210,E$4,,,$B210))</f>
        <v>0</v>
      </c>
      <c r="F210" s="43" cm="1">
        <f t="array" aca="1" ref="F210" ca="1">INDIRECT(ADDRESS($A210,F$4,,,$B210))</f>
        <v>0</v>
      </c>
      <c r="G210" s="43" cm="1">
        <f t="array" aca="1" ref="G210" ca="1">INDIRECT(ADDRESS($A210,G$4,,,$B210))</f>
        <v>0</v>
      </c>
      <c r="H210" s="43" cm="1">
        <f t="array" aca="1" ref="H210" ca="1">INDIRECT(ADDRESS($A210,H$4,,,$B210))</f>
        <v>0</v>
      </c>
      <c r="I210" s="43" cm="1">
        <f t="array" aca="1" ref="I210" ca="1">INDIRECT(ADDRESS($A210,I$4,,,$B210))</f>
        <v>0</v>
      </c>
      <c r="J210" s="43" cm="1">
        <f t="array" aca="1" ref="J210" ca="1">INDIRECT(ADDRESS($A210,J$4,,,$B210))</f>
        <v>0</v>
      </c>
    </row>
    <row r="211" spans="1:10">
      <c r="A211" s="39">
        <f t="shared" si="8"/>
        <v>229</v>
      </c>
      <c r="B211" s="42" t="str">
        <f t="shared" si="7"/>
        <v>W2</v>
      </c>
      <c r="C211" s="43" cm="1">
        <f t="array" aca="1" ref="C211" ca="1">INDIRECT(ADDRESS($A211,C$4,,,$B211))</f>
        <v>0</v>
      </c>
      <c r="D211" s="43" cm="1">
        <f t="array" aca="1" ref="D211" ca="1">INDIRECT(ADDRESS($A211,D$4,,,$B211))</f>
        <v>0</v>
      </c>
      <c r="E211" s="43" cm="1">
        <f t="array" aca="1" ref="E211" ca="1">INDIRECT(ADDRESS($A211,E$4,,,$B211))</f>
        <v>0</v>
      </c>
      <c r="F211" s="43" cm="1">
        <f t="array" aca="1" ref="F211" ca="1">INDIRECT(ADDRESS($A211,F$4,,,$B211))</f>
        <v>0</v>
      </c>
      <c r="G211" s="43" cm="1">
        <f t="array" aca="1" ref="G211" ca="1">INDIRECT(ADDRESS($A211,G$4,,,$B211))</f>
        <v>0</v>
      </c>
      <c r="H211" s="43" cm="1">
        <f t="array" aca="1" ref="H211" ca="1">INDIRECT(ADDRESS($A211,H$4,,,$B211))</f>
        <v>0</v>
      </c>
      <c r="I211" s="43" cm="1">
        <f t="array" aca="1" ref="I211" ca="1">INDIRECT(ADDRESS($A211,I$4,,,$B211))</f>
        <v>0</v>
      </c>
      <c r="J211" s="43" cm="1">
        <f t="array" aca="1" ref="J211" ca="1">INDIRECT(ADDRESS($A211,J$4,,,$B211))</f>
        <v>0</v>
      </c>
    </row>
    <row r="212" spans="1:10">
      <c r="A212" s="39">
        <f t="shared" si="8"/>
        <v>230</v>
      </c>
      <c r="B212" s="42" t="str">
        <f t="shared" si="7"/>
        <v>W2</v>
      </c>
      <c r="C212" s="43" cm="1">
        <f t="array" aca="1" ref="C212" ca="1">INDIRECT(ADDRESS($A212,C$4,,,$B212))</f>
        <v>0</v>
      </c>
      <c r="D212" s="43" cm="1">
        <f t="array" aca="1" ref="D212" ca="1">INDIRECT(ADDRESS($A212,D$4,,,$B212))</f>
        <v>0</v>
      </c>
      <c r="E212" s="43" cm="1">
        <f t="array" aca="1" ref="E212" ca="1">INDIRECT(ADDRESS($A212,E$4,,,$B212))</f>
        <v>0</v>
      </c>
      <c r="F212" s="43" cm="1">
        <f t="array" aca="1" ref="F212" ca="1">INDIRECT(ADDRESS($A212,F$4,,,$B212))</f>
        <v>0</v>
      </c>
      <c r="G212" s="43" cm="1">
        <f t="array" aca="1" ref="G212" ca="1">INDIRECT(ADDRESS($A212,G$4,,,$B212))</f>
        <v>0</v>
      </c>
      <c r="H212" s="43" cm="1">
        <f t="array" aca="1" ref="H212" ca="1">INDIRECT(ADDRESS($A212,H$4,,,$B212))</f>
        <v>0</v>
      </c>
      <c r="I212" s="43" cm="1">
        <f t="array" aca="1" ref="I212" ca="1">INDIRECT(ADDRESS($A212,I$4,,,$B212))</f>
        <v>0</v>
      </c>
      <c r="J212" s="43" cm="1">
        <f t="array" aca="1" ref="J212" ca="1">INDIRECT(ADDRESS($A212,J$4,,,$B212))</f>
        <v>0</v>
      </c>
    </row>
    <row r="213" spans="1:10">
      <c r="A213" s="39">
        <f t="shared" si="8"/>
        <v>231</v>
      </c>
      <c r="B213" s="42" t="str">
        <f t="shared" si="7"/>
        <v>W2</v>
      </c>
      <c r="C213" s="43" cm="1">
        <f t="array" aca="1" ref="C213" ca="1">INDIRECT(ADDRESS($A213,C$4,,,$B213))</f>
        <v>0</v>
      </c>
      <c r="D213" s="43" cm="1">
        <f t="array" aca="1" ref="D213" ca="1">INDIRECT(ADDRESS($A213,D$4,,,$B213))</f>
        <v>0</v>
      </c>
      <c r="E213" s="43" cm="1">
        <f t="array" aca="1" ref="E213" ca="1">INDIRECT(ADDRESS($A213,E$4,,,$B213))</f>
        <v>0</v>
      </c>
      <c r="F213" s="43" cm="1">
        <f t="array" aca="1" ref="F213" ca="1">INDIRECT(ADDRESS($A213,F$4,,,$B213))</f>
        <v>0</v>
      </c>
      <c r="G213" s="43" cm="1">
        <f t="array" aca="1" ref="G213" ca="1">INDIRECT(ADDRESS($A213,G$4,,,$B213))</f>
        <v>0</v>
      </c>
      <c r="H213" s="43" cm="1">
        <f t="array" aca="1" ref="H213" ca="1">INDIRECT(ADDRESS($A213,H$4,,,$B213))</f>
        <v>0</v>
      </c>
      <c r="I213" s="43" cm="1">
        <f t="array" aca="1" ref="I213" ca="1">INDIRECT(ADDRESS($A213,I$4,,,$B213))</f>
        <v>0</v>
      </c>
      <c r="J213" s="43" cm="1">
        <f t="array" aca="1" ref="J213" ca="1">INDIRECT(ADDRESS($A213,J$4,,,$B213))</f>
        <v>0</v>
      </c>
    </row>
    <row r="214" spans="1:10">
      <c r="A214" s="39">
        <f t="shared" si="8"/>
        <v>232</v>
      </c>
      <c r="B214" s="42" t="str">
        <f t="shared" si="7"/>
        <v>W2</v>
      </c>
      <c r="C214" s="43" cm="1">
        <f t="array" aca="1" ref="C214" ca="1">INDIRECT(ADDRESS($A214,C$4,,,$B214))</f>
        <v>0</v>
      </c>
      <c r="D214" s="43" cm="1">
        <f t="array" aca="1" ref="D214" ca="1">INDIRECT(ADDRESS($A214,D$4,,,$B214))</f>
        <v>0</v>
      </c>
      <c r="E214" s="43" cm="1">
        <f t="array" aca="1" ref="E214" ca="1">INDIRECT(ADDRESS($A214,E$4,,,$B214))</f>
        <v>0</v>
      </c>
      <c r="F214" s="43" cm="1">
        <f t="array" aca="1" ref="F214" ca="1">INDIRECT(ADDRESS($A214,F$4,,,$B214))</f>
        <v>0</v>
      </c>
      <c r="G214" s="43" cm="1">
        <f t="array" aca="1" ref="G214" ca="1">INDIRECT(ADDRESS($A214,G$4,,,$B214))</f>
        <v>0</v>
      </c>
      <c r="H214" s="43" cm="1">
        <f t="array" aca="1" ref="H214" ca="1">INDIRECT(ADDRESS($A214,H$4,,,$B214))</f>
        <v>0</v>
      </c>
      <c r="I214" s="43" cm="1">
        <f t="array" aca="1" ref="I214" ca="1">INDIRECT(ADDRESS($A214,I$4,,,$B214))</f>
        <v>0</v>
      </c>
      <c r="J214" s="43" cm="1">
        <f t="array" aca="1" ref="J214" ca="1">INDIRECT(ADDRESS($A214,J$4,,,$B214))</f>
        <v>0</v>
      </c>
    </row>
    <row r="215" spans="1:10">
      <c r="A215" s="39">
        <f t="shared" si="8"/>
        <v>233</v>
      </c>
      <c r="B215" s="42" t="str">
        <f t="shared" si="7"/>
        <v>W2</v>
      </c>
      <c r="C215" s="43" cm="1">
        <f t="array" aca="1" ref="C215" ca="1">INDIRECT(ADDRESS($A215,C$4,,,$B215))</f>
        <v>0</v>
      </c>
      <c r="D215" s="43" cm="1">
        <f t="array" aca="1" ref="D215" ca="1">INDIRECT(ADDRESS($A215,D$4,,,$B215))</f>
        <v>0</v>
      </c>
      <c r="E215" s="43" cm="1">
        <f t="array" aca="1" ref="E215" ca="1">INDIRECT(ADDRESS($A215,E$4,,,$B215))</f>
        <v>0</v>
      </c>
      <c r="F215" s="43" cm="1">
        <f t="array" aca="1" ref="F215" ca="1">INDIRECT(ADDRESS($A215,F$4,,,$B215))</f>
        <v>0</v>
      </c>
      <c r="G215" s="43" cm="1">
        <f t="array" aca="1" ref="G215" ca="1">INDIRECT(ADDRESS($A215,G$4,,,$B215))</f>
        <v>0</v>
      </c>
      <c r="H215" s="43" cm="1">
        <f t="array" aca="1" ref="H215" ca="1">INDIRECT(ADDRESS($A215,H$4,,,$B215))</f>
        <v>0</v>
      </c>
      <c r="I215" s="43" cm="1">
        <f t="array" aca="1" ref="I215" ca="1">INDIRECT(ADDRESS($A215,I$4,,,$B215))</f>
        <v>0</v>
      </c>
      <c r="J215" s="43" cm="1">
        <f t="array" aca="1" ref="J215" ca="1">INDIRECT(ADDRESS($A215,J$4,,,$B215))</f>
        <v>0</v>
      </c>
    </row>
    <row r="216" spans="1:10">
      <c r="A216" s="39">
        <f t="shared" si="8"/>
        <v>234</v>
      </c>
      <c r="B216" s="42" t="str">
        <f t="shared" si="7"/>
        <v>W2</v>
      </c>
      <c r="C216" s="43" cm="1">
        <f t="array" aca="1" ref="C216" ca="1">INDIRECT(ADDRESS($A216,C$4,,,$B216))</f>
        <v>0</v>
      </c>
      <c r="D216" s="43" cm="1">
        <f t="array" aca="1" ref="D216" ca="1">INDIRECT(ADDRESS($A216,D$4,,,$B216))</f>
        <v>0</v>
      </c>
      <c r="E216" s="43" cm="1">
        <f t="array" aca="1" ref="E216" ca="1">INDIRECT(ADDRESS($A216,E$4,,,$B216))</f>
        <v>0</v>
      </c>
      <c r="F216" s="43" cm="1">
        <f t="array" aca="1" ref="F216" ca="1">INDIRECT(ADDRESS($A216,F$4,,,$B216))</f>
        <v>0</v>
      </c>
      <c r="G216" s="43" cm="1">
        <f t="array" aca="1" ref="G216" ca="1">INDIRECT(ADDRESS($A216,G$4,,,$B216))</f>
        <v>0</v>
      </c>
      <c r="H216" s="43" cm="1">
        <f t="array" aca="1" ref="H216" ca="1">INDIRECT(ADDRESS($A216,H$4,,,$B216))</f>
        <v>0</v>
      </c>
      <c r="I216" s="43" cm="1">
        <f t="array" aca="1" ref="I216" ca="1">INDIRECT(ADDRESS($A216,I$4,,,$B216))</f>
        <v>0</v>
      </c>
      <c r="J216" s="43" cm="1">
        <f t="array" aca="1" ref="J216" ca="1">INDIRECT(ADDRESS($A216,J$4,,,$B216))</f>
        <v>0</v>
      </c>
    </row>
    <row r="217" spans="1:10">
      <c r="A217" s="39">
        <f t="shared" si="8"/>
        <v>235</v>
      </c>
      <c r="B217" s="42" t="str">
        <f t="shared" si="7"/>
        <v>W2</v>
      </c>
      <c r="C217" s="43" cm="1">
        <f t="array" aca="1" ref="C217" ca="1">INDIRECT(ADDRESS($A217,C$4,,,$B217))</f>
        <v>0</v>
      </c>
      <c r="D217" s="43" cm="1">
        <f t="array" aca="1" ref="D217" ca="1">INDIRECT(ADDRESS($A217,D$4,,,$B217))</f>
        <v>0</v>
      </c>
      <c r="E217" s="43" cm="1">
        <f t="array" aca="1" ref="E217" ca="1">INDIRECT(ADDRESS($A217,E$4,,,$B217))</f>
        <v>0</v>
      </c>
      <c r="F217" s="43" cm="1">
        <f t="array" aca="1" ref="F217" ca="1">INDIRECT(ADDRESS($A217,F$4,,,$B217))</f>
        <v>0</v>
      </c>
      <c r="G217" s="43" cm="1">
        <f t="array" aca="1" ref="G217" ca="1">INDIRECT(ADDRESS($A217,G$4,,,$B217))</f>
        <v>0</v>
      </c>
      <c r="H217" s="43" cm="1">
        <f t="array" aca="1" ref="H217" ca="1">INDIRECT(ADDRESS($A217,H$4,,,$B217))</f>
        <v>0</v>
      </c>
      <c r="I217" s="43" cm="1">
        <f t="array" aca="1" ref="I217" ca="1">INDIRECT(ADDRESS($A217,I$4,,,$B217))</f>
        <v>0</v>
      </c>
      <c r="J217" s="43" cm="1">
        <f t="array" aca="1" ref="J217" ca="1">INDIRECT(ADDRESS($A217,J$4,,,$B217))</f>
        <v>0</v>
      </c>
    </row>
    <row r="218" spans="1:10">
      <c r="A218" s="39">
        <f t="shared" si="8"/>
        <v>236</v>
      </c>
      <c r="B218" s="42" t="str">
        <f t="shared" si="7"/>
        <v>W2</v>
      </c>
      <c r="C218" s="43" cm="1">
        <f t="array" aca="1" ref="C218" ca="1">INDIRECT(ADDRESS($A218,C$4,,,$B218))</f>
        <v>0</v>
      </c>
      <c r="D218" s="43" cm="1">
        <f t="array" aca="1" ref="D218" ca="1">INDIRECT(ADDRESS($A218,D$4,,,$B218))</f>
        <v>0</v>
      </c>
      <c r="E218" s="43" cm="1">
        <f t="array" aca="1" ref="E218" ca="1">INDIRECT(ADDRESS($A218,E$4,,,$B218))</f>
        <v>0</v>
      </c>
      <c r="F218" s="43" cm="1">
        <f t="array" aca="1" ref="F218" ca="1">INDIRECT(ADDRESS($A218,F$4,,,$B218))</f>
        <v>0</v>
      </c>
      <c r="G218" s="43" cm="1">
        <f t="array" aca="1" ref="G218" ca="1">INDIRECT(ADDRESS($A218,G$4,,,$B218))</f>
        <v>0</v>
      </c>
      <c r="H218" s="43" cm="1">
        <f t="array" aca="1" ref="H218" ca="1">INDIRECT(ADDRESS($A218,H$4,,,$B218))</f>
        <v>0</v>
      </c>
      <c r="I218" s="43" cm="1">
        <f t="array" aca="1" ref="I218" ca="1">INDIRECT(ADDRESS($A218,I$4,,,$B218))</f>
        <v>0</v>
      </c>
      <c r="J218" s="43" cm="1">
        <f t="array" aca="1" ref="J218" ca="1">INDIRECT(ADDRESS($A218,J$4,,,$B218))</f>
        <v>0</v>
      </c>
    </row>
    <row r="219" spans="1:10">
      <c r="A219" s="39">
        <f t="shared" si="8"/>
        <v>237</v>
      </c>
      <c r="B219" s="42" t="str">
        <f t="shared" si="7"/>
        <v>W2</v>
      </c>
      <c r="C219" s="43" cm="1">
        <f t="array" aca="1" ref="C219" ca="1">INDIRECT(ADDRESS($A219,C$4,,,$B219))</f>
        <v>0</v>
      </c>
      <c r="D219" s="43" cm="1">
        <f t="array" aca="1" ref="D219" ca="1">INDIRECT(ADDRESS($A219,D$4,,,$B219))</f>
        <v>0</v>
      </c>
      <c r="E219" s="43" cm="1">
        <f t="array" aca="1" ref="E219" ca="1">INDIRECT(ADDRESS($A219,E$4,,,$B219))</f>
        <v>0</v>
      </c>
      <c r="F219" s="43" cm="1">
        <f t="array" aca="1" ref="F219" ca="1">INDIRECT(ADDRESS($A219,F$4,,,$B219))</f>
        <v>0</v>
      </c>
      <c r="G219" s="43" cm="1">
        <f t="array" aca="1" ref="G219" ca="1">INDIRECT(ADDRESS($A219,G$4,,,$B219))</f>
        <v>0</v>
      </c>
      <c r="H219" s="43" cm="1">
        <f t="array" aca="1" ref="H219" ca="1">INDIRECT(ADDRESS($A219,H$4,,,$B219))</f>
        <v>0</v>
      </c>
      <c r="I219" s="43" cm="1">
        <f t="array" aca="1" ref="I219" ca="1">INDIRECT(ADDRESS($A219,I$4,,,$B219))</f>
        <v>0</v>
      </c>
      <c r="J219" s="43" cm="1">
        <f t="array" aca="1" ref="J219" ca="1">INDIRECT(ADDRESS($A219,J$4,,,$B219))</f>
        <v>0</v>
      </c>
    </row>
    <row r="220" spans="1:10">
      <c r="A220" s="39">
        <f t="shared" si="8"/>
        <v>238</v>
      </c>
      <c r="B220" s="42" t="str">
        <f t="shared" si="7"/>
        <v>W2</v>
      </c>
      <c r="C220" s="43" cm="1">
        <f t="array" aca="1" ref="C220" ca="1">INDIRECT(ADDRESS($A220,C$4,,,$B220))</f>
        <v>0</v>
      </c>
      <c r="D220" s="43" cm="1">
        <f t="array" aca="1" ref="D220" ca="1">INDIRECT(ADDRESS($A220,D$4,,,$B220))</f>
        <v>0</v>
      </c>
      <c r="E220" s="43" cm="1">
        <f t="array" aca="1" ref="E220" ca="1">INDIRECT(ADDRESS($A220,E$4,,,$B220))</f>
        <v>0</v>
      </c>
      <c r="F220" s="43" cm="1">
        <f t="array" aca="1" ref="F220" ca="1">INDIRECT(ADDRESS($A220,F$4,,,$B220))</f>
        <v>0</v>
      </c>
      <c r="G220" s="43" cm="1">
        <f t="array" aca="1" ref="G220" ca="1">INDIRECT(ADDRESS($A220,G$4,,,$B220))</f>
        <v>0</v>
      </c>
      <c r="H220" s="43" cm="1">
        <f t="array" aca="1" ref="H220" ca="1">INDIRECT(ADDRESS($A220,H$4,,,$B220))</f>
        <v>0</v>
      </c>
      <c r="I220" s="43" cm="1">
        <f t="array" aca="1" ref="I220" ca="1">INDIRECT(ADDRESS($A220,I$4,,,$B220))</f>
        <v>0</v>
      </c>
      <c r="J220" s="43" cm="1">
        <f t="array" aca="1" ref="J220" ca="1">INDIRECT(ADDRESS($A220,J$4,,,$B220))</f>
        <v>0</v>
      </c>
    </row>
    <row r="221" spans="1:10">
      <c r="A221" s="39">
        <f t="shared" si="8"/>
        <v>239</v>
      </c>
      <c r="B221" s="42" t="str">
        <f t="shared" si="7"/>
        <v>W2</v>
      </c>
      <c r="C221" s="43" cm="1">
        <f t="array" aca="1" ref="C221" ca="1">INDIRECT(ADDRESS($A221,C$4,,,$B221))</f>
        <v>0</v>
      </c>
      <c r="D221" s="43" cm="1">
        <f t="array" aca="1" ref="D221" ca="1">INDIRECT(ADDRESS($A221,D$4,,,$B221))</f>
        <v>0</v>
      </c>
      <c r="E221" s="43" cm="1">
        <f t="array" aca="1" ref="E221" ca="1">INDIRECT(ADDRESS($A221,E$4,,,$B221))</f>
        <v>0</v>
      </c>
      <c r="F221" s="43" cm="1">
        <f t="array" aca="1" ref="F221" ca="1">INDIRECT(ADDRESS($A221,F$4,,,$B221))</f>
        <v>0</v>
      </c>
      <c r="G221" s="43" cm="1">
        <f t="array" aca="1" ref="G221" ca="1">INDIRECT(ADDRESS($A221,G$4,,,$B221))</f>
        <v>0</v>
      </c>
      <c r="H221" s="43" cm="1">
        <f t="array" aca="1" ref="H221" ca="1">INDIRECT(ADDRESS($A221,H$4,,,$B221))</f>
        <v>0</v>
      </c>
      <c r="I221" s="43" cm="1">
        <f t="array" aca="1" ref="I221" ca="1">INDIRECT(ADDRESS($A221,I$4,,,$B221))</f>
        <v>0</v>
      </c>
      <c r="J221" s="43" cm="1">
        <f t="array" aca="1" ref="J221" ca="1">INDIRECT(ADDRESS($A221,J$4,,,$B221))</f>
        <v>0</v>
      </c>
    </row>
    <row r="222" spans="1:10">
      <c r="A222" s="39">
        <f t="shared" si="8"/>
        <v>240</v>
      </c>
      <c r="B222" s="42" t="str">
        <f t="shared" si="7"/>
        <v>W2</v>
      </c>
      <c r="C222" s="43" cm="1">
        <f t="array" aca="1" ref="C222" ca="1">INDIRECT(ADDRESS($A222,C$4,,,$B222))</f>
        <v>0</v>
      </c>
      <c r="D222" s="43" cm="1">
        <f t="array" aca="1" ref="D222" ca="1">INDIRECT(ADDRESS($A222,D$4,,,$B222))</f>
        <v>0</v>
      </c>
      <c r="E222" s="43" cm="1">
        <f t="array" aca="1" ref="E222" ca="1">INDIRECT(ADDRESS($A222,E$4,,,$B222))</f>
        <v>0</v>
      </c>
      <c r="F222" s="43" cm="1">
        <f t="array" aca="1" ref="F222" ca="1">INDIRECT(ADDRESS($A222,F$4,,,$B222))</f>
        <v>0</v>
      </c>
      <c r="G222" s="43" cm="1">
        <f t="array" aca="1" ref="G222" ca="1">INDIRECT(ADDRESS($A222,G$4,,,$B222))</f>
        <v>0</v>
      </c>
      <c r="H222" s="43" cm="1">
        <f t="array" aca="1" ref="H222" ca="1">INDIRECT(ADDRESS($A222,H$4,,,$B222))</f>
        <v>0</v>
      </c>
      <c r="I222" s="43" cm="1">
        <f t="array" aca="1" ref="I222" ca="1">INDIRECT(ADDRESS($A222,I$4,,,$B222))</f>
        <v>0</v>
      </c>
      <c r="J222" s="43" cm="1">
        <f t="array" aca="1" ref="J222" ca="1">INDIRECT(ADDRESS($A222,J$4,,,$B222))</f>
        <v>0</v>
      </c>
    </row>
    <row r="223" spans="1:10">
      <c r="A223" s="39">
        <f t="shared" si="8"/>
        <v>241</v>
      </c>
      <c r="B223" s="42" t="str">
        <f t="shared" si="7"/>
        <v>W2</v>
      </c>
      <c r="C223" s="43" cm="1">
        <f t="array" aca="1" ref="C223" ca="1">INDIRECT(ADDRESS($A223,C$4,,,$B223))</f>
        <v>0</v>
      </c>
      <c r="D223" s="43" cm="1">
        <f t="array" aca="1" ref="D223" ca="1">INDIRECT(ADDRESS($A223,D$4,,,$B223))</f>
        <v>0</v>
      </c>
      <c r="E223" s="43" cm="1">
        <f t="array" aca="1" ref="E223" ca="1">INDIRECT(ADDRESS($A223,E$4,,,$B223))</f>
        <v>0</v>
      </c>
      <c r="F223" s="43" cm="1">
        <f t="array" aca="1" ref="F223" ca="1">INDIRECT(ADDRESS($A223,F$4,,,$B223))</f>
        <v>0</v>
      </c>
      <c r="G223" s="43" cm="1">
        <f t="array" aca="1" ref="G223" ca="1">INDIRECT(ADDRESS($A223,G$4,,,$B223))</f>
        <v>0</v>
      </c>
      <c r="H223" s="43" cm="1">
        <f t="array" aca="1" ref="H223" ca="1">INDIRECT(ADDRESS($A223,H$4,,,$B223))</f>
        <v>0</v>
      </c>
      <c r="I223" s="43" cm="1">
        <f t="array" aca="1" ref="I223" ca="1">INDIRECT(ADDRESS($A223,I$4,,,$B223))</f>
        <v>0</v>
      </c>
      <c r="J223" s="43" cm="1">
        <f t="array" aca="1" ref="J223" ca="1">INDIRECT(ADDRESS($A223,J$4,,,$B223))</f>
        <v>0</v>
      </c>
    </row>
    <row r="224" spans="1:10">
      <c r="A224" s="39">
        <f t="shared" si="8"/>
        <v>242</v>
      </c>
      <c r="B224" s="42" t="str">
        <f t="shared" si="7"/>
        <v>W2</v>
      </c>
      <c r="C224" s="43" cm="1">
        <f t="array" aca="1" ref="C224" ca="1">INDIRECT(ADDRESS($A224,C$4,,,$B224))</f>
        <v>0</v>
      </c>
      <c r="D224" s="43" cm="1">
        <f t="array" aca="1" ref="D224" ca="1">INDIRECT(ADDRESS($A224,D$4,,,$B224))</f>
        <v>0</v>
      </c>
      <c r="E224" s="43" cm="1">
        <f t="array" aca="1" ref="E224" ca="1">INDIRECT(ADDRESS($A224,E$4,,,$B224))</f>
        <v>0</v>
      </c>
      <c r="F224" s="43" cm="1">
        <f t="array" aca="1" ref="F224" ca="1">INDIRECT(ADDRESS($A224,F$4,,,$B224))</f>
        <v>0</v>
      </c>
      <c r="G224" s="43" cm="1">
        <f t="array" aca="1" ref="G224" ca="1">INDIRECT(ADDRESS($A224,G$4,,,$B224))</f>
        <v>0</v>
      </c>
      <c r="H224" s="43" cm="1">
        <f t="array" aca="1" ref="H224" ca="1">INDIRECT(ADDRESS($A224,H$4,,,$B224))</f>
        <v>0</v>
      </c>
      <c r="I224" s="43" cm="1">
        <f t="array" aca="1" ref="I224" ca="1">INDIRECT(ADDRESS($A224,I$4,,,$B224))</f>
        <v>0</v>
      </c>
      <c r="J224" s="43" cm="1">
        <f t="array" aca="1" ref="J224" ca="1">INDIRECT(ADDRESS($A224,J$4,,,$B224))</f>
        <v>0</v>
      </c>
    </row>
    <row r="225" spans="1:10">
      <c r="A225" s="39">
        <f t="shared" si="8"/>
        <v>243</v>
      </c>
      <c r="B225" s="42" t="str">
        <f t="shared" si="7"/>
        <v>W2</v>
      </c>
      <c r="C225" s="43" cm="1">
        <f t="array" aca="1" ref="C225" ca="1">INDIRECT(ADDRESS($A225,C$4,,,$B225))</f>
        <v>0</v>
      </c>
      <c r="D225" s="43" cm="1">
        <f t="array" aca="1" ref="D225" ca="1">INDIRECT(ADDRESS($A225,D$4,,,$B225))</f>
        <v>0</v>
      </c>
      <c r="E225" s="43" cm="1">
        <f t="array" aca="1" ref="E225" ca="1">INDIRECT(ADDRESS($A225,E$4,,,$B225))</f>
        <v>0</v>
      </c>
      <c r="F225" s="43" cm="1">
        <f t="array" aca="1" ref="F225" ca="1">INDIRECT(ADDRESS($A225,F$4,,,$B225))</f>
        <v>0</v>
      </c>
      <c r="G225" s="43" cm="1">
        <f t="array" aca="1" ref="G225" ca="1">INDIRECT(ADDRESS($A225,G$4,,,$B225))</f>
        <v>0</v>
      </c>
      <c r="H225" s="43" cm="1">
        <f t="array" aca="1" ref="H225" ca="1">INDIRECT(ADDRESS($A225,H$4,,,$B225))</f>
        <v>0</v>
      </c>
      <c r="I225" s="43" cm="1">
        <f t="array" aca="1" ref="I225" ca="1">INDIRECT(ADDRESS($A225,I$4,,,$B225))</f>
        <v>0</v>
      </c>
      <c r="J225" s="43" cm="1">
        <f t="array" aca="1" ref="J225" ca="1">INDIRECT(ADDRESS($A225,J$4,,,$B225))</f>
        <v>0</v>
      </c>
    </row>
    <row r="226" spans="1:10">
      <c r="A226" s="39">
        <f t="shared" si="8"/>
        <v>244</v>
      </c>
      <c r="B226" s="42" t="str">
        <f t="shared" si="7"/>
        <v>W2</v>
      </c>
      <c r="C226" s="43" cm="1">
        <f t="array" aca="1" ref="C226" ca="1">INDIRECT(ADDRESS($A226,C$4,,,$B226))</f>
        <v>0</v>
      </c>
      <c r="D226" s="43" cm="1">
        <f t="array" aca="1" ref="D226" ca="1">INDIRECT(ADDRESS($A226,D$4,,,$B226))</f>
        <v>0</v>
      </c>
      <c r="E226" s="43" cm="1">
        <f t="array" aca="1" ref="E226" ca="1">INDIRECT(ADDRESS($A226,E$4,,,$B226))</f>
        <v>0</v>
      </c>
      <c r="F226" s="43" cm="1">
        <f t="array" aca="1" ref="F226" ca="1">INDIRECT(ADDRESS($A226,F$4,,,$B226))</f>
        <v>0</v>
      </c>
      <c r="G226" s="43" cm="1">
        <f t="array" aca="1" ref="G226" ca="1">INDIRECT(ADDRESS($A226,G$4,,,$B226))</f>
        <v>0</v>
      </c>
      <c r="H226" s="43" cm="1">
        <f t="array" aca="1" ref="H226" ca="1">INDIRECT(ADDRESS($A226,H$4,,,$B226))</f>
        <v>0</v>
      </c>
      <c r="I226" s="43" cm="1">
        <f t="array" aca="1" ref="I226" ca="1">INDIRECT(ADDRESS($A226,I$4,,,$B226))</f>
        <v>0</v>
      </c>
      <c r="J226" s="43" cm="1">
        <f t="array" aca="1" ref="J226" ca="1">INDIRECT(ADDRESS($A226,J$4,,,$B226))</f>
        <v>0</v>
      </c>
    </row>
    <row r="227" spans="1:10">
      <c r="A227" s="39">
        <f t="shared" si="8"/>
        <v>245</v>
      </c>
      <c r="B227" s="42" t="str">
        <f t="shared" si="7"/>
        <v>W2</v>
      </c>
      <c r="C227" s="43" cm="1">
        <f t="array" aca="1" ref="C227" ca="1">INDIRECT(ADDRESS($A227,C$4,,,$B227))</f>
        <v>0</v>
      </c>
      <c r="D227" s="43" cm="1">
        <f t="array" aca="1" ref="D227" ca="1">INDIRECT(ADDRESS($A227,D$4,,,$B227))</f>
        <v>0</v>
      </c>
      <c r="E227" s="43" cm="1">
        <f t="array" aca="1" ref="E227" ca="1">INDIRECT(ADDRESS($A227,E$4,,,$B227))</f>
        <v>0</v>
      </c>
      <c r="F227" s="43" cm="1">
        <f t="array" aca="1" ref="F227" ca="1">INDIRECT(ADDRESS($A227,F$4,,,$B227))</f>
        <v>0</v>
      </c>
      <c r="G227" s="43" cm="1">
        <f t="array" aca="1" ref="G227" ca="1">INDIRECT(ADDRESS($A227,G$4,,,$B227))</f>
        <v>0</v>
      </c>
      <c r="H227" s="43" cm="1">
        <f t="array" aca="1" ref="H227" ca="1">INDIRECT(ADDRESS($A227,H$4,,,$B227))</f>
        <v>0</v>
      </c>
      <c r="I227" s="43" cm="1">
        <f t="array" aca="1" ref="I227" ca="1">INDIRECT(ADDRESS($A227,I$4,,,$B227))</f>
        <v>0</v>
      </c>
      <c r="J227" s="43" cm="1">
        <f t="array" aca="1" ref="J227" ca="1">INDIRECT(ADDRESS($A227,J$4,,,$B227))</f>
        <v>0</v>
      </c>
    </row>
    <row r="228" spans="1:10">
      <c r="A228" s="39">
        <f t="shared" si="8"/>
        <v>246</v>
      </c>
      <c r="B228" s="42" t="str">
        <f t="shared" si="7"/>
        <v>W2</v>
      </c>
      <c r="C228" s="43" cm="1">
        <f t="array" aca="1" ref="C228" ca="1">INDIRECT(ADDRESS($A228,C$4,,,$B228))</f>
        <v>0</v>
      </c>
      <c r="D228" s="43" cm="1">
        <f t="array" aca="1" ref="D228" ca="1">INDIRECT(ADDRESS($A228,D$4,,,$B228))</f>
        <v>0</v>
      </c>
      <c r="E228" s="43" cm="1">
        <f t="array" aca="1" ref="E228" ca="1">INDIRECT(ADDRESS($A228,E$4,,,$B228))</f>
        <v>0</v>
      </c>
      <c r="F228" s="43" cm="1">
        <f t="array" aca="1" ref="F228" ca="1">INDIRECT(ADDRESS($A228,F$4,,,$B228))</f>
        <v>0</v>
      </c>
      <c r="G228" s="43" cm="1">
        <f t="array" aca="1" ref="G228" ca="1">INDIRECT(ADDRESS($A228,G$4,,,$B228))</f>
        <v>0</v>
      </c>
      <c r="H228" s="43" cm="1">
        <f t="array" aca="1" ref="H228" ca="1">INDIRECT(ADDRESS($A228,H$4,,,$B228))</f>
        <v>0</v>
      </c>
      <c r="I228" s="43" cm="1">
        <f t="array" aca="1" ref="I228" ca="1">INDIRECT(ADDRESS($A228,I$4,,,$B228))</f>
        <v>0</v>
      </c>
      <c r="J228" s="43" cm="1">
        <f t="array" aca="1" ref="J228" ca="1">INDIRECT(ADDRESS($A228,J$4,,,$B228))</f>
        <v>0</v>
      </c>
    </row>
    <row r="229" spans="1:10">
      <c r="A229" s="39">
        <f t="shared" si="8"/>
        <v>247</v>
      </c>
      <c r="B229" s="42" t="str">
        <f t="shared" si="7"/>
        <v>W2</v>
      </c>
      <c r="C229" s="43" cm="1">
        <f t="array" aca="1" ref="C229" ca="1">INDIRECT(ADDRESS($A229,C$4,,,$B229))</f>
        <v>0</v>
      </c>
      <c r="D229" s="43" cm="1">
        <f t="array" aca="1" ref="D229" ca="1">INDIRECT(ADDRESS($A229,D$4,,,$B229))</f>
        <v>0</v>
      </c>
      <c r="E229" s="43" cm="1">
        <f t="array" aca="1" ref="E229" ca="1">INDIRECT(ADDRESS($A229,E$4,,,$B229))</f>
        <v>0</v>
      </c>
      <c r="F229" s="43" cm="1">
        <f t="array" aca="1" ref="F229" ca="1">INDIRECT(ADDRESS($A229,F$4,,,$B229))</f>
        <v>0</v>
      </c>
      <c r="G229" s="43" cm="1">
        <f t="array" aca="1" ref="G229" ca="1">INDIRECT(ADDRESS($A229,G$4,,,$B229))</f>
        <v>0</v>
      </c>
      <c r="H229" s="43" cm="1">
        <f t="array" aca="1" ref="H229" ca="1">INDIRECT(ADDRESS($A229,H$4,,,$B229))</f>
        <v>0</v>
      </c>
      <c r="I229" s="43" cm="1">
        <f t="array" aca="1" ref="I229" ca="1">INDIRECT(ADDRESS($A229,I$4,,,$B229))</f>
        <v>0</v>
      </c>
      <c r="J229" s="43" cm="1">
        <f t="array" aca="1" ref="J229" ca="1">INDIRECT(ADDRESS($A229,J$4,,,$B229))</f>
        <v>0</v>
      </c>
    </row>
    <row r="230" spans="1:10">
      <c r="A230" s="39">
        <f t="shared" si="8"/>
        <v>248</v>
      </c>
      <c r="B230" s="42" t="str">
        <f t="shared" si="7"/>
        <v>W2</v>
      </c>
      <c r="C230" s="43" cm="1">
        <f t="array" aca="1" ref="C230" ca="1">INDIRECT(ADDRESS($A230,C$4,,,$B230))</f>
        <v>0</v>
      </c>
      <c r="D230" s="43" cm="1">
        <f t="array" aca="1" ref="D230" ca="1">INDIRECT(ADDRESS($A230,D$4,,,$B230))</f>
        <v>0</v>
      </c>
      <c r="E230" s="43" cm="1">
        <f t="array" aca="1" ref="E230" ca="1">INDIRECT(ADDRESS($A230,E$4,,,$B230))</f>
        <v>0</v>
      </c>
      <c r="F230" s="43" cm="1">
        <f t="array" aca="1" ref="F230" ca="1">INDIRECT(ADDRESS($A230,F$4,,,$B230))</f>
        <v>0</v>
      </c>
      <c r="G230" s="43" cm="1">
        <f t="array" aca="1" ref="G230" ca="1">INDIRECT(ADDRESS($A230,G$4,,,$B230))</f>
        <v>0</v>
      </c>
      <c r="H230" s="43" cm="1">
        <f t="array" aca="1" ref="H230" ca="1">INDIRECT(ADDRESS($A230,H$4,,,$B230))</f>
        <v>0</v>
      </c>
      <c r="I230" s="43" cm="1">
        <f t="array" aca="1" ref="I230" ca="1">INDIRECT(ADDRESS($A230,I$4,,,$B230))</f>
        <v>0</v>
      </c>
      <c r="J230" s="43" cm="1">
        <f t="array" aca="1" ref="J230" ca="1">INDIRECT(ADDRESS($A230,J$4,,,$B230))</f>
        <v>0</v>
      </c>
    </row>
    <row r="231" spans="1:10">
      <c r="A231" s="39">
        <f t="shared" si="8"/>
        <v>249</v>
      </c>
      <c r="B231" s="42" t="str">
        <f t="shared" si="7"/>
        <v>W2</v>
      </c>
      <c r="C231" s="43" cm="1">
        <f t="array" aca="1" ref="C231" ca="1">INDIRECT(ADDRESS($A231,C$4,,,$B231))</f>
        <v>0</v>
      </c>
      <c r="D231" s="43" cm="1">
        <f t="array" aca="1" ref="D231" ca="1">INDIRECT(ADDRESS($A231,D$4,,,$B231))</f>
        <v>0</v>
      </c>
      <c r="E231" s="43" cm="1">
        <f t="array" aca="1" ref="E231" ca="1">INDIRECT(ADDRESS($A231,E$4,,,$B231))</f>
        <v>0</v>
      </c>
      <c r="F231" s="43" cm="1">
        <f t="array" aca="1" ref="F231" ca="1">INDIRECT(ADDRESS($A231,F$4,,,$B231))</f>
        <v>0</v>
      </c>
      <c r="G231" s="43" cm="1">
        <f t="array" aca="1" ref="G231" ca="1">INDIRECT(ADDRESS($A231,G$4,,,$B231))</f>
        <v>0</v>
      </c>
      <c r="H231" s="43" cm="1">
        <f t="array" aca="1" ref="H231" ca="1">INDIRECT(ADDRESS($A231,H$4,,,$B231))</f>
        <v>0</v>
      </c>
      <c r="I231" s="43" cm="1">
        <f t="array" aca="1" ref="I231" ca="1">INDIRECT(ADDRESS($A231,I$4,,,$B231))</f>
        <v>0</v>
      </c>
      <c r="J231" s="43" cm="1">
        <f t="array" aca="1" ref="J231" ca="1">INDIRECT(ADDRESS($A231,J$4,,,$B231))</f>
        <v>0</v>
      </c>
    </row>
    <row r="232" spans="1:10">
      <c r="A232" s="39">
        <f t="shared" si="8"/>
        <v>250</v>
      </c>
      <c r="B232" s="42" t="str">
        <f t="shared" si="7"/>
        <v>W2</v>
      </c>
      <c r="C232" s="43" cm="1">
        <f t="array" aca="1" ref="C232" ca="1">INDIRECT(ADDRESS($A232,C$4,,,$B232))</f>
        <v>0</v>
      </c>
      <c r="D232" s="43" cm="1">
        <f t="array" aca="1" ref="D232" ca="1">INDIRECT(ADDRESS($A232,D$4,,,$B232))</f>
        <v>0</v>
      </c>
      <c r="E232" s="43" cm="1">
        <f t="array" aca="1" ref="E232" ca="1">INDIRECT(ADDRESS($A232,E$4,,,$B232))</f>
        <v>0</v>
      </c>
      <c r="F232" s="43" cm="1">
        <f t="array" aca="1" ref="F232" ca="1">INDIRECT(ADDRESS($A232,F$4,,,$B232))</f>
        <v>0</v>
      </c>
      <c r="G232" s="43" cm="1">
        <f t="array" aca="1" ref="G232" ca="1">INDIRECT(ADDRESS($A232,G$4,,,$B232))</f>
        <v>0</v>
      </c>
      <c r="H232" s="43" cm="1">
        <f t="array" aca="1" ref="H232" ca="1">INDIRECT(ADDRESS($A232,H$4,,,$B232))</f>
        <v>0</v>
      </c>
      <c r="I232" s="43" cm="1">
        <f t="array" aca="1" ref="I232" ca="1">INDIRECT(ADDRESS($A232,I$4,,,$B232))</f>
        <v>0</v>
      </c>
      <c r="J232" s="43" cm="1">
        <f t="array" aca="1" ref="J232" ca="1">INDIRECT(ADDRESS($A232,J$4,,,$B232))</f>
        <v>0</v>
      </c>
    </row>
    <row r="233" spans="1:10">
      <c r="A233" s="39">
        <f t="shared" si="8"/>
        <v>251</v>
      </c>
      <c r="B233" s="42" t="str">
        <f t="shared" si="7"/>
        <v>W2</v>
      </c>
      <c r="C233" s="43" cm="1">
        <f t="array" aca="1" ref="C233" ca="1">INDIRECT(ADDRESS($A233,C$4,,,$B233))</f>
        <v>0</v>
      </c>
      <c r="D233" s="43" cm="1">
        <f t="array" aca="1" ref="D233" ca="1">INDIRECT(ADDRESS($A233,D$4,,,$B233))</f>
        <v>0</v>
      </c>
      <c r="E233" s="43" cm="1">
        <f t="array" aca="1" ref="E233" ca="1">INDIRECT(ADDRESS($A233,E$4,,,$B233))</f>
        <v>0</v>
      </c>
      <c r="F233" s="43" cm="1">
        <f t="array" aca="1" ref="F233" ca="1">INDIRECT(ADDRESS($A233,F$4,,,$B233))</f>
        <v>0</v>
      </c>
      <c r="G233" s="43" cm="1">
        <f t="array" aca="1" ref="G233" ca="1">INDIRECT(ADDRESS($A233,G$4,,,$B233))</f>
        <v>0</v>
      </c>
      <c r="H233" s="43" cm="1">
        <f t="array" aca="1" ref="H233" ca="1">INDIRECT(ADDRESS($A233,H$4,,,$B233))</f>
        <v>0</v>
      </c>
      <c r="I233" s="43" cm="1">
        <f t="array" aca="1" ref="I233" ca="1">INDIRECT(ADDRESS($A233,I$4,,,$B233))</f>
        <v>0</v>
      </c>
      <c r="J233" s="43" cm="1">
        <f t="array" aca="1" ref="J233" ca="1">INDIRECT(ADDRESS($A233,J$4,,,$B233))</f>
        <v>0</v>
      </c>
    </row>
    <row r="234" spans="1:10">
      <c r="A234" s="39">
        <f>+A6</f>
        <v>24</v>
      </c>
      <c r="B234" s="42" t="str">
        <f>+$E$2</f>
        <v>W1</v>
      </c>
      <c r="C234" s="43" t="str" cm="1">
        <f t="array" aca="1" ref="C234" ca="1">INDIRECT(ADDRESS($A234,C$4,,,$B234))</f>
        <v>BACCAROSE PERFUMES AND BEAUTY PRODUCTS PVT LTD</v>
      </c>
      <c r="D234" s="43" t="str" cm="1">
        <f t="array" aca="1" ref="D234" ca="1">INDIRECT(ADDRESS($A234,D$4,,,$B234))</f>
        <v>External</v>
      </c>
      <c r="E234" s="43" t="str" cm="1">
        <f t="array" aca="1" ref="E234" ca="1">INDIRECT(ADDRESS($A234,E$4,,,$B234))</f>
        <v>Laura Mercier</v>
      </c>
      <c r="F234" s="43" t="str" cm="1">
        <f t="array" aca="1" ref="F234" ca="1">INDIRECT(ADDRESS($A234,F$4,,,$B234))</f>
        <v>Prestige Cosmetic</v>
      </c>
      <c r="G234" s="43" cm="1">
        <f t="array" aca="1" ref="G234" ca="1">INDIRECT(ADDRESS($A234,G$4,,,$B234))</f>
        <v>0</v>
      </c>
      <c r="H234" s="43" cm="1">
        <f t="array" aca="1" ref="H234" ca="1">INDIRECT(ADDRESS($A234,H$4,,,$B234))</f>
        <v>7.2617511019999998</v>
      </c>
      <c r="I234" s="43" cm="1">
        <f t="array" aca="1" ref="I234" ca="1">INDIRECT(ADDRESS($A234,I$4,,,$B234))</f>
        <v>7.2617511019999998</v>
      </c>
      <c r="J234" s="43" cm="1">
        <f t="array" aca="1" ref="J234" ca="1">INDIRECT(ADDRESS($A234,J$4,,,$B234))</f>
        <v>0</v>
      </c>
    </row>
    <row r="235" spans="1:10">
      <c r="A235" s="39">
        <f t="shared" ref="A235:A298" si="9">+A7</f>
        <v>25</v>
      </c>
      <c r="B235" s="42" t="str">
        <f t="shared" ref="B235:B298" si="10">+$E$2</f>
        <v>W1</v>
      </c>
      <c r="C235" s="43" t="str" cm="1">
        <f t="array" aca="1" ref="C235" ca="1">INDIRECT(ADDRESS($A235,C$4,,,$B235))</f>
        <v>BACCAROSE PERFUMES AND BEAUTY PRODUCTS PVT LTD</v>
      </c>
      <c r="D235" s="43" t="str" cm="1">
        <f t="array" aca="1" ref="D235" ca="1">INDIRECT(ADDRESS($A235,D$4,,,$B235))</f>
        <v>External</v>
      </c>
      <c r="E235" s="43" t="str" cm="1">
        <f t="array" aca="1" ref="E235" ca="1">INDIRECT(ADDRESS($A235,E$4,,,$B235))</f>
        <v>Shiseido</v>
      </c>
      <c r="F235" s="43" t="str" cm="1">
        <f t="array" aca="1" ref="F235" ca="1">INDIRECT(ADDRESS($A235,F$4,,,$B235))</f>
        <v>Prestige Cosmetic</v>
      </c>
      <c r="G235" s="43" cm="1">
        <f t="array" aca="1" ref="G235" ca="1">INDIRECT(ADDRESS($A235,G$4,,,$B235))</f>
        <v>0</v>
      </c>
      <c r="H235" s="43" cm="1">
        <f t="array" aca="1" ref="H235" ca="1">INDIRECT(ADDRESS($A235,H$4,,,$B235))</f>
        <v>19.087499999999999</v>
      </c>
      <c r="I235" s="43" cm="1">
        <f t="array" aca="1" ref="I235" ca="1">INDIRECT(ADDRESS($A235,I$4,,,$B235))</f>
        <v>19.087499999999999</v>
      </c>
      <c r="J235" s="43" cm="1">
        <f t="array" aca="1" ref="J235" ca="1">INDIRECT(ADDRESS($A235,J$4,,,$B235))</f>
        <v>0</v>
      </c>
    </row>
    <row r="236" spans="1:10">
      <c r="A236" s="39">
        <f t="shared" si="9"/>
        <v>26</v>
      </c>
      <c r="B236" s="42" t="str">
        <f t="shared" si="10"/>
        <v>W1</v>
      </c>
      <c r="C236" s="43" t="str" cm="1">
        <f t="array" aca="1" ref="C236" ca="1">INDIRECT(ADDRESS($A236,C$4,,,$B236))</f>
        <v>Beauty Impex Pvt. Ltd</v>
      </c>
      <c r="D236" s="43" t="str" cm="1">
        <f t="array" aca="1" ref="D236" ca="1">INDIRECT(ADDRESS($A236,D$4,,,$B236))</f>
        <v>External</v>
      </c>
      <c r="E236" s="43" t="str" cm="1">
        <f t="array" aca="1" ref="E236" ca="1">INDIRECT(ADDRESS($A236,E$4,,,$B236))</f>
        <v>Guerlain</v>
      </c>
      <c r="F236" s="43" t="str" cm="1">
        <f t="array" aca="1" ref="F236" ca="1">INDIRECT(ADDRESS($A236,F$4,,,$B236))</f>
        <v>Prestige Cosmetic</v>
      </c>
      <c r="G236" s="43" cm="1">
        <f t="array" aca="1" ref="G236" ca="1">INDIRECT(ADDRESS($A236,G$4,,,$B236))</f>
        <v>0</v>
      </c>
      <c r="H236" s="43" cm="1">
        <f t="array" aca="1" ref="H236" ca="1">INDIRECT(ADDRESS($A236,H$4,,,$B236))</f>
        <v>9.0229321999999996</v>
      </c>
      <c r="I236" s="43" cm="1">
        <f t="array" aca="1" ref="I236" ca="1">INDIRECT(ADDRESS($A236,I$4,,,$B236))</f>
        <v>9.0229321999999996</v>
      </c>
      <c r="J236" s="43" cm="1">
        <f t="array" aca="1" ref="J236" ca="1">INDIRECT(ADDRESS($A236,J$4,,,$B236))</f>
        <v>0</v>
      </c>
    </row>
    <row r="237" spans="1:10">
      <c r="A237" s="39">
        <f t="shared" si="9"/>
        <v>27</v>
      </c>
      <c r="B237" s="42" t="str">
        <f t="shared" si="10"/>
        <v>W1</v>
      </c>
      <c r="C237" s="43" t="str" cm="1">
        <f t="array" aca="1" ref="C237" ca="1">INDIRECT(ADDRESS($A237,C$4,,,$B237))</f>
        <v>Best In Brands</v>
      </c>
      <c r="D237" s="43" t="str" cm="1">
        <f t="array" aca="1" ref="D237" ca="1">INDIRECT(ADDRESS($A237,D$4,,,$B237))</f>
        <v>External</v>
      </c>
      <c r="E237" s="43" t="str" cm="1">
        <f t="array" aca="1" ref="E237" ca="1">INDIRECT(ADDRESS($A237,E$4,,,$B237))</f>
        <v>Shiseido</v>
      </c>
      <c r="F237" s="43" t="str" cm="1">
        <f t="array" aca="1" ref="F237" ca="1">INDIRECT(ADDRESS($A237,F$4,,,$B237))</f>
        <v>Prestige Cosmetic</v>
      </c>
      <c r="G237" s="43" cm="1">
        <f t="array" aca="1" ref="G237" ca="1">INDIRECT(ADDRESS($A237,G$4,,,$B237))</f>
        <v>0</v>
      </c>
      <c r="H237" s="43" cm="1">
        <f t="array" aca="1" ref="H237" ca="1">INDIRECT(ADDRESS($A237,H$4,,,$B237))</f>
        <v>7.9641265410000006</v>
      </c>
      <c r="I237" s="43" cm="1">
        <f t="array" aca="1" ref="I237" ca="1">INDIRECT(ADDRESS($A237,I$4,,,$B237))</f>
        <v>7.9641265410000006</v>
      </c>
      <c r="J237" s="43" cm="1">
        <f t="array" aca="1" ref="J237" ca="1">INDIRECT(ADDRESS($A237,J$4,,,$B237))</f>
        <v>0</v>
      </c>
    </row>
    <row r="238" spans="1:10">
      <c r="A238" s="39">
        <f t="shared" si="9"/>
        <v>28</v>
      </c>
      <c r="B238" s="42" t="str">
        <f t="shared" si="10"/>
        <v>W1</v>
      </c>
      <c r="C238" s="43" t="str" cm="1">
        <f t="array" aca="1" ref="C238" ca="1">INDIRECT(ADDRESS($A238,C$4,,,$B238))</f>
        <v xml:space="preserve">CHANEL INDIA </v>
      </c>
      <c r="D238" s="43" t="str" cm="1">
        <f t="array" aca="1" ref="D238" ca="1">INDIRECT(ADDRESS($A238,D$4,,,$B238))</f>
        <v>External</v>
      </c>
      <c r="E238" s="43" t="str" cm="1">
        <f t="array" aca="1" ref="E238" ca="1">INDIRECT(ADDRESS($A238,E$4,,,$B238))</f>
        <v xml:space="preserve">Chanel </v>
      </c>
      <c r="F238" s="43" t="str" cm="1">
        <f t="array" aca="1" ref="F238" ca="1">INDIRECT(ADDRESS($A238,F$4,,,$B238))</f>
        <v>Shopfitting</v>
      </c>
      <c r="G238" s="43" cm="1">
        <f t="array" aca="1" ref="G238" ca="1">INDIRECT(ADDRESS($A238,G$4,,,$B238))</f>
        <v>0</v>
      </c>
      <c r="H238" s="43" cm="1">
        <f t="array" aca="1" ref="H238" ca="1">INDIRECT(ADDRESS($A238,H$4,,,$B238))</f>
        <v>6.2638655000000005</v>
      </c>
      <c r="I238" s="43" cm="1">
        <f t="array" aca="1" ref="I238" ca="1">INDIRECT(ADDRESS($A238,I$4,,,$B238))</f>
        <v>6.2638655000000005</v>
      </c>
      <c r="J238" s="43" cm="1">
        <f t="array" aca="1" ref="J238" ca="1">INDIRECT(ADDRESS($A238,J$4,,,$B238))</f>
        <v>0</v>
      </c>
    </row>
    <row r="239" spans="1:10">
      <c r="A239" s="39">
        <f t="shared" si="9"/>
        <v>29</v>
      </c>
      <c r="B239" s="42" t="str">
        <f t="shared" si="10"/>
        <v>W1</v>
      </c>
      <c r="C239" s="43" t="str" cm="1">
        <f t="array" aca="1" ref="C239" ca="1">INDIRECT(ADDRESS($A239,C$4,,,$B239))</f>
        <v>Elca Cosmetics Pvt Ltd</v>
      </c>
      <c r="D239" s="43" t="str" cm="1">
        <f t="array" aca="1" ref="D239" ca="1">INDIRECT(ADDRESS($A239,D$4,,,$B239))</f>
        <v>External</v>
      </c>
      <c r="E239" s="43" t="str" cm="1">
        <f t="array" aca="1" ref="E239" ca="1">INDIRECT(ADDRESS($A239,E$4,,,$B239))</f>
        <v>Too Faced</v>
      </c>
      <c r="F239" s="43" t="str" cm="1">
        <f t="array" aca="1" ref="F239" ca="1">INDIRECT(ADDRESS($A239,F$4,,,$B239))</f>
        <v>Prestige Cosmetic</v>
      </c>
      <c r="G239" s="43" cm="1">
        <f t="array" aca="1" ref="G239" ca="1">INDIRECT(ADDRESS($A239,G$4,,,$B239))</f>
        <v>0</v>
      </c>
      <c r="H239" s="43" cm="1">
        <f t="array" aca="1" ref="H239" ca="1">INDIRECT(ADDRESS($A239,H$4,,,$B239))</f>
        <v>39.996063999999997</v>
      </c>
      <c r="I239" s="43" cm="1">
        <f t="array" aca="1" ref="I239" ca="1">INDIRECT(ADDRESS($A239,I$4,,,$B239))</f>
        <v>39.996063999999997</v>
      </c>
      <c r="J239" s="43" cm="1">
        <f t="array" aca="1" ref="J239" ca="1">INDIRECT(ADDRESS($A239,J$4,,,$B239))</f>
        <v>0</v>
      </c>
    </row>
    <row r="240" spans="1:10">
      <c r="A240" s="39">
        <f t="shared" si="9"/>
        <v>30</v>
      </c>
      <c r="B240" s="42" t="str">
        <f t="shared" si="10"/>
        <v>W1</v>
      </c>
      <c r="C240" s="43" t="str" cm="1">
        <f t="array" aca="1" ref="C240" ca="1">INDIRECT(ADDRESS($A240,C$4,,,$B240))</f>
        <v>ELCA Cosmetics Pvt. Ltd.</v>
      </c>
      <c r="D240" s="43" t="str" cm="1">
        <f t="array" aca="1" ref="D240" ca="1">INDIRECT(ADDRESS($A240,D$4,,,$B240))</f>
        <v>External</v>
      </c>
      <c r="E240" s="43" t="str" cm="1">
        <f t="array" aca="1" ref="E240" ca="1">INDIRECT(ADDRESS($A240,E$4,,,$B240))</f>
        <v>Clinique</v>
      </c>
      <c r="F240" s="43" t="str" cm="1">
        <f t="array" aca="1" ref="F240" ca="1">INDIRECT(ADDRESS($A240,F$4,,,$B240))</f>
        <v>Prestige Cosmetic</v>
      </c>
      <c r="G240" s="43" cm="1">
        <f t="array" aca="1" ref="G240" ca="1">INDIRECT(ADDRESS($A240,G$4,,,$B240))</f>
        <v>0</v>
      </c>
      <c r="H240" s="43" cm="1">
        <f t="array" aca="1" ref="H240" ca="1">INDIRECT(ADDRESS($A240,H$4,,,$B240))</f>
        <v>40.110491600000003</v>
      </c>
      <c r="I240" s="43" cm="1">
        <f t="array" aca="1" ref="I240" ca="1">INDIRECT(ADDRESS($A240,I$4,,,$B240))</f>
        <v>40.110491600000003</v>
      </c>
      <c r="J240" s="43" cm="1">
        <f t="array" aca="1" ref="J240" ca="1">INDIRECT(ADDRESS($A240,J$4,,,$B240))</f>
        <v>0</v>
      </c>
    </row>
    <row r="241" spans="1:10">
      <c r="A241" s="39">
        <f t="shared" si="9"/>
        <v>31</v>
      </c>
      <c r="B241" s="42" t="str">
        <f t="shared" si="10"/>
        <v>W1</v>
      </c>
      <c r="C241" s="43" t="str" cm="1">
        <f t="array" aca="1" ref="C241" ca="1">INDIRECT(ADDRESS($A241,C$4,,,$B241))</f>
        <v>ELCA Cosmetics Pvt. Ltd.</v>
      </c>
      <c r="D241" s="43" t="str" cm="1">
        <f t="array" aca="1" ref="D241" ca="1">INDIRECT(ADDRESS($A241,D$4,,,$B241))</f>
        <v>External</v>
      </c>
      <c r="E241" s="43" t="str" cm="1">
        <f t="array" aca="1" ref="E241" ca="1">INDIRECT(ADDRESS($A241,E$4,,,$B241))</f>
        <v>Dr Jart+</v>
      </c>
      <c r="F241" s="43" t="str" cm="1">
        <f t="array" aca="1" ref="F241" ca="1">INDIRECT(ADDRESS($A241,F$4,,,$B241))</f>
        <v>Prestige Cosmetic</v>
      </c>
      <c r="G241" s="43" cm="1">
        <f t="array" aca="1" ref="G241" ca="1">INDIRECT(ADDRESS($A241,G$4,,,$B241))</f>
        <v>0</v>
      </c>
      <c r="H241" s="43" cm="1">
        <f t="array" aca="1" ref="H241" ca="1">INDIRECT(ADDRESS($A241,H$4,,,$B241))</f>
        <v>3.1881162999999999</v>
      </c>
      <c r="I241" s="43" cm="1">
        <f t="array" aca="1" ref="I241" ca="1">INDIRECT(ADDRESS($A241,I$4,,,$B241))</f>
        <v>3.1881162999999999</v>
      </c>
      <c r="J241" s="43" cm="1">
        <f t="array" aca="1" ref="J241" ca="1">INDIRECT(ADDRESS($A241,J$4,,,$B241))</f>
        <v>0</v>
      </c>
    </row>
    <row r="242" spans="1:10">
      <c r="A242" s="39">
        <f t="shared" si="9"/>
        <v>32</v>
      </c>
      <c r="B242" s="42" t="str">
        <f t="shared" si="10"/>
        <v>W1</v>
      </c>
      <c r="C242" s="43" t="str" cm="1">
        <f t="array" aca="1" ref="C242" ca="1">INDIRECT(ADDRESS($A242,C$4,,,$B242))</f>
        <v>ELCA Cosmetics Pvt. Ltd.</v>
      </c>
      <c r="D242" s="43" t="str" cm="1">
        <f t="array" aca="1" ref="D242" ca="1">INDIRECT(ADDRESS($A242,D$4,,,$B242))</f>
        <v>External</v>
      </c>
      <c r="E242" s="43" t="str" cm="1">
        <f t="array" aca="1" ref="E242" ca="1">INDIRECT(ADDRESS($A242,E$4,,,$B242))</f>
        <v>Estee Lauder</v>
      </c>
      <c r="F242" s="43" t="str" cm="1">
        <f t="array" aca="1" ref="F242" ca="1">INDIRECT(ADDRESS($A242,F$4,,,$B242))</f>
        <v>Prestige Cosmetic</v>
      </c>
      <c r="G242" s="43" cm="1">
        <f t="array" aca="1" ref="G242" ca="1">INDIRECT(ADDRESS($A242,G$4,,,$B242))</f>
        <v>0</v>
      </c>
      <c r="H242" s="43" cm="1">
        <f t="array" aca="1" ref="H242" ca="1">INDIRECT(ADDRESS($A242,H$4,,,$B242))</f>
        <v>41.310783200000003</v>
      </c>
      <c r="I242" s="43" cm="1">
        <f t="array" aca="1" ref="I242" ca="1">INDIRECT(ADDRESS($A242,I$4,,,$B242))</f>
        <v>41.310783200000003</v>
      </c>
      <c r="J242" s="43" cm="1">
        <f t="array" aca="1" ref="J242" ca="1">INDIRECT(ADDRESS($A242,J$4,,,$B242))</f>
        <v>0</v>
      </c>
    </row>
    <row r="243" spans="1:10">
      <c r="A243" s="39">
        <f t="shared" si="9"/>
        <v>33</v>
      </c>
      <c r="B243" s="42" t="str">
        <f t="shared" si="10"/>
        <v>W1</v>
      </c>
      <c r="C243" s="43" t="str" cm="1">
        <f t="array" aca="1" ref="C243" ca="1">INDIRECT(ADDRESS($A243,C$4,,,$B243))</f>
        <v>ELCA Cosmetics Pvt. Ltd.</v>
      </c>
      <c r="D243" s="43" t="str" cm="1">
        <f t="array" aca="1" ref="D243" ca="1">INDIRECT(ADDRESS($A243,D$4,,,$B243))</f>
        <v>External</v>
      </c>
      <c r="E243" s="43" t="str" cm="1">
        <f t="array" aca="1" ref="E243" ca="1">INDIRECT(ADDRESS($A243,E$4,,,$B243))</f>
        <v>Mac</v>
      </c>
      <c r="F243" s="43" t="str" cm="1">
        <f t="array" aca="1" ref="F243" ca="1">INDIRECT(ADDRESS($A243,F$4,,,$B243))</f>
        <v>Prestige Cosmetic</v>
      </c>
      <c r="G243" s="43" cm="1">
        <f t="array" aca="1" ref="G243" ca="1">INDIRECT(ADDRESS($A243,G$4,,,$B243))</f>
        <v>0</v>
      </c>
      <c r="H243" s="43" cm="1">
        <f t="array" aca="1" ref="H243" ca="1">INDIRECT(ADDRESS($A243,H$4,,,$B243))</f>
        <v>16.992311600000001</v>
      </c>
      <c r="I243" s="43" cm="1">
        <f t="array" aca="1" ref="I243" ca="1">INDIRECT(ADDRESS($A243,I$4,,,$B243))</f>
        <v>16.992311600000001</v>
      </c>
      <c r="J243" s="43" cm="1">
        <f t="array" aca="1" ref="J243" ca="1">INDIRECT(ADDRESS($A243,J$4,,,$B243))</f>
        <v>0</v>
      </c>
    </row>
    <row r="244" spans="1:10">
      <c r="A244" s="39">
        <f t="shared" si="9"/>
        <v>34</v>
      </c>
      <c r="B244" s="42" t="str">
        <f t="shared" si="10"/>
        <v>W1</v>
      </c>
      <c r="C244" s="43" t="str" cm="1">
        <f t="array" aca="1" ref="C244" ca="1">INDIRECT(ADDRESS($A244,C$4,,,$B244))</f>
        <v>ELCA Cosmetics Pvt. Ltd.</v>
      </c>
      <c r="D244" s="43" t="str" cm="1">
        <f t="array" aca="1" ref="D244" ca="1">INDIRECT(ADDRESS($A244,D$4,,,$B244))</f>
        <v>External</v>
      </c>
      <c r="E244" s="43" t="str" cm="1">
        <f t="array" aca="1" ref="E244" ca="1">INDIRECT(ADDRESS($A244,E$4,,,$B244))</f>
        <v>The Ordinary</v>
      </c>
      <c r="F244" s="43" t="str" cm="1">
        <f t="array" aca="1" ref="F244" ca="1">INDIRECT(ADDRESS($A244,F$4,,,$B244))</f>
        <v>Prestige Cosmetic</v>
      </c>
      <c r="G244" s="43" cm="1">
        <f t="array" aca="1" ref="G244" ca="1">INDIRECT(ADDRESS($A244,G$4,,,$B244))</f>
        <v>0</v>
      </c>
      <c r="H244" s="43" cm="1">
        <f t="array" aca="1" ref="H244" ca="1">INDIRECT(ADDRESS($A244,H$4,,,$B244))</f>
        <v>30.265831199999997</v>
      </c>
      <c r="I244" s="43" cm="1">
        <f t="array" aca="1" ref="I244" ca="1">INDIRECT(ADDRESS($A244,I$4,,,$B244))</f>
        <v>30.265831199999997</v>
      </c>
      <c r="J244" s="43" cm="1">
        <f t="array" aca="1" ref="J244" ca="1">INDIRECT(ADDRESS($A244,J$4,,,$B244))</f>
        <v>0</v>
      </c>
    </row>
    <row r="245" spans="1:10">
      <c r="A245" s="39">
        <f t="shared" si="9"/>
        <v>35</v>
      </c>
      <c r="B245" s="42" t="str">
        <f t="shared" si="10"/>
        <v>W1</v>
      </c>
      <c r="C245" s="43" t="str" cm="1">
        <f t="array" aca="1" ref="C245" ca="1">INDIRECT(ADDRESS($A245,C$4,,,$B245))</f>
        <v>ELCA Cosmetics Pvt. Ltd.</v>
      </c>
      <c r="D245" s="43" t="str" cm="1">
        <f t="array" aca="1" ref="D245" ca="1">INDIRECT(ADDRESS($A245,D$4,,,$B245))</f>
        <v>External</v>
      </c>
      <c r="E245" s="43" t="str" cm="1">
        <f t="array" aca="1" ref="E245" ca="1">INDIRECT(ADDRESS($A245,E$4,,,$B245))</f>
        <v>Tom Ford</v>
      </c>
      <c r="F245" s="43" t="str" cm="1">
        <f t="array" aca="1" ref="F245" ca="1">INDIRECT(ADDRESS($A245,F$4,,,$B245))</f>
        <v>Prestige Cosmetic</v>
      </c>
      <c r="G245" s="43" cm="1">
        <f t="array" aca="1" ref="G245" ca="1">INDIRECT(ADDRESS($A245,G$4,,,$B245))</f>
        <v>0</v>
      </c>
      <c r="H245" s="43" cm="1">
        <f t="array" aca="1" ref="H245" ca="1">INDIRECT(ADDRESS($A245,H$4,,,$B245))</f>
        <v>24.496051399999999</v>
      </c>
      <c r="I245" s="43" cm="1">
        <f t="array" aca="1" ref="I245" ca="1">INDIRECT(ADDRESS($A245,I$4,,,$B245))</f>
        <v>24.496051399999999</v>
      </c>
      <c r="J245" s="43" cm="1">
        <f t="array" aca="1" ref="J245" ca="1">INDIRECT(ADDRESS($A245,J$4,,,$B245))</f>
        <v>0</v>
      </c>
    </row>
    <row r="246" spans="1:10">
      <c r="A246" s="39">
        <f t="shared" si="9"/>
        <v>36</v>
      </c>
      <c r="B246" s="42" t="str">
        <f t="shared" si="10"/>
        <v>W1</v>
      </c>
      <c r="C246" s="43" t="str" cm="1">
        <f t="array" aca="1" ref="C246" ca="1">INDIRECT(ADDRESS($A246,C$4,,,$B246))</f>
        <v>ELCA Cosmetics Pvt. Ltd.</v>
      </c>
      <c r="D246" s="43" t="str" cm="1">
        <f t="array" aca="1" ref="D246" ca="1">INDIRECT(ADDRESS($A246,D$4,,,$B246))</f>
        <v>External</v>
      </c>
      <c r="E246" s="43" t="str" cm="1">
        <f t="array" aca="1" ref="E246" ca="1">INDIRECT(ADDRESS($A246,E$4,,,$B246))</f>
        <v>Too Faced</v>
      </c>
      <c r="F246" s="43" t="str" cm="1">
        <f t="array" aca="1" ref="F246" ca="1">INDIRECT(ADDRESS($A246,F$4,,,$B246))</f>
        <v>Prestige Cosmetic</v>
      </c>
      <c r="G246" s="43" cm="1">
        <f t="array" aca="1" ref="G246" ca="1">INDIRECT(ADDRESS($A246,G$4,,,$B246))</f>
        <v>0</v>
      </c>
      <c r="H246" s="43" cm="1">
        <f t="array" aca="1" ref="H246" ca="1">INDIRECT(ADDRESS($A246,H$4,,,$B246))</f>
        <v>146.69350150000002</v>
      </c>
      <c r="I246" s="43" cm="1">
        <f t="array" aca="1" ref="I246" ca="1">INDIRECT(ADDRESS($A246,I$4,,,$B246))</f>
        <v>146.69350150000002</v>
      </c>
      <c r="J246" s="43" cm="1">
        <f t="array" aca="1" ref="J246" ca="1">INDIRECT(ADDRESS($A246,J$4,,,$B246))</f>
        <v>0</v>
      </c>
    </row>
    <row r="247" spans="1:10">
      <c r="A247" s="39">
        <f t="shared" si="9"/>
        <v>37</v>
      </c>
      <c r="B247" s="42" t="str">
        <f t="shared" si="10"/>
        <v>W1</v>
      </c>
      <c r="C247" s="43" t="str" cm="1">
        <f t="array" aca="1" ref="C247" ca="1">INDIRECT(ADDRESS($A247,C$4,,,$B247))</f>
        <v>Estee Lauder AG Lachen</v>
      </c>
      <c r="D247" s="43" t="str" cm="1">
        <f t="array" aca="1" ref="D247" ca="1">INDIRECT(ADDRESS($A247,D$4,,,$B247))</f>
        <v>External</v>
      </c>
      <c r="E247" s="43" t="str" cm="1">
        <f t="array" aca="1" ref="E247" ca="1">INDIRECT(ADDRESS($A247,E$4,,,$B247))</f>
        <v>Jo Malone</v>
      </c>
      <c r="F247" s="43" t="str" cm="1">
        <f t="array" aca="1" ref="F247" ca="1">INDIRECT(ADDRESS($A247,F$4,,,$B247))</f>
        <v>Prestige Cosmetic</v>
      </c>
      <c r="G247" s="43" cm="1">
        <f t="array" aca="1" ref="G247" ca="1">INDIRECT(ADDRESS($A247,G$4,,,$B247))</f>
        <v>0</v>
      </c>
      <c r="H247" s="43" cm="1">
        <f t="array" aca="1" ref="H247" ca="1">INDIRECT(ADDRESS($A247,H$4,,,$B247))</f>
        <v>1.8251618000000001</v>
      </c>
      <c r="I247" s="43" cm="1">
        <f t="array" aca="1" ref="I247" ca="1">INDIRECT(ADDRESS($A247,I$4,,,$B247))</f>
        <v>1.8251618000000001</v>
      </c>
      <c r="J247" s="43" cm="1">
        <f t="array" aca="1" ref="J247" ca="1">INDIRECT(ADDRESS($A247,J$4,,,$B247))</f>
        <v>0</v>
      </c>
    </row>
    <row r="248" spans="1:10">
      <c r="A248" s="39">
        <f t="shared" si="9"/>
        <v>38</v>
      </c>
      <c r="B248" s="42" t="str">
        <f t="shared" si="10"/>
        <v>W1</v>
      </c>
      <c r="C248" s="43" t="str" cm="1">
        <f t="array" aca="1" ref="C248" ca="1">INDIRECT(ADDRESS($A248,C$4,,,$B248))</f>
        <v>Global Shoppers Stop Beauty Brands Ltd</v>
      </c>
      <c r="D248" s="43" t="str" cm="1">
        <f t="array" aca="1" ref="D248" ca="1">INDIRECT(ADDRESS($A248,D$4,,,$B248))</f>
        <v>External</v>
      </c>
      <c r="E248" s="43" t="str" cm="1">
        <f t="array" aca="1" ref="E248" ca="1">INDIRECT(ADDRESS($A248,E$4,,,$B248))</f>
        <v>Nars</v>
      </c>
      <c r="F248" s="43" t="str" cm="1">
        <f t="array" aca="1" ref="F248" ca="1">INDIRECT(ADDRESS($A248,F$4,,,$B248))</f>
        <v>Prestige Cosmetic</v>
      </c>
      <c r="G248" s="43" cm="1">
        <f t="array" aca="1" ref="G248" ca="1">INDIRECT(ADDRESS($A248,G$4,,,$B248))</f>
        <v>0</v>
      </c>
      <c r="H248" s="43" cm="1">
        <f t="array" aca="1" ref="H248" ca="1">INDIRECT(ADDRESS($A248,H$4,,,$B248))</f>
        <v>112.31055000000001</v>
      </c>
      <c r="I248" s="43" cm="1">
        <f t="array" aca="1" ref="I248" ca="1">INDIRECT(ADDRESS($A248,I$4,,,$B248))</f>
        <v>112.31055000000001</v>
      </c>
      <c r="J248" s="43" cm="1">
        <f t="array" aca="1" ref="J248" ca="1">INDIRECT(ADDRESS($A248,J$4,,,$B248))</f>
        <v>0</v>
      </c>
    </row>
    <row r="249" spans="1:10">
      <c r="A249" s="39">
        <f t="shared" si="9"/>
        <v>39</v>
      </c>
      <c r="B249" s="42" t="str">
        <f t="shared" si="10"/>
        <v>W1</v>
      </c>
      <c r="C249" s="43" t="str" cm="1">
        <f t="array" aca="1" ref="C249" ca="1">INDIRECT(ADDRESS($A249,C$4,,,$B249))</f>
        <v>Indosing Distribution</v>
      </c>
      <c r="D249" s="43" t="str" cm="1">
        <f t="array" aca="1" ref="D249" ca="1">INDIRECT(ADDRESS($A249,D$4,,,$B249))</f>
        <v>External</v>
      </c>
      <c r="E249" s="43" t="str" cm="1">
        <f t="array" aca="1" ref="E249" ca="1">INDIRECT(ADDRESS($A249,E$4,,,$B249))</f>
        <v>Benefit</v>
      </c>
      <c r="F249" s="43" t="str" cm="1">
        <f t="array" aca="1" ref="F249" ca="1">INDIRECT(ADDRESS($A249,F$4,,,$B249))</f>
        <v>Prestige Cosmetic</v>
      </c>
      <c r="G249" s="43" cm="1">
        <f t="array" aca="1" ref="G249" ca="1">INDIRECT(ADDRESS($A249,G$4,,,$B249))</f>
        <v>0</v>
      </c>
      <c r="H249" s="43" cm="1">
        <f t="array" aca="1" ref="H249" ca="1">INDIRECT(ADDRESS($A249,H$4,,,$B249))</f>
        <v>2.1232700000000002</v>
      </c>
      <c r="I249" s="43" cm="1">
        <f t="array" aca="1" ref="I249" ca="1">INDIRECT(ADDRESS($A249,I$4,,,$B249))</f>
        <v>2.1232700000000002</v>
      </c>
      <c r="J249" s="43" cm="1">
        <f t="array" aca="1" ref="J249" ca="1">INDIRECT(ADDRESS($A249,J$4,,,$B249))</f>
        <v>0</v>
      </c>
    </row>
    <row r="250" spans="1:10">
      <c r="A250" s="39">
        <f t="shared" si="9"/>
        <v>40</v>
      </c>
      <c r="B250" s="42" t="str">
        <f t="shared" si="10"/>
        <v>W1</v>
      </c>
      <c r="C250" s="43" t="str" cm="1">
        <f t="array" aca="1" ref="C250" ca="1">INDIRECT(ADDRESS($A250,C$4,,,$B250))</f>
        <v>L Beauty Pte</v>
      </c>
      <c r="D250" s="43" t="str" cm="1">
        <f t="array" aca="1" ref="D250" ca="1">INDIRECT(ADDRESS($A250,D$4,,,$B250))</f>
        <v>External</v>
      </c>
      <c r="E250" s="43" t="str" cm="1">
        <f t="array" aca="1" ref="E250" ca="1">INDIRECT(ADDRESS($A250,E$4,,,$B250))</f>
        <v>Benefit</v>
      </c>
      <c r="F250" s="43" t="str" cm="1">
        <f t="array" aca="1" ref="F250" ca="1">INDIRECT(ADDRESS($A250,F$4,,,$B250))</f>
        <v>Prestige Cosmetic</v>
      </c>
      <c r="G250" s="43" cm="1">
        <f t="array" aca="1" ref="G250" ca="1">INDIRECT(ADDRESS($A250,G$4,,,$B250))</f>
        <v>0</v>
      </c>
      <c r="H250" s="43" cm="1">
        <f t="array" aca="1" ref="H250" ca="1">INDIRECT(ADDRESS($A250,H$4,,,$B250))</f>
        <v>17.255213430000001</v>
      </c>
      <c r="I250" s="43" cm="1">
        <f t="array" aca="1" ref="I250" ca="1">INDIRECT(ADDRESS($A250,I$4,,,$B250))</f>
        <v>17.255213430000001</v>
      </c>
      <c r="J250" s="43" cm="1">
        <f t="array" aca="1" ref="J250" ca="1">INDIRECT(ADDRESS($A250,J$4,,,$B250))</f>
        <v>0</v>
      </c>
    </row>
    <row r="251" spans="1:10">
      <c r="A251" s="39">
        <f t="shared" si="9"/>
        <v>41</v>
      </c>
      <c r="B251" s="42" t="str">
        <f t="shared" si="10"/>
        <v>W1</v>
      </c>
      <c r="C251" s="43" t="str" cm="1">
        <f t="array" aca="1" ref="C251" ca="1">INDIRECT(ADDRESS($A251,C$4,,,$B251))</f>
        <v xml:space="preserve">L'Oreal India </v>
      </c>
      <c r="D251" s="43" t="str" cm="1">
        <f t="array" aca="1" ref="D251" ca="1">INDIRECT(ADDRESS($A251,D$4,,,$B251))</f>
        <v>External</v>
      </c>
      <c r="E251" s="43" t="str" cm="1">
        <f t="array" aca="1" ref="E251" ca="1">INDIRECT(ADDRESS($A251,E$4,,,$B251))</f>
        <v>Lancome</v>
      </c>
      <c r="F251" s="43" t="str" cm="1">
        <f t="array" aca="1" ref="F251" ca="1">INDIRECT(ADDRESS($A251,F$4,,,$B251))</f>
        <v>Prestige Cosmetic</v>
      </c>
      <c r="G251" s="43" cm="1">
        <f t="array" aca="1" ref="G251" ca="1">INDIRECT(ADDRESS($A251,G$4,,,$B251))</f>
        <v>0</v>
      </c>
      <c r="H251" s="43" cm="1">
        <f t="array" aca="1" ref="H251" ca="1">INDIRECT(ADDRESS($A251,H$4,,,$B251))</f>
        <v>23.4443725</v>
      </c>
      <c r="I251" s="43" cm="1">
        <f t="array" aca="1" ref="I251" ca="1">INDIRECT(ADDRESS($A251,I$4,,,$B251))</f>
        <v>23.4443725</v>
      </c>
      <c r="J251" s="43" cm="1">
        <f t="array" aca="1" ref="J251" ca="1">INDIRECT(ADDRESS($A251,J$4,,,$B251))</f>
        <v>0</v>
      </c>
    </row>
    <row r="252" spans="1:10">
      <c r="A252" s="39">
        <f t="shared" si="9"/>
        <v>42</v>
      </c>
      <c r="B252" s="42" t="str">
        <f t="shared" si="10"/>
        <v>W1</v>
      </c>
      <c r="C252" s="43" t="str" cm="1">
        <f t="array" aca="1" ref="C252" ca="1">INDIRECT(ADDRESS($A252,C$4,,,$B252))</f>
        <v xml:space="preserve">L'Oreal India </v>
      </c>
      <c r="D252" s="43" t="str" cm="1">
        <f t="array" aca="1" ref="D252" ca="1">INDIRECT(ADDRESS($A252,D$4,,,$B252))</f>
        <v>External</v>
      </c>
      <c r="E252" s="43" t="str" cm="1">
        <f t="array" aca="1" ref="E252" ca="1">INDIRECT(ADDRESS($A252,E$4,,,$B252))</f>
        <v>Lancome</v>
      </c>
      <c r="F252" s="43" t="str" cm="1">
        <f t="array" aca="1" ref="F252" ca="1">INDIRECT(ADDRESS($A252,F$4,,,$B252))</f>
        <v>Shopfitting</v>
      </c>
      <c r="G252" s="43" cm="1">
        <f t="array" aca="1" ref="G252" ca="1">INDIRECT(ADDRESS($A252,G$4,,,$B252))</f>
        <v>0</v>
      </c>
      <c r="H252" s="43" cm="1">
        <f t="array" aca="1" ref="H252" ca="1">INDIRECT(ADDRESS($A252,H$4,,,$B252))</f>
        <v>11.6151789</v>
      </c>
      <c r="I252" s="43" cm="1">
        <f t="array" aca="1" ref="I252" ca="1">INDIRECT(ADDRESS($A252,I$4,,,$B252))</f>
        <v>11.6151789</v>
      </c>
      <c r="J252" s="43" cm="1">
        <f t="array" aca="1" ref="J252" ca="1">INDIRECT(ADDRESS($A252,J$4,,,$B252))</f>
        <v>0</v>
      </c>
    </row>
    <row r="253" spans="1:10">
      <c r="A253" s="39">
        <f t="shared" si="9"/>
        <v>43</v>
      </c>
      <c r="B253" s="42" t="str">
        <f t="shared" si="10"/>
        <v>W1</v>
      </c>
      <c r="C253" s="43" t="str" cm="1">
        <f t="array" aca="1" ref="C253" ca="1">INDIRECT(ADDRESS($A253,C$4,,,$B253))</f>
        <v xml:space="preserve">L'Oreal India </v>
      </c>
      <c r="D253" s="43" t="str" cm="1">
        <f t="array" aca="1" ref="D253" ca="1">INDIRECT(ADDRESS($A253,D$4,,,$B253))</f>
        <v>External</v>
      </c>
      <c r="E253" s="43" t="str" cm="1">
        <f t="array" aca="1" ref="E253" ca="1">INDIRECT(ADDRESS($A253,E$4,,,$B253))</f>
        <v xml:space="preserve">YSL </v>
      </c>
      <c r="F253" s="43" t="str" cm="1">
        <f t="array" aca="1" ref="F253" ca="1">INDIRECT(ADDRESS($A253,F$4,,,$B253))</f>
        <v>Shopfitting</v>
      </c>
      <c r="G253" s="43" cm="1">
        <f t="array" aca="1" ref="G253" ca="1">INDIRECT(ADDRESS($A253,G$4,,,$B253))</f>
        <v>0</v>
      </c>
      <c r="H253" s="43" cm="1">
        <f t="array" aca="1" ref="H253" ca="1">INDIRECT(ADDRESS($A253,H$4,,,$B253))</f>
        <v>83.958234400000009</v>
      </c>
      <c r="I253" s="43" cm="1">
        <f t="array" aca="1" ref="I253" ca="1">INDIRECT(ADDRESS($A253,I$4,,,$B253))</f>
        <v>83.958234400000009</v>
      </c>
      <c r="J253" s="43" cm="1">
        <f t="array" aca="1" ref="J253" ca="1">INDIRECT(ADDRESS($A253,J$4,,,$B253))</f>
        <v>0</v>
      </c>
    </row>
    <row r="254" spans="1:10">
      <c r="A254" s="39">
        <f t="shared" si="9"/>
        <v>44</v>
      </c>
      <c r="B254" s="42" t="str">
        <f t="shared" si="10"/>
        <v>W1</v>
      </c>
      <c r="C254" s="43" t="str" cm="1">
        <f t="array" aca="1" ref="C254" ca="1">INDIRECT(ADDRESS($A254,C$4,,,$B254))</f>
        <v>L'Oreal
Travel Retail</v>
      </c>
      <c r="D254" s="43" t="str" cm="1">
        <f t="array" aca="1" ref="D254" ca="1">INDIRECT(ADDRESS($A254,D$4,,,$B254))</f>
        <v>External</v>
      </c>
      <c r="E254" s="43" t="str" cm="1">
        <f t="array" aca="1" ref="E254" ca="1">INDIRECT(ADDRESS($A254,E$4,,,$B254))</f>
        <v>Armani</v>
      </c>
      <c r="F254" s="43" t="str" cm="1">
        <f t="array" aca="1" ref="F254" ca="1">INDIRECT(ADDRESS($A254,F$4,,,$B254))</f>
        <v>Shopfitting</v>
      </c>
      <c r="G254" s="43" cm="1">
        <f t="array" aca="1" ref="G254" ca="1">INDIRECT(ADDRESS($A254,G$4,,,$B254))</f>
        <v>0</v>
      </c>
      <c r="H254" s="43" cm="1">
        <f t="array" aca="1" ref="H254" ca="1">INDIRECT(ADDRESS($A254,H$4,,,$B254))</f>
        <v>25.6758539</v>
      </c>
      <c r="I254" s="43" cm="1">
        <f t="array" aca="1" ref="I254" ca="1">INDIRECT(ADDRESS($A254,I$4,,,$B254))</f>
        <v>25.6758539</v>
      </c>
      <c r="J254" s="43" cm="1">
        <f t="array" aca="1" ref="J254" ca="1">INDIRECT(ADDRESS($A254,J$4,,,$B254))</f>
        <v>0</v>
      </c>
    </row>
    <row r="255" spans="1:10">
      <c r="A255" s="39">
        <f t="shared" si="9"/>
        <v>45</v>
      </c>
      <c r="B255" s="42" t="str">
        <f t="shared" si="10"/>
        <v>W1</v>
      </c>
      <c r="C255" s="43" t="str" cm="1">
        <f t="array" aca="1" ref="C255" ca="1">INDIRECT(ADDRESS($A255,C$4,,,$B255))</f>
        <v>L'Oreal
Travel Retail</v>
      </c>
      <c r="D255" s="43" t="str" cm="1">
        <f t="array" aca="1" ref="D255" ca="1">INDIRECT(ADDRESS($A255,D$4,,,$B255))</f>
        <v>External</v>
      </c>
      <c r="E255" s="43" t="str" cm="1">
        <f t="array" aca="1" ref="E255" ca="1">INDIRECT(ADDRESS($A255,E$4,,,$B255))</f>
        <v>Lancome</v>
      </c>
      <c r="F255" s="43" t="str" cm="1">
        <f t="array" aca="1" ref="F255" ca="1">INDIRECT(ADDRESS($A255,F$4,,,$B255))</f>
        <v>Shopfitting</v>
      </c>
      <c r="G255" s="43" cm="1">
        <f t="array" aca="1" ref="G255" ca="1">INDIRECT(ADDRESS($A255,G$4,,,$B255))</f>
        <v>0</v>
      </c>
      <c r="H255" s="43" cm="1">
        <f t="array" aca="1" ref="H255" ca="1">INDIRECT(ADDRESS($A255,H$4,,,$B255))</f>
        <v>13.609435900000001</v>
      </c>
      <c r="I255" s="43" cm="1">
        <f t="array" aca="1" ref="I255" ca="1">INDIRECT(ADDRESS($A255,I$4,,,$B255))</f>
        <v>13.609435900000001</v>
      </c>
      <c r="J255" s="43" cm="1">
        <f t="array" aca="1" ref="J255" ca="1">INDIRECT(ADDRESS($A255,J$4,,,$B255))</f>
        <v>0</v>
      </c>
    </row>
    <row r="256" spans="1:10">
      <c r="A256" s="39">
        <f t="shared" si="9"/>
        <v>46</v>
      </c>
      <c r="B256" s="42" t="str">
        <f t="shared" si="10"/>
        <v>W1</v>
      </c>
      <c r="C256" s="43" t="str" cm="1">
        <f t="array" aca="1" ref="C256" ca="1">INDIRECT(ADDRESS($A256,C$4,,,$B256))</f>
        <v>L'Oreal
Travel Retail</v>
      </c>
      <c r="D256" s="43" t="str" cm="1">
        <f t="array" aca="1" ref="D256" ca="1">INDIRECT(ADDRESS($A256,D$4,,,$B256))</f>
        <v>External</v>
      </c>
      <c r="E256" s="43" t="str" cm="1">
        <f t="array" aca="1" ref="E256" ca="1">INDIRECT(ADDRESS($A256,E$4,,,$B256))</f>
        <v xml:space="preserve">Loreal Paris </v>
      </c>
      <c r="F256" s="43" t="str" cm="1">
        <f t="array" aca="1" ref="F256" ca="1">INDIRECT(ADDRESS($A256,F$4,,,$B256))</f>
        <v>Shopfitting</v>
      </c>
      <c r="G256" s="43" cm="1">
        <f t="array" aca="1" ref="G256" ca="1">INDIRECT(ADDRESS($A256,G$4,,,$B256))</f>
        <v>0</v>
      </c>
      <c r="H256" s="43" cm="1">
        <f t="array" aca="1" ref="H256" ca="1">INDIRECT(ADDRESS($A256,H$4,,,$B256))</f>
        <v>7.7487130000000004</v>
      </c>
      <c r="I256" s="43" cm="1">
        <f t="array" aca="1" ref="I256" ca="1">INDIRECT(ADDRESS($A256,I$4,,,$B256))</f>
        <v>7.7487130000000004</v>
      </c>
      <c r="J256" s="43" cm="1">
        <f t="array" aca="1" ref="J256" ca="1">INDIRECT(ADDRESS($A256,J$4,,,$B256))</f>
        <v>0</v>
      </c>
    </row>
    <row r="257" spans="1:10">
      <c r="A257" s="39">
        <f t="shared" si="9"/>
        <v>47</v>
      </c>
      <c r="B257" s="42" t="str">
        <f t="shared" si="10"/>
        <v>W1</v>
      </c>
      <c r="C257" s="43" t="str" cm="1">
        <f t="array" aca="1" ref="C257" ca="1">INDIRECT(ADDRESS($A257,C$4,,,$B257))</f>
        <v>L'Oreal
Travel Retail</v>
      </c>
      <c r="D257" s="43" t="str" cm="1">
        <f t="array" aca="1" ref="D257" ca="1">INDIRECT(ADDRESS($A257,D$4,,,$B257))</f>
        <v>External</v>
      </c>
      <c r="E257" s="43" t="str" cm="1">
        <f t="array" aca="1" ref="E257" ca="1">INDIRECT(ADDRESS($A257,E$4,,,$B257))</f>
        <v>Multi</v>
      </c>
      <c r="F257" s="43" t="str" cm="1">
        <f t="array" aca="1" ref="F257" ca="1">INDIRECT(ADDRESS($A257,F$4,,,$B257))</f>
        <v>Shopfitting</v>
      </c>
      <c r="G257" s="43" cm="1">
        <f t="array" aca="1" ref="G257" ca="1">INDIRECT(ADDRESS($A257,G$4,,,$B257))</f>
        <v>0</v>
      </c>
      <c r="H257" s="43" cm="1">
        <f t="array" aca="1" ref="H257" ca="1">INDIRECT(ADDRESS($A257,H$4,,,$B257))</f>
        <v>49.2676771</v>
      </c>
      <c r="I257" s="43" cm="1">
        <f t="array" aca="1" ref="I257" ca="1">INDIRECT(ADDRESS($A257,I$4,,,$B257))</f>
        <v>49.2676771</v>
      </c>
      <c r="J257" s="43" cm="1">
        <f t="array" aca="1" ref="J257" ca="1">INDIRECT(ADDRESS($A257,J$4,,,$B257))</f>
        <v>0</v>
      </c>
    </row>
    <row r="258" spans="1:10">
      <c r="A258" s="39">
        <f t="shared" si="9"/>
        <v>48</v>
      </c>
      <c r="B258" s="42" t="str">
        <f t="shared" si="10"/>
        <v>W1</v>
      </c>
      <c r="C258" s="43" t="str" cm="1">
        <f t="array" aca="1" ref="C258" ca="1">INDIRECT(ADDRESS($A258,C$4,,,$B258))</f>
        <v>L'Oreal
Travel Retail</v>
      </c>
      <c r="D258" s="43" t="str" cm="1">
        <f t="array" aca="1" ref="D258" ca="1">INDIRECT(ADDRESS($A258,D$4,,,$B258))</f>
        <v>External</v>
      </c>
      <c r="E258" s="43" t="str" cm="1">
        <f t="array" aca="1" ref="E258" ca="1">INDIRECT(ADDRESS($A258,E$4,,,$B258))</f>
        <v>OAP</v>
      </c>
      <c r="F258" s="43" t="str" cm="1">
        <f t="array" aca="1" ref="F258" ca="1">INDIRECT(ADDRESS($A258,F$4,,,$B258))</f>
        <v>Shopfitting</v>
      </c>
      <c r="G258" s="43" cm="1">
        <f t="array" aca="1" ref="G258" ca="1">INDIRECT(ADDRESS($A258,G$4,,,$B258))</f>
        <v>0</v>
      </c>
      <c r="H258" s="43" cm="1">
        <f t="array" aca="1" ref="H258" ca="1">INDIRECT(ADDRESS($A258,H$4,,,$B258))</f>
        <v>7.5061799999999996</v>
      </c>
      <c r="I258" s="43" cm="1">
        <f t="array" aca="1" ref="I258" ca="1">INDIRECT(ADDRESS($A258,I$4,,,$B258))</f>
        <v>7.5061799999999996</v>
      </c>
      <c r="J258" s="43" cm="1">
        <f t="array" aca="1" ref="J258" ca="1">INDIRECT(ADDRESS($A258,J$4,,,$B258))</f>
        <v>0</v>
      </c>
    </row>
    <row r="259" spans="1:10">
      <c r="A259" s="39">
        <f t="shared" si="9"/>
        <v>49</v>
      </c>
      <c r="B259" s="42" t="str">
        <f t="shared" si="10"/>
        <v>W1</v>
      </c>
      <c r="C259" s="43" t="str" cm="1">
        <f t="array" aca="1" ref="C259" ca="1">INDIRECT(ADDRESS($A259,C$4,,,$B259))</f>
        <v>Rare Beauty LLC</v>
      </c>
      <c r="D259" s="43" t="str" cm="1">
        <f t="array" aca="1" ref="D259" ca="1">INDIRECT(ADDRESS($A259,D$4,,,$B259))</f>
        <v>External</v>
      </c>
      <c r="E259" s="43" t="str" cm="1">
        <f t="array" aca="1" ref="E259" ca="1">INDIRECT(ADDRESS($A259,E$4,,,$B259))</f>
        <v xml:space="preserve">Rare Beauty </v>
      </c>
      <c r="F259" s="43" t="str" cm="1">
        <f t="array" aca="1" ref="F259" ca="1">INDIRECT(ADDRESS($A259,F$4,,,$B259))</f>
        <v>Prestige Cosmetic</v>
      </c>
      <c r="G259" s="43" cm="1">
        <f t="array" aca="1" ref="G259" ca="1">INDIRECT(ADDRESS($A259,G$4,,,$B259))</f>
        <v>0</v>
      </c>
      <c r="H259" s="43" cm="1">
        <f t="array" aca="1" ref="H259" ca="1">INDIRECT(ADDRESS($A259,H$4,,,$B259))</f>
        <v>101.96074589999999</v>
      </c>
      <c r="I259" s="43" cm="1">
        <f t="array" aca="1" ref="I259" ca="1">INDIRECT(ADDRESS($A259,I$4,,,$B259))</f>
        <v>101.96074589999999</v>
      </c>
      <c r="J259" s="43" cm="1">
        <f t="array" aca="1" ref="J259" ca="1">INDIRECT(ADDRESS($A259,J$4,,,$B259))</f>
        <v>0</v>
      </c>
    </row>
    <row r="260" spans="1:10">
      <c r="A260" s="39">
        <f t="shared" si="9"/>
        <v>50</v>
      </c>
      <c r="B260" s="42" t="str">
        <f t="shared" si="10"/>
        <v>W1</v>
      </c>
      <c r="C260" s="43" t="str" cm="1">
        <f t="array" aca="1" ref="C260" ca="1">INDIRECT(ADDRESS($A260,C$4,,,$B260))</f>
        <v>Reliance Luxe Beauty Limited</v>
      </c>
      <c r="D260" s="43" t="str" cm="1">
        <f t="array" aca="1" ref="D260" ca="1">INDIRECT(ADDRESS($A260,D$4,,,$B260))</f>
        <v>External</v>
      </c>
      <c r="E260" s="43" t="str" cm="1">
        <f t="array" aca="1" ref="E260" ca="1">INDIRECT(ADDRESS($A260,E$4,,,$B260))</f>
        <v xml:space="preserve">Rare Beauty </v>
      </c>
      <c r="F260" s="43" t="str" cm="1">
        <f t="array" aca="1" ref="F260" ca="1">INDIRECT(ADDRESS($A260,F$4,,,$B260))</f>
        <v>Prestige Cosmetic</v>
      </c>
      <c r="G260" s="43" cm="1">
        <f t="array" aca="1" ref="G260" ca="1">INDIRECT(ADDRESS($A260,G$4,,,$B260))</f>
        <v>0</v>
      </c>
      <c r="H260" s="43" cm="1">
        <f t="array" aca="1" ref="H260" ca="1">INDIRECT(ADDRESS($A260,H$4,,,$B260))</f>
        <v>15.972842100000001</v>
      </c>
      <c r="I260" s="43" cm="1">
        <f t="array" aca="1" ref="I260" ca="1">INDIRECT(ADDRESS($A260,I$4,,,$B260))</f>
        <v>15.972842100000001</v>
      </c>
      <c r="J260" s="43" cm="1">
        <f t="array" aca="1" ref="J260" ca="1">INDIRECT(ADDRESS($A260,J$4,,,$B260))</f>
        <v>0</v>
      </c>
    </row>
    <row r="261" spans="1:10">
      <c r="A261" s="39">
        <f t="shared" si="9"/>
        <v>51</v>
      </c>
      <c r="B261" s="42" t="str">
        <f t="shared" si="10"/>
        <v>W1</v>
      </c>
      <c r="C261" s="43" t="str" cm="1">
        <f t="array" aca="1" ref="C261" ca="1">INDIRECT(ADDRESS($A261,C$4,,,$B261))</f>
        <v>Shoppers Stop Ltd</v>
      </c>
      <c r="D261" s="43" t="str" cm="1">
        <f t="array" aca="1" ref="D261" ca="1">INDIRECT(ADDRESS($A261,D$4,,,$B261))</f>
        <v>External</v>
      </c>
      <c r="E261" s="43" t="str" cm="1">
        <f t="array" aca="1" ref="E261" ca="1">INDIRECT(ADDRESS($A261,E$4,,,$B261))</f>
        <v>Clinique</v>
      </c>
      <c r="F261" s="43" t="str" cm="1">
        <f t="array" aca="1" ref="F261" ca="1">INDIRECT(ADDRESS($A261,F$4,,,$B261))</f>
        <v>Prestige Cosmetic</v>
      </c>
      <c r="G261" s="43" cm="1">
        <f t="array" aca="1" ref="G261" ca="1">INDIRECT(ADDRESS($A261,G$4,,,$B261))</f>
        <v>0</v>
      </c>
      <c r="H261" s="43" cm="1">
        <f t="array" aca="1" ref="H261" ca="1">INDIRECT(ADDRESS($A261,H$4,,,$B261))</f>
        <v>3.3210000000000002</v>
      </c>
      <c r="I261" s="43" cm="1">
        <f t="array" aca="1" ref="I261" ca="1">INDIRECT(ADDRESS($A261,I$4,,,$B261))</f>
        <v>3.3210000000000002</v>
      </c>
      <c r="J261" s="43" cm="1">
        <f t="array" aca="1" ref="J261" ca="1">INDIRECT(ADDRESS($A261,J$4,,,$B261))</f>
        <v>0</v>
      </c>
    </row>
    <row r="262" spans="1:10">
      <c r="A262" s="39">
        <f t="shared" si="9"/>
        <v>52</v>
      </c>
      <c r="B262" s="42" t="str">
        <f t="shared" si="10"/>
        <v>W1</v>
      </c>
      <c r="C262" s="43" t="str" cm="1">
        <f t="array" aca="1" ref="C262" ca="1">INDIRECT(ADDRESS($A262,C$4,,,$B262))</f>
        <v>Shoppers Stop Ltd</v>
      </c>
      <c r="D262" s="43" t="str" cm="1">
        <f t="array" aca="1" ref="D262" ca="1">INDIRECT(ADDRESS($A262,D$4,,,$B262))</f>
        <v>External</v>
      </c>
      <c r="E262" s="43" t="str" cm="1">
        <f t="array" aca="1" ref="E262" ca="1">INDIRECT(ADDRESS($A262,E$4,,,$B262))</f>
        <v>ELCA Brand</v>
      </c>
      <c r="F262" s="43" t="str" cm="1">
        <f t="array" aca="1" ref="F262" ca="1">INDIRECT(ADDRESS($A262,F$4,,,$B262))</f>
        <v>Prestige Cosmetic</v>
      </c>
      <c r="G262" s="43" cm="1">
        <f t="array" aca="1" ref="G262" ca="1">INDIRECT(ADDRESS($A262,G$4,,,$B262))</f>
        <v>0</v>
      </c>
      <c r="H262" s="43" cm="1">
        <f t="array" aca="1" ref="H262" ca="1">INDIRECT(ADDRESS($A262,H$4,,,$B262))</f>
        <v>37.032400000000003</v>
      </c>
      <c r="I262" s="43" cm="1">
        <f t="array" aca="1" ref="I262" ca="1">INDIRECT(ADDRESS($A262,I$4,,,$B262))</f>
        <v>37.032400000000003</v>
      </c>
      <c r="J262" s="43" cm="1">
        <f t="array" aca="1" ref="J262" ca="1">INDIRECT(ADDRESS($A262,J$4,,,$B262))</f>
        <v>0</v>
      </c>
    </row>
    <row r="263" spans="1:10">
      <c r="A263" s="39">
        <f t="shared" si="9"/>
        <v>53</v>
      </c>
      <c r="B263" s="42" t="str">
        <f t="shared" si="10"/>
        <v>W1</v>
      </c>
      <c r="C263" s="43" t="str" cm="1">
        <f t="array" aca="1" ref="C263" ca="1">INDIRECT(ADDRESS($A263,C$4,,,$B263))</f>
        <v>Shoppers Stop Ltd</v>
      </c>
      <c r="D263" s="43" t="str" cm="1">
        <f t="array" aca="1" ref="D263" ca="1">INDIRECT(ADDRESS($A263,D$4,,,$B263))</f>
        <v>External</v>
      </c>
      <c r="E263" s="43" t="str" cm="1">
        <f t="array" aca="1" ref="E263" ca="1">INDIRECT(ADDRESS($A263,E$4,,,$B263))</f>
        <v>Tom Ford</v>
      </c>
      <c r="F263" s="43" t="str" cm="1">
        <f t="array" aca="1" ref="F263" ca="1">INDIRECT(ADDRESS($A263,F$4,,,$B263))</f>
        <v>Shopfitting</v>
      </c>
      <c r="G263" s="43" cm="1">
        <f t="array" aca="1" ref="G263" ca="1">INDIRECT(ADDRESS($A263,G$4,,,$B263))</f>
        <v>0</v>
      </c>
      <c r="H263" s="43" cm="1">
        <f t="array" aca="1" ref="H263" ca="1">INDIRECT(ADDRESS($A263,H$4,,,$B263))</f>
        <v>18.2157707</v>
      </c>
      <c r="I263" s="43" cm="1">
        <f t="array" aca="1" ref="I263" ca="1">INDIRECT(ADDRESS($A263,I$4,,,$B263))</f>
        <v>18.2157707</v>
      </c>
      <c r="J263" s="43" cm="1">
        <f t="array" aca="1" ref="J263" ca="1">INDIRECT(ADDRESS($A263,J$4,,,$B263))</f>
        <v>0</v>
      </c>
    </row>
    <row r="264" spans="1:10">
      <c r="A264" s="39">
        <f t="shared" si="9"/>
        <v>54</v>
      </c>
      <c r="B264" s="42" t="str">
        <f t="shared" si="10"/>
        <v>W1</v>
      </c>
      <c r="C264" s="43" cm="1">
        <f t="array" aca="1" ref="C264" ca="1">INDIRECT(ADDRESS($A264,C$4,,,$B264))</f>
        <v>0</v>
      </c>
      <c r="D264" s="43" cm="1">
        <f t="array" aca="1" ref="D264" ca="1">INDIRECT(ADDRESS($A264,D$4,,,$B264))</f>
        <v>0</v>
      </c>
      <c r="E264" s="43" cm="1">
        <f t="array" aca="1" ref="E264" ca="1">INDIRECT(ADDRESS($A264,E$4,,,$B264))</f>
        <v>0</v>
      </c>
      <c r="F264" s="43" cm="1">
        <f t="array" aca="1" ref="F264" ca="1">INDIRECT(ADDRESS($A264,F$4,,,$B264))</f>
        <v>0</v>
      </c>
      <c r="G264" s="43" cm="1">
        <f t="array" aca="1" ref="G264" ca="1">INDIRECT(ADDRESS($A264,G$4,,,$B264))</f>
        <v>0</v>
      </c>
      <c r="H264" s="43" cm="1">
        <f t="array" aca="1" ref="H264" ca="1">INDIRECT(ADDRESS($A264,H$4,,,$B264))</f>
        <v>0</v>
      </c>
      <c r="I264" s="43" cm="1">
        <f t="array" aca="1" ref="I264" ca="1">INDIRECT(ADDRESS($A264,I$4,,,$B264))</f>
        <v>0</v>
      </c>
      <c r="J264" s="43" cm="1">
        <f t="array" aca="1" ref="J264" ca="1">INDIRECT(ADDRESS($A264,J$4,,,$B264))</f>
        <v>0</v>
      </c>
    </row>
    <row r="265" spans="1:10">
      <c r="A265" s="39">
        <f t="shared" si="9"/>
        <v>55</v>
      </c>
      <c r="B265" s="42" t="str">
        <f t="shared" si="10"/>
        <v>W1</v>
      </c>
      <c r="C265" s="43" cm="1">
        <f t="array" aca="1" ref="C265" ca="1">INDIRECT(ADDRESS($A265,C$4,,,$B265))</f>
        <v>0</v>
      </c>
      <c r="D265" s="43" cm="1">
        <f t="array" aca="1" ref="D265" ca="1">INDIRECT(ADDRESS($A265,D$4,,,$B265))</f>
        <v>0</v>
      </c>
      <c r="E265" s="43" cm="1">
        <f t="array" aca="1" ref="E265" ca="1">INDIRECT(ADDRESS($A265,E$4,,,$B265))</f>
        <v>0</v>
      </c>
      <c r="F265" s="43" cm="1">
        <f t="array" aca="1" ref="F265" ca="1">INDIRECT(ADDRESS($A265,F$4,,,$B265))</f>
        <v>0</v>
      </c>
      <c r="G265" s="43" cm="1">
        <f t="array" aca="1" ref="G265" ca="1">INDIRECT(ADDRESS($A265,G$4,,,$B265))</f>
        <v>0</v>
      </c>
      <c r="H265" s="43" cm="1">
        <f t="array" aca="1" ref="H265" ca="1">INDIRECT(ADDRESS($A265,H$4,,,$B265))</f>
        <v>0</v>
      </c>
      <c r="I265" s="43" cm="1">
        <f t="array" aca="1" ref="I265" ca="1">INDIRECT(ADDRESS($A265,I$4,,,$B265))</f>
        <v>0</v>
      </c>
      <c r="J265" s="43" cm="1">
        <f t="array" aca="1" ref="J265" ca="1">INDIRECT(ADDRESS($A265,J$4,,,$B265))</f>
        <v>0</v>
      </c>
    </row>
    <row r="266" spans="1:10">
      <c r="A266" s="39">
        <f t="shared" si="9"/>
        <v>56</v>
      </c>
      <c r="B266" s="42" t="str">
        <f t="shared" si="10"/>
        <v>W1</v>
      </c>
      <c r="C266" s="43" cm="1">
        <f t="array" aca="1" ref="C266" ca="1">INDIRECT(ADDRESS($A266,C$4,,,$B266))</f>
        <v>0</v>
      </c>
      <c r="D266" s="43" cm="1">
        <f t="array" aca="1" ref="D266" ca="1">INDIRECT(ADDRESS($A266,D$4,,,$B266))</f>
        <v>0</v>
      </c>
      <c r="E266" s="43" cm="1">
        <f t="array" aca="1" ref="E266" ca="1">INDIRECT(ADDRESS($A266,E$4,,,$B266))</f>
        <v>0</v>
      </c>
      <c r="F266" s="43" cm="1">
        <f t="array" aca="1" ref="F266" ca="1">INDIRECT(ADDRESS($A266,F$4,,,$B266))</f>
        <v>0</v>
      </c>
      <c r="G266" s="43" cm="1">
        <f t="array" aca="1" ref="G266" ca="1">INDIRECT(ADDRESS($A266,G$4,,,$B266))</f>
        <v>0</v>
      </c>
      <c r="H266" s="43" cm="1">
        <f t="array" aca="1" ref="H266" ca="1">INDIRECT(ADDRESS($A266,H$4,,,$B266))</f>
        <v>0</v>
      </c>
      <c r="I266" s="43" cm="1">
        <f t="array" aca="1" ref="I266" ca="1">INDIRECT(ADDRESS($A266,I$4,,,$B266))</f>
        <v>0</v>
      </c>
      <c r="J266" s="43" cm="1">
        <f t="array" aca="1" ref="J266" ca="1">INDIRECT(ADDRESS($A266,J$4,,,$B266))</f>
        <v>0</v>
      </c>
    </row>
    <row r="267" spans="1:10">
      <c r="A267" s="39">
        <f t="shared" si="9"/>
        <v>57</v>
      </c>
      <c r="B267" s="42" t="str">
        <f t="shared" si="10"/>
        <v>W1</v>
      </c>
      <c r="C267" s="43" cm="1">
        <f t="array" aca="1" ref="C267" ca="1">INDIRECT(ADDRESS($A267,C$4,,,$B267))</f>
        <v>0</v>
      </c>
      <c r="D267" s="43" cm="1">
        <f t="array" aca="1" ref="D267" ca="1">INDIRECT(ADDRESS($A267,D$4,,,$B267))</f>
        <v>0</v>
      </c>
      <c r="E267" s="43" cm="1">
        <f t="array" aca="1" ref="E267" ca="1">INDIRECT(ADDRESS($A267,E$4,,,$B267))</f>
        <v>0</v>
      </c>
      <c r="F267" s="43" cm="1">
        <f t="array" aca="1" ref="F267" ca="1">INDIRECT(ADDRESS($A267,F$4,,,$B267))</f>
        <v>0</v>
      </c>
      <c r="G267" s="43" cm="1">
        <f t="array" aca="1" ref="G267" ca="1">INDIRECT(ADDRESS($A267,G$4,,,$B267))</f>
        <v>0</v>
      </c>
      <c r="H267" s="43" cm="1">
        <f t="array" aca="1" ref="H267" ca="1">INDIRECT(ADDRESS($A267,H$4,,,$B267))</f>
        <v>0</v>
      </c>
      <c r="I267" s="43" cm="1">
        <f t="array" aca="1" ref="I267" ca="1">INDIRECT(ADDRESS($A267,I$4,,,$B267))</f>
        <v>0</v>
      </c>
      <c r="J267" s="43" cm="1">
        <f t="array" aca="1" ref="J267" ca="1">INDIRECT(ADDRESS($A267,J$4,,,$B267))</f>
        <v>0</v>
      </c>
    </row>
    <row r="268" spans="1:10">
      <c r="A268" s="39">
        <f t="shared" si="9"/>
        <v>58</v>
      </c>
      <c r="B268" s="42" t="str">
        <f t="shared" si="10"/>
        <v>W1</v>
      </c>
      <c r="C268" s="43" cm="1">
        <f t="array" aca="1" ref="C268" ca="1">INDIRECT(ADDRESS($A268,C$4,,,$B268))</f>
        <v>0</v>
      </c>
      <c r="D268" s="43" cm="1">
        <f t="array" aca="1" ref="D268" ca="1">INDIRECT(ADDRESS($A268,D$4,,,$B268))</f>
        <v>0</v>
      </c>
      <c r="E268" s="43" cm="1">
        <f t="array" aca="1" ref="E268" ca="1">INDIRECT(ADDRESS($A268,E$4,,,$B268))</f>
        <v>0</v>
      </c>
      <c r="F268" s="43" cm="1">
        <f t="array" aca="1" ref="F268" ca="1">INDIRECT(ADDRESS($A268,F$4,,,$B268))</f>
        <v>0</v>
      </c>
      <c r="G268" s="43" cm="1">
        <f t="array" aca="1" ref="G268" ca="1">INDIRECT(ADDRESS($A268,G$4,,,$B268))</f>
        <v>0</v>
      </c>
      <c r="H268" s="43" cm="1">
        <f t="array" aca="1" ref="H268" ca="1">INDIRECT(ADDRESS($A268,H$4,,,$B268))</f>
        <v>0</v>
      </c>
      <c r="I268" s="43" cm="1">
        <f t="array" aca="1" ref="I268" ca="1">INDIRECT(ADDRESS($A268,I$4,,,$B268))</f>
        <v>0</v>
      </c>
      <c r="J268" s="43" cm="1">
        <f t="array" aca="1" ref="J268" ca="1">INDIRECT(ADDRESS($A268,J$4,,,$B268))</f>
        <v>0</v>
      </c>
    </row>
    <row r="269" spans="1:10">
      <c r="A269" s="39">
        <f t="shared" si="9"/>
        <v>59</v>
      </c>
      <c r="B269" s="42" t="str">
        <f t="shared" si="10"/>
        <v>W1</v>
      </c>
      <c r="C269" s="43" cm="1">
        <f t="array" aca="1" ref="C269" ca="1">INDIRECT(ADDRESS($A269,C$4,,,$B269))</f>
        <v>0</v>
      </c>
      <c r="D269" s="43" cm="1">
        <f t="array" aca="1" ref="D269" ca="1">INDIRECT(ADDRESS($A269,D$4,,,$B269))</f>
        <v>0</v>
      </c>
      <c r="E269" s="43" cm="1">
        <f t="array" aca="1" ref="E269" ca="1">INDIRECT(ADDRESS($A269,E$4,,,$B269))</f>
        <v>0</v>
      </c>
      <c r="F269" s="43" cm="1">
        <f t="array" aca="1" ref="F269" ca="1">INDIRECT(ADDRESS($A269,F$4,,,$B269))</f>
        <v>0</v>
      </c>
      <c r="G269" s="43" cm="1">
        <f t="array" aca="1" ref="G269" ca="1">INDIRECT(ADDRESS($A269,G$4,,,$B269))</f>
        <v>0</v>
      </c>
      <c r="H269" s="43" cm="1">
        <f t="array" aca="1" ref="H269" ca="1">INDIRECT(ADDRESS($A269,H$4,,,$B269))</f>
        <v>0</v>
      </c>
      <c r="I269" s="43" cm="1">
        <f t="array" aca="1" ref="I269" ca="1">INDIRECT(ADDRESS($A269,I$4,,,$B269))</f>
        <v>0</v>
      </c>
      <c r="J269" s="43" cm="1">
        <f t="array" aca="1" ref="J269" ca="1">INDIRECT(ADDRESS($A269,J$4,,,$B269))</f>
        <v>0</v>
      </c>
    </row>
    <row r="270" spans="1:10">
      <c r="A270" s="39">
        <f t="shared" si="9"/>
        <v>60</v>
      </c>
      <c r="B270" s="42" t="str">
        <f t="shared" si="10"/>
        <v>W1</v>
      </c>
      <c r="C270" s="43" cm="1">
        <f t="array" aca="1" ref="C270" ca="1">INDIRECT(ADDRESS($A270,C$4,,,$B270))</f>
        <v>0</v>
      </c>
      <c r="D270" s="43" cm="1">
        <f t="array" aca="1" ref="D270" ca="1">INDIRECT(ADDRESS($A270,D$4,,,$B270))</f>
        <v>0</v>
      </c>
      <c r="E270" s="43" cm="1">
        <f t="array" aca="1" ref="E270" ca="1">INDIRECT(ADDRESS($A270,E$4,,,$B270))</f>
        <v>0</v>
      </c>
      <c r="F270" s="43" cm="1">
        <f t="array" aca="1" ref="F270" ca="1">INDIRECT(ADDRESS($A270,F$4,,,$B270))</f>
        <v>0</v>
      </c>
      <c r="G270" s="43" cm="1">
        <f t="array" aca="1" ref="G270" ca="1">INDIRECT(ADDRESS($A270,G$4,,,$B270))</f>
        <v>0</v>
      </c>
      <c r="H270" s="43" cm="1">
        <f t="array" aca="1" ref="H270" ca="1">INDIRECT(ADDRESS($A270,H$4,,,$B270))</f>
        <v>0</v>
      </c>
      <c r="I270" s="43" cm="1">
        <f t="array" aca="1" ref="I270" ca="1">INDIRECT(ADDRESS($A270,I$4,,,$B270))</f>
        <v>0</v>
      </c>
      <c r="J270" s="43" cm="1">
        <f t="array" aca="1" ref="J270" ca="1">INDIRECT(ADDRESS($A270,J$4,,,$B270))</f>
        <v>0</v>
      </c>
    </row>
    <row r="271" spans="1:10">
      <c r="A271" s="39">
        <f t="shared" si="9"/>
        <v>61</v>
      </c>
      <c r="B271" s="42" t="str">
        <f t="shared" si="10"/>
        <v>W1</v>
      </c>
      <c r="C271" s="43" cm="1">
        <f t="array" aca="1" ref="C271" ca="1">INDIRECT(ADDRESS($A271,C$4,,,$B271))</f>
        <v>0</v>
      </c>
      <c r="D271" s="43" cm="1">
        <f t="array" aca="1" ref="D271" ca="1">INDIRECT(ADDRESS($A271,D$4,,,$B271))</f>
        <v>0</v>
      </c>
      <c r="E271" s="43" cm="1">
        <f t="array" aca="1" ref="E271" ca="1">INDIRECT(ADDRESS($A271,E$4,,,$B271))</f>
        <v>0</v>
      </c>
      <c r="F271" s="43" cm="1">
        <f t="array" aca="1" ref="F271" ca="1">INDIRECT(ADDRESS($A271,F$4,,,$B271))</f>
        <v>0</v>
      </c>
      <c r="G271" s="43" cm="1">
        <f t="array" aca="1" ref="G271" ca="1">INDIRECT(ADDRESS($A271,G$4,,,$B271))</f>
        <v>0</v>
      </c>
      <c r="H271" s="43" cm="1">
        <f t="array" aca="1" ref="H271" ca="1">INDIRECT(ADDRESS($A271,H$4,,,$B271))</f>
        <v>0</v>
      </c>
      <c r="I271" s="43" cm="1">
        <f t="array" aca="1" ref="I271" ca="1">INDIRECT(ADDRESS($A271,I$4,,,$B271))</f>
        <v>0</v>
      </c>
      <c r="J271" s="43" cm="1">
        <f t="array" aca="1" ref="J271" ca="1">INDIRECT(ADDRESS($A271,J$4,,,$B271))</f>
        <v>0</v>
      </c>
    </row>
    <row r="272" spans="1:10">
      <c r="A272" s="39">
        <f t="shared" si="9"/>
        <v>62</v>
      </c>
      <c r="B272" s="42" t="str">
        <f t="shared" si="10"/>
        <v>W1</v>
      </c>
      <c r="C272" s="43" cm="1">
        <f t="array" aca="1" ref="C272" ca="1">INDIRECT(ADDRESS($A272,C$4,,,$B272))</f>
        <v>0</v>
      </c>
      <c r="D272" s="43" cm="1">
        <f t="array" aca="1" ref="D272" ca="1">INDIRECT(ADDRESS($A272,D$4,,,$B272))</f>
        <v>0</v>
      </c>
      <c r="E272" s="43" cm="1">
        <f t="array" aca="1" ref="E272" ca="1">INDIRECT(ADDRESS($A272,E$4,,,$B272))</f>
        <v>0</v>
      </c>
      <c r="F272" s="43" cm="1">
        <f t="array" aca="1" ref="F272" ca="1">INDIRECT(ADDRESS($A272,F$4,,,$B272))</f>
        <v>0</v>
      </c>
      <c r="G272" s="43" cm="1">
        <f t="array" aca="1" ref="G272" ca="1">INDIRECT(ADDRESS($A272,G$4,,,$B272))</f>
        <v>0</v>
      </c>
      <c r="H272" s="43" cm="1">
        <f t="array" aca="1" ref="H272" ca="1">INDIRECT(ADDRESS($A272,H$4,,,$B272))</f>
        <v>0</v>
      </c>
      <c r="I272" s="43" cm="1">
        <f t="array" aca="1" ref="I272" ca="1">INDIRECT(ADDRESS($A272,I$4,,,$B272))</f>
        <v>0</v>
      </c>
      <c r="J272" s="43" cm="1">
        <f t="array" aca="1" ref="J272" ca="1">INDIRECT(ADDRESS($A272,J$4,,,$B272))</f>
        <v>0</v>
      </c>
    </row>
    <row r="273" spans="1:10">
      <c r="A273" s="39">
        <f t="shared" si="9"/>
        <v>63</v>
      </c>
      <c r="B273" s="42" t="str">
        <f t="shared" si="10"/>
        <v>W1</v>
      </c>
      <c r="C273" s="43" cm="1">
        <f t="array" aca="1" ref="C273" ca="1">INDIRECT(ADDRESS($A273,C$4,,,$B273))</f>
        <v>0</v>
      </c>
      <c r="D273" s="43" cm="1">
        <f t="array" aca="1" ref="D273" ca="1">INDIRECT(ADDRESS($A273,D$4,,,$B273))</f>
        <v>0</v>
      </c>
      <c r="E273" s="43" cm="1">
        <f t="array" aca="1" ref="E273" ca="1">INDIRECT(ADDRESS($A273,E$4,,,$B273))</f>
        <v>0</v>
      </c>
      <c r="F273" s="43" cm="1">
        <f t="array" aca="1" ref="F273" ca="1">INDIRECT(ADDRESS($A273,F$4,,,$B273))</f>
        <v>0</v>
      </c>
      <c r="G273" s="43" cm="1">
        <f t="array" aca="1" ref="G273" ca="1">INDIRECT(ADDRESS($A273,G$4,,,$B273))</f>
        <v>0</v>
      </c>
      <c r="H273" s="43" cm="1">
        <f t="array" aca="1" ref="H273" ca="1">INDIRECT(ADDRESS($A273,H$4,,,$B273))</f>
        <v>0</v>
      </c>
      <c r="I273" s="43" cm="1">
        <f t="array" aca="1" ref="I273" ca="1">INDIRECT(ADDRESS($A273,I$4,,,$B273))</f>
        <v>0</v>
      </c>
      <c r="J273" s="43" cm="1">
        <f t="array" aca="1" ref="J273" ca="1">INDIRECT(ADDRESS($A273,J$4,,,$B273))</f>
        <v>0</v>
      </c>
    </row>
    <row r="274" spans="1:10">
      <c r="A274" s="39">
        <f t="shared" si="9"/>
        <v>64</v>
      </c>
      <c r="B274" s="42" t="str">
        <f t="shared" si="10"/>
        <v>W1</v>
      </c>
      <c r="C274" s="43" cm="1">
        <f t="array" aca="1" ref="C274" ca="1">INDIRECT(ADDRESS($A274,C$4,,,$B274))</f>
        <v>0</v>
      </c>
      <c r="D274" s="43" cm="1">
        <f t="array" aca="1" ref="D274" ca="1">INDIRECT(ADDRESS($A274,D$4,,,$B274))</f>
        <v>0</v>
      </c>
      <c r="E274" s="43" cm="1">
        <f t="array" aca="1" ref="E274" ca="1">INDIRECT(ADDRESS($A274,E$4,,,$B274))</f>
        <v>0</v>
      </c>
      <c r="F274" s="43" cm="1">
        <f t="array" aca="1" ref="F274" ca="1">INDIRECT(ADDRESS($A274,F$4,,,$B274))</f>
        <v>0</v>
      </c>
      <c r="G274" s="43" cm="1">
        <f t="array" aca="1" ref="G274" ca="1">INDIRECT(ADDRESS($A274,G$4,,,$B274))</f>
        <v>0</v>
      </c>
      <c r="H274" s="43" cm="1">
        <f t="array" aca="1" ref="H274" ca="1">INDIRECT(ADDRESS($A274,H$4,,,$B274))</f>
        <v>0</v>
      </c>
      <c r="I274" s="43" cm="1">
        <f t="array" aca="1" ref="I274" ca="1">INDIRECT(ADDRESS($A274,I$4,,,$B274))</f>
        <v>0</v>
      </c>
      <c r="J274" s="43" cm="1">
        <f t="array" aca="1" ref="J274" ca="1">INDIRECT(ADDRESS($A274,J$4,,,$B274))</f>
        <v>0</v>
      </c>
    </row>
    <row r="275" spans="1:10">
      <c r="A275" s="39">
        <f t="shared" si="9"/>
        <v>65</v>
      </c>
      <c r="B275" s="42" t="str">
        <f t="shared" si="10"/>
        <v>W1</v>
      </c>
      <c r="C275" s="43" cm="1">
        <f t="array" aca="1" ref="C275" ca="1">INDIRECT(ADDRESS($A275,C$4,,,$B275))</f>
        <v>0</v>
      </c>
      <c r="D275" s="43" cm="1">
        <f t="array" aca="1" ref="D275" ca="1">INDIRECT(ADDRESS($A275,D$4,,,$B275))</f>
        <v>0</v>
      </c>
      <c r="E275" s="43" cm="1">
        <f t="array" aca="1" ref="E275" ca="1">INDIRECT(ADDRESS($A275,E$4,,,$B275))</f>
        <v>0</v>
      </c>
      <c r="F275" s="43" cm="1">
        <f t="array" aca="1" ref="F275" ca="1">INDIRECT(ADDRESS($A275,F$4,,,$B275))</f>
        <v>0</v>
      </c>
      <c r="G275" s="43" cm="1">
        <f t="array" aca="1" ref="G275" ca="1">INDIRECT(ADDRESS($A275,G$4,,,$B275))</f>
        <v>0</v>
      </c>
      <c r="H275" s="43" cm="1">
        <f t="array" aca="1" ref="H275" ca="1">INDIRECT(ADDRESS($A275,H$4,,,$B275))</f>
        <v>0</v>
      </c>
      <c r="I275" s="43" cm="1">
        <f t="array" aca="1" ref="I275" ca="1">INDIRECT(ADDRESS($A275,I$4,,,$B275))</f>
        <v>0</v>
      </c>
      <c r="J275" s="43" cm="1">
        <f t="array" aca="1" ref="J275" ca="1">INDIRECT(ADDRESS($A275,J$4,,,$B275))</f>
        <v>0</v>
      </c>
    </row>
    <row r="276" spans="1:10">
      <c r="A276" s="39">
        <f t="shared" si="9"/>
        <v>66</v>
      </c>
      <c r="B276" s="42" t="str">
        <f t="shared" si="10"/>
        <v>W1</v>
      </c>
      <c r="C276" s="43" cm="1">
        <f t="array" aca="1" ref="C276" ca="1">INDIRECT(ADDRESS($A276,C$4,,,$B276))</f>
        <v>0</v>
      </c>
      <c r="D276" s="43" cm="1">
        <f t="array" aca="1" ref="D276" ca="1">INDIRECT(ADDRESS($A276,D$4,,,$B276))</f>
        <v>0</v>
      </c>
      <c r="E276" s="43" cm="1">
        <f t="array" aca="1" ref="E276" ca="1">INDIRECT(ADDRESS($A276,E$4,,,$B276))</f>
        <v>0</v>
      </c>
      <c r="F276" s="43" cm="1">
        <f t="array" aca="1" ref="F276" ca="1">INDIRECT(ADDRESS($A276,F$4,,,$B276))</f>
        <v>0</v>
      </c>
      <c r="G276" s="43" cm="1">
        <f t="array" aca="1" ref="G276" ca="1">INDIRECT(ADDRESS($A276,G$4,,,$B276))</f>
        <v>0</v>
      </c>
      <c r="H276" s="43" cm="1">
        <f t="array" aca="1" ref="H276" ca="1">INDIRECT(ADDRESS($A276,H$4,,,$B276))</f>
        <v>0</v>
      </c>
      <c r="I276" s="43" cm="1">
        <f t="array" aca="1" ref="I276" ca="1">INDIRECT(ADDRESS($A276,I$4,,,$B276))</f>
        <v>0</v>
      </c>
      <c r="J276" s="43" cm="1">
        <f t="array" aca="1" ref="J276" ca="1">INDIRECT(ADDRESS($A276,J$4,,,$B276))</f>
        <v>0</v>
      </c>
    </row>
    <row r="277" spans="1:10">
      <c r="A277" s="39">
        <f t="shared" si="9"/>
        <v>67</v>
      </c>
      <c r="B277" s="42" t="str">
        <f t="shared" si="10"/>
        <v>W1</v>
      </c>
      <c r="C277" s="43" cm="1">
        <f t="array" aca="1" ref="C277" ca="1">INDIRECT(ADDRESS($A277,C$4,,,$B277))</f>
        <v>0</v>
      </c>
      <c r="D277" s="43" cm="1">
        <f t="array" aca="1" ref="D277" ca="1">INDIRECT(ADDRESS($A277,D$4,,,$B277))</f>
        <v>0</v>
      </c>
      <c r="E277" s="43" cm="1">
        <f t="array" aca="1" ref="E277" ca="1">INDIRECT(ADDRESS($A277,E$4,,,$B277))</f>
        <v>0</v>
      </c>
      <c r="F277" s="43" cm="1">
        <f t="array" aca="1" ref="F277" ca="1">INDIRECT(ADDRESS($A277,F$4,,,$B277))</f>
        <v>0</v>
      </c>
      <c r="G277" s="43" cm="1">
        <f t="array" aca="1" ref="G277" ca="1">INDIRECT(ADDRESS($A277,G$4,,,$B277))</f>
        <v>0</v>
      </c>
      <c r="H277" s="43" cm="1">
        <f t="array" aca="1" ref="H277" ca="1">INDIRECT(ADDRESS($A277,H$4,,,$B277))</f>
        <v>0</v>
      </c>
      <c r="I277" s="43" cm="1">
        <f t="array" aca="1" ref="I277" ca="1">INDIRECT(ADDRESS($A277,I$4,,,$B277))</f>
        <v>0</v>
      </c>
      <c r="J277" s="43" cm="1">
        <f t="array" aca="1" ref="J277" ca="1">INDIRECT(ADDRESS($A277,J$4,,,$B277))</f>
        <v>0</v>
      </c>
    </row>
    <row r="278" spans="1:10">
      <c r="A278" s="39">
        <f t="shared" si="9"/>
        <v>68</v>
      </c>
      <c r="B278" s="42" t="str">
        <f t="shared" si="10"/>
        <v>W1</v>
      </c>
      <c r="C278" s="43" cm="1">
        <f t="array" aca="1" ref="C278" ca="1">INDIRECT(ADDRESS($A278,C$4,,,$B278))</f>
        <v>0</v>
      </c>
      <c r="D278" s="43" cm="1">
        <f t="array" aca="1" ref="D278" ca="1">INDIRECT(ADDRESS($A278,D$4,,,$B278))</f>
        <v>0</v>
      </c>
      <c r="E278" s="43" cm="1">
        <f t="array" aca="1" ref="E278" ca="1">INDIRECT(ADDRESS($A278,E$4,,,$B278))</f>
        <v>0</v>
      </c>
      <c r="F278" s="43" cm="1">
        <f t="array" aca="1" ref="F278" ca="1">INDIRECT(ADDRESS($A278,F$4,,,$B278))</f>
        <v>0</v>
      </c>
      <c r="G278" s="43" cm="1">
        <f t="array" aca="1" ref="G278" ca="1">INDIRECT(ADDRESS($A278,G$4,,,$B278))</f>
        <v>0</v>
      </c>
      <c r="H278" s="43" cm="1">
        <f t="array" aca="1" ref="H278" ca="1">INDIRECT(ADDRESS($A278,H$4,,,$B278))</f>
        <v>0</v>
      </c>
      <c r="I278" s="43" cm="1">
        <f t="array" aca="1" ref="I278" ca="1">INDIRECT(ADDRESS($A278,I$4,,,$B278))</f>
        <v>0</v>
      </c>
      <c r="J278" s="43" cm="1">
        <f t="array" aca="1" ref="J278" ca="1">INDIRECT(ADDRESS($A278,J$4,,,$B278))</f>
        <v>0</v>
      </c>
    </row>
    <row r="279" spans="1:10">
      <c r="A279" s="39">
        <f t="shared" si="9"/>
        <v>69</v>
      </c>
      <c r="B279" s="42" t="str">
        <f t="shared" si="10"/>
        <v>W1</v>
      </c>
      <c r="C279" s="43" cm="1">
        <f t="array" aca="1" ref="C279" ca="1">INDIRECT(ADDRESS($A279,C$4,,,$B279))</f>
        <v>0</v>
      </c>
      <c r="D279" s="43" cm="1">
        <f t="array" aca="1" ref="D279" ca="1">INDIRECT(ADDRESS($A279,D$4,,,$B279))</f>
        <v>0</v>
      </c>
      <c r="E279" s="43" cm="1">
        <f t="array" aca="1" ref="E279" ca="1">INDIRECT(ADDRESS($A279,E$4,,,$B279))</f>
        <v>0</v>
      </c>
      <c r="F279" s="43" cm="1">
        <f t="array" aca="1" ref="F279" ca="1">INDIRECT(ADDRESS($A279,F$4,,,$B279))</f>
        <v>0</v>
      </c>
      <c r="G279" s="43" cm="1">
        <f t="array" aca="1" ref="G279" ca="1">INDIRECT(ADDRESS($A279,G$4,,,$B279))</f>
        <v>0</v>
      </c>
      <c r="H279" s="43" cm="1">
        <f t="array" aca="1" ref="H279" ca="1">INDIRECT(ADDRESS($A279,H$4,,,$B279))</f>
        <v>0</v>
      </c>
      <c r="I279" s="43" cm="1">
        <f t="array" aca="1" ref="I279" ca="1">INDIRECT(ADDRESS($A279,I$4,,,$B279))</f>
        <v>0</v>
      </c>
      <c r="J279" s="43" cm="1">
        <f t="array" aca="1" ref="J279" ca="1">INDIRECT(ADDRESS($A279,J$4,,,$B279))</f>
        <v>0</v>
      </c>
    </row>
    <row r="280" spans="1:10">
      <c r="A280" s="39">
        <f t="shared" si="9"/>
        <v>70</v>
      </c>
      <c r="B280" s="42" t="str">
        <f t="shared" si="10"/>
        <v>W1</v>
      </c>
      <c r="C280" s="43" cm="1">
        <f t="array" aca="1" ref="C280" ca="1">INDIRECT(ADDRESS($A280,C$4,,,$B280))</f>
        <v>0</v>
      </c>
      <c r="D280" s="43" cm="1">
        <f t="array" aca="1" ref="D280" ca="1">INDIRECT(ADDRESS($A280,D$4,,,$B280))</f>
        <v>0</v>
      </c>
      <c r="E280" s="43" cm="1">
        <f t="array" aca="1" ref="E280" ca="1">INDIRECT(ADDRESS($A280,E$4,,,$B280))</f>
        <v>0</v>
      </c>
      <c r="F280" s="43" cm="1">
        <f t="array" aca="1" ref="F280" ca="1">INDIRECT(ADDRESS($A280,F$4,,,$B280))</f>
        <v>0</v>
      </c>
      <c r="G280" s="43" cm="1">
        <f t="array" aca="1" ref="G280" ca="1">INDIRECT(ADDRESS($A280,G$4,,,$B280))</f>
        <v>0</v>
      </c>
      <c r="H280" s="43" cm="1">
        <f t="array" aca="1" ref="H280" ca="1">INDIRECT(ADDRESS($A280,H$4,,,$B280))</f>
        <v>0</v>
      </c>
      <c r="I280" s="43" cm="1">
        <f t="array" aca="1" ref="I280" ca="1">INDIRECT(ADDRESS($A280,I$4,,,$B280))</f>
        <v>0</v>
      </c>
      <c r="J280" s="43" cm="1">
        <f t="array" aca="1" ref="J280" ca="1">INDIRECT(ADDRESS($A280,J$4,,,$B280))</f>
        <v>0</v>
      </c>
    </row>
    <row r="281" spans="1:10">
      <c r="A281" s="39">
        <f t="shared" si="9"/>
        <v>71</v>
      </c>
      <c r="B281" s="42" t="str">
        <f t="shared" si="10"/>
        <v>W1</v>
      </c>
      <c r="C281" s="43" cm="1">
        <f t="array" aca="1" ref="C281" ca="1">INDIRECT(ADDRESS($A281,C$4,,,$B281))</f>
        <v>0</v>
      </c>
      <c r="D281" s="43" cm="1">
        <f t="array" aca="1" ref="D281" ca="1">INDIRECT(ADDRESS($A281,D$4,,,$B281))</f>
        <v>0</v>
      </c>
      <c r="E281" s="43" cm="1">
        <f t="array" aca="1" ref="E281" ca="1">INDIRECT(ADDRESS($A281,E$4,,,$B281))</f>
        <v>0</v>
      </c>
      <c r="F281" s="43" cm="1">
        <f t="array" aca="1" ref="F281" ca="1">INDIRECT(ADDRESS($A281,F$4,,,$B281))</f>
        <v>0</v>
      </c>
      <c r="G281" s="43" cm="1">
        <f t="array" aca="1" ref="G281" ca="1">INDIRECT(ADDRESS($A281,G$4,,,$B281))</f>
        <v>0</v>
      </c>
      <c r="H281" s="43" cm="1">
        <f t="array" aca="1" ref="H281" ca="1">INDIRECT(ADDRESS($A281,H$4,,,$B281))</f>
        <v>0</v>
      </c>
      <c r="I281" s="43" cm="1">
        <f t="array" aca="1" ref="I281" ca="1">INDIRECT(ADDRESS($A281,I$4,,,$B281))</f>
        <v>0</v>
      </c>
      <c r="J281" s="43" cm="1">
        <f t="array" aca="1" ref="J281" ca="1">INDIRECT(ADDRESS($A281,J$4,,,$B281))</f>
        <v>0</v>
      </c>
    </row>
    <row r="282" spans="1:10">
      <c r="A282" s="39">
        <f t="shared" si="9"/>
        <v>72</v>
      </c>
      <c r="B282" s="42" t="str">
        <f t="shared" si="10"/>
        <v>W1</v>
      </c>
      <c r="C282" s="43" cm="1">
        <f t="array" aca="1" ref="C282" ca="1">INDIRECT(ADDRESS($A282,C$4,,,$B282))</f>
        <v>0</v>
      </c>
      <c r="D282" s="43" cm="1">
        <f t="array" aca="1" ref="D282" ca="1">INDIRECT(ADDRESS($A282,D$4,,,$B282))</f>
        <v>0</v>
      </c>
      <c r="E282" s="43" cm="1">
        <f t="array" aca="1" ref="E282" ca="1">INDIRECT(ADDRESS($A282,E$4,,,$B282))</f>
        <v>0</v>
      </c>
      <c r="F282" s="43" cm="1">
        <f t="array" aca="1" ref="F282" ca="1">INDIRECT(ADDRESS($A282,F$4,,,$B282))</f>
        <v>0</v>
      </c>
      <c r="G282" s="43" cm="1">
        <f t="array" aca="1" ref="G282" ca="1">INDIRECT(ADDRESS($A282,G$4,,,$B282))</f>
        <v>0</v>
      </c>
      <c r="H282" s="43" cm="1">
        <f t="array" aca="1" ref="H282" ca="1">INDIRECT(ADDRESS($A282,H$4,,,$B282))</f>
        <v>0</v>
      </c>
      <c r="I282" s="43" cm="1">
        <f t="array" aca="1" ref="I282" ca="1">INDIRECT(ADDRESS($A282,I$4,,,$B282))</f>
        <v>0</v>
      </c>
      <c r="J282" s="43" cm="1">
        <f t="array" aca="1" ref="J282" ca="1">INDIRECT(ADDRESS($A282,J$4,,,$B282))</f>
        <v>0</v>
      </c>
    </row>
    <row r="283" spans="1:10">
      <c r="A283" s="39">
        <f t="shared" si="9"/>
        <v>73</v>
      </c>
      <c r="B283" s="42" t="str">
        <f t="shared" si="10"/>
        <v>W1</v>
      </c>
      <c r="C283" s="43" cm="1">
        <f t="array" aca="1" ref="C283" ca="1">INDIRECT(ADDRESS($A283,C$4,,,$B283))</f>
        <v>0</v>
      </c>
      <c r="D283" s="43" cm="1">
        <f t="array" aca="1" ref="D283" ca="1">INDIRECT(ADDRESS($A283,D$4,,,$B283))</f>
        <v>0</v>
      </c>
      <c r="E283" s="43" cm="1">
        <f t="array" aca="1" ref="E283" ca="1">INDIRECT(ADDRESS($A283,E$4,,,$B283))</f>
        <v>0</v>
      </c>
      <c r="F283" s="43" cm="1">
        <f t="array" aca="1" ref="F283" ca="1">INDIRECT(ADDRESS($A283,F$4,,,$B283))</f>
        <v>0</v>
      </c>
      <c r="G283" s="43" cm="1">
        <f t="array" aca="1" ref="G283" ca="1">INDIRECT(ADDRESS($A283,G$4,,,$B283))</f>
        <v>0</v>
      </c>
      <c r="H283" s="43" cm="1">
        <f t="array" aca="1" ref="H283" ca="1">INDIRECT(ADDRESS($A283,H$4,,,$B283))</f>
        <v>0</v>
      </c>
      <c r="I283" s="43" cm="1">
        <f t="array" aca="1" ref="I283" ca="1">INDIRECT(ADDRESS($A283,I$4,,,$B283))</f>
        <v>0</v>
      </c>
      <c r="J283" s="43" cm="1">
        <f t="array" aca="1" ref="J283" ca="1">INDIRECT(ADDRESS($A283,J$4,,,$B283))</f>
        <v>0</v>
      </c>
    </row>
    <row r="284" spans="1:10">
      <c r="A284" s="39">
        <f t="shared" si="9"/>
        <v>74</v>
      </c>
      <c r="B284" s="42" t="str">
        <f t="shared" si="10"/>
        <v>W1</v>
      </c>
      <c r="C284" s="43" cm="1">
        <f t="array" aca="1" ref="C284" ca="1">INDIRECT(ADDRESS($A284,C$4,,,$B284))</f>
        <v>0</v>
      </c>
      <c r="D284" s="43" cm="1">
        <f t="array" aca="1" ref="D284" ca="1">INDIRECT(ADDRESS($A284,D$4,,,$B284))</f>
        <v>0</v>
      </c>
      <c r="E284" s="43" cm="1">
        <f t="array" aca="1" ref="E284" ca="1">INDIRECT(ADDRESS($A284,E$4,,,$B284))</f>
        <v>0</v>
      </c>
      <c r="F284" s="43" cm="1">
        <f t="array" aca="1" ref="F284" ca="1">INDIRECT(ADDRESS($A284,F$4,,,$B284))</f>
        <v>0</v>
      </c>
      <c r="G284" s="43" cm="1">
        <f t="array" aca="1" ref="G284" ca="1">INDIRECT(ADDRESS($A284,G$4,,,$B284))</f>
        <v>0</v>
      </c>
      <c r="H284" s="43" cm="1">
        <f t="array" aca="1" ref="H284" ca="1">INDIRECT(ADDRESS($A284,H$4,,,$B284))</f>
        <v>0</v>
      </c>
      <c r="I284" s="43" cm="1">
        <f t="array" aca="1" ref="I284" ca="1">INDIRECT(ADDRESS($A284,I$4,,,$B284))</f>
        <v>0</v>
      </c>
      <c r="J284" s="43" cm="1">
        <f t="array" aca="1" ref="J284" ca="1">INDIRECT(ADDRESS($A284,J$4,,,$B284))</f>
        <v>0</v>
      </c>
    </row>
    <row r="285" spans="1:10">
      <c r="A285" s="39">
        <f t="shared" si="9"/>
        <v>75</v>
      </c>
      <c r="B285" s="42" t="str">
        <f t="shared" si="10"/>
        <v>W1</v>
      </c>
      <c r="C285" s="43" cm="1">
        <f t="array" aca="1" ref="C285" ca="1">INDIRECT(ADDRESS($A285,C$4,,,$B285))</f>
        <v>0</v>
      </c>
      <c r="D285" s="43" cm="1">
        <f t="array" aca="1" ref="D285" ca="1">INDIRECT(ADDRESS($A285,D$4,,,$B285))</f>
        <v>0</v>
      </c>
      <c r="E285" s="43" cm="1">
        <f t="array" aca="1" ref="E285" ca="1">INDIRECT(ADDRESS($A285,E$4,,,$B285))</f>
        <v>0</v>
      </c>
      <c r="F285" s="43" cm="1">
        <f t="array" aca="1" ref="F285" ca="1">INDIRECT(ADDRESS($A285,F$4,,,$B285))</f>
        <v>0</v>
      </c>
      <c r="G285" s="43" cm="1">
        <f t="array" aca="1" ref="G285" ca="1">INDIRECT(ADDRESS($A285,G$4,,,$B285))</f>
        <v>0</v>
      </c>
      <c r="H285" s="43" cm="1">
        <f t="array" aca="1" ref="H285" ca="1">INDIRECT(ADDRESS($A285,H$4,,,$B285))</f>
        <v>0</v>
      </c>
      <c r="I285" s="43" cm="1">
        <f t="array" aca="1" ref="I285" ca="1">INDIRECT(ADDRESS($A285,I$4,,,$B285))</f>
        <v>0</v>
      </c>
      <c r="J285" s="43" cm="1">
        <f t="array" aca="1" ref="J285" ca="1">INDIRECT(ADDRESS($A285,J$4,,,$B285))</f>
        <v>0</v>
      </c>
    </row>
    <row r="286" spans="1:10">
      <c r="A286" s="39">
        <f t="shared" si="9"/>
        <v>76</v>
      </c>
      <c r="B286" s="42" t="str">
        <f t="shared" si="10"/>
        <v>W1</v>
      </c>
      <c r="C286" s="43" cm="1">
        <f t="array" aca="1" ref="C286" ca="1">INDIRECT(ADDRESS($A286,C$4,,,$B286))</f>
        <v>0</v>
      </c>
      <c r="D286" s="43" cm="1">
        <f t="array" aca="1" ref="D286" ca="1">INDIRECT(ADDRESS($A286,D$4,,,$B286))</f>
        <v>0</v>
      </c>
      <c r="E286" s="43" cm="1">
        <f t="array" aca="1" ref="E286" ca="1">INDIRECT(ADDRESS($A286,E$4,,,$B286))</f>
        <v>0</v>
      </c>
      <c r="F286" s="43" cm="1">
        <f t="array" aca="1" ref="F286" ca="1">INDIRECT(ADDRESS($A286,F$4,,,$B286))</f>
        <v>0</v>
      </c>
      <c r="G286" s="43" cm="1">
        <f t="array" aca="1" ref="G286" ca="1">INDIRECT(ADDRESS($A286,G$4,,,$B286))</f>
        <v>0</v>
      </c>
      <c r="H286" s="43" cm="1">
        <f t="array" aca="1" ref="H286" ca="1">INDIRECT(ADDRESS($A286,H$4,,,$B286))</f>
        <v>0</v>
      </c>
      <c r="I286" s="43" cm="1">
        <f t="array" aca="1" ref="I286" ca="1">INDIRECT(ADDRESS($A286,I$4,,,$B286))</f>
        <v>0</v>
      </c>
      <c r="J286" s="43" cm="1">
        <f t="array" aca="1" ref="J286" ca="1">INDIRECT(ADDRESS($A286,J$4,,,$B286))</f>
        <v>0</v>
      </c>
    </row>
    <row r="287" spans="1:10">
      <c r="A287" s="39">
        <f t="shared" si="9"/>
        <v>77</v>
      </c>
      <c r="B287" s="42" t="str">
        <f t="shared" si="10"/>
        <v>W1</v>
      </c>
      <c r="C287" s="43" cm="1">
        <f t="array" aca="1" ref="C287" ca="1">INDIRECT(ADDRESS($A287,C$4,,,$B287))</f>
        <v>0</v>
      </c>
      <c r="D287" s="43" cm="1">
        <f t="array" aca="1" ref="D287" ca="1">INDIRECT(ADDRESS($A287,D$4,,,$B287))</f>
        <v>0</v>
      </c>
      <c r="E287" s="43" cm="1">
        <f t="array" aca="1" ref="E287" ca="1">INDIRECT(ADDRESS($A287,E$4,,,$B287))</f>
        <v>0</v>
      </c>
      <c r="F287" s="43" cm="1">
        <f t="array" aca="1" ref="F287" ca="1">INDIRECT(ADDRESS($A287,F$4,,,$B287))</f>
        <v>0</v>
      </c>
      <c r="G287" s="43" cm="1">
        <f t="array" aca="1" ref="G287" ca="1">INDIRECT(ADDRESS($A287,G$4,,,$B287))</f>
        <v>0</v>
      </c>
      <c r="H287" s="43" cm="1">
        <f t="array" aca="1" ref="H287" ca="1">INDIRECT(ADDRESS($A287,H$4,,,$B287))</f>
        <v>0</v>
      </c>
      <c r="I287" s="43" cm="1">
        <f t="array" aca="1" ref="I287" ca="1">INDIRECT(ADDRESS($A287,I$4,,,$B287))</f>
        <v>0</v>
      </c>
      <c r="J287" s="43" cm="1">
        <f t="array" aca="1" ref="J287" ca="1">INDIRECT(ADDRESS($A287,J$4,,,$B287))</f>
        <v>0</v>
      </c>
    </row>
    <row r="288" spans="1:10">
      <c r="A288" s="39">
        <f t="shared" si="9"/>
        <v>78</v>
      </c>
      <c r="B288" s="42" t="str">
        <f t="shared" si="10"/>
        <v>W1</v>
      </c>
      <c r="C288" s="43" cm="1">
        <f t="array" aca="1" ref="C288" ca="1">INDIRECT(ADDRESS($A288,C$4,,,$B288))</f>
        <v>0</v>
      </c>
      <c r="D288" s="43" cm="1">
        <f t="array" aca="1" ref="D288" ca="1">INDIRECT(ADDRESS($A288,D$4,,,$B288))</f>
        <v>0</v>
      </c>
      <c r="E288" s="43" cm="1">
        <f t="array" aca="1" ref="E288" ca="1">INDIRECT(ADDRESS($A288,E$4,,,$B288))</f>
        <v>0</v>
      </c>
      <c r="F288" s="43" cm="1">
        <f t="array" aca="1" ref="F288" ca="1">INDIRECT(ADDRESS($A288,F$4,,,$B288))</f>
        <v>0</v>
      </c>
      <c r="G288" s="43" cm="1">
        <f t="array" aca="1" ref="G288" ca="1">INDIRECT(ADDRESS($A288,G$4,,,$B288))</f>
        <v>0</v>
      </c>
      <c r="H288" s="43" cm="1">
        <f t="array" aca="1" ref="H288" ca="1">INDIRECT(ADDRESS($A288,H$4,,,$B288))</f>
        <v>0</v>
      </c>
      <c r="I288" s="43" cm="1">
        <f t="array" aca="1" ref="I288" ca="1">INDIRECT(ADDRESS($A288,I$4,,,$B288))</f>
        <v>0</v>
      </c>
      <c r="J288" s="43" cm="1">
        <f t="array" aca="1" ref="J288" ca="1">INDIRECT(ADDRESS($A288,J$4,,,$B288))</f>
        <v>0</v>
      </c>
    </row>
    <row r="289" spans="1:10">
      <c r="A289" s="39">
        <f t="shared" si="9"/>
        <v>79</v>
      </c>
      <c r="B289" s="42" t="str">
        <f t="shared" si="10"/>
        <v>W1</v>
      </c>
      <c r="C289" s="43" cm="1">
        <f t="array" aca="1" ref="C289" ca="1">INDIRECT(ADDRESS($A289,C$4,,,$B289))</f>
        <v>0</v>
      </c>
      <c r="D289" s="43" cm="1">
        <f t="array" aca="1" ref="D289" ca="1">INDIRECT(ADDRESS($A289,D$4,,,$B289))</f>
        <v>0</v>
      </c>
      <c r="E289" s="43" cm="1">
        <f t="array" aca="1" ref="E289" ca="1">INDIRECT(ADDRESS($A289,E$4,,,$B289))</f>
        <v>0</v>
      </c>
      <c r="F289" s="43" cm="1">
        <f t="array" aca="1" ref="F289" ca="1">INDIRECT(ADDRESS($A289,F$4,,,$B289))</f>
        <v>0</v>
      </c>
      <c r="G289" s="43" cm="1">
        <f t="array" aca="1" ref="G289" ca="1">INDIRECT(ADDRESS($A289,G$4,,,$B289))</f>
        <v>0</v>
      </c>
      <c r="H289" s="43" cm="1">
        <f t="array" aca="1" ref="H289" ca="1">INDIRECT(ADDRESS($A289,H$4,,,$B289))</f>
        <v>0</v>
      </c>
      <c r="I289" s="43" cm="1">
        <f t="array" aca="1" ref="I289" ca="1">INDIRECT(ADDRESS($A289,I$4,,,$B289))</f>
        <v>0</v>
      </c>
      <c r="J289" s="43" cm="1">
        <f t="array" aca="1" ref="J289" ca="1">INDIRECT(ADDRESS($A289,J$4,,,$B289))</f>
        <v>0</v>
      </c>
    </row>
    <row r="290" spans="1:10">
      <c r="A290" s="39">
        <f t="shared" si="9"/>
        <v>80</v>
      </c>
      <c r="B290" s="42" t="str">
        <f t="shared" si="10"/>
        <v>W1</v>
      </c>
      <c r="C290" s="43" cm="1">
        <f t="array" aca="1" ref="C290" ca="1">INDIRECT(ADDRESS($A290,C$4,,,$B290))</f>
        <v>0</v>
      </c>
      <c r="D290" s="43" cm="1">
        <f t="array" aca="1" ref="D290" ca="1">INDIRECT(ADDRESS($A290,D$4,,,$B290))</f>
        <v>0</v>
      </c>
      <c r="E290" s="43" cm="1">
        <f t="array" aca="1" ref="E290" ca="1">INDIRECT(ADDRESS($A290,E$4,,,$B290))</f>
        <v>0</v>
      </c>
      <c r="F290" s="43" cm="1">
        <f t="array" aca="1" ref="F290" ca="1">INDIRECT(ADDRESS($A290,F$4,,,$B290))</f>
        <v>0</v>
      </c>
      <c r="G290" s="43" cm="1">
        <f t="array" aca="1" ref="G290" ca="1">INDIRECT(ADDRESS($A290,G$4,,,$B290))</f>
        <v>0</v>
      </c>
      <c r="H290" s="43" cm="1">
        <f t="array" aca="1" ref="H290" ca="1">INDIRECT(ADDRESS($A290,H$4,,,$B290))</f>
        <v>0</v>
      </c>
      <c r="I290" s="43" cm="1">
        <f t="array" aca="1" ref="I290" ca="1">INDIRECT(ADDRESS($A290,I$4,,,$B290))</f>
        <v>0</v>
      </c>
      <c r="J290" s="43" cm="1">
        <f t="array" aca="1" ref="J290" ca="1">INDIRECT(ADDRESS($A290,J$4,,,$B290))</f>
        <v>0</v>
      </c>
    </row>
    <row r="291" spans="1:10">
      <c r="A291" s="39">
        <f t="shared" si="9"/>
        <v>81</v>
      </c>
      <c r="B291" s="42" t="str">
        <f t="shared" si="10"/>
        <v>W1</v>
      </c>
      <c r="C291" s="43" cm="1">
        <f t="array" aca="1" ref="C291" ca="1">INDIRECT(ADDRESS($A291,C$4,,,$B291))</f>
        <v>0</v>
      </c>
      <c r="D291" s="43" cm="1">
        <f t="array" aca="1" ref="D291" ca="1">INDIRECT(ADDRESS($A291,D$4,,,$B291))</f>
        <v>0</v>
      </c>
      <c r="E291" s="43" cm="1">
        <f t="array" aca="1" ref="E291" ca="1">INDIRECT(ADDRESS($A291,E$4,,,$B291))</f>
        <v>0</v>
      </c>
      <c r="F291" s="43" cm="1">
        <f t="array" aca="1" ref="F291" ca="1">INDIRECT(ADDRESS($A291,F$4,,,$B291))</f>
        <v>0</v>
      </c>
      <c r="G291" s="43" cm="1">
        <f t="array" aca="1" ref="G291" ca="1">INDIRECT(ADDRESS($A291,G$4,,,$B291))</f>
        <v>0</v>
      </c>
      <c r="H291" s="43" cm="1">
        <f t="array" aca="1" ref="H291" ca="1">INDIRECT(ADDRESS($A291,H$4,,,$B291))</f>
        <v>0</v>
      </c>
      <c r="I291" s="43" cm="1">
        <f t="array" aca="1" ref="I291" ca="1">INDIRECT(ADDRESS($A291,I$4,,,$B291))</f>
        <v>0</v>
      </c>
      <c r="J291" s="43" cm="1">
        <f t="array" aca="1" ref="J291" ca="1">INDIRECT(ADDRESS($A291,J$4,,,$B291))</f>
        <v>0</v>
      </c>
    </row>
    <row r="292" spans="1:10">
      <c r="A292" s="39">
        <f t="shared" si="9"/>
        <v>82</v>
      </c>
      <c r="B292" s="42" t="str">
        <f t="shared" si="10"/>
        <v>W1</v>
      </c>
      <c r="C292" s="43" cm="1">
        <f t="array" aca="1" ref="C292" ca="1">INDIRECT(ADDRESS($A292,C$4,,,$B292))</f>
        <v>0</v>
      </c>
      <c r="D292" s="43" cm="1">
        <f t="array" aca="1" ref="D292" ca="1">INDIRECT(ADDRESS($A292,D$4,,,$B292))</f>
        <v>0</v>
      </c>
      <c r="E292" s="43" cm="1">
        <f t="array" aca="1" ref="E292" ca="1">INDIRECT(ADDRESS($A292,E$4,,,$B292))</f>
        <v>0</v>
      </c>
      <c r="F292" s="43" cm="1">
        <f t="array" aca="1" ref="F292" ca="1">INDIRECT(ADDRESS($A292,F$4,,,$B292))</f>
        <v>0</v>
      </c>
      <c r="G292" s="43" cm="1">
        <f t="array" aca="1" ref="G292" ca="1">INDIRECT(ADDRESS($A292,G$4,,,$B292))</f>
        <v>0</v>
      </c>
      <c r="H292" s="43" cm="1">
        <f t="array" aca="1" ref="H292" ca="1">INDIRECT(ADDRESS($A292,H$4,,,$B292))</f>
        <v>0</v>
      </c>
      <c r="I292" s="43" cm="1">
        <f t="array" aca="1" ref="I292" ca="1">INDIRECT(ADDRESS($A292,I$4,,,$B292))</f>
        <v>0</v>
      </c>
      <c r="J292" s="43" cm="1">
        <f t="array" aca="1" ref="J292" ca="1">INDIRECT(ADDRESS($A292,J$4,,,$B292))</f>
        <v>0</v>
      </c>
    </row>
    <row r="293" spans="1:10">
      <c r="A293" s="39">
        <f t="shared" si="9"/>
        <v>83</v>
      </c>
      <c r="B293" s="42" t="str">
        <f t="shared" si="10"/>
        <v>W1</v>
      </c>
      <c r="C293" s="43" cm="1">
        <f t="array" aca="1" ref="C293" ca="1">INDIRECT(ADDRESS($A293,C$4,,,$B293))</f>
        <v>0</v>
      </c>
      <c r="D293" s="43" cm="1">
        <f t="array" aca="1" ref="D293" ca="1">INDIRECT(ADDRESS($A293,D$4,,,$B293))</f>
        <v>0</v>
      </c>
      <c r="E293" s="43" cm="1">
        <f t="array" aca="1" ref="E293" ca="1">INDIRECT(ADDRESS($A293,E$4,,,$B293))</f>
        <v>0</v>
      </c>
      <c r="F293" s="43" cm="1">
        <f t="array" aca="1" ref="F293" ca="1">INDIRECT(ADDRESS($A293,F$4,,,$B293))</f>
        <v>0</v>
      </c>
      <c r="G293" s="43" cm="1">
        <f t="array" aca="1" ref="G293" ca="1">INDIRECT(ADDRESS($A293,G$4,,,$B293))</f>
        <v>0</v>
      </c>
      <c r="H293" s="43" cm="1">
        <f t="array" aca="1" ref="H293" ca="1">INDIRECT(ADDRESS($A293,H$4,,,$B293))</f>
        <v>0</v>
      </c>
      <c r="I293" s="43" cm="1">
        <f t="array" aca="1" ref="I293" ca="1">INDIRECT(ADDRESS($A293,I$4,,,$B293))</f>
        <v>0</v>
      </c>
      <c r="J293" s="43" cm="1">
        <f t="array" aca="1" ref="J293" ca="1">INDIRECT(ADDRESS($A293,J$4,,,$B293))</f>
        <v>0</v>
      </c>
    </row>
    <row r="294" spans="1:10">
      <c r="A294" s="39">
        <f t="shared" si="9"/>
        <v>84</v>
      </c>
      <c r="B294" s="42" t="str">
        <f t="shared" si="10"/>
        <v>W1</v>
      </c>
      <c r="C294" s="43" cm="1">
        <f t="array" aca="1" ref="C294" ca="1">INDIRECT(ADDRESS($A294,C$4,,,$B294))</f>
        <v>0</v>
      </c>
      <c r="D294" s="43" cm="1">
        <f t="array" aca="1" ref="D294" ca="1">INDIRECT(ADDRESS($A294,D$4,,,$B294))</f>
        <v>0</v>
      </c>
      <c r="E294" s="43" cm="1">
        <f t="array" aca="1" ref="E294" ca="1">INDIRECT(ADDRESS($A294,E$4,,,$B294))</f>
        <v>0</v>
      </c>
      <c r="F294" s="43" cm="1">
        <f t="array" aca="1" ref="F294" ca="1">INDIRECT(ADDRESS($A294,F$4,,,$B294))</f>
        <v>0</v>
      </c>
      <c r="G294" s="43" cm="1">
        <f t="array" aca="1" ref="G294" ca="1">INDIRECT(ADDRESS($A294,G$4,,,$B294))</f>
        <v>0</v>
      </c>
      <c r="H294" s="43" cm="1">
        <f t="array" aca="1" ref="H294" ca="1">INDIRECT(ADDRESS($A294,H$4,,,$B294))</f>
        <v>0</v>
      </c>
      <c r="I294" s="43" cm="1">
        <f t="array" aca="1" ref="I294" ca="1">INDIRECT(ADDRESS($A294,I$4,,,$B294))</f>
        <v>0</v>
      </c>
      <c r="J294" s="43" cm="1">
        <f t="array" aca="1" ref="J294" ca="1">INDIRECT(ADDRESS($A294,J$4,,,$B294))</f>
        <v>0</v>
      </c>
    </row>
    <row r="295" spans="1:10">
      <c r="A295" s="39">
        <f t="shared" si="9"/>
        <v>85</v>
      </c>
      <c r="B295" s="42" t="str">
        <f t="shared" si="10"/>
        <v>W1</v>
      </c>
      <c r="C295" s="43" cm="1">
        <f t="array" aca="1" ref="C295" ca="1">INDIRECT(ADDRESS($A295,C$4,,,$B295))</f>
        <v>0</v>
      </c>
      <c r="D295" s="43" cm="1">
        <f t="array" aca="1" ref="D295" ca="1">INDIRECT(ADDRESS($A295,D$4,,,$B295))</f>
        <v>0</v>
      </c>
      <c r="E295" s="43" cm="1">
        <f t="array" aca="1" ref="E295" ca="1">INDIRECT(ADDRESS($A295,E$4,,,$B295))</f>
        <v>0</v>
      </c>
      <c r="F295" s="43" cm="1">
        <f t="array" aca="1" ref="F295" ca="1">INDIRECT(ADDRESS($A295,F$4,,,$B295))</f>
        <v>0</v>
      </c>
      <c r="G295" s="43" cm="1">
        <f t="array" aca="1" ref="G295" ca="1">INDIRECT(ADDRESS($A295,G$4,,,$B295))</f>
        <v>0</v>
      </c>
      <c r="H295" s="43" cm="1">
        <f t="array" aca="1" ref="H295" ca="1">INDIRECT(ADDRESS($A295,H$4,,,$B295))</f>
        <v>0</v>
      </c>
      <c r="I295" s="43" cm="1">
        <f t="array" aca="1" ref="I295" ca="1">INDIRECT(ADDRESS($A295,I$4,,,$B295))</f>
        <v>0</v>
      </c>
      <c r="J295" s="43" cm="1">
        <f t="array" aca="1" ref="J295" ca="1">INDIRECT(ADDRESS($A295,J$4,,,$B295))</f>
        <v>0</v>
      </c>
    </row>
    <row r="296" spans="1:10">
      <c r="A296" s="39">
        <f t="shared" si="9"/>
        <v>86</v>
      </c>
      <c r="B296" s="42" t="str">
        <f t="shared" si="10"/>
        <v>W1</v>
      </c>
      <c r="C296" s="43" cm="1">
        <f t="array" aca="1" ref="C296" ca="1">INDIRECT(ADDRESS($A296,C$4,,,$B296))</f>
        <v>0</v>
      </c>
      <c r="D296" s="43" cm="1">
        <f t="array" aca="1" ref="D296" ca="1">INDIRECT(ADDRESS($A296,D$4,,,$B296))</f>
        <v>0</v>
      </c>
      <c r="E296" s="43" cm="1">
        <f t="array" aca="1" ref="E296" ca="1">INDIRECT(ADDRESS($A296,E$4,,,$B296))</f>
        <v>0</v>
      </c>
      <c r="F296" s="43" cm="1">
        <f t="array" aca="1" ref="F296" ca="1">INDIRECT(ADDRESS($A296,F$4,,,$B296))</f>
        <v>0</v>
      </c>
      <c r="G296" s="43" cm="1">
        <f t="array" aca="1" ref="G296" ca="1">INDIRECT(ADDRESS($A296,G$4,,,$B296))</f>
        <v>0</v>
      </c>
      <c r="H296" s="43" cm="1">
        <f t="array" aca="1" ref="H296" ca="1">INDIRECT(ADDRESS($A296,H$4,,,$B296))</f>
        <v>0</v>
      </c>
      <c r="I296" s="43" cm="1">
        <f t="array" aca="1" ref="I296" ca="1">INDIRECT(ADDRESS($A296,I$4,,,$B296))</f>
        <v>0</v>
      </c>
      <c r="J296" s="43" cm="1">
        <f t="array" aca="1" ref="J296" ca="1">INDIRECT(ADDRESS($A296,J$4,,,$B296))</f>
        <v>0</v>
      </c>
    </row>
    <row r="297" spans="1:10">
      <c r="A297" s="39">
        <f t="shared" si="9"/>
        <v>87</v>
      </c>
      <c r="B297" s="42" t="str">
        <f t="shared" si="10"/>
        <v>W1</v>
      </c>
      <c r="C297" s="43" cm="1">
        <f t="array" aca="1" ref="C297" ca="1">INDIRECT(ADDRESS($A297,C$4,,,$B297))</f>
        <v>0</v>
      </c>
      <c r="D297" s="43" cm="1">
        <f t="array" aca="1" ref="D297" ca="1">INDIRECT(ADDRESS($A297,D$4,,,$B297))</f>
        <v>0</v>
      </c>
      <c r="E297" s="43" cm="1">
        <f t="array" aca="1" ref="E297" ca="1">INDIRECT(ADDRESS($A297,E$4,,,$B297))</f>
        <v>0</v>
      </c>
      <c r="F297" s="43" cm="1">
        <f t="array" aca="1" ref="F297" ca="1">INDIRECT(ADDRESS($A297,F$4,,,$B297))</f>
        <v>0</v>
      </c>
      <c r="G297" s="43" cm="1">
        <f t="array" aca="1" ref="G297" ca="1">INDIRECT(ADDRESS($A297,G$4,,,$B297))</f>
        <v>0</v>
      </c>
      <c r="H297" s="43" cm="1">
        <f t="array" aca="1" ref="H297" ca="1">INDIRECT(ADDRESS($A297,H$4,,,$B297))</f>
        <v>0</v>
      </c>
      <c r="I297" s="43" cm="1">
        <f t="array" aca="1" ref="I297" ca="1">INDIRECT(ADDRESS($A297,I$4,,,$B297))</f>
        <v>0</v>
      </c>
      <c r="J297" s="43" cm="1">
        <f t="array" aca="1" ref="J297" ca="1">INDIRECT(ADDRESS($A297,J$4,,,$B297))</f>
        <v>0</v>
      </c>
    </row>
    <row r="298" spans="1:10">
      <c r="A298" s="39">
        <f t="shared" si="9"/>
        <v>88</v>
      </c>
      <c r="B298" s="42" t="str">
        <f t="shared" si="10"/>
        <v>W1</v>
      </c>
      <c r="C298" s="43" cm="1">
        <f t="array" aca="1" ref="C298" ca="1">INDIRECT(ADDRESS($A298,C$4,,,$B298))</f>
        <v>0</v>
      </c>
      <c r="D298" s="43" cm="1">
        <f t="array" aca="1" ref="D298" ca="1">INDIRECT(ADDRESS($A298,D$4,,,$B298))</f>
        <v>0</v>
      </c>
      <c r="E298" s="43" cm="1">
        <f t="array" aca="1" ref="E298" ca="1">INDIRECT(ADDRESS($A298,E$4,,,$B298))</f>
        <v>0</v>
      </c>
      <c r="F298" s="43" cm="1">
        <f t="array" aca="1" ref="F298" ca="1">INDIRECT(ADDRESS($A298,F$4,,,$B298))</f>
        <v>0</v>
      </c>
      <c r="G298" s="43" cm="1">
        <f t="array" aca="1" ref="G298" ca="1">INDIRECT(ADDRESS($A298,G$4,,,$B298))</f>
        <v>0</v>
      </c>
      <c r="H298" s="43" cm="1">
        <f t="array" aca="1" ref="H298" ca="1">INDIRECT(ADDRESS($A298,H$4,,,$B298))</f>
        <v>0</v>
      </c>
      <c r="I298" s="43" cm="1">
        <f t="array" aca="1" ref="I298" ca="1">INDIRECT(ADDRESS($A298,I$4,,,$B298))</f>
        <v>0</v>
      </c>
      <c r="J298" s="43" cm="1">
        <f t="array" aca="1" ref="J298" ca="1">INDIRECT(ADDRESS($A298,J$4,,,$B298))</f>
        <v>0</v>
      </c>
    </row>
    <row r="299" spans="1:10">
      <c r="A299" s="39">
        <f t="shared" ref="A299:A362" si="11">+A71</f>
        <v>89</v>
      </c>
      <c r="B299" s="42" t="str">
        <f t="shared" ref="B299:B362" si="12">+$E$2</f>
        <v>W1</v>
      </c>
      <c r="C299" s="43" cm="1">
        <f t="array" aca="1" ref="C299" ca="1">INDIRECT(ADDRESS($A299,C$4,,,$B299))</f>
        <v>0</v>
      </c>
      <c r="D299" s="43" cm="1">
        <f t="array" aca="1" ref="D299" ca="1">INDIRECT(ADDRESS($A299,D$4,,,$B299))</f>
        <v>0</v>
      </c>
      <c r="E299" s="43" cm="1">
        <f t="array" aca="1" ref="E299" ca="1">INDIRECT(ADDRESS($A299,E$4,,,$B299))</f>
        <v>0</v>
      </c>
      <c r="F299" s="43" cm="1">
        <f t="array" aca="1" ref="F299" ca="1">INDIRECT(ADDRESS($A299,F$4,,,$B299))</f>
        <v>0</v>
      </c>
      <c r="G299" s="43" cm="1">
        <f t="array" aca="1" ref="G299" ca="1">INDIRECT(ADDRESS($A299,G$4,,,$B299))</f>
        <v>0</v>
      </c>
      <c r="H299" s="43" cm="1">
        <f t="array" aca="1" ref="H299" ca="1">INDIRECT(ADDRESS($A299,H$4,,,$B299))</f>
        <v>0</v>
      </c>
      <c r="I299" s="43" cm="1">
        <f t="array" aca="1" ref="I299" ca="1">INDIRECT(ADDRESS($A299,I$4,,,$B299))</f>
        <v>0</v>
      </c>
      <c r="J299" s="43" cm="1">
        <f t="array" aca="1" ref="J299" ca="1">INDIRECT(ADDRESS($A299,J$4,,,$B299))</f>
        <v>0</v>
      </c>
    </row>
    <row r="300" spans="1:10">
      <c r="A300" s="39">
        <f t="shared" si="11"/>
        <v>90</v>
      </c>
      <c r="B300" s="42" t="str">
        <f t="shared" si="12"/>
        <v>W1</v>
      </c>
      <c r="C300" s="43" cm="1">
        <f t="array" aca="1" ref="C300" ca="1">INDIRECT(ADDRESS($A300,C$4,,,$B300))</f>
        <v>0</v>
      </c>
      <c r="D300" s="43" cm="1">
        <f t="array" aca="1" ref="D300" ca="1">INDIRECT(ADDRESS($A300,D$4,,,$B300))</f>
        <v>0</v>
      </c>
      <c r="E300" s="43" cm="1">
        <f t="array" aca="1" ref="E300" ca="1">INDIRECT(ADDRESS($A300,E$4,,,$B300))</f>
        <v>0</v>
      </c>
      <c r="F300" s="43" cm="1">
        <f t="array" aca="1" ref="F300" ca="1">INDIRECT(ADDRESS($A300,F$4,,,$B300))</f>
        <v>0</v>
      </c>
      <c r="G300" s="43" cm="1">
        <f t="array" aca="1" ref="G300" ca="1">INDIRECT(ADDRESS($A300,G$4,,,$B300))</f>
        <v>0</v>
      </c>
      <c r="H300" s="43" cm="1">
        <f t="array" aca="1" ref="H300" ca="1">INDIRECT(ADDRESS($A300,H$4,,,$B300))</f>
        <v>0</v>
      </c>
      <c r="I300" s="43" cm="1">
        <f t="array" aca="1" ref="I300" ca="1">INDIRECT(ADDRESS($A300,I$4,,,$B300))</f>
        <v>0</v>
      </c>
      <c r="J300" s="43" cm="1">
        <f t="array" aca="1" ref="J300" ca="1">INDIRECT(ADDRESS($A300,J$4,,,$B300))</f>
        <v>0</v>
      </c>
    </row>
    <row r="301" spans="1:10">
      <c r="A301" s="39">
        <f t="shared" si="11"/>
        <v>91</v>
      </c>
      <c r="B301" s="42" t="str">
        <f t="shared" si="12"/>
        <v>W1</v>
      </c>
      <c r="C301" s="43" cm="1">
        <f t="array" aca="1" ref="C301" ca="1">INDIRECT(ADDRESS($A301,C$4,,,$B301))</f>
        <v>0</v>
      </c>
      <c r="D301" s="43" cm="1">
        <f t="array" aca="1" ref="D301" ca="1">INDIRECT(ADDRESS($A301,D$4,,,$B301))</f>
        <v>0</v>
      </c>
      <c r="E301" s="43" cm="1">
        <f t="array" aca="1" ref="E301" ca="1">INDIRECT(ADDRESS($A301,E$4,,,$B301))</f>
        <v>0</v>
      </c>
      <c r="F301" s="43" cm="1">
        <f t="array" aca="1" ref="F301" ca="1">INDIRECT(ADDRESS($A301,F$4,,,$B301))</f>
        <v>0</v>
      </c>
      <c r="G301" s="43" cm="1">
        <f t="array" aca="1" ref="G301" ca="1">INDIRECT(ADDRESS($A301,G$4,,,$B301))</f>
        <v>0</v>
      </c>
      <c r="H301" s="43" cm="1">
        <f t="array" aca="1" ref="H301" ca="1">INDIRECT(ADDRESS($A301,H$4,,,$B301))</f>
        <v>0</v>
      </c>
      <c r="I301" s="43" cm="1">
        <f t="array" aca="1" ref="I301" ca="1">INDIRECT(ADDRESS($A301,I$4,,,$B301))</f>
        <v>0</v>
      </c>
      <c r="J301" s="43" cm="1">
        <f t="array" aca="1" ref="J301" ca="1">INDIRECT(ADDRESS($A301,J$4,,,$B301))</f>
        <v>0</v>
      </c>
    </row>
    <row r="302" spans="1:10">
      <c r="A302" s="39">
        <f t="shared" si="11"/>
        <v>92</v>
      </c>
      <c r="B302" s="42" t="str">
        <f t="shared" si="12"/>
        <v>W1</v>
      </c>
      <c r="C302" s="43" cm="1">
        <f t="array" aca="1" ref="C302" ca="1">INDIRECT(ADDRESS($A302,C$4,,,$B302))</f>
        <v>0</v>
      </c>
      <c r="D302" s="43" cm="1">
        <f t="array" aca="1" ref="D302" ca="1">INDIRECT(ADDRESS($A302,D$4,,,$B302))</f>
        <v>0</v>
      </c>
      <c r="E302" s="43" cm="1">
        <f t="array" aca="1" ref="E302" ca="1">INDIRECT(ADDRESS($A302,E$4,,,$B302))</f>
        <v>0</v>
      </c>
      <c r="F302" s="43" cm="1">
        <f t="array" aca="1" ref="F302" ca="1">INDIRECT(ADDRESS($A302,F$4,,,$B302))</f>
        <v>0</v>
      </c>
      <c r="G302" s="43" cm="1">
        <f t="array" aca="1" ref="G302" ca="1">INDIRECT(ADDRESS($A302,G$4,,,$B302))</f>
        <v>0</v>
      </c>
      <c r="H302" s="43" cm="1">
        <f t="array" aca="1" ref="H302" ca="1">INDIRECT(ADDRESS($A302,H$4,,,$B302))</f>
        <v>0</v>
      </c>
      <c r="I302" s="43" cm="1">
        <f t="array" aca="1" ref="I302" ca="1">INDIRECT(ADDRESS($A302,I$4,,,$B302))</f>
        <v>0</v>
      </c>
      <c r="J302" s="43" cm="1">
        <f t="array" aca="1" ref="J302" ca="1">INDIRECT(ADDRESS($A302,J$4,,,$B302))</f>
        <v>0</v>
      </c>
    </row>
    <row r="303" spans="1:10">
      <c r="A303" s="39">
        <f t="shared" si="11"/>
        <v>93</v>
      </c>
      <c r="B303" s="42" t="str">
        <f t="shared" si="12"/>
        <v>W1</v>
      </c>
      <c r="C303" s="43" cm="1">
        <f t="array" aca="1" ref="C303" ca="1">INDIRECT(ADDRESS($A303,C$4,,,$B303))</f>
        <v>0</v>
      </c>
      <c r="D303" s="43" cm="1">
        <f t="array" aca="1" ref="D303" ca="1">INDIRECT(ADDRESS($A303,D$4,,,$B303))</f>
        <v>0</v>
      </c>
      <c r="E303" s="43" cm="1">
        <f t="array" aca="1" ref="E303" ca="1">INDIRECT(ADDRESS($A303,E$4,,,$B303))</f>
        <v>0</v>
      </c>
      <c r="F303" s="43" cm="1">
        <f t="array" aca="1" ref="F303" ca="1">INDIRECT(ADDRESS($A303,F$4,,,$B303))</f>
        <v>0</v>
      </c>
      <c r="G303" s="43" cm="1">
        <f t="array" aca="1" ref="G303" ca="1">INDIRECT(ADDRESS($A303,G$4,,,$B303))</f>
        <v>0</v>
      </c>
      <c r="H303" s="43" cm="1">
        <f t="array" aca="1" ref="H303" ca="1">INDIRECT(ADDRESS($A303,H$4,,,$B303))</f>
        <v>0</v>
      </c>
      <c r="I303" s="43" cm="1">
        <f t="array" aca="1" ref="I303" ca="1">INDIRECT(ADDRESS($A303,I$4,,,$B303))</f>
        <v>0</v>
      </c>
      <c r="J303" s="43" cm="1">
        <f t="array" aca="1" ref="J303" ca="1">INDIRECT(ADDRESS($A303,J$4,,,$B303))</f>
        <v>0</v>
      </c>
    </row>
    <row r="304" spans="1:10">
      <c r="A304" s="39">
        <f t="shared" si="11"/>
        <v>94</v>
      </c>
      <c r="B304" s="42" t="str">
        <f t="shared" si="12"/>
        <v>W1</v>
      </c>
      <c r="C304" s="43" cm="1">
        <f t="array" aca="1" ref="C304" ca="1">INDIRECT(ADDRESS($A304,C$4,,,$B304))</f>
        <v>0</v>
      </c>
      <c r="D304" s="43" cm="1">
        <f t="array" aca="1" ref="D304" ca="1">INDIRECT(ADDRESS($A304,D$4,,,$B304))</f>
        <v>0</v>
      </c>
      <c r="E304" s="43" cm="1">
        <f t="array" aca="1" ref="E304" ca="1">INDIRECT(ADDRESS($A304,E$4,,,$B304))</f>
        <v>0</v>
      </c>
      <c r="F304" s="43" cm="1">
        <f t="array" aca="1" ref="F304" ca="1">INDIRECT(ADDRESS($A304,F$4,,,$B304))</f>
        <v>0</v>
      </c>
      <c r="G304" s="43" cm="1">
        <f t="array" aca="1" ref="G304" ca="1">INDIRECT(ADDRESS($A304,G$4,,,$B304))</f>
        <v>0</v>
      </c>
      <c r="H304" s="43" cm="1">
        <f t="array" aca="1" ref="H304" ca="1">INDIRECT(ADDRESS($A304,H$4,,,$B304))</f>
        <v>0</v>
      </c>
      <c r="I304" s="43" cm="1">
        <f t="array" aca="1" ref="I304" ca="1">INDIRECT(ADDRESS($A304,I$4,,,$B304))</f>
        <v>0</v>
      </c>
      <c r="J304" s="43" cm="1">
        <f t="array" aca="1" ref="J304" ca="1">INDIRECT(ADDRESS($A304,J$4,,,$B304))</f>
        <v>0</v>
      </c>
    </row>
    <row r="305" spans="1:10">
      <c r="A305" s="39">
        <f t="shared" si="11"/>
        <v>95</v>
      </c>
      <c r="B305" s="42" t="str">
        <f t="shared" si="12"/>
        <v>W1</v>
      </c>
      <c r="C305" s="43" cm="1">
        <f t="array" aca="1" ref="C305" ca="1">INDIRECT(ADDRESS($A305,C$4,,,$B305))</f>
        <v>0</v>
      </c>
      <c r="D305" s="43" cm="1">
        <f t="array" aca="1" ref="D305" ca="1">INDIRECT(ADDRESS($A305,D$4,,,$B305))</f>
        <v>0</v>
      </c>
      <c r="E305" s="43" cm="1">
        <f t="array" aca="1" ref="E305" ca="1">INDIRECT(ADDRESS($A305,E$4,,,$B305))</f>
        <v>0</v>
      </c>
      <c r="F305" s="43" cm="1">
        <f t="array" aca="1" ref="F305" ca="1">INDIRECT(ADDRESS($A305,F$4,,,$B305))</f>
        <v>0</v>
      </c>
      <c r="G305" s="43" cm="1">
        <f t="array" aca="1" ref="G305" ca="1">INDIRECT(ADDRESS($A305,G$4,,,$B305))</f>
        <v>0</v>
      </c>
      <c r="H305" s="43" cm="1">
        <f t="array" aca="1" ref="H305" ca="1">INDIRECT(ADDRESS($A305,H$4,,,$B305))</f>
        <v>0</v>
      </c>
      <c r="I305" s="43" cm="1">
        <f t="array" aca="1" ref="I305" ca="1">INDIRECT(ADDRESS($A305,I$4,,,$B305))</f>
        <v>0</v>
      </c>
      <c r="J305" s="43" cm="1">
        <f t="array" aca="1" ref="J305" ca="1">INDIRECT(ADDRESS($A305,J$4,,,$B305))</f>
        <v>0</v>
      </c>
    </row>
    <row r="306" spans="1:10">
      <c r="A306" s="39">
        <f t="shared" si="11"/>
        <v>96</v>
      </c>
      <c r="B306" s="42" t="str">
        <f t="shared" si="12"/>
        <v>W1</v>
      </c>
      <c r="C306" s="43" cm="1">
        <f t="array" aca="1" ref="C306" ca="1">INDIRECT(ADDRESS($A306,C$4,,,$B306))</f>
        <v>0</v>
      </c>
      <c r="D306" s="43" cm="1">
        <f t="array" aca="1" ref="D306" ca="1">INDIRECT(ADDRESS($A306,D$4,,,$B306))</f>
        <v>0</v>
      </c>
      <c r="E306" s="43" cm="1">
        <f t="array" aca="1" ref="E306" ca="1">INDIRECT(ADDRESS($A306,E$4,,,$B306))</f>
        <v>0</v>
      </c>
      <c r="F306" s="43" cm="1">
        <f t="array" aca="1" ref="F306" ca="1">INDIRECT(ADDRESS($A306,F$4,,,$B306))</f>
        <v>0</v>
      </c>
      <c r="G306" s="43" cm="1">
        <f t="array" aca="1" ref="G306" ca="1">INDIRECT(ADDRESS($A306,G$4,,,$B306))</f>
        <v>0</v>
      </c>
      <c r="H306" s="43" cm="1">
        <f t="array" aca="1" ref="H306" ca="1">INDIRECT(ADDRESS($A306,H$4,,,$B306))</f>
        <v>0</v>
      </c>
      <c r="I306" s="43" cm="1">
        <f t="array" aca="1" ref="I306" ca="1">INDIRECT(ADDRESS($A306,I$4,,,$B306))</f>
        <v>0</v>
      </c>
      <c r="J306" s="43" cm="1">
        <f t="array" aca="1" ref="J306" ca="1">INDIRECT(ADDRESS($A306,J$4,,,$B306))</f>
        <v>0</v>
      </c>
    </row>
    <row r="307" spans="1:10">
      <c r="A307" s="39">
        <f t="shared" si="11"/>
        <v>97</v>
      </c>
      <c r="B307" s="42" t="str">
        <f t="shared" si="12"/>
        <v>W1</v>
      </c>
      <c r="C307" s="43" cm="1">
        <f t="array" aca="1" ref="C307" ca="1">INDIRECT(ADDRESS($A307,C$4,,,$B307))</f>
        <v>0</v>
      </c>
      <c r="D307" s="43" cm="1">
        <f t="array" aca="1" ref="D307" ca="1">INDIRECT(ADDRESS($A307,D$4,,,$B307))</f>
        <v>0</v>
      </c>
      <c r="E307" s="43" cm="1">
        <f t="array" aca="1" ref="E307" ca="1">INDIRECT(ADDRESS($A307,E$4,,,$B307))</f>
        <v>0</v>
      </c>
      <c r="F307" s="43" cm="1">
        <f t="array" aca="1" ref="F307" ca="1">INDIRECT(ADDRESS($A307,F$4,,,$B307))</f>
        <v>0</v>
      </c>
      <c r="G307" s="43" cm="1">
        <f t="array" aca="1" ref="G307" ca="1">INDIRECT(ADDRESS($A307,G$4,,,$B307))</f>
        <v>0</v>
      </c>
      <c r="H307" s="43" cm="1">
        <f t="array" aca="1" ref="H307" ca="1">INDIRECT(ADDRESS($A307,H$4,,,$B307))</f>
        <v>0</v>
      </c>
      <c r="I307" s="43" cm="1">
        <f t="array" aca="1" ref="I307" ca="1">INDIRECT(ADDRESS($A307,I$4,,,$B307))</f>
        <v>0</v>
      </c>
      <c r="J307" s="43" cm="1">
        <f t="array" aca="1" ref="J307" ca="1">INDIRECT(ADDRESS($A307,J$4,,,$B307))</f>
        <v>0</v>
      </c>
    </row>
    <row r="308" spans="1:10">
      <c r="A308" s="39">
        <f t="shared" si="11"/>
        <v>98</v>
      </c>
      <c r="B308" s="42" t="str">
        <f t="shared" si="12"/>
        <v>W1</v>
      </c>
      <c r="C308" s="43" cm="1">
        <f t="array" aca="1" ref="C308" ca="1">INDIRECT(ADDRESS($A308,C$4,,,$B308))</f>
        <v>0</v>
      </c>
      <c r="D308" s="43" cm="1">
        <f t="array" aca="1" ref="D308" ca="1">INDIRECT(ADDRESS($A308,D$4,,,$B308))</f>
        <v>0</v>
      </c>
      <c r="E308" s="43" cm="1">
        <f t="array" aca="1" ref="E308" ca="1">INDIRECT(ADDRESS($A308,E$4,,,$B308))</f>
        <v>0</v>
      </c>
      <c r="F308" s="43" cm="1">
        <f t="array" aca="1" ref="F308" ca="1">INDIRECT(ADDRESS($A308,F$4,,,$B308))</f>
        <v>0</v>
      </c>
      <c r="G308" s="43" cm="1">
        <f t="array" aca="1" ref="G308" ca="1">INDIRECT(ADDRESS($A308,G$4,,,$B308))</f>
        <v>0</v>
      </c>
      <c r="H308" s="43" cm="1">
        <f t="array" aca="1" ref="H308" ca="1">INDIRECT(ADDRESS($A308,H$4,,,$B308))</f>
        <v>0</v>
      </c>
      <c r="I308" s="43" cm="1">
        <f t="array" aca="1" ref="I308" ca="1">INDIRECT(ADDRESS($A308,I$4,,,$B308))</f>
        <v>0</v>
      </c>
      <c r="J308" s="43" cm="1">
        <f t="array" aca="1" ref="J308" ca="1">INDIRECT(ADDRESS($A308,J$4,,,$B308))</f>
        <v>0</v>
      </c>
    </row>
    <row r="309" spans="1:10">
      <c r="A309" s="39">
        <f t="shared" si="11"/>
        <v>99</v>
      </c>
      <c r="B309" s="42" t="str">
        <f t="shared" si="12"/>
        <v>W1</v>
      </c>
      <c r="C309" s="43" cm="1">
        <f t="array" aca="1" ref="C309" ca="1">INDIRECT(ADDRESS($A309,C$4,,,$B309))</f>
        <v>0</v>
      </c>
      <c r="D309" s="43" cm="1">
        <f t="array" aca="1" ref="D309" ca="1">INDIRECT(ADDRESS($A309,D$4,,,$B309))</f>
        <v>0</v>
      </c>
      <c r="E309" s="43" cm="1">
        <f t="array" aca="1" ref="E309" ca="1">INDIRECT(ADDRESS($A309,E$4,,,$B309))</f>
        <v>0</v>
      </c>
      <c r="F309" s="43" cm="1">
        <f t="array" aca="1" ref="F309" ca="1">INDIRECT(ADDRESS($A309,F$4,,,$B309))</f>
        <v>0</v>
      </c>
      <c r="G309" s="43" cm="1">
        <f t="array" aca="1" ref="G309" ca="1">INDIRECT(ADDRESS($A309,G$4,,,$B309))</f>
        <v>0</v>
      </c>
      <c r="H309" s="43" cm="1">
        <f t="array" aca="1" ref="H309" ca="1">INDIRECT(ADDRESS($A309,H$4,,,$B309))</f>
        <v>0</v>
      </c>
      <c r="I309" s="43" cm="1">
        <f t="array" aca="1" ref="I309" ca="1">INDIRECT(ADDRESS($A309,I$4,,,$B309))</f>
        <v>0</v>
      </c>
      <c r="J309" s="43" cm="1">
        <f t="array" aca="1" ref="J309" ca="1">INDIRECT(ADDRESS($A309,J$4,,,$B309))</f>
        <v>0</v>
      </c>
    </row>
    <row r="310" spans="1:10">
      <c r="A310" s="39">
        <f t="shared" si="11"/>
        <v>100</v>
      </c>
      <c r="B310" s="42" t="str">
        <f t="shared" si="12"/>
        <v>W1</v>
      </c>
      <c r="C310" s="43" cm="1">
        <f t="array" aca="1" ref="C310" ca="1">INDIRECT(ADDRESS($A310,C$4,,,$B310))</f>
        <v>0</v>
      </c>
      <c r="D310" s="43" cm="1">
        <f t="array" aca="1" ref="D310" ca="1">INDIRECT(ADDRESS($A310,D$4,,,$B310))</f>
        <v>0</v>
      </c>
      <c r="E310" s="43" cm="1">
        <f t="array" aca="1" ref="E310" ca="1">INDIRECT(ADDRESS($A310,E$4,,,$B310))</f>
        <v>0</v>
      </c>
      <c r="F310" s="43" cm="1">
        <f t="array" aca="1" ref="F310" ca="1">INDIRECT(ADDRESS($A310,F$4,,,$B310))</f>
        <v>0</v>
      </c>
      <c r="G310" s="43" cm="1">
        <f t="array" aca="1" ref="G310" ca="1">INDIRECT(ADDRESS($A310,G$4,,,$B310))</f>
        <v>0</v>
      </c>
      <c r="H310" s="43" cm="1">
        <f t="array" aca="1" ref="H310" ca="1">INDIRECT(ADDRESS($A310,H$4,,,$B310))</f>
        <v>0</v>
      </c>
      <c r="I310" s="43" cm="1">
        <f t="array" aca="1" ref="I310" ca="1">INDIRECT(ADDRESS($A310,I$4,,,$B310))</f>
        <v>0</v>
      </c>
      <c r="J310" s="43" cm="1">
        <f t="array" aca="1" ref="J310" ca="1">INDIRECT(ADDRESS($A310,J$4,,,$B310))</f>
        <v>0</v>
      </c>
    </row>
    <row r="311" spans="1:10">
      <c r="A311" s="39">
        <f t="shared" si="11"/>
        <v>101</v>
      </c>
      <c r="B311" s="42" t="str">
        <f t="shared" si="12"/>
        <v>W1</v>
      </c>
      <c r="C311" s="43" cm="1">
        <f t="array" aca="1" ref="C311" ca="1">INDIRECT(ADDRESS($A311,C$4,,,$B311))</f>
        <v>0</v>
      </c>
      <c r="D311" s="43" cm="1">
        <f t="array" aca="1" ref="D311" ca="1">INDIRECT(ADDRESS($A311,D$4,,,$B311))</f>
        <v>0</v>
      </c>
      <c r="E311" s="43" cm="1">
        <f t="array" aca="1" ref="E311" ca="1">INDIRECT(ADDRESS($A311,E$4,,,$B311))</f>
        <v>0</v>
      </c>
      <c r="F311" s="43" cm="1">
        <f t="array" aca="1" ref="F311" ca="1">INDIRECT(ADDRESS($A311,F$4,,,$B311))</f>
        <v>0</v>
      </c>
      <c r="G311" s="43" cm="1">
        <f t="array" aca="1" ref="G311" ca="1">INDIRECT(ADDRESS($A311,G$4,,,$B311))</f>
        <v>0</v>
      </c>
      <c r="H311" s="43" cm="1">
        <f t="array" aca="1" ref="H311" ca="1">INDIRECT(ADDRESS($A311,H$4,,,$B311))</f>
        <v>0</v>
      </c>
      <c r="I311" s="43" cm="1">
        <f t="array" aca="1" ref="I311" ca="1">INDIRECT(ADDRESS($A311,I$4,,,$B311))</f>
        <v>0</v>
      </c>
      <c r="J311" s="43" cm="1">
        <f t="array" aca="1" ref="J311" ca="1">INDIRECT(ADDRESS($A311,J$4,,,$B311))</f>
        <v>0</v>
      </c>
    </row>
    <row r="312" spans="1:10">
      <c r="A312" s="39">
        <f t="shared" si="11"/>
        <v>102</v>
      </c>
      <c r="B312" s="42" t="str">
        <f t="shared" si="12"/>
        <v>W1</v>
      </c>
      <c r="C312" s="43" cm="1">
        <f t="array" aca="1" ref="C312" ca="1">INDIRECT(ADDRESS($A312,C$4,,,$B312))</f>
        <v>0</v>
      </c>
      <c r="D312" s="43" cm="1">
        <f t="array" aca="1" ref="D312" ca="1">INDIRECT(ADDRESS($A312,D$4,,,$B312))</f>
        <v>0</v>
      </c>
      <c r="E312" s="43" cm="1">
        <f t="array" aca="1" ref="E312" ca="1">INDIRECT(ADDRESS($A312,E$4,,,$B312))</f>
        <v>0</v>
      </c>
      <c r="F312" s="43" cm="1">
        <f t="array" aca="1" ref="F312" ca="1">INDIRECT(ADDRESS($A312,F$4,,,$B312))</f>
        <v>0</v>
      </c>
      <c r="G312" s="43" cm="1">
        <f t="array" aca="1" ref="G312" ca="1">INDIRECT(ADDRESS($A312,G$4,,,$B312))</f>
        <v>0</v>
      </c>
      <c r="H312" s="43" cm="1">
        <f t="array" aca="1" ref="H312" ca="1">INDIRECT(ADDRESS($A312,H$4,,,$B312))</f>
        <v>0</v>
      </c>
      <c r="I312" s="43" cm="1">
        <f t="array" aca="1" ref="I312" ca="1">INDIRECT(ADDRESS($A312,I$4,,,$B312))</f>
        <v>0</v>
      </c>
      <c r="J312" s="43" cm="1">
        <f t="array" aca="1" ref="J312" ca="1">INDIRECT(ADDRESS($A312,J$4,,,$B312))</f>
        <v>0</v>
      </c>
    </row>
    <row r="313" spans="1:10">
      <c r="A313" s="39">
        <f t="shared" si="11"/>
        <v>103</v>
      </c>
      <c r="B313" s="42" t="str">
        <f t="shared" si="12"/>
        <v>W1</v>
      </c>
      <c r="C313" s="43" cm="1">
        <f t="array" aca="1" ref="C313" ca="1">INDIRECT(ADDRESS($A313,C$4,,,$B313))</f>
        <v>0</v>
      </c>
      <c r="D313" s="43" cm="1">
        <f t="array" aca="1" ref="D313" ca="1">INDIRECT(ADDRESS($A313,D$4,,,$B313))</f>
        <v>0</v>
      </c>
      <c r="E313" s="43" cm="1">
        <f t="array" aca="1" ref="E313" ca="1">INDIRECT(ADDRESS($A313,E$4,,,$B313))</f>
        <v>0</v>
      </c>
      <c r="F313" s="43" cm="1">
        <f t="array" aca="1" ref="F313" ca="1">INDIRECT(ADDRESS($A313,F$4,,,$B313))</f>
        <v>0</v>
      </c>
      <c r="G313" s="43" cm="1">
        <f t="array" aca="1" ref="G313" ca="1">INDIRECT(ADDRESS($A313,G$4,,,$B313))</f>
        <v>0</v>
      </c>
      <c r="H313" s="43" cm="1">
        <f t="array" aca="1" ref="H313" ca="1">INDIRECT(ADDRESS($A313,H$4,,,$B313))</f>
        <v>0</v>
      </c>
      <c r="I313" s="43" cm="1">
        <f t="array" aca="1" ref="I313" ca="1">INDIRECT(ADDRESS($A313,I$4,,,$B313))</f>
        <v>0</v>
      </c>
      <c r="J313" s="43" cm="1">
        <f t="array" aca="1" ref="J313" ca="1">INDIRECT(ADDRESS($A313,J$4,,,$B313))</f>
        <v>0</v>
      </c>
    </row>
    <row r="314" spans="1:10">
      <c r="A314" s="39">
        <f t="shared" si="11"/>
        <v>104</v>
      </c>
      <c r="B314" s="42" t="str">
        <f t="shared" si="12"/>
        <v>W1</v>
      </c>
      <c r="C314" s="43" cm="1">
        <f t="array" aca="1" ref="C314" ca="1">INDIRECT(ADDRESS($A314,C$4,,,$B314))</f>
        <v>0</v>
      </c>
      <c r="D314" s="43" cm="1">
        <f t="array" aca="1" ref="D314" ca="1">INDIRECT(ADDRESS($A314,D$4,,,$B314))</f>
        <v>0</v>
      </c>
      <c r="E314" s="43" cm="1">
        <f t="array" aca="1" ref="E314" ca="1">INDIRECT(ADDRESS($A314,E$4,,,$B314))</f>
        <v>0</v>
      </c>
      <c r="F314" s="43" cm="1">
        <f t="array" aca="1" ref="F314" ca="1">INDIRECT(ADDRESS($A314,F$4,,,$B314))</f>
        <v>0</v>
      </c>
      <c r="G314" s="43" cm="1">
        <f t="array" aca="1" ref="G314" ca="1">INDIRECT(ADDRESS($A314,G$4,,,$B314))</f>
        <v>0</v>
      </c>
      <c r="H314" s="43" cm="1">
        <f t="array" aca="1" ref="H314" ca="1">INDIRECT(ADDRESS($A314,H$4,,,$B314))</f>
        <v>0</v>
      </c>
      <c r="I314" s="43" cm="1">
        <f t="array" aca="1" ref="I314" ca="1">INDIRECT(ADDRESS($A314,I$4,,,$B314))</f>
        <v>0</v>
      </c>
      <c r="J314" s="43" cm="1">
        <f t="array" aca="1" ref="J314" ca="1">INDIRECT(ADDRESS($A314,J$4,,,$B314))</f>
        <v>0</v>
      </c>
    </row>
    <row r="315" spans="1:10">
      <c r="A315" s="39">
        <f t="shared" si="11"/>
        <v>105</v>
      </c>
      <c r="B315" s="42" t="str">
        <f t="shared" si="12"/>
        <v>W1</v>
      </c>
      <c r="C315" s="43" cm="1">
        <f t="array" aca="1" ref="C315" ca="1">INDIRECT(ADDRESS($A315,C$4,,,$B315))</f>
        <v>0</v>
      </c>
      <c r="D315" s="43" cm="1">
        <f t="array" aca="1" ref="D315" ca="1">INDIRECT(ADDRESS($A315,D$4,,,$B315))</f>
        <v>0</v>
      </c>
      <c r="E315" s="43" cm="1">
        <f t="array" aca="1" ref="E315" ca="1">INDIRECT(ADDRESS($A315,E$4,,,$B315))</f>
        <v>0</v>
      </c>
      <c r="F315" s="43" cm="1">
        <f t="array" aca="1" ref="F315" ca="1">INDIRECT(ADDRESS($A315,F$4,,,$B315))</f>
        <v>0</v>
      </c>
      <c r="G315" s="43" cm="1">
        <f t="array" aca="1" ref="G315" ca="1">INDIRECT(ADDRESS($A315,G$4,,,$B315))</f>
        <v>0</v>
      </c>
      <c r="H315" s="43" cm="1">
        <f t="array" aca="1" ref="H315" ca="1">INDIRECT(ADDRESS($A315,H$4,,,$B315))</f>
        <v>0</v>
      </c>
      <c r="I315" s="43" cm="1">
        <f t="array" aca="1" ref="I315" ca="1">INDIRECT(ADDRESS($A315,I$4,,,$B315))</f>
        <v>0</v>
      </c>
      <c r="J315" s="43" cm="1">
        <f t="array" aca="1" ref="J315" ca="1">INDIRECT(ADDRESS($A315,J$4,,,$B315))</f>
        <v>0</v>
      </c>
    </row>
    <row r="316" spans="1:10">
      <c r="A316" s="39">
        <f t="shared" si="11"/>
        <v>106</v>
      </c>
      <c r="B316" s="42" t="str">
        <f t="shared" si="12"/>
        <v>W1</v>
      </c>
      <c r="C316" s="43" cm="1">
        <f t="array" aca="1" ref="C316" ca="1">INDIRECT(ADDRESS($A316,C$4,,,$B316))</f>
        <v>0</v>
      </c>
      <c r="D316" s="43" cm="1">
        <f t="array" aca="1" ref="D316" ca="1">INDIRECT(ADDRESS($A316,D$4,,,$B316))</f>
        <v>0</v>
      </c>
      <c r="E316" s="43" cm="1">
        <f t="array" aca="1" ref="E316" ca="1">INDIRECT(ADDRESS($A316,E$4,,,$B316))</f>
        <v>0</v>
      </c>
      <c r="F316" s="43" cm="1">
        <f t="array" aca="1" ref="F316" ca="1">INDIRECT(ADDRESS($A316,F$4,,,$B316))</f>
        <v>0</v>
      </c>
      <c r="G316" s="43" cm="1">
        <f t="array" aca="1" ref="G316" ca="1">INDIRECT(ADDRESS($A316,G$4,,,$B316))</f>
        <v>0</v>
      </c>
      <c r="H316" s="43" cm="1">
        <f t="array" aca="1" ref="H316" ca="1">INDIRECT(ADDRESS($A316,H$4,,,$B316))</f>
        <v>0</v>
      </c>
      <c r="I316" s="43" cm="1">
        <f t="array" aca="1" ref="I316" ca="1">INDIRECT(ADDRESS($A316,I$4,,,$B316))</f>
        <v>0</v>
      </c>
      <c r="J316" s="43" cm="1">
        <f t="array" aca="1" ref="J316" ca="1">INDIRECT(ADDRESS($A316,J$4,,,$B316))</f>
        <v>0</v>
      </c>
    </row>
    <row r="317" spans="1:10">
      <c r="A317" s="39">
        <f t="shared" si="11"/>
        <v>107</v>
      </c>
      <c r="B317" s="42" t="str">
        <f t="shared" si="12"/>
        <v>W1</v>
      </c>
      <c r="C317" s="43" cm="1">
        <f t="array" aca="1" ref="C317" ca="1">INDIRECT(ADDRESS($A317,C$4,,,$B317))</f>
        <v>0</v>
      </c>
      <c r="D317" s="43" cm="1">
        <f t="array" aca="1" ref="D317" ca="1">INDIRECT(ADDRESS($A317,D$4,,,$B317))</f>
        <v>0</v>
      </c>
      <c r="E317" s="43" cm="1">
        <f t="array" aca="1" ref="E317" ca="1">INDIRECT(ADDRESS($A317,E$4,,,$B317))</f>
        <v>0</v>
      </c>
      <c r="F317" s="43" cm="1">
        <f t="array" aca="1" ref="F317" ca="1">INDIRECT(ADDRESS($A317,F$4,,,$B317))</f>
        <v>0</v>
      </c>
      <c r="G317" s="43" cm="1">
        <f t="array" aca="1" ref="G317" ca="1">INDIRECT(ADDRESS($A317,G$4,,,$B317))</f>
        <v>0</v>
      </c>
      <c r="H317" s="43" cm="1">
        <f t="array" aca="1" ref="H317" ca="1">INDIRECT(ADDRESS($A317,H$4,,,$B317))</f>
        <v>0</v>
      </c>
      <c r="I317" s="43" cm="1">
        <f t="array" aca="1" ref="I317" ca="1">INDIRECT(ADDRESS($A317,I$4,,,$B317))</f>
        <v>0</v>
      </c>
      <c r="J317" s="43" cm="1">
        <f t="array" aca="1" ref="J317" ca="1">INDIRECT(ADDRESS($A317,J$4,,,$B317))</f>
        <v>0</v>
      </c>
    </row>
    <row r="318" spans="1:10">
      <c r="A318" s="39">
        <f t="shared" si="11"/>
        <v>108</v>
      </c>
      <c r="B318" s="42" t="str">
        <f t="shared" si="12"/>
        <v>W1</v>
      </c>
      <c r="C318" s="43" cm="1">
        <f t="array" aca="1" ref="C318" ca="1">INDIRECT(ADDRESS($A318,C$4,,,$B318))</f>
        <v>0</v>
      </c>
      <c r="D318" s="43" cm="1">
        <f t="array" aca="1" ref="D318" ca="1">INDIRECT(ADDRESS($A318,D$4,,,$B318))</f>
        <v>0</v>
      </c>
      <c r="E318" s="43" cm="1">
        <f t="array" aca="1" ref="E318" ca="1">INDIRECT(ADDRESS($A318,E$4,,,$B318))</f>
        <v>0</v>
      </c>
      <c r="F318" s="43" cm="1">
        <f t="array" aca="1" ref="F318" ca="1">INDIRECT(ADDRESS($A318,F$4,,,$B318))</f>
        <v>0</v>
      </c>
      <c r="G318" s="43" cm="1">
        <f t="array" aca="1" ref="G318" ca="1">INDIRECT(ADDRESS($A318,G$4,,,$B318))</f>
        <v>0</v>
      </c>
      <c r="H318" s="43" cm="1">
        <f t="array" aca="1" ref="H318" ca="1">INDIRECT(ADDRESS($A318,H$4,,,$B318))</f>
        <v>0</v>
      </c>
      <c r="I318" s="43" cm="1">
        <f t="array" aca="1" ref="I318" ca="1">INDIRECT(ADDRESS($A318,I$4,,,$B318))</f>
        <v>0</v>
      </c>
      <c r="J318" s="43" cm="1">
        <f t="array" aca="1" ref="J318" ca="1">INDIRECT(ADDRESS($A318,J$4,,,$B318))</f>
        <v>0</v>
      </c>
    </row>
    <row r="319" spans="1:10">
      <c r="A319" s="39">
        <f t="shared" si="11"/>
        <v>109</v>
      </c>
      <c r="B319" s="42" t="str">
        <f t="shared" si="12"/>
        <v>W1</v>
      </c>
      <c r="C319" s="43" cm="1">
        <f t="array" aca="1" ref="C319" ca="1">INDIRECT(ADDRESS($A319,C$4,,,$B319))</f>
        <v>0</v>
      </c>
      <c r="D319" s="43" cm="1">
        <f t="array" aca="1" ref="D319" ca="1">INDIRECT(ADDRESS($A319,D$4,,,$B319))</f>
        <v>0</v>
      </c>
      <c r="E319" s="43" cm="1">
        <f t="array" aca="1" ref="E319" ca="1">INDIRECT(ADDRESS($A319,E$4,,,$B319))</f>
        <v>0</v>
      </c>
      <c r="F319" s="43" cm="1">
        <f t="array" aca="1" ref="F319" ca="1">INDIRECT(ADDRESS($A319,F$4,,,$B319))</f>
        <v>0</v>
      </c>
      <c r="G319" s="43" cm="1">
        <f t="array" aca="1" ref="G319" ca="1">INDIRECT(ADDRESS($A319,G$4,,,$B319))</f>
        <v>0</v>
      </c>
      <c r="H319" s="43" cm="1">
        <f t="array" aca="1" ref="H319" ca="1">INDIRECT(ADDRESS($A319,H$4,,,$B319))</f>
        <v>0</v>
      </c>
      <c r="I319" s="43" cm="1">
        <f t="array" aca="1" ref="I319" ca="1">INDIRECT(ADDRESS($A319,I$4,,,$B319))</f>
        <v>0</v>
      </c>
      <c r="J319" s="43" cm="1">
        <f t="array" aca="1" ref="J319" ca="1">INDIRECT(ADDRESS($A319,J$4,,,$B319))</f>
        <v>0</v>
      </c>
    </row>
    <row r="320" spans="1:10">
      <c r="A320" s="39">
        <f t="shared" si="11"/>
        <v>110</v>
      </c>
      <c r="B320" s="42" t="str">
        <f t="shared" si="12"/>
        <v>W1</v>
      </c>
      <c r="C320" s="43" cm="1">
        <f t="array" aca="1" ref="C320" ca="1">INDIRECT(ADDRESS($A320,C$4,,,$B320))</f>
        <v>0</v>
      </c>
      <c r="D320" s="43" cm="1">
        <f t="array" aca="1" ref="D320" ca="1">INDIRECT(ADDRESS($A320,D$4,,,$B320))</f>
        <v>0</v>
      </c>
      <c r="E320" s="43" cm="1">
        <f t="array" aca="1" ref="E320" ca="1">INDIRECT(ADDRESS($A320,E$4,,,$B320))</f>
        <v>0</v>
      </c>
      <c r="F320" s="43" cm="1">
        <f t="array" aca="1" ref="F320" ca="1">INDIRECT(ADDRESS($A320,F$4,,,$B320))</f>
        <v>0</v>
      </c>
      <c r="G320" s="43" cm="1">
        <f t="array" aca="1" ref="G320" ca="1">INDIRECT(ADDRESS($A320,G$4,,,$B320))</f>
        <v>0</v>
      </c>
      <c r="H320" s="43" cm="1">
        <f t="array" aca="1" ref="H320" ca="1">INDIRECT(ADDRESS($A320,H$4,,,$B320))</f>
        <v>0</v>
      </c>
      <c r="I320" s="43" cm="1">
        <f t="array" aca="1" ref="I320" ca="1">INDIRECT(ADDRESS($A320,I$4,,,$B320))</f>
        <v>0</v>
      </c>
      <c r="J320" s="43" cm="1">
        <f t="array" aca="1" ref="J320" ca="1">INDIRECT(ADDRESS($A320,J$4,,,$B320))</f>
        <v>0</v>
      </c>
    </row>
    <row r="321" spans="1:10">
      <c r="A321" s="39">
        <f t="shared" si="11"/>
        <v>111</v>
      </c>
      <c r="B321" s="42" t="str">
        <f t="shared" si="12"/>
        <v>W1</v>
      </c>
      <c r="C321" s="43" cm="1">
        <f t="array" aca="1" ref="C321" ca="1">INDIRECT(ADDRESS($A321,C$4,,,$B321))</f>
        <v>0</v>
      </c>
      <c r="D321" s="43" cm="1">
        <f t="array" aca="1" ref="D321" ca="1">INDIRECT(ADDRESS($A321,D$4,,,$B321))</f>
        <v>0</v>
      </c>
      <c r="E321" s="43" cm="1">
        <f t="array" aca="1" ref="E321" ca="1">INDIRECT(ADDRESS($A321,E$4,,,$B321))</f>
        <v>0</v>
      </c>
      <c r="F321" s="43" cm="1">
        <f t="array" aca="1" ref="F321" ca="1">INDIRECT(ADDRESS($A321,F$4,,,$B321))</f>
        <v>0</v>
      </c>
      <c r="G321" s="43" cm="1">
        <f t="array" aca="1" ref="G321" ca="1">INDIRECT(ADDRESS($A321,G$4,,,$B321))</f>
        <v>0</v>
      </c>
      <c r="H321" s="43" cm="1">
        <f t="array" aca="1" ref="H321" ca="1">INDIRECT(ADDRESS($A321,H$4,,,$B321))</f>
        <v>0</v>
      </c>
      <c r="I321" s="43" cm="1">
        <f t="array" aca="1" ref="I321" ca="1">INDIRECT(ADDRESS($A321,I$4,,,$B321))</f>
        <v>0</v>
      </c>
      <c r="J321" s="43" cm="1">
        <f t="array" aca="1" ref="J321" ca="1">INDIRECT(ADDRESS($A321,J$4,,,$B321))</f>
        <v>0</v>
      </c>
    </row>
    <row r="322" spans="1:10">
      <c r="A322" s="39">
        <f t="shared" si="11"/>
        <v>112</v>
      </c>
      <c r="B322" s="42" t="str">
        <f t="shared" si="12"/>
        <v>W1</v>
      </c>
      <c r="C322" s="43" cm="1">
        <f t="array" aca="1" ref="C322" ca="1">INDIRECT(ADDRESS($A322,C$4,,,$B322))</f>
        <v>0</v>
      </c>
      <c r="D322" s="43" cm="1">
        <f t="array" aca="1" ref="D322" ca="1">INDIRECT(ADDRESS($A322,D$4,,,$B322))</f>
        <v>0</v>
      </c>
      <c r="E322" s="43" cm="1">
        <f t="array" aca="1" ref="E322" ca="1">INDIRECT(ADDRESS($A322,E$4,,,$B322))</f>
        <v>0</v>
      </c>
      <c r="F322" s="43" cm="1">
        <f t="array" aca="1" ref="F322" ca="1">INDIRECT(ADDRESS($A322,F$4,,,$B322))</f>
        <v>0</v>
      </c>
      <c r="G322" s="43" cm="1">
        <f t="array" aca="1" ref="G322" ca="1">INDIRECT(ADDRESS($A322,G$4,,,$B322))</f>
        <v>0</v>
      </c>
      <c r="H322" s="43" cm="1">
        <f t="array" aca="1" ref="H322" ca="1">INDIRECT(ADDRESS($A322,H$4,,,$B322))</f>
        <v>0</v>
      </c>
      <c r="I322" s="43" cm="1">
        <f t="array" aca="1" ref="I322" ca="1">INDIRECT(ADDRESS($A322,I$4,,,$B322))</f>
        <v>0</v>
      </c>
      <c r="J322" s="43" cm="1">
        <f t="array" aca="1" ref="J322" ca="1">INDIRECT(ADDRESS($A322,J$4,,,$B322))</f>
        <v>0</v>
      </c>
    </row>
    <row r="323" spans="1:10">
      <c r="A323" s="39">
        <f t="shared" si="11"/>
        <v>113</v>
      </c>
      <c r="B323" s="42" t="str">
        <f t="shared" si="12"/>
        <v>W1</v>
      </c>
      <c r="C323" s="43" cm="1">
        <f t="array" aca="1" ref="C323" ca="1">INDIRECT(ADDRESS($A323,C$4,,,$B323))</f>
        <v>0</v>
      </c>
      <c r="D323" s="43" cm="1">
        <f t="array" aca="1" ref="D323" ca="1">INDIRECT(ADDRESS($A323,D$4,,,$B323))</f>
        <v>0</v>
      </c>
      <c r="E323" s="43" cm="1">
        <f t="array" aca="1" ref="E323" ca="1">INDIRECT(ADDRESS($A323,E$4,,,$B323))</f>
        <v>0</v>
      </c>
      <c r="F323" s="43" cm="1">
        <f t="array" aca="1" ref="F323" ca="1">INDIRECT(ADDRESS($A323,F$4,,,$B323))</f>
        <v>0</v>
      </c>
      <c r="G323" s="43" cm="1">
        <f t="array" aca="1" ref="G323" ca="1">INDIRECT(ADDRESS($A323,G$4,,,$B323))</f>
        <v>0</v>
      </c>
      <c r="H323" s="43" cm="1">
        <f t="array" aca="1" ref="H323" ca="1">INDIRECT(ADDRESS($A323,H$4,,,$B323))</f>
        <v>0</v>
      </c>
      <c r="I323" s="43" cm="1">
        <f t="array" aca="1" ref="I323" ca="1">INDIRECT(ADDRESS($A323,I$4,,,$B323))</f>
        <v>0</v>
      </c>
      <c r="J323" s="43" cm="1">
        <f t="array" aca="1" ref="J323" ca="1">INDIRECT(ADDRESS($A323,J$4,,,$B323))</f>
        <v>0</v>
      </c>
    </row>
    <row r="324" spans="1:10">
      <c r="A324" s="39">
        <f t="shared" si="11"/>
        <v>114</v>
      </c>
      <c r="B324" s="42" t="str">
        <f t="shared" si="12"/>
        <v>W1</v>
      </c>
      <c r="C324" s="43" cm="1">
        <f t="array" aca="1" ref="C324" ca="1">INDIRECT(ADDRESS($A324,C$4,,,$B324))</f>
        <v>0</v>
      </c>
      <c r="D324" s="43" cm="1">
        <f t="array" aca="1" ref="D324" ca="1">INDIRECT(ADDRESS($A324,D$4,,,$B324))</f>
        <v>0</v>
      </c>
      <c r="E324" s="43" cm="1">
        <f t="array" aca="1" ref="E324" ca="1">INDIRECT(ADDRESS($A324,E$4,,,$B324))</f>
        <v>0</v>
      </c>
      <c r="F324" s="43" cm="1">
        <f t="array" aca="1" ref="F324" ca="1">INDIRECT(ADDRESS($A324,F$4,,,$B324))</f>
        <v>0</v>
      </c>
      <c r="G324" s="43" cm="1">
        <f t="array" aca="1" ref="G324" ca="1">INDIRECT(ADDRESS($A324,G$4,,,$B324))</f>
        <v>0</v>
      </c>
      <c r="H324" s="43" cm="1">
        <f t="array" aca="1" ref="H324" ca="1">INDIRECT(ADDRESS($A324,H$4,,,$B324))</f>
        <v>0</v>
      </c>
      <c r="I324" s="43" cm="1">
        <f t="array" aca="1" ref="I324" ca="1">INDIRECT(ADDRESS($A324,I$4,,,$B324))</f>
        <v>0</v>
      </c>
      <c r="J324" s="43" cm="1">
        <f t="array" aca="1" ref="J324" ca="1">INDIRECT(ADDRESS($A324,J$4,,,$B324))</f>
        <v>0</v>
      </c>
    </row>
    <row r="325" spans="1:10">
      <c r="A325" s="39">
        <f t="shared" si="11"/>
        <v>115</v>
      </c>
      <c r="B325" s="42" t="str">
        <f t="shared" si="12"/>
        <v>W1</v>
      </c>
      <c r="C325" s="43" cm="1">
        <f t="array" aca="1" ref="C325" ca="1">INDIRECT(ADDRESS($A325,C$4,,,$B325))</f>
        <v>0</v>
      </c>
      <c r="D325" s="43" cm="1">
        <f t="array" aca="1" ref="D325" ca="1">INDIRECT(ADDRESS($A325,D$4,,,$B325))</f>
        <v>0</v>
      </c>
      <c r="E325" s="43" cm="1">
        <f t="array" aca="1" ref="E325" ca="1">INDIRECT(ADDRESS($A325,E$4,,,$B325))</f>
        <v>0</v>
      </c>
      <c r="F325" s="43" cm="1">
        <f t="array" aca="1" ref="F325" ca="1">INDIRECT(ADDRESS($A325,F$4,,,$B325))</f>
        <v>0</v>
      </c>
      <c r="G325" s="43" cm="1">
        <f t="array" aca="1" ref="G325" ca="1">INDIRECT(ADDRESS($A325,G$4,,,$B325))</f>
        <v>0</v>
      </c>
      <c r="H325" s="43" cm="1">
        <f t="array" aca="1" ref="H325" ca="1">INDIRECT(ADDRESS($A325,H$4,,,$B325))</f>
        <v>0</v>
      </c>
      <c r="I325" s="43" cm="1">
        <f t="array" aca="1" ref="I325" ca="1">INDIRECT(ADDRESS($A325,I$4,,,$B325))</f>
        <v>0</v>
      </c>
      <c r="J325" s="43" cm="1">
        <f t="array" aca="1" ref="J325" ca="1">INDIRECT(ADDRESS($A325,J$4,,,$B325))</f>
        <v>0</v>
      </c>
    </row>
    <row r="326" spans="1:10">
      <c r="A326" s="39">
        <f t="shared" si="11"/>
        <v>116</v>
      </c>
      <c r="B326" s="42" t="str">
        <f t="shared" si="12"/>
        <v>W1</v>
      </c>
      <c r="C326" s="43" cm="1">
        <f t="array" aca="1" ref="C326" ca="1">INDIRECT(ADDRESS($A326,C$4,,,$B326))</f>
        <v>0</v>
      </c>
      <c r="D326" s="43" cm="1">
        <f t="array" aca="1" ref="D326" ca="1">INDIRECT(ADDRESS($A326,D$4,,,$B326))</f>
        <v>0</v>
      </c>
      <c r="E326" s="43" cm="1">
        <f t="array" aca="1" ref="E326" ca="1">INDIRECT(ADDRESS($A326,E$4,,,$B326))</f>
        <v>0</v>
      </c>
      <c r="F326" s="43" cm="1">
        <f t="array" aca="1" ref="F326" ca="1">INDIRECT(ADDRESS($A326,F$4,,,$B326))</f>
        <v>0</v>
      </c>
      <c r="G326" s="43" cm="1">
        <f t="array" aca="1" ref="G326" ca="1">INDIRECT(ADDRESS($A326,G$4,,,$B326))</f>
        <v>0</v>
      </c>
      <c r="H326" s="43" cm="1">
        <f t="array" aca="1" ref="H326" ca="1">INDIRECT(ADDRESS($A326,H$4,,,$B326))</f>
        <v>0</v>
      </c>
      <c r="I326" s="43" cm="1">
        <f t="array" aca="1" ref="I326" ca="1">INDIRECT(ADDRESS($A326,I$4,,,$B326))</f>
        <v>0</v>
      </c>
      <c r="J326" s="43" cm="1">
        <f t="array" aca="1" ref="J326" ca="1">INDIRECT(ADDRESS($A326,J$4,,,$B326))</f>
        <v>0</v>
      </c>
    </row>
    <row r="327" spans="1:10">
      <c r="A327" s="39">
        <f t="shared" si="11"/>
        <v>117</v>
      </c>
      <c r="B327" s="42" t="str">
        <f t="shared" si="12"/>
        <v>W1</v>
      </c>
      <c r="C327" s="43" cm="1">
        <f t="array" aca="1" ref="C327" ca="1">INDIRECT(ADDRESS($A327,C$4,,,$B327))</f>
        <v>0</v>
      </c>
      <c r="D327" s="43" cm="1">
        <f t="array" aca="1" ref="D327" ca="1">INDIRECT(ADDRESS($A327,D$4,,,$B327))</f>
        <v>0</v>
      </c>
      <c r="E327" s="43" cm="1">
        <f t="array" aca="1" ref="E327" ca="1">INDIRECT(ADDRESS($A327,E$4,,,$B327))</f>
        <v>0</v>
      </c>
      <c r="F327" s="43" cm="1">
        <f t="array" aca="1" ref="F327" ca="1">INDIRECT(ADDRESS($A327,F$4,,,$B327))</f>
        <v>0</v>
      </c>
      <c r="G327" s="43" cm="1">
        <f t="array" aca="1" ref="G327" ca="1">INDIRECT(ADDRESS($A327,G$4,,,$B327))</f>
        <v>0</v>
      </c>
      <c r="H327" s="43" cm="1">
        <f t="array" aca="1" ref="H327" ca="1">INDIRECT(ADDRESS($A327,H$4,,,$B327))</f>
        <v>0</v>
      </c>
      <c r="I327" s="43" cm="1">
        <f t="array" aca="1" ref="I327" ca="1">INDIRECT(ADDRESS($A327,I$4,,,$B327))</f>
        <v>0</v>
      </c>
      <c r="J327" s="43" cm="1">
        <f t="array" aca="1" ref="J327" ca="1">INDIRECT(ADDRESS($A327,J$4,,,$B327))</f>
        <v>0</v>
      </c>
    </row>
    <row r="328" spans="1:10">
      <c r="A328" s="39">
        <f t="shared" si="11"/>
        <v>118</v>
      </c>
      <c r="B328" s="42" t="str">
        <f t="shared" si="12"/>
        <v>W1</v>
      </c>
      <c r="C328" s="43" cm="1">
        <f t="array" aca="1" ref="C328" ca="1">INDIRECT(ADDRESS($A328,C$4,,,$B328))</f>
        <v>0</v>
      </c>
      <c r="D328" s="43" cm="1">
        <f t="array" aca="1" ref="D328" ca="1">INDIRECT(ADDRESS($A328,D$4,,,$B328))</f>
        <v>0</v>
      </c>
      <c r="E328" s="43" cm="1">
        <f t="array" aca="1" ref="E328" ca="1">INDIRECT(ADDRESS($A328,E$4,,,$B328))</f>
        <v>0</v>
      </c>
      <c r="F328" s="43" cm="1">
        <f t="array" aca="1" ref="F328" ca="1">INDIRECT(ADDRESS($A328,F$4,,,$B328))</f>
        <v>0</v>
      </c>
      <c r="G328" s="43" cm="1">
        <f t="array" aca="1" ref="G328" ca="1">INDIRECT(ADDRESS($A328,G$4,,,$B328))</f>
        <v>0</v>
      </c>
      <c r="H328" s="43" cm="1">
        <f t="array" aca="1" ref="H328" ca="1">INDIRECT(ADDRESS($A328,H$4,,,$B328))</f>
        <v>0</v>
      </c>
      <c r="I328" s="43" cm="1">
        <f t="array" aca="1" ref="I328" ca="1">INDIRECT(ADDRESS($A328,I$4,,,$B328))</f>
        <v>0</v>
      </c>
      <c r="J328" s="43" cm="1">
        <f t="array" aca="1" ref="J328" ca="1">INDIRECT(ADDRESS($A328,J$4,,,$B328))</f>
        <v>0</v>
      </c>
    </row>
    <row r="329" spans="1:10">
      <c r="A329" s="39">
        <f t="shared" si="11"/>
        <v>119</v>
      </c>
      <c r="B329" s="42" t="str">
        <f t="shared" si="12"/>
        <v>W1</v>
      </c>
      <c r="C329" s="43" cm="1">
        <f t="array" aca="1" ref="C329" ca="1">INDIRECT(ADDRESS($A329,C$4,,,$B329))</f>
        <v>0</v>
      </c>
      <c r="D329" s="43" cm="1">
        <f t="array" aca="1" ref="D329" ca="1">INDIRECT(ADDRESS($A329,D$4,,,$B329))</f>
        <v>0</v>
      </c>
      <c r="E329" s="43" cm="1">
        <f t="array" aca="1" ref="E329" ca="1">INDIRECT(ADDRESS($A329,E$4,,,$B329))</f>
        <v>0</v>
      </c>
      <c r="F329" s="43" cm="1">
        <f t="array" aca="1" ref="F329" ca="1">INDIRECT(ADDRESS($A329,F$4,,,$B329))</f>
        <v>0</v>
      </c>
      <c r="G329" s="43" cm="1">
        <f t="array" aca="1" ref="G329" ca="1">INDIRECT(ADDRESS($A329,G$4,,,$B329))</f>
        <v>0</v>
      </c>
      <c r="H329" s="43" cm="1">
        <f t="array" aca="1" ref="H329" ca="1">INDIRECT(ADDRESS($A329,H$4,,,$B329))</f>
        <v>0</v>
      </c>
      <c r="I329" s="43" cm="1">
        <f t="array" aca="1" ref="I329" ca="1">INDIRECT(ADDRESS($A329,I$4,,,$B329))</f>
        <v>0</v>
      </c>
      <c r="J329" s="43" cm="1">
        <f t="array" aca="1" ref="J329" ca="1">INDIRECT(ADDRESS($A329,J$4,,,$B329))</f>
        <v>0</v>
      </c>
    </row>
    <row r="330" spans="1:10">
      <c r="A330" s="39">
        <f t="shared" si="11"/>
        <v>120</v>
      </c>
      <c r="B330" s="42" t="str">
        <f t="shared" si="12"/>
        <v>W1</v>
      </c>
      <c r="C330" s="43" cm="1">
        <f t="array" aca="1" ref="C330" ca="1">INDIRECT(ADDRESS($A330,C$4,,,$B330))</f>
        <v>0</v>
      </c>
      <c r="D330" s="43" cm="1">
        <f t="array" aca="1" ref="D330" ca="1">INDIRECT(ADDRESS($A330,D$4,,,$B330))</f>
        <v>0</v>
      </c>
      <c r="E330" s="43" cm="1">
        <f t="array" aca="1" ref="E330" ca="1">INDIRECT(ADDRESS($A330,E$4,,,$B330))</f>
        <v>0</v>
      </c>
      <c r="F330" s="43" cm="1">
        <f t="array" aca="1" ref="F330" ca="1">INDIRECT(ADDRESS($A330,F$4,,,$B330))</f>
        <v>0</v>
      </c>
      <c r="G330" s="43" cm="1">
        <f t="array" aca="1" ref="G330" ca="1">INDIRECT(ADDRESS($A330,G$4,,,$B330))</f>
        <v>0</v>
      </c>
      <c r="H330" s="43" cm="1">
        <f t="array" aca="1" ref="H330" ca="1">INDIRECT(ADDRESS($A330,H$4,,,$B330))</f>
        <v>0</v>
      </c>
      <c r="I330" s="43" cm="1">
        <f t="array" aca="1" ref="I330" ca="1">INDIRECT(ADDRESS($A330,I$4,,,$B330))</f>
        <v>0</v>
      </c>
      <c r="J330" s="43" cm="1">
        <f t="array" aca="1" ref="J330" ca="1">INDIRECT(ADDRESS($A330,J$4,,,$B330))</f>
        <v>0</v>
      </c>
    </row>
    <row r="331" spans="1:10">
      <c r="A331" s="39">
        <f t="shared" si="11"/>
        <v>121</v>
      </c>
      <c r="B331" s="42" t="str">
        <f t="shared" si="12"/>
        <v>W1</v>
      </c>
      <c r="C331" s="43" cm="1">
        <f t="array" aca="1" ref="C331" ca="1">INDIRECT(ADDRESS($A331,C$4,,,$B331))</f>
        <v>0</v>
      </c>
      <c r="D331" s="43" cm="1">
        <f t="array" aca="1" ref="D331" ca="1">INDIRECT(ADDRESS($A331,D$4,,,$B331))</f>
        <v>0</v>
      </c>
      <c r="E331" s="43" cm="1">
        <f t="array" aca="1" ref="E331" ca="1">INDIRECT(ADDRESS($A331,E$4,,,$B331))</f>
        <v>0</v>
      </c>
      <c r="F331" s="43" cm="1">
        <f t="array" aca="1" ref="F331" ca="1">INDIRECT(ADDRESS($A331,F$4,,,$B331))</f>
        <v>0</v>
      </c>
      <c r="G331" s="43" cm="1">
        <f t="array" aca="1" ref="G331" ca="1">INDIRECT(ADDRESS($A331,G$4,,,$B331))</f>
        <v>0</v>
      </c>
      <c r="H331" s="43" cm="1">
        <f t="array" aca="1" ref="H331" ca="1">INDIRECT(ADDRESS($A331,H$4,,,$B331))</f>
        <v>0</v>
      </c>
      <c r="I331" s="43" cm="1">
        <f t="array" aca="1" ref="I331" ca="1">INDIRECT(ADDRESS($A331,I$4,,,$B331))</f>
        <v>0</v>
      </c>
      <c r="J331" s="43" cm="1">
        <f t="array" aca="1" ref="J331" ca="1">INDIRECT(ADDRESS($A331,J$4,,,$B331))</f>
        <v>0</v>
      </c>
    </row>
    <row r="332" spans="1:10">
      <c r="A332" s="39">
        <f t="shared" si="11"/>
        <v>122</v>
      </c>
      <c r="B332" s="42" t="str">
        <f t="shared" si="12"/>
        <v>W1</v>
      </c>
      <c r="C332" s="43" cm="1">
        <f t="array" aca="1" ref="C332" ca="1">INDIRECT(ADDRESS($A332,C$4,,,$B332))</f>
        <v>0</v>
      </c>
      <c r="D332" s="43" cm="1">
        <f t="array" aca="1" ref="D332" ca="1">INDIRECT(ADDRESS($A332,D$4,,,$B332))</f>
        <v>0</v>
      </c>
      <c r="E332" s="43" cm="1">
        <f t="array" aca="1" ref="E332" ca="1">INDIRECT(ADDRESS($A332,E$4,,,$B332))</f>
        <v>0</v>
      </c>
      <c r="F332" s="43" cm="1">
        <f t="array" aca="1" ref="F332" ca="1">INDIRECT(ADDRESS($A332,F$4,,,$B332))</f>
        <v>0</v>
      </c>
      <c r="G332" s="43" cm="1">
        <f t="array" aca="1" ref="G332" ca="1">INDIRECT(ADDRESS($A332,G$4,,,$B332))</f>
        <v>0</v>
      </c>
      <c r="H332" s="43" cm="1">
        <f t="array" aca="1" ref="H332" ca="1">INDIRECT(ADDRESS($A332,H$4,,,$B332))</f>
        <v>0</v>
      </c>
      <c r="I332" s="43" cm="1">
        <f t="array" aca="1" ref="I332" ca="1">INDIRECT(ADDRESS($A332,I$4,,,$B332))</f>
        <v>0</v>
      </c>
      <c r="J332" s="43" cm="1">
        <f t="array" aca="1" ref="J332" ca="1">INDIRECT(ADDRESS($A332,J$4,,,$B332))</f>
        <v>0</v>
      </c>
    </row>
    <row r="333" spans="1:10">
      <c r="A333" s="39">
        <f t="shared" si="11"/>
        <v>123</v>
      </c>
      <c r="B333" s="42" t="str">
        <f t="shared" si="12"/>
        <v>W1</v>
      </c>
      <c r="C333" s="43" cm="1">
        <f t="array" aca="1" ref="C333" ca="1">INDIRECT(ADDRESS($A333,C$4,,,$B333))</f>
        <v>0</v>
      </c>
      <c r="D333" s="43" cm="1">
        <f t="array" aca="1" ref="D333" ca="1">INDIRECT(ADDRESS($A333,D$4,,,$B333))</f>
        <v>0</v>
      </c>
      <c r="E333" s="43" cm="1">
        <f t="array" aca="1" ref="E333" ca="1">INDIRECT(ADDRESS($A333,E$4,,,$B333))</f>
        <v>0</v>
      </c>
      <c r="F333" s="43" cm="1">
        <f t="array" aca="1" ref="F333" ca="1">INDIRECT(ADDRESS($A333,F$4,,,$B333))</f>
        <v>0</v>
      </c>
      <c r="G333" s="43" cm="1">
        <f t="array" aca="1" ref="G333" ca="1">INDIRECT(ADDRESS($A333,G$4,,,$B333))</f>
        <v>0</v>
      </c>
      <c r="H333" s="43" cm="1">
        <f t="array" aca="1" ref="H333" ca="1">INDIRECT(ADDRESS($A333,H$4,,,$B333))</f>
        <v>0</v>
      </c>
      <c r="I333" s="43" cm="1">
        <f t="array" aca="1" ref="I333" ca="1">INDIRECT(ADDRESS($A333,I$4,,,$B333))</f>
        <v>0</v>
      </c>
      <c r="J333" s="43" cm="1">
        <f t="array" aca="1" ref="J333" ca="1">INDIRECT(ADDRESS($A333,J$4,,,$B333))</f>
        <v>0</v>
      </c>
    </row>
    <row r="334" spans="1:10">
      <c r="A334" s="39">
        <f t="shared" si="11"/>
        <v>124</v>
      </c>
      <c r="B334" s="42" t="str">
        <f t="shared" si="12"/>
        <v>W1</v>
      </c>
      <c r="C334" s="43" cm="1">
        <f t="array" aca="1" ref="C334" ca="1">INDIRECT(ADDRESS($A334,C$4,,,$B334))</f>
        <v>0</v>
      </c>
      <c r="D334" s="43" cm="1">
        <f t="array" aca="1" ref="D334" ca="1">INDIRECT(ADDRESS($A334,D$4,,,$B334))</f>
        <v>0</v>
      </c>
      <c r="E334" s="43" cm="1">
        <f t="array" aca="1" ref="E334" ca="1">INDIRECT(ADDRESS($A334,E$4,,,$B334))</f>
        <v>0</v>
      </c>
      <c r="F334" s="43" cm="1">
        <f t="array" aca="1" ref="F334" ca="1">INDIRECT(ADDRESS($A334,F$4,,,$B334))</f>
        <v>0</v>
      </c>
      <c r="G334" s="43" cm="1">
        <f t="array" aca="1" ref="G334" ca="1">INDIRECT(ADDRESS($A334,G$4,,,$B334))</f>
        <v>0</v>
      </c>
      <c r="H334" s="43" cm="1">
        <f t="array" aca="1" ref="H334" ca="1">INDIRECT(ADDRESS($A334,H$4,,,$B334))</f>
        <v>0</v>
      </c>
      <c r="I334" s="43" cm="1">
        <f t="array" aca="1" ref="I334" ca="1">INDIRECT(ADDRESS($A334,I$4,,,$B334))</f>
        <v>0</v>
      </c>
      <c r="J334" s="43" cm="1">
        <f t="array" aca="1" ref="J334" ca="1">INDIRECT(ADDRESS($A334,J$4,,,$B334))</f>
        <v>0</v>
      </c>
    </row>
    <row r="335" spans="1:10">
      <c r="A335" s="39">
        <f t="shared" si="11"/>
        <v>125</v>
      </c>
      <c r="B335" s="42" t="str">
        <f t="shared" si="12"/>
        <v>W1</v>
      </c>
      <c r="C335" s="43" cm="1">
        <f t="array" aca="1" ref="C335" ca="1">INDIRECT(ADDRESS($A335,C$4,,,$B335))</f>
        <v>0</v>
      </c>
      <c r="D335" s="43" cm="1">
        <f t="array" aca="1" ref="D335" ca="1">INDIRECT(ADDRESS($A335,D$4,,,$B335))</f>
        <v>0</v>
      </c>
      <c r="E335" s="43" cm="1">
        <f t="array" aca="1" ref="E335" ca="1">INDIRECT(ADDRESS($A335,E$4,,,$B335))</f>
        <v>0</v>
      </c>
      <c r="F335" s="43" cm="1">
        <f t="array" aca="1" ref="F335" ca="1">INDIRECT(ADDRESS($A335,F$4,,,$B335))</f>
        <v>0</v>
      </c>
      <c r="G335" s="43" cm="1">
        <f t="array" aca="1" ref="G335" ca="1">INDIRECT(ADDRESS($A335,G$4,,,$B335))</f>
        <v>0</v>
      </c>
      <c r="H335" s="43" cm="1">
        <f t="array" aca="1" ref="H335" ca="1">INDIRECT(ADDRESS($A335,H$4,,,$B335))</f>
        <v>0</v>
      </c>
      <c r="I335" s="43" cm="1">
        <f t="array" aca="1" ref="I335" ca="1">INDIRECT(ADDRESS($A335,I$4,,,$B335))</f>
        <v>0</v>
      </c>
      <c r="J335" s="43" cm="1">
        <f t="array" aca="1" ref="J335" ca="1">INDIRECT(ADDRESS($A335,J$4,,,$B335))</f>
        <v>0</v>
      </c>
    </row>
    <row r="336" spans="1:10">
      <c r="A336" s="39">
        <f t="shared" si="11"/>
        <v>126</v>
      </c>
      <c r="B336" s="42" t="str">
        <f t="shared" si="12"/>
        <v>W1</v>
      </c>
      <c r="C336" s="43" cm="1">
        <f t="array" aca="1" ref="C336" ca="1">INDIRECT(ADDRESS($A336,C$4,,,$B336))</f>
        <v>0</v>
      </c>
      <c r="D336" s="43" cm="1">
        <f t="array" aca="1" ref="D336" ca="1">INDIRECT(ADDRESS($A336,D$4,,,$B336))</f>
        <v>0</v>
      </c>
      <c r="E336" s="43" cm="1">
        <f t="array" aca="1" ref="E336" ca="1">INDIRECT(ADDRESS($A336,E$4,,,$B336))</f>
        <v>0</v>
      </c>
      <c r="F336" s="43" cm="1">
        <f t="array" aca="1" ref="F336" ca="1">INDIRECT(ADDRESS($A336,F$4,,,$B336))</f>
        <v>0</v>
      </c>
      <c r="G336" s="43" cm="1">
        <f t="array" aca="1" ref="G336" ca="1">INDIRECT(ADDRESS($A336,G$4,,,$B336))</f>
        <v>0</v>
      </c>
      <c r="H336" s="43" cm="1">
        <f t="array" aca="1" ref="H336" ca="1">INDIRECT(ADDRESS($A336,H$4,,,$B336))</f>
        <v>0</v>
      </c>
      <c r="I336" s="43" cm="1">
        <f t="array" aca="1" ref="I336" ca="1">INDIRECT(ADDRESS($A336,I$4,,,$B336))</f>
        <v>0</v>
      </c>
      <c r="J336" s="43" cm="1">
        <f t="array" aca="1" ref="J336" ca="1">INDIRECT(ADDRESS($A336,J$4,,,$B336))</f>
        <v>0</v>
      </c>
    </row>
    <row r="337" spans="1:10">
      <c r="A337" s="39">
        <f t="shared" si="11"/>
        <v>127</v>
      </c>
      <c r="B337" s="42" t="str">
        <f t="shared" si="12"/>
        <v>W1</v>
      </c>
      <c r="C337" s="43" cm="1">
        <f t="array" aca="1" ref="C337" ca="1">INDIRECT(ADDRESS($A337,C$4,,,$B337))</f>
        <v>0</v>
      </c>
      <c r="D337" s="43" cm="1">
        <f t="array" aca="1" ref="D337" ca="1">INDIRECT(ADDRESS($A337,D$4,,,$B337))</f>
        <v>0</v>
      </c>
      <c r="E337" s="43" cm="1">
        <f t="array" aca="1" ref="E337" ca="1">INDIRECT(ADDRESS($A337,E$4,,,$B337))</f>
        <v>0</v>
      </c>
      <c r="F337" s="43" cm="1">
        <f t="array" aca="1" ref="F337" ca="1">INDIRECT(ADDRESS($A337,F$4,,,$B337))</f>
        <v>0</v>
      </c>
      <c r="G337" s="43" cm="1">
        <f t="array" aca="1" ref="G337" ca="1">INDIRECT(ADDRESS($A337,G$4,,,$B337))</f>
        <v>0</v>
      </c>
      <c r="H337" s="43" cm="1">
        <f t="array" aca="1" ref="H337" ca="1">INDIRECT(ADDRESS($A337,H$4,,,$B337))</f>
        <v>0</v>
      </c>
      <c r="I337" s="43" cm="1">
        <f t="array" aca="1" ref="I337" ca="1">INDIRECT(ADDRESS($A337,I$4,,,$B337))</f>
        <v>0</v>
      </c>
      <c r="J337" s="43" cm="1">
        <f t="array" aca="1" ref="J337" ca="1">INDIRECT(ADDRESS($A337,J$4,,,$B337))</f>
        <v>0</v>
      </c>
    </row>
    <row r="338" spans="1:10">
      <c r="A338" s="39">
        <f t="shared" si="11"/>
        <v>128</v>
      </c>
      <c r="B338" s="42" t="str">
        <f t="shared" si="12"/>
        <v>W1</v>
      </c>
      <c r="C338" s="43" cm="1">
        <f t="array" aca="1" ref="C338" ca="1">INDIRECT(ADDRESS($A338,C$4,,,$B338))</f>
        <v>0</v>
      </c>
      <c r="D338" s="43" cm="1">
        <f t="array" aca="1" ref="D338" ca="1">INDIRECT(ADDRESS($A338,D$4,,,$B338))</f>
        <v>0</v>
      </c>
      <c r="E338" s="43" cm="1">
        <f t="array" aca="1" ref="E338" ca="1">INDIRECT(ADDRESS($A338,E$4,,,$B338))</f>
        <v>0</v>
      </c>
      <c r="F338" s="43" cm="1">
        <f t="array" aca="1" ref="F338" ca="1">INDIRECT(ADDRESS($A338,F$4,,,$B338))</f>
        <v>0</v>
      </c>
      <c r="G338" s="43" cm="1">
        <f t="array" aca="1" ref="G338" ca="1">INDIRECT(ADDRESS($A338,G$4,,,$B338))</f>
        <v>0</v>
      </c>
      <c r="H338" s="43" cm="1">
        <f t="array" aca="1" ref="H338" ca="1">INDIRECT(ADDRESS($A338,H$4,,,$B338))</f>
        <v>0</v>
      </c>
      <c r="I338" s="43" cm="1">
        <f t="array" aca="1" ref="I338" ca="1">INDIRECT(ADDRESS($A338,I$4,,,$B338))</f>
        <v>0</v>
      </c>
      <c r="J338" s="43" cm="1">
        <f t="array" aca="1" ref="J338" ca="1">INDIRECT(ADDRESS($A338,J$4,,,$B338))</f>
        <v>0</v>
      </c>
    </row>
    <row r="339" spans="1:10">
      <c r="A339" s="39">
        <f t="shared" si="11"/>
        <v>129</v>
      </c>
      <c r="B339" s="42" t="str">
        <f t="shared" si="12"/>
        <v>W1</v>
      </c>
      <c r="C339" s="43" cm="1">
        <f t="array" aca="1" ref="C339" ca="1">INDIRECT(ADDRESS($A339,C$4,,,$B339))</f>
        <v>0</v>
      </c>
      <c r="D339" s="43" cm="1">
        <f t="array" aca="1" ref="D339" ca="1">INDIRECT(ADDRESS($A339,D$4,,,$B339))</f>
        <v>0</v>
      </c>
      <c r="E339" s="43" cm="1">
        <f t="array" aca="1" ref="E339" ca="1">INDIRECT(ADDRESS($A339,E$4,,,$B339))</f>
        <v>0</v>
      </c>
      <c r="F339" s="43" cm="1">
        <f t="array" aca="1" ref="F339" ca="1">INDIRECT(ADDRESS($A339,F$4,,,$B339))</f>
        <v>0</v>
      </c>
      <c r="G339" s="43" cm="1">
        <f t="array" aca="1" ref="G339" ca="1">INDIRECT(ADDRESS($A339,G$4,,,$B339))</f>
        <v>0</v>
      </c>
      <c r="H339" s="43" cm="1">
        <f t="array" aca="1" ref="H339" ca="1">INDIRECT(ADDRESS($A339,H$4,,,$B339))</f>
        <v>0</v>
      </c>
      <c r="I339" s="43" cm="1">
        <f t="array" aca="1" ref="I339" ca="1">INDIRECT(ADDRESS($A339,I$4,,,$B339))</f>
        <v>0</v>
      </c>
      <c r="J339" s="43" cm="1">
        <f t="array" aca="1" ref="J339" ca="1">INDIRECT(ADDRESS($A339,J$4,,,$B339))</f>
        <v>0</v>
      </c>
    </row>
    <row r="340" spans="1:10">
      <c r="A340" s="39">
        <f t="shared" si="11"/>
        <v>130</v>
      </c>
      <c r="B340" s="42" t="str">
        <f t="shared" si="12"/>
        <v>W1</v>
      </c>
      <c r="C340" s="43" cm="1">
        <f t="array" aca="1" ref="C340" ca="1">INDIRECT(ADDRESS($A340,C$4,,,$B340))</f>
        <v>0</v>
      </c>
      <c r="D340" s="43" cm="1">
        <f t="array" aca="1" ref="D340" ca="1">INDIRECT(ADDRESS($A340,D$4,,,$B340))</f>
        <v>0</v>
      </c>
      <c r="E340" s="43" cm="1">
        <f t="array" aca="1" ref="E340" ca="1">INDIRECT(ADDRESS($A340,E$4,,,$B340))</f>
        <v>0</v>
      </c>
      <c r="F340" s="43" cm="1">
        <f t="array" aca="1" ref="F340" ca="1">INDIRECT(ADDRESS($A340,F$4,,,$B340))</f>
        <v>0</v>
      </c>
      <c r="G340" s="43" cm="1">
        <f t="array" aca="1" ref="G340" ca="1">INDIRECT(ADDRESS($A340,G$4,,,$B340))</f>
        <v>0</v>
      </c>
      <c r="H340" s="43" cm="1">
        <f t="array" aca="1" ref="H340" ca="1">INDIRECT(ADDRESS($A340,H$4,,,$B340))</f>
        <v>0</v>
      </c>
      <c r="I340" s="43" cm="1">
        <f t="array" aca="1" ref="I340" ca="1">INDIRECT(ADDRESS($A340,I$4,,,$B340))</f>
        <v>0</v>
      </c>
      <c r="J340" s="43" cm="1">
        <f t="array" aca="1" ref="J340" ca="1">INDIRECT(ADDRESS($A340,J$4,,,$B340))</f>
        <v>0</v>
      </c>
    </row>
    <row r="341" spans="1:10">
      <c r="A341" s="39">
        <f t="shared" si="11"/>
        <v>131</v>
      </c>
      <c r="B341" s="42" t="str">
        <f t="shared" si="12"/>
        <v>W1</v>
      </c>
      <c r="C341" s="43" cm="1">
        <f t="array" aca="1" ref="C341" ca="1">INDIRECT(ADDRESS($A341,C$4,,,$B341))</f>
        <v>0</v>
      </c>
      <c r="D341" s="43" cm="1">
        <f t="array" aca="1" ref="D341" ca="1">INDIRECT(ADDRESS($A341,D$4,,,$B341))</f>
        <v>0</v>
      </c>
      <c r="E341" s="43" cm="1">
        <f t="array" aca="1" ref="E341" ca="1">INDIRECT(ADDRESS($A341,E$4,,,$B341))</f>
        <v>0</v>
      </c>
      <c r="F341" s="43" cm="1">
        <f t="array" aca="1" ref="F341" ca="1">INDIRECT(ADDRESS($A341,F$4,,,$B341))</f>
        <v>0</v>
      </c>
      <c r="G341" s="43" cm="1">
        <f t="array" aca="1" ref="G341" ca="1">INDIRECT(ADDRESS($A341,G$4,,,$B341))</f>
        <v>0</v>
      </c>
      <c r="H341" s="43" cm="1">
        <f t="array" aca="1" ref="H341" ca="1">INDIRECT(ADDRESS($A341,H$4,,,$B341))</f>
        <v>0</v>
      </c>
      <c r="I341" s="43" cm="1">
        <f t="array" aca="1" ref="I341" ca="1">INDIRECT(ADDRESS($A341,I$4,,,$B341))</f>
        <v>0</v>
      </c>
      <c r="J341" s="43" cm="1">
        <f t="array" aca="1" ref="J341" ca="1">INDIRECT(ADDRESS($A341,J$4,,,$B341))</f>
        <v>0</v>
      </c>
    </row>
    <row r="342" spans="1:10">
      <c r="A342" s="39">
        <f t="shared" si="11"/>
        <v>132</v>
      </c>
      <c r="B342" s="42" t="str">
        <f t="shared" si="12"/>
        <v>W1</v>
      </c>
      <c r="C342" s="43" cm="1">
        <f t="array" aca="1" ref="C342" ca="1">INDIRECT(ADDRESS($A342,C$4,,,$B342))</f>
        <v>0</v>
      </c>
      <c r="D342" s="43" cm="1">
        <f t="array" aca="1" ref="D342" ca="1">INDIRECT(ADDRESS($A342,D$4,,,$B342))</f>
        <v>0</v>
      </c>
      <c r="E342" s="43" cm="1">
        <f t="array" aca="1" ref="E342" ca="1">INDIRECT(ADDRESS($A342,E$4,,,$B342))</f>
        <v>0</v>
      </c>
      <c r="F342" s="43" cm="1">
        <f t="array" aca="1" ref="F342" ca="1">INDIRECT(ADDRESS($A342,F$4,,,$B342))</f>
        <v>0</v>
      </c>
      <c r="G342" s="43" cm="1">
        <f t="array" aca="1" ref="G342" ca="1">INDIRECT(ADDRESS($A342,G$4,,,$B342))</f>
        <v>0</v>
      </c>
      <c r="H342" s="43" cm="1">
        <f t="array" aca="1" ref="H342" ca="1">INDIRECT(ADDRESS($A342,H$4,,,$B342))</f>
        <v>0</v>
      </c>
      <c r="I342" s="43" cm="1">
        <f t="array" aca="1" ref="I342" ca="1">INDIRECT(ADDRESS($A342,I$4,,,$B342))</f>
        <v>0</v>
      </c>
      <c r="J342" s="43" cm="1">
        <f t="array" aca="1" ref="J342" ca="1">INDIRECT(ADDRESS($A342,J$4,,,$B342))</f>
        <v>0</v>
      </c>
    </row>
    <row r="343" spans="1:10">
      <c r="A343" s="39">
        <f t="shared" si="11"/>
        <v>133</v>
      </c>
      <c r="B343" s="42" t="str">
        <f t="shared" si="12"/>
        <v>W1</v>
      </c>
      <c r="C343" s="43" cm="1">
        <f t="array" aca="1" ref="C343" ca="1">INDIRECT(ADDRESS($A343,C$4,,,$B343))</f>
        <v>0</v>
      </c>
      <c r="D343" s="43" cm="1">
        <f t="array" aca="1" ref="D343" ca="1">INDIRECT(ADDRESS($A343,D$4,,,$B343))</f>
        <v>0</v>
      </c>
      <c r="E343" s="43" cm="1">
        <f t="array" aca="1" ref="E343" ca="1">INDIRECT(ADDRESS($A343,E$4,,,$B343))</f>
        <v>0</v>
      </c>
      <c r="F343" s="43" cm="1">
        <f t="array" aca="1" ref="F343" ca="1">INDIRECT(ADDRESS($A343,F$4,,,$B343))</f>
        <v>0</v>
      </c>
      <c r="G343" s="43" cm="1">
        <f t="array" aca="1" ref="G343" ca="1">INDIRECT(ADDRESS($A343,G$4,,,$B343))</f>
        <v>0</v>
      </c>
      <c r="H343" s="43" cm="1">
        <f t="array" aca="1" ref="H343" ca="1">INDIRECT(ADDRESS($A343,H$4,,,$B343))</f>
        <v>0</v>
      </c>
      <c r="I343" s="43" cm="1">
        <f t="array" aca="1" ref="I343" ca="1">INDIRECT(ADDRESS($A343,I$4,,,$B343))</f>
        <v>0</v>
      </c>
      <c r="J343" s="43" cm="1">
        <f t="array" aca="1" ref="J343" ca="1">INDIRECT(ADDRESS($A343,J$4,,,$B343))</f>
        <v>0</v>
      </c>
    </row>
    <row r="344" spans="1:10">
      <c r="A344" s="39">
        <f t="shared" si="11"/>
        <v>134</v>
      </c>
      <c r="B344" s="42" t="str">
        <f t="shared" si="12"/>
        <v>W1</v>
      </c>
      <c r="C344" s="43" cm="1">
        <f t="array" aca="1" ref="C344" ca="1">INDIRECT(ADDRESS($A344,C$4,,,$B344))</f>
        <v>0</v>
      </c>
      <c r="D344" s="43" cm="1">
        <f t="array" aca="1" ref="D344" ca="1">INDIRECT(ADDRESS($A344,D$4,,,$B344))</f>
        <v>0</v>
      </c>
      <c r="E344" s="43" cm="1">
        <f t="array" aca="1" ref="E344" ca="1">INDIRECT(ADDRESS($A344,E$4,,,$B344))</f>
        <v>0</v>
      </c>
      <c r="F344" s="43" cm="1">
        <f t="array" aca="1" ref="F344" ca="1">INDIRECT(ADDRESS($A344,F$4,,,$B344))</f>
        <v>0</v>
      </c>
      <c r="G344" s="43" cm="1">
        <f t="array" aca="1" ref="G344" ca="1">INDIRECT(ADDRESS($A344,G$4,,,$B344))</f>
        <v>0</v>
      </c>
      <c r="H344" s="43" cm="1">
        <f t="array" aca="1" ref="H344" ca="1">INDIRECT(ADDRESS($A344,H$4,,,$B344))</f>
        <v>0</v>
      </c>
      <c r="I344" s="43" cm="1">
        <f t="array" aca="1" ref="I344" ca="1">INDIRECT(ADDRESS($A344,I$4,,,$B344))</f>
        <v>0</v>
      </c>
      <c r="J344" s="43" cm="1">
        <f t="array" aca="1" ref="J344" ca="1">INDIRECT(ADDRESS($A344,J$4,,,$B344))</f>
        <v>0</v>
      </c>
    </row>
    <row r="345" spans="1:10">
      <c r="A345" s="39">
        <f t="shared" si="11"/>
        <v>135</v>
      </c>
      <c r="B345" s="42" t="str">
        <f t="shared" si="12"/>
        <v>W1</v>
      </c>
      <c r="C345" s="43" cm="1">
        <f t="array" aca="1" ref="C345" ca="1">INDIRECT(ADDRESS($A345,C$4,,,$B345))</f>
        <v>0</v>
      </c>
      <c r="D345" s="43" cm="1">
        <f t="array" aca="1" ref="D345" ca="1">INDIRECT(ADDRESS($A345,D$4,,,$B345))</f>
        <v>0</v>
      </c>
      <c r="E345" s="43" cm="1">
        <f t="array" aca="1" ref="E345" ca="1">INDIRECT(ADDRESS($A345,E$4,,,$B345))</f>
        <v>0</v>
      </c>
      <c r="F345" s="43" cm="1">
        <f t="array" aca="1" ref="F345" ca="1">INDIRECT(ADDRESS($A345,F$4,,,$B345))</f>
        <v>0</v>
      </c>
      <c r="G345" s="43" cm="1">
        <f t="array" aca="1" ref="G345" ca="1">INDIRECT(ADDRESS($A345,G$4,,,$B345))</f>
        <v>0</v>
      </c>
      <c r="H345" s="43" cm="1">
        <f t="array" aca="1" ref="H345" ca="1">INDIRECT(ADDRESS($A345,H$4,,,$B345))</f>
        <v>0</v>
      </c>
      <c r="I345" s="43" cm="1">
        <f t="array" aca="1" ref="I345" ca="1">INDIRECT(ADDRESS($A345,I$4,,,$B345))</f>
        <v>0</v>
      </c>
      <c r="J345" s="43" cm="1">
        <f t="array" aca="1" ref="J345" ca="1">INDIRECT(ADDRESS($A345,J$4,,,$B345))</f>
        <v>0</v>
      </c>
    </row>
    <row r="346" spans="1:10">
      <c r="A346" s="39">
        <f t="shared" si="11"/>
        <v>136</v>
      </c>
      <c r="B346" s="42" t="str">
        <f t="shared" si="12"/>
        <v>W1</v>
      </c>
      <c r="C346" s="43" cm="1">
        <f t="array" aca="1" ref="C346" ca="1">INDIRECT(ADDRESS($A346,C$4,,,$B346))</f>
        <v>0</v>
      </c>
      <c r="D346" s="43" cm="1">
        <f t="array" aca="1" ref="D346" ca="1">INDIRECT(ADDRESS($A346,D$4,,,$B346))</f>
        <v>0</v>
      </c>
      <c r="E346" s="43" cm="1">
        <f t="array" aca="1" ref="E346" ca="1">INDIRECT(ADDRESS($A346,E$4,,,$B346))</f>
        <v>0</v>
      </c>
      <c r="F346" s="43" cm="1">
        <f t="array" aca="1" ref="F346" ca="1">INDIRECT(ADDRESS($A346,F$4,,,$B346))</f>
        <v>0</v>
      </c>
      <c r="G346" s="43" cm="1">
        <f t="array" aca="1" ref="G346" ca="1">INDIRECT(ADDRESS($A346,G$4,,,$B346))</f>
        <v>0</v>
      </c>
      <c r="H346" s="43" cm="1">
        <f t="array" aca="1" ref="H346" ca="1">INDIRECT(ADDRESS($A346,H$4,,,$B346))</f>
        <v>0</v>
      </c>
      <c r="I346" s="43" cm="1">
        <f t="array" aca="1" ref="I346" ca="1">INDIRECT(ADDRESS($A346,I$4,,,$B346))</f>
        <v>0</v>
      </c>
      <c r="J346" s="43" cm="1">
        <f t="array" aca="1" ref="J346" ca="1">INDIRECT(ADDRESS($A346,J$4,,,$B346))</f>
        <v>0</v>
      </c>
    </row>
    <row r="347" spans="1:10">
      <c r="A347" s="39">
        <f t="shared" si="11"/>
        <v>137</v>
      </c>
      <c r="B347" s="42" t="str">
        <f t="shared" si="12"/>
        <v>W1</v>
      </c>
      <c r="C347" s="43" cm="1">
        <f t="array" aca="1" ref="C347" ca="1">INDIRECT(ADDRESS($A347,C$4,,,$B347))</f>
        <v>0</v>
      </c>
      <c r="D347" s="43" cm="1">
        <f t="array" aca="1" ref="D347" ca="1">INDIRECT(ADDRESS($A347,D$4,,,$B347))</f>
        <v>0</v>
      </c>
      <c r="E347" s="43" cm="1">
        <f t="array" aca="1" ref="E347" ca="1">INDIRECT(ADDRESS($A347,E$4,,,$B347))</f>
        <v>0</v>
      </c>
      <c r="F347" s="43" cm="1">
        <f t="array" aca="1" ref="F347" ca="1">INDIRECT(ADDRESS($A347,F$4,,,$B347))</f>
        <v>0</v>
      </c>
      <c r="G347" s="43" cm="1">
        <f t="array" aca="1" ref="G347" ca="1">INDIRECT(ADDRESS($A347,G$4,,,$B347))</f>
        <v>0</v>
      </c>
      <c r="H347" s="43" cm="1">
        <f t="array" aca="1" ref="H347" ca="1">INDIRECT(ADDRESS($A347,H$4,,,$B347))</f>
        <v>0</v>
      </c>
      <c r="I347" s="43" cm="1">
        <f t="array" aca="1" ref="I347" ca="1">INDIRECT(ADDRESS($A347,I$4,,,$B347))</f>
        <v>0</v>
      </c>
      <c r="J347" s="43" cm="1">
        <f t="array" aca="1" ref="J347" ca="1">INDIRECT(ADDRESS($A347,J$4,,,$B347))</f>
        <v>0</v>
      </c>
    </row>
    <row r="348" spans="1:10">
      <c r="A348" s="39">
        <f t="shared" si="11"/>
        <v>138</v>
      </c>
      <c r="B348" s="42" t="str">
        <f t="shared" si="12"/>
        <v>W1</v>
      </c>
      <c r="C348" s="43" cm="1">
        <f t="array" aca="1" ref="C348" ca="1">INDIRECT(ADDRESS($A348,C$4,,,$B348))</f>
        <v>0</v>
      </c>
      <c r="D348" s="43" cm="1">
        <f t="array" aca="1" ref="D348" ca="1">INDIRECT(ADDRESS($A348,D$4,,,$B348))</f>
        <v>0</v>
      </c>
      <c r="E348" s="43" cm="1">
        <f t="array" aca="1" ref="E348" ca="1">INDIRECT(ADDRESS($A348,E$4,,,$B348))</f>
        <v>0</v>
      </c>
      <c r="F348" s="43" cm="1">
        <f t="array" aca="1" ref="F348" ca="1">INDIRECT(ADDRESS($A348,F$4,,,$B348))</f>
        <v>0</v>
      </c>
      <c r="G348" s="43" cm="1">
        <f t="array" aca="1" ref="G348" ca="1">INDIRECT(ADDRESS($A348,G$4,,,$B348))</f>
        <v>0</v>
      </c>
      <c r="H348" s="43" cm="1">
        <f t="array" aca="1" ref="H348" ca="1">INDIRECT(ADDRESS($A348,H$4,,,$B348))</f>
        <v>0</v>
      </c>
      <c r="I348" s="43" cm="1">
        <f t="array" aca="1" ref="I348" ca="1">INDIRECT(ADDRESS($A348,I$4,,,$B348))</f>
        <v>0</v>
      </c>
      <c r="J348" s="43" cm="1">
        <f t="array" aca="1" ref="J348" ca="1">INDIRECT(ADDRESS($A348,J$4,,,$B348))</f>
        <v>0</v>
      </c>
    </row>
    <row r="349" spans="1:10">
      <c r="A349" s="39">
        <f t="shared" si="11"/>
        <v>139</v>
      </c>
      <c r="B349" s="42" t="str">
        <f t="shared" si="12"/>
        <v>W1</v>
      </c>
      <c r="C349" s="43" cm="1">
        <f t="array" aca="1" ref="C349" ca="1">INDIRECT(ADDRESS($A349,C$4,,,$B349))</f>
        <v>0</v>
      </c>
      <c r="D349" s="43" cm="1">
        <f t="array" aca="1" ref="D349" ca="1">INDIRECT(ADDRESS($A349,D$4,,,$B349))</f>
        <v>0</v>
      </c>
      <c r="E349" s="43" cm="1">
        <f t="array" aca="1" ref="E349" ca="1">INDIRECT(ADDRESS($A349,E$4,,,$B349))</f>
        <v>0</v>
      </c>
      <c r="F349" s="43" cm="1">
        <f t="array" aca="1" ref="F349" ca="1">INDIRECT(ADDRESS($A349,F$4,,,$B349))</f>
        <v>0</v>
      </c>
      <c r="G349" s="43" cm="1">
        <f t="array" aca="1" ref="G349" ca="1">INDIRECT(ADDRESS($A349,G$4,,,$B349))</f>
        <v>0</v>
      </c>
      <c r="H349" s="43" cm="1">
        <f t="array" aca="1" ref="H349" ca="1">INDIRECT(ADDRESS($A349,H$4,,,$B349))</f>
        <v>0</v>
      </c>
      <c r="I349" s="43" cm="1">
        <f t="array" aca="1" ref="I349" ca="1">INDIRECT(ADDRESS($A349,I$4,,,$B349))</f>
        <v>0</v>
      </c>
      <c r="J349" s="43" cm="1">
        <f t="array" aca="1" ref="J349" ca="1">INDIRECT(ADDRESS($A349,J$4,,,$B349))</f>
        <v>0</v>
      </c>
    </row>
    <row r="350" spans="1:10">
      <c r="A350" s="39">
        <f t="shared" si="11"/>
        <v>140</v>
      </c>
      <c r="B350" s="42" t="str">
        <f t="shared" si="12"/>
        <v>W1</v>
      </c>
      <c r="C350" s="43" cm="1">
        <f t="array" aca="1" ref="C350" ca="1">INDIRECT(ADDRESS($A350,C$4,,,$B350))</f>
        <v>0</v>
      </c>
      <c r="D350" s="43" cm="1">
        <f t="array" aca="1" ref="D350" ca="1">INDIRECT(ADDRESS($A350,D$4,,,$B350))</f>
        <v>0</v>
      </c>
      <c r="E350" s="43" cm="1">
        <f t="array" aca="1" ref="E350" ca="1">INDIRECT(ADDRESS($A350,E$4,,,$B350))</f>
        <v>0</v>
      </c>
      <c r="F350" s="43" cm="1">
        <f t="array" aca="1" ref="F350" ca="1">INDIRECT(ADDRESS($A350,F$4,,,$B350))</f>
        <v>0</v>
      </c>
      <c r="G350" s="43" cm="1">
        <f t="array" aca="1" ref="G350" ca="1">INDIRECT(ADDRESS($A350,G$4,,,$B350))</f>
        <v>0</v>
      </c>
      <c r="H350" s="43" cm="1">
        <f t="array" aca="1" ref="H350" ca="1">INDIRECT(ADDRESS($A350,H$4,,,$B350))</f>
        <v>0</v>
      </c>
      <c r="I350" s="43" cm="1">
        <f t="array" aca="1" ref="I350" ca="1">INDIRECT(ADDRESS($A350,I$4,,,$B350))</f>
        <v>0</v>
      </c>
      <c r="J350" s="43" cm="1">
        <f t="array" aca="1" ref="J350" ca="1">INDIRECT(ADDRESS($A350,J$4,,,$B350))</f>
        <v>0</v>
      </c>
    </row>
    <row r="351" spans="1:10">
      <c r="A351" s="39">
        <f t="shared" si="11"/>
        <v>141</v>
      </c>
      <c r="B351" s="42" t="str">
        <f t="shared" si="12"/>
        <v>W1</v>
      </c>
      <c r="C351" s="43" cm="1">
        <f t="array" aca="1" ref="C351" ca="1">INDIRECT(ADDRESS($A351,C$4,,,$B351))</f>
        <v>0</v>
      </c>
      <c r="D351" s="43" cm="1">
        <f t="array" aca="1" ref="D351" ca="1">INDIRECT(ADDRESS($A351,D$4,,,$B351))</f>
        <v>0</v>
      </c>
      <c r="E351" s="43" cm="1">
        <f t="array" aca="1" ref="E351" ca="1">INDIRECT(ADDRESS($A351,E$4,,,$B351))</f>
        <v>0</v>
      </c>
      <c r="F351" s="43" cm="1">
        <f t="array" aca="1" ref="F351" ca="1">INDIRECT(ADDRESS($A351,F$4,,,$B351))</f>
        <v>0</v>
      </c>
      <c r="G351" s="43" cm="1">
        <f t="array" aca="1" ref="G351" ca="1">INDIRECT(ADDRESS($A351,G$4,,,$B351))</f>
        <v>0</v>
      </c>
      <c r="H351" s="43" cm="1">
        <f t="array" aca="1" ref="H351" ca="1">INDIRECT(ADDRESS($A351,H$4,,,$B351))</f>
        <v>0</v>
      </c>
      <c r="I351" s="43" cm="1">
        <f t="array" aca="1" ref="I351" ca="1">INDIRECT(ADDRESS($A351,I$4,,,$B351))</f>
        <v>0</v>
      </c>
      <c r="J351" s="43" cm="1">
        <f t="array" aca="1" ref="J351" ca="1">INDIRECT(ADDRESS($A351,J$4,,,$B351))</f>
        <v>0</v>
      </c>
    </row>
    <row r="352" spans="1:10">
      <c r="A352" s="39">
        <f t="shared" si="11"/>
        <v>142</v>
      </c>
      <c r="B352" s="42" t="str">
        <f t="shared" si="12"/>
        <v>W1</v>
      </c>
      <c r="C352" s="43" cm="1">
        <f t="array" aca="1" ref="C352" ca="1">INDIRECT(ADDRESS($A352,C$4,,,$B352))</f>
        <v>0</v>
      </c>
      <c r="D352" s="43" cm="1">
        <f t="array" aca="1" ref="D352" ca="1">INDIRECT(ADDRESS($A352,D$4,,,$B352))</f>
        <v>0</v>
      </c>
      <c r="E352" s="43" cm="1">
        <f t="array" aca="1" ref="E352" ca="1">INDIRECT(ADDRESS($A352,E$4,,,$B352))</f>
        <v>0</v>
      </c>
      <c r="F352" s="43" cm="1">
        <f t="array" aca="1" ref="F352" ca="1">INDIRECT(ADDRESS($A352,F$4,,,$B352))</f>
        <v>0</v>
      </c>
      <c r="G352" s="43" cm="1">
        <f t="array" aca="1" ref="G352" ca="1">INDIRECT(ADDRESS($A352,G$4,,,$B352))</f>
        <v>0</v>
      </c>
      <c r="H352" s="43" cm="1">
        <f t="array" aca="1" ref="H352" ca="1">INDIRECT(ADDRESS($A352,H$4,,,$B352))</f>
        <v>0</v>
      </c>
      <c r="I352" s="43" cm="1">
        <f t="array" aca="1" ref="I352" ca="1">INDIRECT(ADDRESS($A352,I$4,,,$B352))</f>
        <v>0</v>
      </c>
      <c r="J352" s="43" cm="1">
        <f t="array" aca="1" ref="J352" ca="1">INDIRECT(ADDRESS($A352,J$4,,,$B352))</f>
        <v>0</v>
      </c>
    </row>
    <row r="353" spans="1:10">
      <c r="A353" s="39">
        <f t="shared" si="11"/>
        <v>143</v>
      </c>
      <c r="B353" s="42" t="str">
        <f t="shared" si="12"/>
        <v>W1</v>
      </c>
      <c r="C353" s="43" cm="1">
        <f t="array" aca="1" ref="C353" ca="1">INDIRECT(ADDRESS($A353,C$4,,,$B353))</f>
        <v>0</v>
      </c>
      <c r="D353" s="43" cm="1">
        <f t="array" aca="1" ref="D353" ca="1">INDIRECT(ADDRESS($A353,D$4,,,$B353))</f>
        <v>0</v>
      </c>
      <c r="E353" s="43" cm="1">
        <f t="array" aca="1" ref="E353" ca="1">INDIRECT(ADDRESS($A353,E$4,,,$B353))</f>
        <v>0</v>
      </c>
      <c r="F353" s="43" cm="1">
        <f t="array" aca="1" ref="F353" ca="1">INDIRECT(ADDRESS($A353,F$4,,,$B353))</f>
        <v>0</v>
      </c>
      <c r="G353" s="43" cm="1">
        <f t="array" aca="1" ref="G353" ca="1">INDIRECT(ADDRESS($A353,G$4,,,$B353))</f>
        <v>0</v>
      </c>
      <c r="H353" s="43" cm="1">
        <f t="array" aca="1" ref="H353" ca="1">INDIRECT(ADDRESS($A353,H$4,,,$B353))</f>
        <v>0</v>
      </c>
      <c r="I353" s="43" cm="1">
        <f t="array" aca="1" ref="I353" ca="1">INDIRECT(ADDRESS($A353,I$4,,,$B353))</f>
        <v>0</v>
      </c>
      <c r="J353" s="43" cm="1">
        <f t="array" aca="1" ref="J353" ca="1">INDIRECT(ADDRESS($A353,J$4,,,$B353))</f>
        <v>0</v>
      </c>
    </row>
    <row r="354" spans="1:10">
      <c r="A354" s="39">
        <f t="shared" si="11"/>
        <v>144</v>
      </c>
      <c r="B354" s="42" t="str">
        <f t="shared" si="12"/>
        <v>W1</v>
      </c>
      <c r="C354" s="43" cm="1">
        <f t="array" aca="1" ref="C354" ca="1">INDIRECT(ADDRESS($A354,C$4,,,$B354))</f>
        <v>0</v>
      </c>
      <c r="D354" s="43" cm="1">
        <f t="array" aca="1" ref="D354" ca="1">INDIRECT(ADDRESS($A354,D$4,,,$B354))</f>
        <v>0</v>
      </c>
      <c r="E354" s="43" cm="1">
        <f t="array" aca="1" ref="E354" ca="1">INDIRECT(ADDRESS($A354,E$4,,,$B354))</f>
        <v>0</v>
      </c>
      <c r="F354" s="43" cm="1">
        <f t="array" aca="1" ref="F354" ca="1">INDIRECT(ADDRESS($A354,F$4,,,$B354))</f>
        <v>0</v>
      </c>
      <c r="G354" s="43" cm="1">
        <f t="array" aca="1" ref="G354" ca="1">INDIRECT(ADDRESS($A354,G$4,,,$B354))</f>
        <v>0</v>
      </c>
      <c r="H354" s="43" cm="1">
        <f t="array" aca="1" ref="H354" ca="1">INDIRECT(ADDRESS($A354,H$4,,,$B354))</f>
        <v>0</v>
      </c>
      <c r="I354" s="43" cm="1">
        <f t="array" aca="1" ref="I354" ca="1">INDIRECT(ADDRESS($A354,I$4,,,$B354))</f>
        <v>0</v>
      </c>
      <c r="J354" s="43" cm="1">
        <f t="array" aca="1" ref="J354" ca="1">INDIRECT(ADDRESS($A354,J$4,,,$B354))</f>
        <v>0</v>
      </c>
    </row>
    <row r="355" spans="1:10">
      <c r="A355" s="39">
        <f t="shared" si="11"/>
        <v>145</v>
      </c>
      <c r="B355" s="42" t="str">
        <f t="shared" si="12"/>
        <v>W1</v>
      </c>
      <c r="C355" s="43" cm="1">
        <f t="array" aca="1" ref="C355" ca="1">INDIRECT(ADDRESS($A355,C$4,,,$B355))</f>
        <v>0</v>
      </c>
      <c r="D355" s="43" cm="1">
        <f t="array" aca="1" ref="D355" ca="1">INDIRECT(ADDRESS($A355,D$4,,,$B355))</f>
        <v>0</v>
      </c>
      <c r="E355" s="43" cm="1">
        <f t="array" aca="1" ref="E355" ca="1">INDIRECT(ADDRESS($A355,E$4,,,$B355))</f>
        <v>0</v>
      </c>
      <c r="F355" s="43" cm="1">
        <f t="array" aca="1" ref="F355" ca="1">INDIRECT(ADDRESS($A355,F$4,,,$B355))</f>
        <v>0</v>
      </c>
      <c r="G355" s="43" cm="1">
        <f t="array" aca="1" ref="G355" ca="1">INDIRECT(ADDRESS($A355,G$4,,,$B355))</f>
        <v>0</v>
      </c>
      <c r="H355" s="43" cm="1">
        <f t="array" aca="1" ref="H355" ca="1">INDIRECT(ADDRESS($A355,H$4,,,$B355))</f>
        <v>0</v>
      </c>
      <c r="I355" s="43" cm="1">
        <f t="array" aca="1" ref="I355" ca="1">INDIRECT(ADDRESS($A355,I$4,,,$B355))</f>
        <v>0</v>
      </c>
      <c r="J355" s="43" cm="1">
        <f t="array" aca="1" ref="J355" ca="1">INDIRECT(ADDRESS($A355,J$4,,,$B355))</f>
        <v>0</v>
      </c>
    </row>
    <row r="356" spans="1:10">
      <c r="A356" s="39">
        <f t="shared" si="11"/>
        <v>146</v>
      </c>
      <c r="B356" s="42" t="str">
        <f t="shared" si="12"/>
        <v>W1</v>
      </c>
      <c r="C356" s="43" cm="1">
        <f t="array" aca="1" ref="C356" ca="1">INDIRECT(ADDRESS($A356,C$4,,,$B356))</f>
        <v>0</v>
      </c>
      <c r="D356" s="43" cm="1">
        <f t="array" aca="1" ref="D356" ca="1">INDIRECT(ADDRESS($A356,D$4,,,$B356))</f>
        <v>0</v>
      </c>
      <c r="E356" s="43" cm="1">
        <f t="array" aca="1" ref="E356" ca="1">INDIRECT(ADDRESS($A356,E$4,,,$B356))</f>
        <v>0</v>
      </c>
      <c r="F356" s="43" cm="1">
        <f t="array" aca="1" ref="F356" ca="1">INDIRECT(ADDRESS($A356,F$4,,,$B356))</f>
        <v>0</v>
      </c>
      <c r="G356" s="43" cm="1">
        <f t="array" aca="1" ref="G356" ca="1">INDIRECT(ADDRESS($A356,G$4,,,$B356))</f>
        <v>0</v>
      </c>
      <c r="H356" s="43" cm="1">
        <f t="array" aca="1" ref="H356" ca="1">INDIRECT(ADDRESS($A356,H$4,,,$B356))</f>
        <v>0</v>
      </c>
      <c r="I356" s="43" cm="1">
        <f t="array" aca="1" ref="I356" ca="1">INDIRECT(ADDRESS($A356,I$4,,,$B356))</f>
        <v>0</v>
      </c>
      <c r="J356" s="43" cm="1">
        <f t="array" aca="1" ref="J356" ca="1">INDIRECT(ADDRESS($A356,J$4,,,$B356))</f>
        <v>0</v>
      </c>
    </row>
    <row r="357" spans="1:10">
      <c r="A357" s="39">
        <f t="shared" si="11"/>
        <v>147</v>
      </c>
      <c r="B357" s="42" t="str">
        <f t="shared" si="12"/>
        <v>W1</v>
      </c>
      <c r="C357" s="43" cm="1">
        <f t="array" aca="1" ref="C357" ca="1">INDIRECT(ADDRESS($A357,C$4,,,$B357))</f>
        <v>0</v>
      </c>
      <c r="D357" s="43" cm="1">
        <f t="array" aca="1" ref="D357" ca="1">INDIRECT(ADDRESS($A357,D$4,,,$B357))</f>
        <v>0</v>
      </c>
      <c r="E357" s="43" cm="1">
        <f t="array" aca="1" ref="E357" ca="1">INDIRECT(ADDRESS($A357,E$4,,,$B357))</f>
        <v>0</v>
      </c>
      <c r="F357" s="43" cm="1">
        <f t="array" aca="1" ref="F357" ca="1">INDIRECT(ADDRESS($A357,F$4,,,$B357))</f>
        <v>0</v>
      </c>
      <c r="G357" s="43" cm="1">
        <f t="array" aca="1" ref="G357" ca="1">INDIRECT(ADDRESS($A357,G$4,,,$B357))</f>
        <v>0</v>
      </c>
      <c r="H357" s="43" cm="1">
        <f t="array" aca="1" ref="H357" ca="1">INDIRECT(ADDRESS($A357,H$4,,,$B357))</f>
        <v>0</v>
      </c>
      <c r="I357" s="43" cm="1">
        <f t="array" aca="1" ref="I357" ca="1">INDIRECT(ADDRESS($A357,I$4,,,$B357))</f>
        <v>0</v>
      </c>
      <c r="J357" s="43" cm="1">
        <f t="array" aca="1" ref="J357" ca="1">INDIRECT(ADDRESS($A357,J$4,,,$B357))</f>
        <v>0</v>
      </c>
    </row>
    <row r="358" spans="1:10">
      <c r="A358" s="39">
        <f t="shared" si="11"/>
        <v>148</v>
      </c>
      <c r="B358" s="42" t="str">
        <f t="shared" si="12"/>
        <v>W1</v>
      </c>
      <c r="C358" s="43" cm="1">
        <f t="array" aca="1" ref="C358" ca="1">INDIRECT(ADDRESS($A358,C$4,,,$B358))</f>
        <v>0</v>
      </c>
      <c r="D358" s="43" cm="1">
        <f t="array" aca="1" ref="D358" ca="1">INDIRECT(ADDRESS($A358,D$4,,,$B358))</f>
        <v>0</v>
      </c>
      <c r="E358" s="43" cm="1">
        <f t="array" aca="1" ref="E358" ca="1">INDIRECT(ADDRESS($A358,E$4,,,$B358))</f>
        <v>0</v>
      </c>
      <c r="F358" s="43" cm="1">
        <f t="array" aca="1" ref="F358" ca="1">INDIRECT(ADDRESS($A358,F$4,,,$B358))</f>
        <v>0</v>
      </c>
      <c r="G358" s="43" cm="1">
        <f t="array" aca="1" ref="G358" ca="1">INDIRECT(ADDRESS($A358,G$4,,,$B358))</f>
        <v>0</v>
      </c>
      <c r="H358" s="43" cm="1">
        <f t="array" aca="1" ref="H358" ca="1">INDIRECT(ADDRESS($A358,H$4,,,$B358))</f>
        <v>0</v>
      </c>
      <c r="I358" s="43" cm="1">
        <f t="array" aca="1" ref="I358" ca="1">INDIRECT(ADDRESS($A358,I$4,,,$B358))</f>
        <v>0</v>
      </c>
      <c r="J358" s="43" cm="1">
        <f t="array" aca="1" ref="J358" ca="1">INDIRECT(ADDRESS($A358,J$4,,,$B358))</f>
        <v>0</v>
      </c>
    </row>
    <row r="359" spans="1:10">
      <c r="A359" s="39">
        <f t="shared" si="11"/>
        <v>149</v>
      </c>
      <c r="B359" s="42" t="str">
        <f t="shared" si="12"/>
        <v>W1</v>
      </c>
      <c r="C359" s="43" cm="1">
        <f t="array" aca="1" ref="C359" ca="1">INDIRECT(ADDRESS($A359,C$4,,,$B359))</f>
        <v>0</v>
      </c>
      <c r="D359" s="43" cm="1">
        <f t="array" aca="1" ref="D359" ca="1">INDIRECT(ADDRESS($A359,D$4,,,$B359))</f>
        <v>0</v>
      </c>
      <c r="E359" s="43" cm="1">
        <f t="array" aca="1" ref="E359" ca="1">INDIRECT(ADDRESS($A359,E$4,,,$B359))</f>
        <v>0</v>
      </c>
      <c r="F359" s="43" cm="1">
        <f t="array" aca="1" ref="F359" ca="1">INDIRECT(ADDRESS($A359,F$4,,,$B359))</f>
        <v>0</v>
      </c>
      <c r="G359" s="43" cm="1">
        <f t="array" aca="1" ref="G359" ca="1">INDIRECT(ADDRESS($A359,G$4,,,$B359))</f>
        <v>0</v>
      </c>
      <c r="H359" s="43" cm="1">
        <f t="array" aca="1" ref="H359" ca="1">INDIRECT(ADDRESS($A359,H$4,,,$B359))</f>
        <v>0</v>
      </c>
      <c r="I359" s="43" cm="1">
        <f t="array" aca="1" ref="I359" ca="1">INDIRECT(ADDRESS($A359,I$4,,,$B359))</f>
        <v>0</v>
      </c>
      <c r="J359" s="43" cm="1">
        <f t="array" aca="1" ref="J359" ca="1">INDIRECT(ADDRESS($A359,J$4,,,$B359))</f>
        <v>0</v>
      </c>
    </row>
    <row r="360" spans="1:10">
      <c r="A360" s="39">
        <f t="shared" si="11"/>
        <v>150</v>
      </c>
      <c r="B360" s="42" t="str">
        <f t="shared" si="12"/>
        <v>W1</v>
      </c>
      <c r="C360" s="43" cm="1">
        <f t="array" aca="1" ref="C360" ca="1">INDIRECT(ADDRESS($A360,C$4,,,$B360))</f>
        <v>0</v>
      </c>
      <c r="D360" s="43" cm="1">
        <f t="array" aca="1" ref="D360" ca="1">INDIRECT(ADDRESS($A360,D$4,,,$B360))</f>
        <v>0</v>
      </c>
      <c r="E360" s="43" cm="1">
        <f t="array" aca="1" ref="E360" ca="1">INDIRECT(ADDRESS($A360,E$4,,,$B360))</f>
        <v>0</v>
      </c>
      <c r="F360" s="43" cm="1">
        <f t="array" aca="1" ref="F360" ca="1">INDIRECT(ADDRESS($A360,F$4,,,$B360))</f>
        <v>0</v>
      </c>
      <c r="G360" s="43" cm="1">
        <f t="array" aca="1" ref="G360" ca="1">INDIRECT(ADDRESS($A360,G$4,,,$B360))</f>
        <v>0</v>
      </c>
      <c r="H360" s="43" cm="1">
        <f t="array" aca="1" ref="H360" ca="1">INDIRECT(ADDRESS($A360,H$4,,,$B360))</f>
        <v>0</v>
      </c>
      <c r="I360" s="43" cm="1">
        <f t="array" aca="1" ref="I360" ca="1">INDIRECT(ADDRESS($A360,I$4,,,$B360))</f>
        <v>0</v>
      </c>
      <c r="J360" s="43" cm="1">
        <f t="array" aca="1" ref="J360" ca="1">INDIRECT(ADDRESS($A360,J$4,,,$B360))</f>
        <v>0</v>
      </c>
    </row>
    <row r="361" spans="1:10">
      <c r="A361" s="39">
        <f t="shared" si="11"/>
        <v>151</v>
      </c>
      <c r="B361" s="42" t="str">
        <f t="shared" si="12"/>
        <v>W1</v>
      </c>
      <c r="C361" s="43" cm="1">
        <f t="array" aca="1" ref="C361" ca="1">INDIRECT(ADDRESS($A361,C$4,,,$B361))</f>
        <v>0</v>
      </c>
      <c r="D361" s="43" cm="1">
        <f t="array" aca="1" ref="D361" ca="1">INDIRECT(ADDRESS($A361,D$4,,,$B361))</f>
        <v>0</v>
      </c>
      <c r="E361" s="43" cm="1">
        <f t="array" aca="1" ref="E361" ca="1">INDIRECT(ADDRESS($A361,E$4,,,$B361))</f>
        <v>0</v>
      </c>
      <c r="F361" s="43" cm="1">
        <f t="array" aca="1" ref="F361" ca="1">INDIRECT(ADDRESS($A361,F$4,,,$B361))</f>
        <v>0</v>
      </c>
      <c r="G361" s="43" cm="1">
        <f t="array" aca="1" ref="G361" ca="1">INDIRECT(ADDRESS($A361,G$4,,,$B361))</f>
        <v>0</v>
      </c>
      <c r="H361" s="43" cm="1">
        <f t="array" aca="1" ref="H361" ca="1">INDIRECT(ADDRESS($A361,H$4,,,$B361))</f>
        <v>0</v>
      </c>
      <c r="I361" s="43" cm="1">
        <f t="array" aca="1" ref="I361" ca="1">INDIRECT(ADDRESS($A361,I$4,,,$B361))</f>
        <v>0</v>
      </c>
      <c r="J361" s="43" cm="1">
        <f t="array" aca="1" ref="J361" ca="1">INDIRECT(ADDRESS($A361,J$4,,,$B361))</f>
        <v>0</v>
      </c>
    </row>
    <row r="362" spans="1:10">
      <c r="A362" s="39">
        <f t="shared" si="11"/>
        <v>152</v>
      </c>
      <c r="B362" s="42" t="str">
        <f t="shared" si="12"/>
        <v>W1</v>
      </c>
      <c r="C362" s="43" cm="1">
        <f t="array" aca="1" ref="C362" ca="1">INDIRECT(ADDRESS($A362,C$4,,,$B362))</f>
        <v>0</v>
      </c>
      <c r="D362" s="43" cm="1">
        <f t="array" aca="1" ref="D362" ca="1">INDIRECT(ADDRESS($A362,D$4,,,$B362))</f>
        <v>0</v>
      </c>
      <c r="E362" s="43" cm="1">
        <f t="array" aca="1" ref="E362" ca="1">INDIRECT(ADDRESS($A362,E$4,,,$B362))</f>
        <v>0</v>
      </c>
      <c r="F362" s="43" cm="1">
        <f t="array" aca="1" ref="F362" ca="1">INDIRECT(ADDRESS($A362,F$4,,,$B362))</f>
        <v>0</v>
      </c>
      <c r="G362" s="43" cm="1">
        <f t="array" aca="1" ref="G362" ca="1">INDIRECT(ADDRESS($A362,G$4,,,$B362))</f>
        <v>0</v>
      </c>
      <c r="H362" s="43" cm="1">
        <f t="array" aca="1" ref="H362" ca="1">INDIRECT(ADDRESS($A362,H$4,,,$B362))</f>
        <v>0</v>
      </c>
      <c r="I362" s="43" cm="1">
        <f t="array" aca="1" ref="I362" ca="1">INDIRECT(ADDRESS($A362,I$4,,,$B362))</f>
        <v>0</v>
      </c>
      <c r="J362" s="43" cm="1">
        <f t="array" aca="1" ref="J362" ca="1">INDIRECT(ADDRESS($A362,J$4,,,$B362))</f>
        <v>0</v>
      </c>
    </row>
    <row r="363" spans="1:10">
      <c r="A363" s="39">
        <f t="shared" ref="A363:A426" si="13">+A135</f>
        <v>153</v>
      </c>
      <c r="B363" s="42" t="str">
        <f t="shared" ref="B363:B426" si="14">+$E$2</f>
        <v>W1</v>
      </c>
      <c r="C363" s="43" cm="1">
        <f t="array" aca="1" ref="C363" ca="1">INDIRECT(ADDRESS($A363,C$4,,,$B363))</f>
        <v>0</v>
      </c>
      <c r="D363" s="43" cm="1">
        <f t="array" aca="1" ref="D363" ca="1">INDIRECT(ADDRESS($A363,D$4,,,$B363))</f>
        <v>0</v>
      </c>
      <c r="E363" s="43" cm="1">
        <f t="array" aca="1" ref="E363" ca="1">INDIRECT(ADDRESS($A363,E$4,,,$B363))</f>
        <v>0</v>
      </c>
      <c r="F363" s="43" cm="1">
        <f t="array" aca="1" ref="F363" ca="1">INDIRECT(ADDRESS($A363,F$4,,,$B363))</f>
        <v>0</v>
      </c>
      <c r="G363" s="43" cm="1">
        <f t="array" aca="1" ref="G363" ca="1">INDIRECT(ADDRESS($A363,G$4,,,$B363))</f>
        <v>0</v>
      </c>
      <c r="H363" s="43" cm="1">
        <f t="array" aca="1" ref="H363" ca="1">INDIRECT(ADDRESS($A363,H$4,,,$B363))</f>
        <v>0</v>
      </c>
      <c r="I363" s="43" cm="1">
        <f t="array" aca="1" ref="I363" ca="1">INDIRECT(ADDRESS($A363,I$4,,,$B363))</f>
        <v>0</v>
      </c>
      <c r="J363" s="43" cm="1">
        <f t="array" aca="1" ref="J363" ca="1">INDIRECT(ADDRESS($A363,J$4,,,$B363))</f>
        <v>0</v>
      </c>
    </row>
    <row r="364" spans="1:10">
      <c r="A364" s="39">
        <f t="shared" si="13"/>
        <v>154</v>
      </c>
      <c r="B364" s="42" t="str">
        <f t="shared" si="14"/>
        <v>W1</v>
      </c>
      <c r="C364" s="43" cm="1">
        <f t="array" aca="1" ref="C364" ca="1">INDIRECT(ADDRESS($A364,C$4,,,$B364))</f>
        <v>0</v>
      </c>
      <c r="D364" s="43" cm="1">
        <f t="array" aca="1" ref="D364" ca="1">INDIRECT(ADDRESS($A364,D$4,,,$B364))</f>
        <v>0</v>
      </c>
      <c r="E364" s="43" cm="1">
        <f t="array" aca="1" ref="E364" ca="1">INDIRECT(ADDRESS($A364,E$4,,,$B364))</f>
        <v>0</v>
      </c>
      <c r="F364" s="43" cm="1">
        <f t="array" aca="1" ref="F364" ca="1">INDIRECT(ADDRESS($A364,F$4,,,$B364))</f>
        <v>0</v>
      </c>
      <c r="G364" s="43" cm="1">
        <f t="array" aca="1" ref="G364" ca="1">INDIRECT(ADDRESS($A364,G$4,,,$B364))</f>
        <v>0</v>
      </c>
      <c r="H364" s="43" cm="1">
        <f t="array" aca="1" ref="H364" ca="1">INDIRECT(ADDRESS($A364,H$4,,,$B364))</f>
        <v>0</v>
      </c>
      <c r="I364" s="43" cm="1">
        <f t="array" aca="1" ref="I364" ca="1">INDIRECT(ADDRESS($A364,I$4,,,$B364))</f>
        <v>0</v>
      </c>
      <c r="J364" s="43" cm="1">
        <f t="array" aca="1" ref="J364" ca="1">INDIRECT(ADDRESS($A364,J$4,,,$B364))</f>
        <v>0</v>
      </c>
    </row>
    <row r="365" spans="1:10">
      <c r="A365" s="39">
        <f t="shared" si="13"/>
        <v>155</v>
      </c>
      <c r="B365" s="42" t="str">
        <f t="shared" si="14"/>
        <v>W1</v>
      </c>
      <c r="C365" s="43" cm="1">
        <f t="array" aca="1" ref="C365" ca="1">INDIRECT(ADDRESS($A365,C$4,,,$B365))</f>
        <v>0</v>
      </c>
      <c r="D365" s="43" cm="1">
        <f t="array" aca="1" ref="D365" ca="1">INDIRECT(ADDRESS($A365,D$4,,,$B365))</f>
        <v>0</v>
      </c>
      <c r="E365" s="43" cm="1">
        <f t="array" aca="1" ref="E365" ca="1">INDIRECT(ADDRESS($A365,E$4,,,$B365))</f>
        <v>0</v>
      </c>
      <c r="F365" s="43" cm="1">
        <f t="array" aca="1" ref="F365" ca="1">INDIRECT(ADDRESS($A365,F$4,,,$B365))</f>
        <v>0</v>
      </c>
      <c r="G365" s="43" cm="1">
        <f t="array" aca="1" ref="G365" ca="1">INDIRECT(ADDRESS($A365,G$4,,,$B365))</f>
        <v>0</v>
      </c>
      <c r="H365" s="43" cm="1">
        <f t="array" aca="1" ref="H365" ca="1">INDIRECT(ADDRESS($A365,H$4,,,$B365))</f>
        <v>0</v>
      </c>
      <c r="I365" s="43" cm="1">
        <f t="array" aca="1" ref="I365" ca="1">INDIRECT(ADDRESS($A365,I$4,,,$B365))</f>
        <v>0</v>
      </c>
      <c r="J365" s="43" cm="1">
        <f t="array" aca="1" ref="J365" ca="1">INDIRECT(ADDRESS($A365,J$4,,,$B365))</f>
        <v>0</v>
      </c>
    </row>
    <row r="366" spans="1:10">
      <c r="A366" s="39">
        <f t="shared" si="13"/>
        <v>156</v>
      </c>
      <c r="B366" s="42" t="str">
        <f t="shared" si="14"/>
        <v>W1</v>
      </c>
      <c r="C366" s="43" cm="1">
        <f t="array" aca="1" ref="C366" ca="1">INDIRECT(ADDRESS($A366,C$4,,,$B366))</f>
        <v>0</v>
      </c>
      <c r="D366" s="43" cm="1">
        <f t="array" aca="1" ref="D366" ca="1">INDIRECT(ADDRESS($A366,D$4,,,$B366))</f>
        <v>0</v>
      </c>
      <c r="E366" s="43" cm="1">
        <f t="array" aca="1" ref="E366" ca="1">INDIRECT(ADDRESS($A366,E$4,,,$B366))</f>
        <v>0</v>
      </c>
      <c r="F366" s="43" cm="1">
        <f t="array" aca="1" ref="F366" ca="1">INDIRECT(ADDRESS($A366,F$4,,,$B366))</f>
        <v>0</v>
      </c>
      <c r="G366" s="43" cm="1">
        <f t="array" aca="1" ref="G366" ca="1">INDIRECT(ADDRESS($A366,G$4,,,$B366))</f>
        <v>0</v>
      </c>
      <c r="H366" s="43" cm="1">
        <f t="array" aca="1" ref="H366" ca="1">INDIRECT(ADDRESS($A366,H$4,,,$B366))</f>
        <v>0</v>
      </c>
      <c r="I366" s="43" cm="1">
        <f t="array" aca="1" ref="I366" ca="1">INDIRECT(ADDRESS($A366,I$4,,,$B366))</f>
        <v>0</v>
      </c>
      <c r="J366" s="43" cm="1">
        <f t="array" aca="1" ref="J366" ca="1">INDIRECT(ADDRESS($A366,J$4,,,$B366))</f>
        <v>0</v>
      </c>
    </row>
    <row r="367" spans="1:10">
      <c r="A367" s="39">
        <f t="shared" si="13"/>
        <v>157</v>
      </c>
      <c r="B367" s="42" t="str">
        <f t="shared" si="14"/>
        <v>W1</v>
      </c>
      <c r="C367" s="43" cm="1">
        <f t="array" aca="1" ref="C367" ca="1">INDIRECT(ADDRESS($A367,C$4,,,$B367))</f>
        <v>0</v>
      </c>
      <c r="D367" s="43" cm="1">
        <f t="array" aca="1" ref="D367" ca="1">INDIRECT(ADDRESS($A367,D$4,,,$B367))</f>
        <v>0</v>
      </c>
      <c r="E367" s="43" cm="1">
        <f t="array" aca="1" ref="E367" ca="1">INDIRECT(ADDRESS($A367,E$4,,,$B367))</f>
        <v>0</v>
      </c>
      <c r="F367" s="43" cm="1">
        <f t="array" aca="1" ref="F367" ca="1">INDIRECT(ADDRESS($A367,F$4,,,$B367))</f>
        <v>0</v>
      </c>
      <c r="G367" s="43" cm="1">
        <f t="array" aca="1" ref="G367" ca="1">INDIRECT(ADDRESS($A367,G$4,,,$B367))</f>
        <v>0</v>
      </c>
      <c r="H367" s="43" cm="1">
        <f t="array" aca="1" ref="H367" ca="1">INDIRECT(ADDRESS($A367,H$4,,,$B367))</f>
        <v>0</v>
      </c>
      <c r="I367" s="43" cm="1">
        <f t="array" aca="1" ref="I367" ca="1">INDIRECT(ADDRESS($A367,I$4,,,$B367))</f>
        <v>0</v>
      </c>
      <c r="J367" s="43" cm="1">
        <f t="array" aca="1" ref="J367" ca="1">INDIRECT(ADDRESS($A367,J$4,,,$B367))</f>
        <v>0</v>
      </c>
    </row>
    <row r="368" spans="1:10">
      <c r="A368" s="39">
        <f t="shared" si="13"/>
        <v>158</v>
      </c>
      <c r="B368" s="42" t="str">
        <f t="shared" si="14"/>
        <v>W1</v>
      </c>
      <c r="C368" s="43" cm="1">
        <f t="array" aca="1" ref="C368" ca="1">INDIRECT(ADDRESS($A368,C$4,,,$B368))</f>
        <v>0</v>
      </c>
      <c r="D368" s="43" cm="1">
        <f t="array" aca="1" ref="D368" ca="1">INDIRECT(ADDRESS($A368,D$4,,,$B368))</f>
        <v>0</v>
      </c>
      <c r="E368" s="43" cm="1">
        <f t="array" aca="1" ref="E368" ca="1">INDIRECT(ADDRESS($A368,E$4,,,$B368))</f>
        <v>0</v>
      </c>
      <c r="F368" s="43" cm="1">
        <f t="array" aca="1" ref="F368" ca="1">INDIRECT(ADDRESS($A368,F$4,,,$B368))</f>
        <v>0</v>
      </c>
      <c r="G368" s="43" cm="1">
        <f t="array" aca="1" ref="G368" ca="1">INDIRECT(ADDRESS($A368,G$4,,,$B368))</f>
        <v>0</v>
      </c>
      <c r="H368" s="43" cm="1">
        <f t="array" aca="1" ref="H368" ca="1">INDIRECT(ADDRESS($A368,H$4,,,$B368))</f>
        <v>0</v>
      </c>
      <c r="I368" s="43" cm="1">
        <f t="array" aca="1" ref="I368" ca="1">INDIRECT(ADDRESS($A368,I$4,,,$B368))</f>
        <v>0</v>
      </c>
      <c r="J368" s="43" cm="1">
        <f t="array" aca="1" ref="J368" ca="1">INDIRECT(ADDRESS($A368,J$4,,,$B368))</f>
        <v>0</v>
      </c>
    </row>
    <row r="369" spans="1:10">
      <c r="A369" s="39">
        <f t="shared" si="13"/>
        <v>159</v>
      </c>
      <c r="B369" s="42" t="str">
        <f t="shared" si="14"/>
        <v>W1</v>
      </c>
      <c r="C369" s="43" cm="1">
        <f t="array" aca="1" ref="C369" ca="1">INDIRECT(ADDRESS($A369,C$4,,,$B369))</f>
        <v>0</v>
      </c>
      <c r="D369" s="43" cm="1">
        <f t="array" aca="1" ref="D369" ca="1">INDIRECT(ADDRESS($A369,D$4,,,$B369))</f>
        <v>0</v>
      </c>
      <c r="E369" s="43" cm="1">
        <f t="array" aca="1" ref="E369" ca="1">INDIRECT(ADDRESS($A369,E$4,,,$B369))</f>
        <v>0</v>
      </c>
      <c r="F369" s="43" cm="1">
        <f t="array" aca="1" ref="F369" ca="1">INDIRECT(ADDRESS($A369,F$4,,,$B369))</f>
        <v>0</v>
      </c>
      <c r="G369" s="43" cm="1">
        <f t="array" aca="1" ref="G369" ca="1">INDIRECT(ADDRESS($A369,G$4,,,$B369))</f>
        <v>0</v>
      </c>
      <c r="H369" s="43" cm="1">
        <f t="array" aca="1" ref="H369" ca="1">INDIRECT(ADDRESS($A369,H$4,,,$B369))</f>
        <v>0</v>
      </c>
      <c r="I369" s="43" cm="1">
        <f t="array" aca="1" ref="I369" ca="1">INDIRECT(ADDRESS($A369,I$4,,,$B369))</f>
        <v>0</v>
      </c>
      <c r="J369" s="43" cm="1">
        <f t="array" aca="1" ref="J369" ca="1">INDIRECT(ADDRESS($A369,J$4,,,$B369))</f>
        <v>0</v>
      </c>
    </row>
    <row r="370" spans="1:10">
      <c r="A370" s="39">
        <f t="shared" si="13"/>
        <v>160</v>
      </c>
      <c r="B370" s="42" t="str">
        <f t="shared" si="14"/>
        <v>W1</v>
      </c>
      <c r="C370" s="43" cm="1">
        <f t="array" aca="1" ref="C370" ca="1">INDIRECT(ADDRESS($A370,C$4,,,$B370))</f>
        <v>0</v>
      </c>
      <c r="D370" s="43" cm="1">
        <f t="array" aca="1" ref="D370" ca="1">INDIRECT(ADDRESS($A370,D$4,,,$B370))</f>
        <v>0</v>
      </c>
      <c r="E370" s="43" cm="1">
        <f t="array" aca="1" ref="E370" ca="1">INDIRECT(ADDRESS($A370,E$4,,,$B370))</f>
        <v>0</v>
      </c>
      <c r="F370" s="43" cm="1">
        <f t="array" aca="1" ref="F370" ca="1">INDIRECT(ADDRESS($A370,F$4,,,$B370))</f>
        <v>0</v>
      </c>
      <c r="G370" s="43" cm="1">
        <f t="array" aca="1" ref="G370" ca="1">INDIRECT(ADDRESS($A370,G$4,,,$B370))</f>
        <v>0</v>
      </c>
      <c r="H370" s="43" cm="1">
        <f t="array" aca="1" ref="H370" ca="1">INDIRECT(ADDRESS($A370,H$4,,,$B370))</f>
        <v>0</v>
      </c>
      <c r="I370" s="43" cm="1">
        <f t="array" aca="1" ref="I370" ca="1">INDIRECT(ADDRESS($A370,I$4,,,$B370))</f>
        <v>0</v>
      </c>
      <c r="J370" s="43" cm="1">
        <f t="array" aca="1" ref="J370" ca="1">INDIRECT(ADDRESS($A370,J$4,,,$B370))</f>
        <v>0</v>
      </c>
    </row>
    <row r="371" spans="1:10">
      <c r="A371" s="39">
        <f t="shared" si="13"/>
        <v>161</v>
      </c>
      <c r="B371" s="42" t="str">
        <f t="shared" si="14"/>
        <v>W1</v>
      </c>
      <c r="C371" s="43" cm="1">
        <f t="array" aca="1" ref="C371" ca="1">INDIRECT(ADDRESS($A371,C$4,,,$B371))</f>
        <v>0</v>
      </c>
      <c r="D371" s="43" cm="1">
        <f t="array" aca="1" ref="D371" ca="1">INDIRECT(ADDRESS($A371,D$4,,,$B371))</f>
        <v>0</v>
      </c>
      <c r="E371" s="43" cm="1">
        <f t="array" aca="1" ref="E371" ca="1">INDIRECT(ADDRESS($A371,E$4,,,$B371))</f>
        <v>0</v>
      </c>
      <c r="F371" s="43" cm="1">
        <f t="array" aca="1" ref="F371" ca="1">INDIRECT(ADDRESS($A371,F$4,,,$B371))</f>
        <v>0</v>
      </c>
      <c r="G371" s="43" cm="1">
        <f t="array" aca="1" ref="G371" ca="1">INDIRECT(ADDRESS($A371,G$4,,,$B371))</f>
        <v>0</v>
      </c>
      <c r="H371" s="43" cm="1">
        <f t="array" aca="1" ref="H371" ca="1">INDIRECT(ADDRESS($A371,H$4,,,$B371))</f>
        <v>0</v>
      </c>
      <c r="I371" s="43" cm="1">
        <f t="array" aca="1" ref="I371" ca="1">INDIRECT(ADDRESS($A371,I$4,,,$B371))</f>
        <v>0</v>
      </c>
      <c r="J371" s="43" cm="1">
        <f t="array" aca="1" ref="J371" ca="1">INDIRECT(ADDRESS($A371,J$4,,,$B371))</f>
        <v>0</v>
      </c>
    </row>
    <row r="372" spans="1:10">
      <c r="A372" s="39">
        <f t="shared" si="13"/>
        <v>162</v>
      </c>
      <c r="B372" s="42" t="str">
        <f t="shared" si="14"/>
        <v>W1</v>
      </c>
      <c r="C372" s="43" cm="1">
        <f t="array" aca="1" ref="C372" ca="1">INDIRECT(ADDRESS($A372,C$4,,,$B372))</f>
        <v>0</v>
      </c>
      <c r="D372" s="43" cm="1">
        <f t="array" aca="1" ref="D372" ca="1">INDIRECT(ADDRESS($A372,D$4,,,$B372))</f>
        <v>0</v>
      </c>
      <c r="E372" s="43" cm="1">
        <f t="array" aca="1" ref="E372" ca="1">INDIRECT(ADDRESS($A372,E$4,,,$B372))</f>
        <v>0</v>
      </c>
      <c r="F372" s="43" cm="1">
        <f t="array" aca="1" ref="F372" ca="1">INDIRECT(ADDRESS($A372,F$4,,,$B372))</f>
        <v>0</v>
      </c>
      <c r="G372" s="43" cm="1">
        <f t="array" aca="1" ref="G372" ca="1">INDIRECT(ADDRESS($A372,G$4,,,$B372))</f>
        <v>0</v>
      </c>
      <c r="H372" s="43" cm="1">
        <f t="array" aca="1" ref="H372" ca="1">INDIRECT(ADDRESS($A372,H$4,,,$B372))</f>
        <v>0</v>
      </c>
      <c r="I372" s="43" cm="1">
        <f t="array" aca="1" ref="I372" ca="1">INDIRECT(ADDRESS($A372,I$4,,,$B372))</f>
        <v>0</v>
      </c>
      <c r="J372" s="43" cm="1">
        <f t="array" aca="1" ref="J372" ca="1">INDIRECT(ADDRESS($A372,J$4,,,$B372))</f>
        <v>0</v>
      </c>
    </row>
    <row r="373" spans="1:10">
      <c r="A373" s="39">
        <f t="shared" si="13"/>
        <v>163</v>
      </c>
      <c r="B373" s="42" t="str">
        <f t="shared" si="14"/>
        <v>W1</v>
      </c>
      <c r="C373" s="43" cm="1">
        <f t="array" aca="1" ref="C373" ca="1">INDIRECT(ADDRESS($A373,C$4,,,$B373))</f>
        <v>0</v>
      </c>
      <c r="D373" s="43" cm="1">
        <f t="array" aca="1" ref="D373" ca="1">INDIRECT(ADDRESS($A373,D$4,,,$B373))</f>
        <v>0</v>
      </c>
      <c r="E373" s="43" cm="1">
        <f t="array" aca="1" ref="E373" ca="1">INDIRECT(ADDRESS($A373,E$4,,,$B373))</f>
        <v>0</v>
      </c>
      <c r="F373" s="43" cm="1">
        <f t="array" aca="1" ref="F373" ca="1">INDIRECT(ADDRESS($A373,F$4,,,$B373))</f>
        <v>0</v>
      </c>
      <c r="G373" s="43" cm="1">
        <f t="array" aca="1" ref="G373" ca="1">INDIRECT(ADDRESS($A373,G$4,,,$B373))</f>
        <v>0</v>
      </c>
      <c r="H373" s="43" cm="1">
        <f t="array" aca="1" ref="H373" ca="1">INDIRECT(ADDRESS($A373,H$4,,,$B373))</f>
        <v>0</v>
      </c>
      <c r="I373" s="43" cm="1">
        <f t="array" aca="1" ref="I373" ca="1">INDIRECT(ADDRESS($A373,I$4,,,$B373))</f>
        <v>0</v>
      </c>
      <c r="J373" s="43" cm="1">
        <f t="array" aca="1" ref="J373" ca="1">INDIRECT(ADDRESS($A373,J$4,,,$B373))</f>
        <v>0</v>
      </c>
    </row>
    <row r="374" spans="1:10">
      <c r="A374" s="39">
        <f t="shared" si="13"/>
        <v>164</v>
      </c>
      <c r="B374" s="42" t="str">
        <f t="shared" si="14"/>
        <v>W1</v>
      </c>
      <c r="C374" s="43" cm="1">
        <f t="array" aca="1" ref="C374" ca="1">INDIRECT(ADDRESS($A374,C$4,,,$B374))</f>
        <v>0</v>
      </c>
      <c r="D374" s="43" cm="1">
        <f t="array" aca="1" ref="D374" ca="1">INDIRECT(ADDRESS($A374,D$4,,,$B374))</f>
        <v>0</v>
      </c>
      <c r="E374" s="43" cm="1">
        <f t="array" aca="1" ref="E374" ca="1">INDIRECT(ADDRESS($A374,E$4,,,$B374))</f>
        <v>0</v>
      </c>
      <c r="F374" s="43" cm="1">
        <f t="array" aca="1" ref="F374" ca="1">INDIRECT(ADDRESS($A374,F$4,,,$B374))</f>
        <v>0</v>
      </c>
      <c r="G374" s="43" cm="1">
        <f t="array" aca="1" ref="G374" ca="1">INDIRECT(ADDRESS($A374,G$4,,,$B374))</f>
        <v>0</v>
      </c>
      <c r="H374" s="43" cm="1">
        <f t="array" aca="1" ref="H374" ca="1">INDIRECT(ADDRESS($A374,H$4,,,$B374))</f>
        <v>0</v>
      </c>
      <c r="I374" s="43" cm="1">
        <f t="array" aca="1" ref="I374" ca="1">INDIRECT(ADDRESS($A374,I$4,,,$B374))</f>
        <v>0</v>
      </c>
      <c r="J374" s="43" cm="1">
        <f t="array" aca="1" ref="J374" ca="1">INDIRECT(ADDRESS($A374,J$4,,,$B374))</f>
        <v>0</v>
      </c>
    </row>
    <row r="375" spans="1:10">
      <c r="A375" s="39">
        <f t="shared" si="13"/>
        <v>165</v>
      </c>
      <c r="B375" s="42" t="str">
        <f t="shared" si="14"/>
        <v>W1</v>
      </c>
      <c r="C375" s="43" cm="1">
        <f t="array" aca="1" ref="C375" ca="1">INDIRECT(ADDRESS($A375,C$4,,,$B375))</f>
        <v>0</v>
      </c>
      <c r="D375" s="43" cm="1">
        <f t="array" aca="1" ref="D375" ca="1">INDIRECT(ADDRESS($A375,D$4,,,$B375))</f>
        <v>0</v>
      </c>
      <c r="E375" s="43" cm="1">
        <f t="array" aca="1" ref="E375" ca="1">INDIRECT(ADDRESS($A375,E$4,,,$B375))</f>
        <v>0</v>
      </c>
      <c r="F375" s="43" cm="1">
        <f t="array" aca="1" ref="F375" ca="1">INDIRECT(ADDRESS($A375,F$4,,,$B375))</f>
        <v>0</v>
      </c>
      <c r="G375" s="43" cm="1">
        <f t="array" aca="1" ref="G375" ca="1">INDIRECT(ADDRESS($A375,G$4,,,$B375))</f>
        <v>0</v>
      </c>
      <c r="H375" s="43" cm="1">
        <f t="array" aca="1" ref="H375" ca="1">INDIRECT(ADDRESS($A375,H$4,,,$B375))</f>
        <v>0</v>
      </c>
      <c r="I375" s="43" cm="1">
        <f t="array" aca="1" ref="I375" ca="1">INDIRECT(ADDRESS($A375,I$4,,,$B375))</f>
        <v>0</v>
      </c>
      <c r="J375" s="43" cm="1">
        <f t="array" aca="1" ref="J375" ca="1">INDIRECT(ADDRESS($A375,J$4,,,$B375))</f>
        <v>0</v>
      </c>
    </row>
    <row r="376" spans="1:10">
      <c r="A376" s="39">
        <f t="shared" si="13"/>
        <v>166</v>
      </c>
      <c r="B376" s="42" t="str">
        <f t="shared" si="14"/>
        <v>W1</v>
      </c>
      <c r="C376" s="43" cm="1">
        <f t="array" aca="1" ref="C376" ca="1">INDIRECT(ADDRESS($A376,C$4,,,$B376))</f>
        <v>0</v>
      </c>
      <c r="D376" s="43" cm="1">
        <f t="array" aca="1" ref="D376" ca="1">INDIRECT(ADDRESS($A376,D$4,,,$B376))</f>
        <v>0</v>
      </c>
      <c r="E376" s="43" cm="1">
        <f t="array" aca="1" ref="E376" ca="1">INDIRECT(ADDRESS($A376,E$4,,,$B376))</f>
        <v>0</v>
      </c>
      <c r="F376" s="43" cm="1">
        <f t="array" aca="1" ref="F376" ca="1">INDIRECT(ADDRESS($A376,F$4,,,$B376))</f>
        <v>0</v>
      </c>
      <c r="G376" s="43" cm="1">
        <f t="array" aca="1" ref="G376" ca="1">INDIRECT(ADDRESS($A376,G$4,,,$B376))</f>
        <v>0</v>
      </c>
      <c r="H376" s="43" cm="1">
        <f t="array" aca="1" ref="H376" ca="1">INDIRECT(ADDRESS($A376,H$4,,,$B376))</f>
        <v>0</v>
      </c>
      <c r="I376" s="43" cm="1">
        <f t="array" aca="1" ref="I376" ca="1">INDIRECT(ADDRESS($A376,I$4,,,$B376))</f>
        <v>0</v>
      </c>
      <c r="J376" s="43" cm="1">
        <f t="array" aca="1" ref="J376" ca="1">INDIRECT(ADDRESS($A376,J$4,,,$B376))</f>
        <v>0</v>
      </c>
    </row>
    <row r="377" spans="1:10">
      <c r="A377" s="39">
        <f t="shared" si="13"/>
        <v>167</v>
      </c>
      <c r="B377" s="42" t="str">
        <f t="shared" si="14"/>
        <v>W1</v>
      </c>
      <c r="C377" s="43" cm="1">
        <f t="array" aca="1" ref="C377" ca="1">INDIRECT(ADDRESS($A377,C$4,,,$B377))</f>
        <v>0</v>
      </c>
      <c r="D377" s="43" cm="1">
        <f t="array" aca="1" ref="D377" ca="1">INDIRECT(ADDRESS($A377,D$4,,,$B377))</f>
        <v>0</v>
      </c>
      <c r="E377" s="43" cm="1">
        <f t="array" aca="1" ref="E377" ca="1">INDIRECT(ADDRESS($A377,E$4,,,$B377))</f>
        <v>0</v>
      </c>
      <c r="F377" s="43" cm="1">
        <f t="array" aca="1" ref="F377" ca="1">INDIRECT(ADDRESS($A377,F$4,,,$B377))</f>
        <v>0</v>
      </c>
      <c r="G377" s="43" cm="1">
        <f t="array" aca="1" ref="G377" ca="1">INDIRECT(ADDRESS($A377,G$4,,,$B377))</f>
        <v>0</v>
      </c>
      <c r="H377" s="43" cm="1">
        <f t="array" aca="1" ref="H377" ca="1">INDIRECT(ADDRESS($A377,H$4,,,$B377))</f>
        <v>0</v>
      </c>
      <c r="I377" s="43" cm="1">
        <f t="array" aca="1" ref="I377" ca="1">INDIRECT(ADDRESS($A377,I$4,,,$B377))</f>
        <v>0</v>
      </c>
      <c r="J377" s="43" cm="1">
        <f t="array" aca="1" ref="J377" ca="1">INDIRECT(ADDRESS($A377,J$4,,,$B377))</f>
        <v>0</v>
      </c>
    </row>
    <row r="378" spans="1:10">
      <c r="A378" s="39">
        <f t="shared" si="13"/>
        <v>168</v>
      </c>
      <c r="B378" s="42" t="str">
        <f t="shared" si="14"/>
        <v>W1</v>
      </c>
      <c r="C378" s="43" cm="1">
        <f t="array" aca="1" ref="C378" ca="1">INDIRECT(ADDRESS($A378,C$4,,,$B378))</f>
        <v>0</v>
      </c>
      <c r="D378" s="43" cm="1">
        <f t="array" aca="1" ref="D378" ca="1">INDIRECT(ADDRESS($A378,D$4,,,$B378))</f>
        <v>0</v>
      </c>
      <c r="E378" s="43" cm="1">
        <f t="array" aca="1" ref="E378" ca="1">INDIRECT(ADDRESS($A378,E$4,,,$B378))</f>
        <v>0</v>
      </c>
      <c r="F378" s="43" cm="1">
        <f t="array" aca="1" ref="F378" ca="1">INDIRECT(ADDRESS($A378,F$4,,,$B378))</f>
        <v>0</v>
      </c>
      <c r="G378" s="43" cm="1">
        <f t="array" aca="1" ref="G378" ca="1">INDIRECT(ADDRESS($A378,G$4,,,$B378))</f>
        <v>0</v>
      </c>
      <c r="H378" s="43" cm="1">
        <f t="array" aca="1" ref="H378" ca="1">INDIRECT(ADDRESS($A378,H$4,,,$B378))</f>
        <v>0</v>
      </c>
      <c r="I378" s="43" cm="1">
        <f t="array" aca="1" ref="I378" ca="1">INDIRECT(ADDRESS($A378,I$4,,,$B378))</f>
        <v>0</v>
      </c>
      <c r="J378" s="43" cm="1">
        <f t="array" aca="1" ref="J378" ca="1">INDIRECT(ADDRESS($A378,J$4,,,$B378))</f>
        <v>0</v>
      </c>
    </row>
    <row r="379" spans="1:10">
      <c r="A379" s="39">
        <f t="shared" si="13"/>
        <v>169</v>
      </c>
      <c r="B379" s="42" t="str">
        <f t="shared" si="14"/>
        <v>W1</v>
      </c>
      <c r="C379" s="43" cm="1">
        <f t="array" aca="1" ref="C379" ca="1">INDIRECT(ADDRESS($A379,C$4,,,$B379))</f>
        <v>0</v>
      </c>
      <c r="D379" s="43" cm="1">
        <f t="array" aca="1" ref="D379" ca="1">INDIRECT(ADDRESS($A379,D$4,,,$B379))</f>
        <v>0</v>
      </c>
      <c r="E379" s="43" cm="1">
        <f t="array" aca="1" ref="E379" ca="1">INDIRECT(ADDRESS($A379,E$4,,,$B379))</f>
        <v>0</v>
      </c>
      <c r="F379" s="43" cm="1">
        <f t="array" aca="1" ref="F379" ca="1">INDIRECT(ADDRESS($A379,F$4,,,$B379))</f>
        <v>0</v>
      </c>
      <c r="G379" s="43" cm="1">
        <f t="array" aca="1" ref="G379" ca="1">INDIRECT(ADDRESS($A379,G$4,,,$B379))</f>
        <v>0</v>
      </c>
      <c r="H379" s="43" cm="1">
        <f t="array" aca="1" ref="H379" ca="1">INDIRECT(ADDRESS($A379,H$4,,,$B379))</f>
        <v>0</v>
      </c>
      <c r="I379" s="43" cm="1">
        <f t="array" aca="1" ref="I379" ca="1">INDIRECT(ADDRESS($A379,I$4,,,$B379))</f>
        <v>0</v>
      </c>
      <c r="J379" s="43" cm="1">
        <f t="array" aca="1" ref="J379" ca="1">INDIRECT(ADDRESS($A379,J$4,,,$B379))</f>
        <v>0</v>
      </c>
    </row>
    <row r="380" spans="1:10">
      <c r="A380" s="39">
        <f t="shared" si="13"/>
        <v>170</v>
      </c>
      <c r="B380" s="42" t="str">
        <f t="shared" si="14"/>
        <v>W1</v>
      </c>
      <c r="C380" s="43" cm="1">
        <f t="array" aca="1" ref="C380" ca="1">INDIRECT(ADDRESS($A380,C$4,,,$B380))</f>
        <v>0</v>
      </c>
      <c r="D380" s="43" cm="1">
        <f t="array" aca="1" ref="D380" ca="1">INDIRECT(ADDRESS($A380,D$4,,,$B380))</f>
        <v>0</v>
      </c>
      <c r="E380" s="43" cm="1">
        <f t="array" aca="1" ref="E380" ca="1">INDIRECT(ADDRESS($A380,E$4,,,$B380))</f>
        <v>0</v>
      </c>
      <c r="F380" s="43" cm="1">
        <f t="array" aca="1" ref="F380" ca="1">INDIRECT(ADDRESS($A380,F$4,,,$B380))</f>
        <v>0</v>
      </c>
      <c r="G380" s="43" cm="1">
        <f t="array" aca="1" ref="G380" ca="1">INDIRECT(ADDRESS($A380,G$4,,,$B380))</f>
        <v>0</v>
      </c>
      <c r="H380" s="43" cm="1">
        <f t="array" aca="1" ref="H380" ca="1">INDIRECT(ADDRESS($A380,H$4,,,$B380))</f>
        <v>0</v>
      </c>
      <c r="I380" s="43" cm="1">
        <f t="array" aca="1" ref="I380" ca="1">INDIRECT(ADDRESS($A380,I$4,,,$B380))</f>
        <v>0</v>
      </c>
      <c r="J380" s="43" cm="1">
        <f t="array" aca="1" ref="J380" ca="1">INDIRECT(ADDRESS($A380,J$4,,,$B380))</f>
        <v>0</v>
      </c>
    </row>
    <row r="381" spans="1:10">
      <c r="A381" s="39">
        <f t="shared" si="13"/>
        <v>171</v>
      </c>
      <c r="B381" s="42" t="str">
        <f t="shared" si="14"/>
        <v>W1</v>
      </c>
      <c r="C381" s="43" cm="1">
        <f t="array" aca="1" ref="C381" ca="1">INDIRECT(ADDRESS($A381,C$4,,,$B381))</f>
        <v>0</v>
      </c>
      <c r="D381" s="43" cm="1">
        <f t="array" aca="1" ref="D381" ca="1">INDIRECT(ADDRESS($A381,D$4,,,$B381))</f>
        <v>0</v>
      </c>
      <c r="E381" s="43" cm="1">
        <f t="array" aca="1" ref="E381" ca="1">INDIRECT(ADDRESS($A381,E$4,,,$B381))</f>
        <v>0</v>
      </c>
      <c r="F381" s="43" cm="1">
        <f t="array" aca="1" ref="F381" ca="1">INDIRECT(ADDRESS($A381,F$4,,,$B381))</f>
        <v>0</v>
      </c>
      <c r="G381" s="43" cm="1">
        <f t="array" aca="1" ref="G381" ca="1">INDIRECT(ADDRESS($A381,G$4,,,$B381))</f>
        <v>0</v>
      </c>
      <c r="H381" s="43" cm="1">
        <f t="array" aca="1" ref="H381" ca="1">INDIRECT(ADDRESS($A381,H$4,,,$B381))</f>
        <v>0</v>
      </c>
      <c r="I381" s="43" cm="1">
        <f t="array" aca="1" ref="I381" ca="1">INDIRECT(ADDRESS($A381,I$4,,,$B381))</f>
        <v>0</v>
      </c>
      <c r="J381" s="43" cm="1">
        <f t="array" aca="1" ref="J381" ca="1">INDIRECT(ADDRESS($A381,J$4,,,$B381))</f>
        <v>0</v>
      </c>
    </row>
    <row r="382" spans="1:10">
      <c r="A382" s="39">
        <f t="shared" si="13"/>
        <v>172</v>
      </c>
      <c r="B382" s="42" t="str">
        <f t="shared" si="14"/>
        <v>W1</v>
      </c>
      <c r="C382" s="43" cm="1">
        <f t="array" aca="1" ref="C382" ca="1">INDIRECT(ADDRESS($A382,C$4,,,$B382))</f>
        <v>0</v>
      </c>
      <c r="D382" s="43" cm="1">
        <f t="array" aca="1" ref="D382" ca="1">INDIRECT(ADDRESS($A382,D$4,,,$B382))</f>
        <v>0</v>
      </c>
      <c r="E382" s="43" cm="1">
        <f t="array" aca="1" ref="E382" ca="1">INDIRECT(ADDRESS($A382,E$4,,,$B382))</f>
        <v>0</v>
      </c>
      <c r="F382" s="43" cm="1">
        <f t="array" aca="1" ref="F382" ca="1">INDIRECT(ADDRESS($A382,F$4,,,$B382))</f>
        <v>0</v>
      </c>
      <c r="G382" s="43" cm="1">
        <f t="array" aca="1" ref="G382" ca="1">INDIRECT(ADDRESS($A382,G$4,,,$B382))</f>
        <v>0</v>
      </c>
      <c r="H382" s="43" cm="1">
        <f t="array" aca="1" ref="H382" ca="1">INDIRECT(ADDRESS($A382,H$4,,,$B382))</f>
        <v>0</v>
      </c>
      <c r="I382" s="43" cm="1">
        <f t="array" aca="1" ref="I382" ca="1">INDIRECT(ADDRESS($A382,I$4,,,$B382))</f>
        <v>0</v>
      </c>
      <c r="J382" s="43" cm="1">
        <f t="array" aca="1" ref="J382" ca="1">INDIRECT(ADDRESS($A382,J$4,,,$B382))</f>
        <v>0</v>
      </c>
    </row>
    <row r="383" spans="1:10">
      <c r="A383" s="39">
        <f t="shared" si="13"/>
        <v>173</v>
      </c>
      <c r="B383" s="42" t="str">
        <f t="shared" si="14"/>
        <v>W1</v>
      </c>
      <c r="C383" s="43" cm="1">
        <f t="array" aca="1" ref="C383" ca="1">INDIRECT(ADDRESS($A383,C$4,,,$B383))</f>
        <v>0</v>
      </c>
      <c r="D383" s="43" cm="1">
        <f t="array" aca="1" ref="D383" ca="1">INDIRECT(ADDRESS($A383,D$4,,,$B383))</f>
        <v>0</v>
      </c>
      <c r="E383" s="43" cm="1">
        <f t="array" aca="1" ref="E383" ca="1">INDIRECT(ADDRESS($A383,E$4,,,$B383))</f>
        <v>0</v>
      </c>
      <c r="F383" s="43" cm="1">
        <f t="array" aca="1" ref="F383" ca="1">INDIRECT(ADDRESS($A383,F$4,,,$B383))</f>
        <v>0</v>
      </c>
      <c r="G383" s="43" cm="1">
        <f t="array" aca="1" ref="G383" ca="1">INDIRECT(ADDRESS($A383,G$4,,,$B383))</f>
        <v>0</v>
      </c>
      <c r="H383" s="43" cm="1">
        <f t="array" aca="1" ref="H383" ca="1">INDIRECT(ADDRESS($A383,H$4,,,$B383))</f>
        <v>0</v>
      </c>
      <c r="I383" s="43" cm="1">
        <f t="array" aca="1" ref="I383" ca="1">INDIRECT(ADDRESS($A383,I$4,,,$B383))</f>
        <v>0</v>
      </c>
      <c r="J383" s="43" cm="1">
        <f t="array" aca="1" ref="J383" ca="1">INDIRECT(ADDRESS($A383,J$4,,,$B383))</f>
        <v>0</v>
      </c>
    </row>
    <row r="384" spans="1:10">
      <c r="A384" s="39">
        <f t="shared" si="13"/>
        <v>174</v>
      </c>
      <c r="B384" s="42" t="str">
        <f t="shared" si="14"/>
        <v>W1</v>
      </c>
      <c r="C384" s="43" cm="1">
        <f t="array" aca="1" ref="C384" ca="1">INDIRECT(ADDRESS($A384,C$4,,,$B384))</f>
        <v>0</v>
      </c>
      <c r="D384" s="43" cm="1">
        <f t="array" aca="1" ref="D384" ca="1">INDIRECT(ADDRESS($A384,D$4,,,$B384))</f>
        <v>0</v>
      </c>
      <c r="E384" s="43" cm="1">
        <f t="array" aca="1" ref="E384" ca="1">INDIRECT(ADDRESS($A384,E$4,,,$B384))</f>
        <v>0</v>
      </c>
      <c r="F384" s="43" cm="1">
        <f t="array" aca="1" ref="F384" ca="1">INDIRECT(ADDRESS($A384,F$4,,,$B384))</f>
        <v>0</v>
      </c>
      <c r="G384" s="43" cm="1">
        <f t="array" aca="1" ref="G384" ca="1">INDIRECT(ADDRESS($A384,G$4,,,$B384))</f>
        <v>0</v>
      </c>
      <c r="H384" s="43" cm="1">
        <f t="array" aca="1" ref="H384" ca="1">INDIRECT(ADDRESS($A384,H$4,,,$B384))</f>
        <v>0</v>
      </c>
      <c r="I384" s="43" cm="1">
        <f t="array" aca="1" ref="I384" ca="1">INDIRECT(ADDRESS($A384,I$4,,,$B384))</f>
        <v>0</v>
      </c>
      <c r="J384" s="43" cm="1">
        <f t="array" aca="1" ref="J384" ca="1">INDIRECT(ADDRESS($A384,J$4,,,$B384))</f>
        <v>0</v>
      </c>
    </row>
    <row r="385" spans="1:10">
      <c r="A385" s="39">
        <f t="shared" si="13"/>
        <v>175</v>
      </c>
      <c r="B385" s="42" t="str">
        <f t="shared" si="14"/>
        <v>W1</v>
      </c>
      <c r="C385" s="43" cm="1">
        <f t="array" aca="1" ref="C385" ca="1">INDIRECT(ADDRESS($A385,C$4,,,$B385))</f>
        <v>0</v>
      </c>
      <c r="D385" s="43" cm="1">
        <f t="array" aca="1" ref="D385" ca="1">INDIRECT(ADDRESS($A385,D$4,,,$B385))</f>
        <v>0</v>
      </c>
      <c r="E385" s="43" cm="1">
        <f t="array" aca="1" ref="E385" ca="1">INDIRECT(ADDRESS($A385,E$4,,,$B385))</f>
        <v>0</v>
      </c>
      <c r="F385" s="43" cm="1">
        <f t="array" aca="1" ref="F385" ca="1">INDIRECT(ADDRESS($A385,F$4,,,$B385))</f>
        <v>0</v>
      </c>
      <c r="G385" s="43" cm="1">
        <f t="array" aca="1" ref="G385" ca="1">INDIRECT(ADDRESS($A385,G$4,,,$B385))</f>
        <v>0</v>
      </c>
      <c r="H385" s="43" cm="1">
        <f t="array" aca="1" ref="H385" ca="1">INDIRECT(ADDRESS($A385,H$4,,,$B385))</f>
        <v>0</v>
      </c>
      <c r="I385" s="43" cm="1">
        <f t="array" aca="1" ref="I385" ca="1">INDIRECT(ADDRESS($A385,I$4,,,$B385))</f>
        <v>0</v>
      </c>
      <c r="J385" s="43" cm="1">
        <f t="array" aca="1" ref="J385" ca="1">INDIRECT(ADDRESS($A385,J$4,,,$B385))</f>
        <v>0</v>
      </c>
    </row>
    <row r="386" spans="1:10">
      <c r="A386" s="39">
        <f t="shared" si="13"/>
        <v>176</v>
      </c>
      <c r="B386" s="42" t="str">
        <f t="shared" si="14"/>
        <v>W1</v>
      </c>
      <c r="C386" s="43" cm="1">
        <f t="array" aca="1" ref="C386" ca="1">INDIRECT(ADDRESS($A386,C$4,,,$B386))</f>
        <v>0</v>
      </c>
      <c r="D386" s="43" cm="1">
        <f t="array" aca="1" ref="D386" ca="1">INDIRECT(ADDRESS($A386,D$4,,,$B386))</f>
        <v>0</v>
      </c>
      <c r="E386" s="43" cm="1">
        <f t="array" aca="1" ref="E386" ca="1">INDIRECT(ADDRESS($A386,E$4,,,$B386))</f>
        <v>0</v>
      </c>
      <c r="F386" s="43" cm="1">
        <f t="array" aca="1" ref="F386" ca="1">INDIRECT(ADDRESS($A386,F$4,,,$B386))</f>
        <v>0</v>
      </c>
      <c r="G386" s="43" cm="1">
        <f t="array" aca="1" ref="G386" ca="1">INDIRECT(ADDRESS($A386,G$4,,,$B386))</f>
        <v>0</v>
      </c>
      <c r="H386" s="43" cm="1">
        <f t="array" aca="1" ref="H386" ca="1">INDIRECT(ADDRESS($A386,H$4,,,$B386))</f>
        <v>0</v>
      </c>
      <c r="I386" s="43" cm="1">
        <f t="array" aca="1" ref="I386" ca="1">INDIRECT(ADDRESS($A386,I$4,,,$B386))</f>
        <v>0</v>
      </c>
      <c r="J386" s="43" cm="1">
        <f t="array" aca="1" ref="J386" ca="1">INDIRECT(ADDRESS($A386,J$4,,,$B386))</f>
        <v>0</v>
      </c>
    </row>
    <row r="387" spans="1:10">
      <c r="A387" s="39">
        <f t="shared" si="13"/>
        <v>177</v>
      </c>
      <c r="B387" s="42" t="str">
        <f t="shared" si="14"/>
        <v>W1</v>
      </c>
      <c r="C387" s="43" cm="1">
        <f t="array" aca="1" ref="C387" ca="1">INDIRECT(ADDRESS($A387,C$4,,,$B387))</f>
        <v>0</v>
      </c>
      <c r="D387" s="43" cm="1">
        <f t="array" aca="1" ref="D387" ca="1">INDIRECT(ADDRESS($A387,D$4,,,$B387))</f>
        <v>0</v>
      </c>
      <c r="E387" s="43" cm="1">
        <f t="array" aca="1" ref="E387" ca="1">INDIRECT(ADDRESS($A387,E$4,,,$B387))</f>
        <v>0</v>
      </c>
      <c r="F387" s="43" cm="1">
        <f t="array" aca="1" ref="F387" ca="1">INDIRECT(ADDRESS($A387,F$4,,,$B387))</f>
        <v>0</v>
      </c>
      <c r="G387" s="43" cm="1">
        <f t="array" aca="1" ref="G387" ca="1">INDIRECT(ADDRESS($A387,G$4,,,$B387))</f>
        <v>0</v>
      </c>
      <c r="H387" s="43" cm="1">
        <f t="array" aca="1" ref="H387" ca="1">INDIRECT(ADDRESS($A387,H$4,,,$B387))</f>
        <v>0</v>
      </c>
      <c r="I387" s="43" cm="1">
        <f t="array" aca="1" ref="I387" ca="1">INDIRECT(ADDRESS($A387,I$4,,,$B387))</f>
        <v>0</v>
      </c>
      <c r="J387" s="43" cm="1">
        <f t="array" aca="1" ref="J387" ca="1">INDIRECT(ADDRESS($A387,J$4,,,$B387))</f>
        <v>0</v>
      </c>
    </row>
    <row r="388" spans="1:10">
      <c r="A388" s="39">
        <f t="shared" si="13"/>
        <v>178</v>
      </c>
      <c r="B388" s="42" t="str">
        <f t="shared" si="14"/>
        <v>W1</v>
      </c>
      <c r="C388" s="43" cm="1">
        <f t="array" aca="1" ref="C388" ca="1">INDIRECT(ADDRESS($A388,C$4,,,$B388))</f>
        <v>0</v>
      </c>
      <c r="D388" s="43" cm="1">
        <f t="array" aca="1" ref="D388" ca="1">INDIRECT(ADDRESS($A388,D$4,,,$B388))</f>
        <v>0</v>
      </c>
      <c r="E388" s="43" cm="1">
        <f t="array" aca="1" ref="E388" ca="1">INDIRECT(ADDRESS($A388,E$4,,,$B388))</f>
        <v>0</v>
      </c>
      <c r="F388" s="43" cm="1">
        <f t="array" aca="1" ref="F388" ca="1">INDIRECT(ADDRESS($A388,F$4,,,$B388))</f>
        <v>0</v>
      </c>
      <c r="G388" s="43" cm="1">
        <f t="array" aca="1" ref="G388" ca="1">INDIRECT(ADDRESS($A388,G$4,,,$B388))</f>
        <v>0</v>
      </c>
      <c r="H388" s="43" cm="1">
        <f t="array" aca="1" ref="H388" ca="1">INDIRECT(ADDRESS($A388,H$4,,,$B388))</f>
        <v>0</v>
      </c>
      <c r="I388" s="43" cm="1">
        <f t="array" aca="1" ref="I388" ca="1">INDIRECT(ADDRESS($A388,I$4,,,$B388))</f>
        <v>0</v>
      </c>
      <c r="J388" s="43" cm="1">
        <f t="array" aca="1" ref="J388" ca="1">INDIRECT(ADDRESS($A388,J$4,,,$B388))</f>
        <v>0</v>
      </c>
    </row>
    <row r="389" spans="1:10">
      <c r="A389" s="39">
        <f t="shared" si="13"/>
        <v>179</v>
      </c>
      <c r="B389" s="42" t="str">
        <f t="shared" si="14"/>
        <v>W1</v>
      </c>
      <c r="C389" s="43" cm="1">
        <f t="array" aca="1" ref="C389" ca="1">INDIRECT(ADDRESS($A389,C$4,,,$B389))</f>
        <v>0</v>
      </c>
      <c r="D389" s="43" cm="1">
        <f t="array" aca="1" ref="D389" ca="1">INDIRECT(ADDRESS($A389,D$4,,,$B389))</f>
        <v>0</v>
      </c>
      <c r="E389" s="43" cm="1">
        <f t="array" aca="1" ref="E389" ca="1">INDIRECT(ADDRESS($A389,E$4,,,$B389))</f>
        <v>0</v>
      </c>
      <c r="F389" s="43" cm="1">
        <f t="array" aca="1" ref="F389" ca="1">INDIRECT(ADDRESS($A389,F$4,,,$B389))</f>
        <v>0</v>
      </c>
      <c r="G389" s="43" cm="1">
        <f t="array" aca="1" ref="G389" ca="1">INDIRECT(ADDRESS($A389,G$4,,,$B389))</f>
        <v>0</v>
      </c>
      <c r="H389" s="43" cm="1">
        <f t="array" aca="1" ref="H389" ca="1">INDIRECT(ADDRESS($A389,H$4,,,$B389))</f>
        <v>0</v>
      </c>
      <c r="I389" s="43" cm="1">
        <f t="array" aca="1" ref="I389" ca="1">INDIRECT(ADDRESS($A389,I$4,,,$B389))</f>
        <v>0</v>
      </c>
      <c r="J389" s="43" cm="1">
        <f t="array" aca="1" ref="J389" ca="1">INDIRECT(ADDRESS($A389,J$4,,,$B389))</f>
        <v>0</v>
      </c>
    </row>
    <row r="390" spans="1:10">
      <c r="A390" s="39">
        <f t="shared" si="13"/>
        <v>180</v>
      </c>
      <c r="B390" s="42" t="str">
        <f t="shared" si="14"/>
        <v>W1</v>
      </c>
      <c r="C390" s="43" cm="1">
        <f t="array" aca="1" ref="C390" ca="1">INDIRECT(ADDRESS($A390,C$4,,,$B390))</f>
        <v>0</v>
      </c>
      <c r="D390" s="43" cm="1">
        <f t="array" aca="1" ref="D390" ca="1">INDIRECT(ADDRESS($A390,D$4,,,$B390))</f>
        <v>0</v>
      </c>
      <c r="E390" s="43" cm="1">
        <f t="array" aca="1" ref="E390" ca="1">INDIRECT(ADDRESS($A390,E$4,,,$B390))</f>
        <v>0</v>
      </c>
      <c r="F390" s="43" cm="1">
        <f t="array" aca="1" ref="F390" ca="1">INDIRECT(ADDRESS($A390,F$4,,,$B390))</f>
        <v>0</v>
      </c>
      <c r="G390" s="43" cm="1">
        <f t="array" aca="1" ref="G390" ca="1">INDIRECT(ADDRESS($A390,G$4,,,$B390))</f>
        <v>0</v>
      </c>
      <c r="H390" s="43" cm="1">
        <f t="array" aca="1" ref="H390" ca="1">INDIRECT(ADDRESS($A390,H$4,,,$B390))</f>
        <v>0</v>
      </c>
      <c r="I390" s="43" cm="1">
        <f t="array" aca="1" ref="I390" ca="1">INDIRECT(ADDRESS($A390,I$4,,,$B390))</f>
        <v>0</v>
      </c>
      <c r="J390" s="43" cm="1">
        <f t="array" aca="1" ref="J390" ca="1">INDIRECT(ADDRESS($A390,J$4,,,$B390))</f>
        <v>0</v>
      </c>
    </row>
    <row r="391" spans="1:10">
      <c r="A391" s="39">
        <f t="shared" si="13"/>
        <v>181</v>
      </c>
      <c r="B391" s="42" t="str">
        <f t="shared" si="14"/>
        <v>W1</v>
      </c>
      <c r="C391" s="43" cm="1">
        <f t="array" aca="1" ref="C391" ca="1">INDIRECT(ADDRESS($A391,C$4,,,$B391))</f>
        <v>0</v>
      </c>
      <c r="D391" s="43" cm="1">
        <f t="array" aca="1" ref="D391" ca="1">INDIRECT(ADDRESS($A391,D$4,,,$B391))</f>
        <v>0</v>
      </c>
      <c r="E391" s="43" cm="1">
        <f t="array" aca="1" ref="E391" ca="1">INDIRECT(ADDRESS($A391,E$4,,,$B391))</f>
        <v>0</v>
      </c>
      <c r="F391" s="43" cm="1">
        <f t="array" aca="1" ref="F391" ca="1">INDIRECT(ADDRESS($A391,F$4,,,$B391))</f>
        <v>0</v>
      </c>
      <c r="G391" s="43" cm="1">
        <f t="array" aca="1" ref="G391" ca="1">INDIRECT(ADDRESS($A391,G$4,,,$B391))</f>
        <v>0</v>
      </c>
      <c r="H391" s="43" cm="1">
        <f t="array" aca="1" ref="H391" ca="1">INDIRECT(ADDRESS($A391,H$4,,,$B391))</f>
        <v>0</v>
      </c>
      <c r="I391" s="43" cm="1">
        <f t="array" aca="1" ref="I391" ca="1">INDIRECT(ADDRESS($A391,I$4,,,$B391))</f>
        <v>0</v>
      </c>
      <c r="J391" s="43" cm="1">
        <f t="array" aca="1" ref="J391" ca="1">INDIRECT(ADDRESS($A391,J$4,,,$B391))</f>
        <v>0</v>
      </c>
    </row>
    <row r="392" spans="1:10">
      <c r="A392" s="39">
        <f t="shared" si="13"/>
        <v>182</v>
      </c>
      <c r="B392" s="42" t="str">
        <f t="shared" si="14"/>
        <v>W1</v>
      </c>
      <c r="C392" s="43" cm="1">
        <f t="array" aca="1" ref="C392" ca="1">INDIRECT(ADDRESS($A392,C$4,,,$B392))</f>
        <v>0</v>
      </c>
      <c r="D392" s="43" cm="1">
        <f t="array" aca="1" ref="D392" ca="1">INDIRECT(ADDRESS($A392,D$4,,,$B392))</f>
        <v>0</v>
      </c>
      <c r="E392" s="43" cm="1">
        <f t="array" aca="1" ref="E392" ca="1">INDIRECT(ADDRESS($A392,E$4,,,$B392))</f>
        <v>0</v>
      </c>
      <c r="F392" s="43" cm="1">
        <f t="array" aca="1" ref="F392" ca="1">INDIRECT(ADDRESS($A392,F$4,,,$B392))</f>
        <v>0</v>
      </c>
      <c r="G392" s="43" cm="1">
        <f t="array" aca="1" ref="G392" ca="1">INDIRECT(ADDRESS($A392,G$4,,,$B392))</f>
        <v>0</v>
      </c>
      <c r="H392" s="43" cm="1">
        <f t="array" aca="1" ref="H392" ca="1">INDIRECT(ADDRESS($A392,H$4,,,$B392))</f>
        <v>0</v>
      </c>
      <c r="I392" s="43" cm="1">
        <f t="array" aca="1" ref="I392" ca="1">INDIRECT(ADDRESS($A392,I$4,,,$B392))</f>
        <v>0</v>
      </c>
      <c r="J392" s="43" cm="1">
        <f t="array" aca="1" ref="J392" ca="1">INDIRECT(ADDRESS($A392,J$4,,,$B392))</f>
        <v>0</v>
      </c>
    </row>
    <row r="393" spans="1:10">
      <c r="A393" s="39">
        <f t="shared" si="13"/>
        <v>183</v>
      </c>
      <c r="B393" s="42" t="str">
        <f t="shared" si="14"/>
        <v>W1</v>
      </c>
      <c r="C393" s="43" cm="1">
        <f t="array" aca="1" ref="C393" ca="1">INDIRECT(ADDRESS($A393,C$4,,,$B393))</f>
        <v>0</v>
      </c>
      <c r="D393" s="43" cm="1">
        <f t="array" aca="1" ref="D393" ca="1">INDIRECT(ADDRESS($A393,D$4,,,$B393))</f>
        <v>0</v>
      </c>
      <c r="E393" s="43" cm="1">
        <f t="array" aca="1" ref="E393" ca="1">INDIRECT(ADDRESS($A393,E$4,,,$B393))</f>
        <v>0</v>
      </c>
      <c r="F393" s="43" cm="1">
        <f t="array" aca="1" ref="F393" ca="1">INDIRECT(ADDRESS($A393,F$4,,,$B393))</f>
        <v>0</v>
      </c>
      <c r="G393" s="43" cm="1">
        <f t="array" aca="1" ref="G393" ca="1">INDIRECT(ADDRESS($A393,G$4,,,$B393))</f>
        <v>0</v>
      </c>
      <c r="H393" s="43" cm="1">
        <f t="array" aca="1" ref="H393" ca="1">INDIRECT(ADDRESS($A393,H$4,,,$B393))</f>
        <v>0</v>
      </c>
      <c r="I393" s="43" cm="1">
        <f t="array" aca="1" ref="I393" ca="1">INDIRECT(ADDRESS($A393,I$4,,,$B393))</f>
        <v>0</v>
      </c>
      <c r="J393" s="43" cm="1">
        <f t="array" aca="1" ref="J393" ca="1">INDIRECT(ADDRESS($A393,J$4,,,$B393))</f>
        <v>0</v>
      </c>
    </row>
    <row r="394" spans="1:10">
      <c r="A394" s="39">
        <f t="shared" si="13"/>
        <v>184</v>
      </c>
      <c r="B394" s="42" t="str">
        <f t="shared" si="14"/>
        <v>W1</v>
      </c>
      <c r="C394" s="43" cm="1">
        <f t="array" aca="1" ref="C394" ca="1">INDIRECT(ADDRESS($A394,C$4,,,$B394))</f>
        <v>0</v>
      </c>
      <c r="D394" s="43" cm="1">
        <f t="array" aca="1" ref="D394" ca="1">INDIRECT(ADDRESS($A394,D$4,,,$B394))</f>
        <v>0</v>
      </c>
      <c r="E394" s="43" cm="1">
        <f t="array" aca="1" ref="E394" ca="1">INDIRECT(ADDRESS($A394,E$4,,,$B394))</f>
        <v>0</v>
      </c>
      <c r="F394" s="43" cm="1">
        <f t="array" aca="1" ref="F394" ca="1">INDIRECT(ADDRESS($A394,F$4,,,$B394))</f>
        <v>0</v>
      </c>
      <c r="G394" s="43" cm="1">
        <f t="array" aca="1" ref="G394" ca="1">INDIRECT(ADDRESS($A394,G$4,,,$B394))</f>
        <v>0</v>
      </c>
      <c r="H394" s="43" cm="1">
        <f t="array" aca="1" ref="H394" ca="1">INDIRECT(ADDRESS($A394,H$4,,,$B394))</f>
        <v>0</v>
      </c>
      <c r="I394" s="43" cm="1">
        <f t="array" aca="1" ref="I394" ca="1">INDIRECT(ADDRESS($A394,I$4,,,$B394))</f>
        <v>0</v>
      </c>
      <c r="J394" s="43" cm="1">
        <f t="array" aca="1" ref="J394" ca="1">INDIRECT(ADDRESS($A394,J$4,,,$B394))</f>
        <v>0</v>
      </c>
    </row>
    <row r="395" spans="1:10">
      <c r="A395" s="39">
        <f t="shared" si="13"/>
        <v>185</v>
      </c>
      <c r="B395" s="42" t="str">
        <f t="shared" si="14"/>
        <v>W1</v>
      </c>
      <c r="C395" s="43" cm="1">
        <f t="array" aca="1" ref="C395" ca="1">INDIRECT(ADDRESS($A395,C$4,,,$B395))</f>
        <v>0</v>
      </c>
      <c r="D395" s="43" cm="1">
        <f t="array" aca="1" ref="D395" ca="1">INDIRECT(ADDRESS($A395,D$4,,,$B395))</f>
        <v>0</v>
      </c>
      <c r="E395" s="43" cm="1">
        <f t="array" aca="1" ref="E395" ca="1">INDIRECT(ADDRESS($A395,E$4,,,$B395))</f>
        <v>0</v>
      </c>
      <c r="F395" s="43" cm="1">
        <f t="array" aca="1" ref="F395" ca="1">INDIRECT(ADDRESS($A395,F$4,,,$B395))</f>
        <v>0</v>
      </c>
      <c r="G395" s="43" cm="1">
        <f t="array" aca="1" ref="G395" ca="1">INDIRECT(ADDRESS($A395,G$4,,,$B395))</f>
        <v>0</v>
      </c>
      <c r="H395" s="43" cm="1">
        <f t="array" aca="1" ref="H395" ca="1">INDIRECT(ADDRESS($A395,H$4,,,$B395))</f>
        <v>0</v>
      </c>
      <c r="I395" s="43" cm="1">
        <f t="array" aca="1" ref="I395" ca="1">INDIRECT(ADDRESS($A395,I$4,,,$B395))</f>
        <v>0</v>
      </c>
      <c r="J395" s="43" cm="1">
        <f t="array" aca="1" ref="J395" ca="1">INDIRECT(ADDRESS($A395,J$4,,,$B395))</f>
        <v>0</v>
      </c>
    </row>
    <row r="396" spans="1:10">
      <c r="A396" s="39">
        <f t="shared" si="13"/>
        <v>186</v>
      </c>
      <c r="B396" s="42" t="str">
        <f t="shared" si="14"/>
        <v>W1</v>
      </c>
      <c r="C396" s="43" cm="1">
        <f t="array" aca="1" ref="C396" ca="1">INDIRECT(ADDRESS($A396,C$4,,,$B396))</f>
        <v>0</v>
      </c>
      <c r="D396" s="43" cm="1">
        <f t="array" aca="1" ref="D396" ca="1">INDIRECT(ADDRESS($A396,D$4,,,$B396))</f>
        <v>0</v>
      </c>
      <c r="E396" s="43" cm="1">
        <f t="array" aca="1" ref="E396" ca="1">INDIRECT(ADDRESS($A396,E$4,,,$B396))</f>
        <v>0</v>
      </c>
      <c r="F396" s="43" cm="1">
        <f t="array" aca="1" ref="F396" ca="1">INDIRECT(ADDRESS($A396,F$4,,,$B396))</f>
        <v>0</v>
      </c>
      <c r="G396" s="43" cm="1">
        <f t="array" aca="1" ref="G396" ca="1">INDIRECT(ADDRESS($A396,G$4,,,$B396))</f>
        <v>0</v>
      </c>
      <c r="H396" s="43" cm="1">
        <f t="array" aca="1" ref="H396" ca="1">INDIRECT(ADDRESS($A396,H$4,,,$B396))</f>
        <v>0</v>
      </c>
      <c r="I396" s="43" cm="1">
        <f t="array" aca="1" ref="I396" ca="1">INDIRECT(ADDRESS($A396,I$4,,,$B396))</f>
        <v>0</v>
      </c>
      <c r="J396" s="43" cm="1">
        <f t="array" aca="1" ref="J396" ca="1">INDIRECT(ADDRESS($A396,J$4,,,$B396))</f>
        <v>0</v>
      </c>
    </row>
    <row r="397" spans="1:10">
      <c r="A397" s="39">
        <f t="shared" si="13"/>
        <v>187</v>
      </c>
      <c r="B397" s="42" t="str">
        <f t="shared" si="14"/>
        <v>W1</v>
      </c>
      <c r="C397" s="43" cm="1">
        <f t="array" aca="1" ref="C397" ca="1">INDIRECT(ADDRESS($A397,C$4,,,$B397))</f>
        <v>0</v>
      </c>
      <c r="D397" s="43" cm="1">
        <f t="array" aca="1" ref="D397" ca="1">INDIRECT(ADDRESS($A397,D$4,,,$B397))</f>
        <v>0</v>
      </c>
      <c r="E397" s="43" cm="1">
        <f t="array" aca="1" ref="E397" ca="1">INDIRECT(ADDRESS($A397,E$4,,,$B397))</f>
        <v>0</v>
      </c>
      <c r="F397" s="43" cm="1">
        <f t="array" aca="1" ref="F397" ca="1">INDIRECT(ADDRESS($A397,F$4,,,$B397))</f>
        <v>0</v>
      </c>
      <c r="G397" s="43" cm="1">
        <f t="array" aca="1" ref="G397" ca="1">INDIRECT(ADDRESS($A397,G$4,,,$B397))</f>
        <v>0</v>
      </c>
      <c r="H397" s="43" cm="1">
        <f t="array" aca="1" ref="H397" ca="1">INDIRECT(ADDRESS($A397,H$4,,,$B397))</f>
        <v>0</v>
      </c>
      <c r="I397" s="43" cm="1">
        <f t="array" aca="1" ref="I397" ca="1">INDIRECT(ADDRESS($A397,I$4,,,$B397))</f>
        <v>0</v>
      </c>
      <c r="J397" s="43" cm="1">
        <f t="array" aca="1" ref="J397" ca="1">INDIRECT(ADDRESS($A397,J$4,,,$B397))</f>
        <v>0</v>
      </c>
    </row>
    <row r="398" spans="1:10">
      <c r="A398" s="39">
        <f t="shared" si="13"/>
        <v>188</v>
      </c>
      <c r="B398" s="42" t="str">
        <f t="shared" si="14"/>
        <v>W1</v>
      </c>
      <c r="C398" s="43" cm="1">
        <f t="array" aca="1" ref="C398" ca="1">INDIRECT(ADDRESS($A398,C$4,,,$B398))</f>
        <v>0</v>
      </c>
      <c r="D398" s="43" cm="1">
        <f t="array" aca="1" ref="D398" ca="1">INDIRECT(ADDRESS($A398,D$4,,,$B398))</f>
        <v>0</v>
      </c>
      <c r="E398" s="43" cm="1">
        <f t="array" aca="1" ref="E398" ca="1">INDIRECT(ADDRESS($A398,E$4,,,$B398))</f>
        <v>0</v>
      </c>
      <c r="F398" s="43" cm="1">
        <f t="array" aca="1" ref="F398" ca="1">INDIRECT(ADDRESS($A398,F$4,,,$B398))</f>
        <v>0</v>
      </c>
      <c r="G398" s="43" cm="1">
        <f t="array" aca="1" ref="G398" ca="1">INDIRECT(ADDRESS($A398,G$4,,,$B398))</f>
        <v>0</v>
      </c>
      <c r="H398" s="43" cm="1">
        <f t="array" aca="1" ref="H398" ca="1">INDIRECT(ADDRESS($A398,H$4,,,$B398))</f>
        <v>0</v>
      </c>
      <c r="I398" s="43" cm="1">
        <f t="array" aca="1" ref="I398" ca="1">INDIRECT(ADDRESS($A398,I$4,,,$B398))</f>
        <v>0</v>
      </c>
      <c r="J398" s="43" cm="1">
        <f t="array" aca="1" ref="J398" ca="1">INDIRECT(ADDRESS($A398,J$4,,,$B398))</f>
        <v>0</v>
      </c>
    </row>
    <row r="399" spans="1:10">
      <c r="A399" s="39">
        <f t="shared" si="13"/>
        <v>189</v>
      </c>
      <c r="B399" s="42" t="str">
        <f t="shared" si="14"/>
        <v>W1</v>
      </c>
      <c r="C399" s="43" cm="1">
        <f t="array" aca="1" ref="C399" ca="1">INDIRECT(ADDRESS($A399,C$4,,,$B399))</f>
        <v>0</v>
      </c>
      <c r="D399" s="43" cm="1">
        <f t="array" aca="1" ref="D399" ca="1">INDIRECT(ADDRESS($A399,D$4,,,$B399))</f>
        <v>0</v>
      </c>
      <c r="E399" s="43" cm="1">
        <f t="array" aca="1" ref="E399" ca="1">INDIRECT(ADDRESS($A399,E$4,,,$B399))</f>
        <v>0</v>
      </c>
      <c r="F399" s="43" cm="1">
        <f t="array" aca="1" ref="F399" ca="1">INDIRECT(ADDRESS($A399,F$4,,,$B399))</f>
        <v>0</v>
      </c>
      <c r="G399" s="43" cm="1">
        <f t="array" aca="1" ref="G399" ca="1">INDIRECT(ADDRESS($A399,G$4,,,$B399))</f>
        <v>0</v>
      </c>
      <c r="H399" s="43" cm="1">
        <f t="array" aca="1" ref="H399" ca="1">INDIRECT(ADDRESS($A399,H$4,,,$B399))</f>
        <v>0</v>
      </c>
      <c r="I399" s="43" cm="1">
        <f t="array" aca="1" ref="I399" ca="1">INDIRECT(ADDRESS($A399,I$4,,,$B399))</f>
        <v>0</v>
      </c>
      <c r="J399" s="43" cm="1">
        <f t="array" aca="1" ref="J399" ca="1">INDIRECT(ADDRESS($A399,J$4,,,$B399))</f>
        <v>0</v>
      </c>
    </row>
    <row r="400" spans="1:10">
      <c r="A400" s="39">
        <f t="shared" si="13"/>
        <v>190</v>
      </c>
      <c r="B400" s="42" t="str">
        <f t="shared" si="14"/>
        <v>W1</v>
      </c>
      <c r="C400" s="43" cm="1">
        <f t="array" aca="1" ref="C400" ca="1">INDIRECT(ADDRESS($A400,C$4,,,$B400))</f>
        <v>0</v>
      </c>
      <c r="D400" s="43" cm="1">
        <f t="array" aca="1" ref="D400" ca="1">INDIRECT(ADDRESS($A400,D$4,,,$B400))</f>
        <v>0</v>
      </c>
      <c r="E400" s="43" cm="1">
        <f t="array" aca="1" ref="E400" ca="1">INDIRECT(ADDRESS($A400,E$4,,,$B400))</f>
        <v>0</v>
      </c>
      <c r="F400" s="43" cm="1">
        <f t="array" aca="1" ref="F400" ca="1">INDIRECT(ADDRESS($A400,F$4,,,$B400))</f>
        <v>0</v>
      </c>
      <c r="G400" s="43" cm="1">
        <f t="array" aca="1" ref="G400" ca="1">INDIRECT(ADDRESS($A400,G$4,,,$B400))</f>
        <v>0</v>
      </c>
      <c r="H400" s="43" cm="1">
        <f t="array" aca="1" ref="H400" ca="1">INDIRECT(ADDRESS($A400,H$4,,,$B400))</f>
        <v>0</v>
      </c>
      <c r="I400" s="43" cm="1">
        <f t="array" aca="1" ref="I400" ca="1">INDIRECT(ADDRESS($A400,I$4,,,$B400))</f>
        <v>0</v>
      </c>
      <c r="J400" s="43" cm="1">
        <f t="array" aca="1" ref="J400" ca="1">INDIRECT(ADDRESS($A400,J$4,,,$B400))</f>
        <v>0</v>
      </c>
    </row>
    <row r="401" spans="1:10">
      <c r="A401" s="39">
        <f t="shared" si="13"/>
        <v>191</v>
      </c>
      <c r="B401" s="42" t="str">
        <f t="shared" si="14"/>
        <v>W1</v>
      </c>
      <c r="C401" s="43" cm="1">
        <f t="array" aca="1" ref="C401" ca="1">INDIRECT(ADDRESS($A401,C$4,,,$B401))</f>
        <v>0</v>
      </c>
      <c r="D401" s="43" cm="1">
        <f t="array" aca="1" ref="D401" ca="1">INDIRECT(ADDRESS($A401,D$4,,,$B401))</f>
        <v>0</v>
      </c>
      <c r="E401" s="43" cm="1">
        <f t="array" aca="1" ref="E401" ca="1">INDIRECT(ADDRESS($A401,E$4,,,$B401))</f>
        <v>0</v>
      </c>
      <c r="F401" s="43" cm="1">
        <f t="array" aca="1" ref="F401" ca="1">INDIRECT(ADDRESS($A401,F$4,,,$B401))</f>
        <v>0</v>
      </c>
      <c r="G401" s="43" cm="1">
        <f t="array" aca="1" ref="G401" ca="1">INDIRECT(ADDRESS($A401,G$4,,,$B401))</f>
        <v>0</v>
      </c>
      <c r="H401" s="43" cm="1">
        <f t="array" aca="1" ref="H401" ca="1">INDIRECT(ADDRESS($A401,H$4,,,$B401))</f>
        <v>0</v>
      </c>
      <c r="I401" s="43" cm="1">
        <f t="array" aca="1" ref="I401" ca="1">INDIRECT(ADDRESS($A401,I$4,,,$B401))</f>
        <v>0</v>
      </c>
      <c r="J401" s="43" cm="1">
        <f t="array" aca="1" ref="J401" ca="1">INDIRECT(ADDRESS($A401,J$4,,,$B401))</f>
        <v>0</v>
      </c>
    </row>
    <row r="402" spans="1:10">
      <c r="A402" s="39">
        <f t="shared" si="13"/>
        <v>192</v>
      </c>
      <c r="B402" s="42" t="str">
        <f t="shared" si="14"/>
        <v>W1</v>
      </c>
      <c r="C402" s="43" cm="1">
        <f t="array" aca="1" ref="C402" ca="1">INDIRECT(ADDRESS($A402,C$4,,,$B402))</f>
        <v>0</v>
      </c>
      <c r="D402" s="43" cm="1">
        <f t="array" aca="1" ref="D402" ca="1">INDIRECT(ADDRESS($A402,D$4,,,$B402))</f>
        <v>0</v>
      </c>
      <c r="E402" s="43" cm="1">
        <f t="array" aca="1" ref="E402" ca="1">INDIRECT(ADDRESS($A402,E$4,,,$B402))</f>
        <v>0</v>
      </c>
      <c r="F402" s="43" cm="1">
        <f t="array" aca="1" ref="F402" ca="1">INDIRECT(ADDRESS($A402,F$4,,,$B402))</f>
        <v>0</v>
      </c>
      <c r="G402" s="43" cm="1">
        <f t="array" aca="1" ref="G402" ca="1">INDIRECT(ADDRESS($A402,G$4,,,$B402))</f>
        <v>0</v>
      </c>
      <c r="H402" s="43" cm="1">
        <f t="array" aca="1" ref="H402" ca="1">INDIRECT(ADDRESS($A402,H$4,,,$B402))</f>
        <v>0</v>
      </c>
      <c r="I402" s="43" cm="1">
        <f t="array" aca="1" ref="I402" ca="1">INDIRECT(ADDRESS($A402,I$4,,,$B402))</f>
        <v>0</v>
      </c>
      <c r="J402" s="43" cm="1">
        <f t="array" aca="1" ref="J402" ca="1">INDIRECT(ADDRESS($A402,J$4,,,$B402))</f>
        <v>0</v>
      </c>
    </row>
    <row r="403" spans="1:10">
      <c r="A403" s="39">
        <f t="shared" si="13"/>
        <v>193</v>
      </c>
      <c r="B403" s="42" t="str">
        <f t="shared" si="14"/>
        <v>W1</v>
      </c>
      <c r="C403" s="43" cm="1">
        <f t="array" aca="1" ref="C403" ca="1">INDIRECT(ADDRESS($A403,C$4,,,$B403))</f>
        <v>0</v>
      </c>
      <c r="D403" s="43" cm="1">
        <f t="array" aca="1" ref="D403" ca="1">INDIRECT(ADDRESS($A403,D$4,,,$B403))</f>
        <v>0</v>
      </c>
      <c r="E403" s="43" cm="1">
        <f t="array" aca="1" ref="E403" ca="1">INDIRECT(ADDRESS($A403,E$4,,,$B403))</f>
        <v>0</v>
      </c>
      <c r="F403" s="43" cm="1">
        <f t="array" aca="1" ref="F403" ca="1">INDIRECT(ADDRESS($A403,F$4,,,$B403))</f>
        <v>0</v>
      </c>
      <c r="G403" s="43" cm="1">
        <f t="array" aca="1" ref="G403" ca="1">INDIRECT(ADDRESS($A403,G$4,,,$B403))</f>
        <v>0</v>
      </c>
      <c r="H403" s="43" cm="1">
        <f t="array" aca="1" ref="H403" ca="1">INDIRECT(ADDRESS($A403,H$4,,,$B403))</f>
        <v>0</v>
      </c>
      <c r="I403" s="43" cm="1">
        <f t="array" aca="1" ref="I403" ca="1">INDIRECT(ADDRESS($A403,I$4,,,$B403))</f>
        <v>0</v>
      </c>
      <c r="J403" s="43" cm="1">
        <f t="array" aca="1" ref="J403" ca="1">INDIRECT(ADDRESS($A403,J$4,,,$B403))</f>
        <v>0</v>
      </c>
    </row>
    <row r="404" spans="1:10">
      <c r="A404" s="39">
        <f t="shared" si="13"/>
        <v>194</v>
      </c>
      <c r="B404" s="42" t="str">
        <f t="shared" si="14"/>
        <v>W1</v>
      </c>
      <c r="C404" s="43" cm="1">
        <f t="array" aca="1" ref="C404" ca="1">INDIRECT(ADDRESS($A404,C$4,,,$B404))</f>
        <v>0</v>
      </c>
      <c r="D404" s="43" cm="1">
        <f t="array" aca="1" ref="D404" ca="1">INDIRECT(ADDRESS($A404,D$4,,,$B404))</f>
        <v>0</v>
      </c>
      <c r="E404" s="43" cm="1">
        <f t="array" aca="1" ref="E404" ca="1">INDIRECT(ADDRESS($A404,E$4,,,$B404))</f>
        <v>0</v>
      </c>
      <c r="F404" s="43" cm="1">
        <f t="array" aca="1" ref="F404" ca="1">INDIRECT(ADDRESS($A404,F$4,,,$B404))</f>
        <v>0</v>
      </c>
      <c r="G404" s="43" cm="1">
        <f t="array" aca="1" ref="G404" ca="1">INDIRECT(ADDRESS($A404,G$4,,,$B404))</f>
        <v>0</v>
      </c>
      <c r="H404" s="43" cm="1">
        <f t="array" aca="1" ref="H404" ca="1">INDIRECT(ADDRESS($A404,H$4,,,$B404))</f>
        <v>0</v>
      </c>
      <c r="I404" s="43" cm="1">
        <f t="array" aca="1" ref="I404" ca="1">INDIRECT(ADDRESS($A404,I$4,,,$B404))</f>
        <v>0</v>
      </c>
      <c r="J404" s="43" cm="1">
        <f t="array" aca="1" ref="J404" ca="1">INDIRECT(ADDRESS($A404,J$4,,,$B404))</f>
        <v>0</v>
      </c>
    </row>
    <row r="405" spans="1:10">
      <c r="A405" s="39">
        <f t="shared" si="13"/>
        <v>195</v>
      </c>
      <c r="B405" s="42" t="str">
        <f t="shared" si="14"/>
        <v>W1</v>
      </c>
      <c r="C405" s="43" cm="1">
        <f t="array" aca="1" ref="C405" ca="1">INDIRECT(ADDRESS($A405,C$4,,,$B405))</f>
        <v>0</v>
      </c>
      <c r="D405" s="43" cm="1">
        <f t="array" aca="1" ref="D405" ca="1">INDIRECT(ADDRESS($A405,D$4,,,$B405))</f>
        <v>0</v>
      </c>
      <c r="E405" s="43" cm="1">
        <f t="array" aca="1" ref="E405" ca="1">INDIRECT(ADDRESS($A405,E$4,,,$B405))</f>
        <v>0</v>
      </c>
      <c r="F405" s="43" cm="1">
        <f t="array" aca="1" ref="F405" ca="1">INDIRECT(ADDRESS($A405,F$4,,,$B405))</f>
        <v>0</v>
      </c>
      <c r="G405" s="43" cm="1">
        <f t="array" aca="1" ref="G405" ca="1">INDIRECT(ADDRESS($A405,G$4,,,$B405))</f>
        <v>0</v>
      </c>
      <c r="H405" s="43" cm="1">
        <f t="array" aca="1" ref="H405" ca="1">INDIRECT(ADDRESS($A405,H$4,,,$B405))</f>
        <v>0</v>
      </c>
      <c r="I405" s="43" cm="1">
        <f t="array" aca="1" ref="I405" ca="1">INDIRECT(ADDRESS($A405,I$4,,,$B405))</f>
        <v>0</v>
      </c>
      <c r="J405" s="43" cm="1">
        <f t="array" aca="1" ref="J405" ca="1">INDIRECT(ADDRESS($A405,J$4,,,$B405))</f>
        <v>0</v>
      </c>
    </row>
    <row r="406" spans="1:10">
      <c r="A406" s="39">
        <f t="shared" si="13"/>
        <v>196</v>
      </c>
      <c r="B406" s="42" t="str">
        <f t="shared" si="14"/>
        <v>W1</v>
      </c>
      <c r="C406" s="43" cm="1">
        <f t="array" aca="1" ref="C406" ca="1">INDIRECT(ADDRESS($A406,C$4,,,$B406))</f>
        <v>0</v>
      </c>
      <c r="D406" s="43" cm="1">
        <f t="array" aca="1" ref="D406" ca="1">INDIRECT(ADDRESS($A406,D$4,,,$B406))</f>
        <v>0</v>
      </c>
      <c r="E406" s="43" cm="1">
        <f t="array" aca="1" ref="E406" ca="1">INDIRECT(ADDRESS($A406,E$4,,,$B406))</f>
        <v>0</v>
      </c>
      <c r="F406" s="43" cm="1">
        <f t="array" aca="1" ref="F406" ca="1">INDIRECT(ADDRESS($A406,F$4,,,$B406))</f>
        <v>0</v>
      </c>
      <c r="G406" s="43" cm="1">
        <f t="array" aca="1" ref="G406" ca="1">INDIRECT(ADDRESS($A406,G$4,,,$B406))</f>
        <v>0</v>
      </c>
      <c r="H406" s="43" cm="1">
        <f t="array" aca="1" ref="H406" ca="1">INDIRECT(ADDRESS($A406,H$4,,,$B406))</f>
        <v>0</v>
      </c>
      <c r="I406" s="43" cm="1">
        <f t="array" aca="1" ref="I406" ca="1">INDIRECT(ADDRESS($A406,I$4,,,$B406))</f>
        <v>0</v>
      </c>
      <c r="J406" s="43" cm="1">
        <f t="array" aca="1" ref="J406" ca="1">INDIRECT(ADDRESS($A406,J$4,,,$B406))</f>
        <v>0</v>
      </c>
    </row>
    <row r="407" spans="1:10">
      <c r="A407" s="39">
        <f t="shared" si="13"/>
        <v>197</v>
      </c>
      <c r="B407" s="42" t="str">
        <f t="shared" si="14"/>
        <v>W1</v>
      </c>
      <c r="C407" s="43" cm="1">
        <f t="array" aca="1" ref="C407" ca="1">INDIRECT(ADDRESS($A407,C$4,,,$B407))</f>
        <v>0</v>
      </c>
      <c r="D407" s="43" cm="1">
        <f t="array" aca="1" ref="D407" ca="1">INDIRECT(ADDRESS($A407,D$4,,,$B407))</f>
        <v>0</v>
      </c>
      <c r="E407" s="43" cm="1">
        <f t="array" aca="1" ref="E407" ca="1">INDIRECT(ADDRESS($A407,E$4,,,$B407))</f>
        <v>0</v>
      </c>
      <c r="F407" s="43" cm="1">
        <f t="array" aca="1" ref="F407" ca="1">INDIRECT(ADDRESS($A407,F$4,,,$B407))</f>
        <v>0</v>
      </c>
      <c r="G407" s="43" cm="1">
        <f t="array" aca="1" ref="G407" ca="1">INDIRECT(ADDRESS($A407,G$4,,,$B407))</f>
        <v>0</v>
      </c>
      <c r="H407" s="43" cm="1">
        <f t="array" aca="1" ref="H407" ca="1">INDIRECT(ADDRESS($A407,H$4,,,$B407))</f>
        <v>0</v>
      </c>
      <c r="I407" s="43" cm="1">
        <f t="array" aca="1" ref="I407" ca="1">INDIRECT(ADDRESS($A407,I$4,,,$B407))</f>
        <v>0</v>
      </c>
      <c r="J407" s="43" cm="1">
        <f t="array" aca="1" ref="J407" ca="1">INDIRECT(ADDRESS($A407,J$4,,,$B407))</f>
        <v>0</v>
      </c>
    </row>
    <row r="408" spans="1:10">
      <c r="A408" s="39">
        <f t="shared" si="13"/>
        <v>198</v>
      </c>
      <c r="B408" s="42" t="str">
        <f t="shared" si="14"/>
        <v>W1</v>
      </c>
      <c r="C408" s="43" cm="1">
        <f t="array" aca="1" ref="C408" ca="1">INDIRECT(ADDRESS($A408,C$4,,,$B408))</f>
        <v>0</v>
      </c>
      <c r="D408" s="43" cm="1">
        <f t="array" aca="1" ref="D408" ca="1">INDIRECT(ADDRESS($A408,D$4,,,$B408))</f>
        <v>0</v>
      </c>
      <c r="E408" s="43" cm="1">
        <f t="array" aca="1" ref="E408" ca="1">INDIRECT(ADDRESS($A408,E$4,,,$B408))</f>
        <v>0</v>
      </c>
      <c r="F408" s="43" cm="1">
        <f t="array" aca="1" ref="F408" ca="1">INDIRECT(ADDRESS($A408,F$4,,,$B408))</f>
        <v>0</v>
      </c>
      <c r="G408" s="43" cm="1">
        <f t="array" aca="1" ref="G408" ca="1">INDIRECT(ADDRESS($A408,G$4,,,$B408))</f>
        <v>0</v>
      </c>
      <c r="H408" s="43" cm="1">
        <f t="array" aca="1" ref="H408" ca="1">INDIRECT(ADDRESS($A408,H$4,,,$B408))</f>
        <v>0</v>
      </c>
      <c r="I408" s="43" cm="1">
        <f t="array" aca="1" ref="I408" ca="1">INDIRECT(ADDRESS($A408,I$4,,,$B408))</f>
        <v>0</v>
      </c>
      <c r="J408" s="43" cm="1">
        <f t="array" aca="1" ref="J408" ca="1">INDIRECT(ADDRESS($A408,J$4,,,$B408))</f>
        <v>0</v>
      </c>
    </row>
    <row r="409" spans="1:10">
      <c r="A409" s="39">
        <f t="shared" si="13"/>
        <v>199</v>
      </c>
      <c r="B409" s="42" t="str">
        <f t="shared" si="14"/>
        <v>W1</v>
      </c>
      <c r="C409" s="43" cm="1">
        <f t="array" aca="1" ref="C409" ca="1">INDIRECT(ADDRESS($A409,C$4,,,$B409))</f>
        <v>0</v>
      </c>
      <c r="D409" s="43" cm="1">
        <f t="array" aca="1" ref="D409" ca="1">INDIRECT(ADDRESS($A409,D$4,,,$B409))</f>
        <v>0</v>
      </c>
      <c r="E409" s="43" cm="1">
        <f t="array" aca="1" ref="E409" ca="1">INDIRECT(ADDRESS($A409,E$4,,,$B409))</f>
        <v>0</v>
      </c>
      <c r="F409" s="43" cm="1">
        <f t="array" aca="1" ref="F409" ca="1">INDIRECT(ADDRESS($A409,F$4,,,$B409))</f>
        <v>0</v>
      </c>
      <c r="G409" s="43" cm="1">
        <f t="array" aca="1" ref="G409" ca="1">INDIRECT(ADDRESS($A409,G$4,,,$B409))</f>
        <v>0</v>
      </c>
      <c r="H409" s="43" cm="1">
        <f t="array" aca="1" ref="H409" ca="1">INDIRECT(ADDRESS($A409,H$4,,,$B409))</f>
        <v>0</v>
      </c>
      <c r="I409" s="43" cm="1">
        <f t="array" aca="1" ref="I409" ca="1">INDIRECT(ADDRESS($A409,I$4,,,$B409))</f>
        <v>0</v>
      </c>
      <c r="J409" s="43" cm="1">
        <f t="array" aca="1" ref="J409" ca="1">INDIRECT(ADDRESS($A409,J$4,,,$B409))</f>
        <v>0</v>
      </c>
    </row>
    <row r="410" spans="1:10">
      <c r="A410" s="39">
        <f t="shared" si="13"/>
        <v>200</v>
      </c>
      <c r="B410" s="42" t="str">
        <f t="shared" si="14"/>
        <v>W1</v>
      </c>
      <c r="C410" s="43" cm="1">
        <f t="array" aca="1" ref="C410" ca="1">INDIRECT(ADDRESS($A410,C$4,,,$B410))</f>
        <v>0</v>
      </c>
      <c r="D410" s="43" cm="1">
        <f t="array" aca="1" ref="D410" ca="1">INDIRECT(ADDRESS($A410,D$4,,,$B410))</f>
        <v>0</v>
      </c>
      <c r="E410" s="43" cm="1">
        <f t="array" aca="1" ref="E410" ca="1">INDIRECT(ADDRESS($A410,E$4,,,$B410))</f>
        <v>0</v>
      </c>
      <c r="F410" s="43" cm="1">
        <f t="array" aca="1" ref="F410" ca="1">INDIRECT(ADDRESS($A410,F$4,,,$B410))</f>
        <v>0</v>
      </c>
      <c r="G410" s="43" cm="1">
        <f t="array" aca="1" ref="G410" ca="1">INDIRECT(ADDRESS($A410,G$4,,,$B410))</f>
        <v>0</v>
      </c>
      <c r="H410" s="43" cm="1">
        <f t="array" aca="1" ref="H410" ca="1">INDIRECT(ADDRESS($A410,H$4,,,$B410))</f>
        <v>0</v>
      </c>
      <c r="I410" s="43" cm="1">
        <f t="array" aca="1" ref="I410" ca="1">INDIRECT(ADDRESS($A410,I$4,,,$B410))</f>
        <v>0</v>
      </c>
      <c r="J410" s="43" cm="1">
        <f t="array" aca="1" ref="J410" ca="1">INDIRECT(ADDRESS($A410,J$4,,,$B410))</f>
        <v>0</v>
      </c>
    </row>
    <row r="411" spans="1:10">
      <c r="A411" s="39">
        <f t="shared" si="13"/>
        <v>201</v>
      </c>
      <c r="B411" s="42" t="str">
        <f t="shared" si="14"/>
        <v>W1</v>
      </c>
      <c r="C411" s="43" cm="1">
        <f t="array" aca="1" ref="C411" ca="1">INDIRECT(ADDRESS($A411,C$4,,,$B411))</f>
        <v>0</v>
      </c>
      <c r="D411" s="43" cm="1">
        <f t="array" aca="1" ref="D411" ca="1">INDIRECT(ADDRESS($A411,D$4,,,$B411))</f>
        <v>0</v>
      </c>
      <c r="E411" s="43" cm="1">
        <f t="array" aca="1" ref="E411" ca="1">INDIRECT(ADDRESS($A411,E$4,,,$B411))</f>
        <v>0</v>
      </c>
      <c r="F411" s="43" cm="1">
        <f t="array" aca="1" ref="F411" ca="1">INDIRECT(ADDRESS($A411,F$4,,,$B411))</f>
        <v>0</v>
      </c>
      <c r="G411" s="43" cm="1">
        <f t="array" aca="1" ref="G411" ca="1">INDIRECT(ADDRESS($A411,G$4,,,$B411))</f>
        <v>0</v>
      </c>
      <c r="H411" s="43" cm="1">
        <f t="array" aca="1" ref="H411" ca="1">INDIRECT(ADDRESS($A411,H$4,,,$B411))</f>
        <v>0</v>
      </c>
      <c r="I411" s="43" cm="1">
        <f t="array" aca="1" ref="I411" ca="1">INDIRECT(ADDRESS($A411,I$4,,,$B411))</f>
        <v>0</v>
      </c>
      <c r="J411" s="43" cm="1">
        <f t="array" aca="1" ref="J411" ca="1">INDIRECT(ADDRESS($A411,J$4,,,$B411))</f>
        <v>0</v>
      </c>
    </row>
    <row r="412" spans="1:10">
      <c r="A412" s="39">
        <f t="shared" si="13"/>
        <v>202</v>
      </c>
      <c r="B412" s="42" t="str">
        <f t="shared" si="14"/>
        <v>W1</v>
      </c>
      <c r="C412" s="43" cm="1">
        <f t="array" aca="1" ref="C412" ca="1">INDIRECT(ADDRESS($A412,C$4,,,$B412))</f>
        <v>0</v>
      </c>
      <c r="D412" s="43" cm="1">
        <f t="array" aca="1" ref="D412" ca="1">INDIRECT(ADDRESS($A412,D$4,,,$B412))</f>
        <v>0</v>
      </c>
      <c r="E412" s="43" cm="1">
        <f t="array" aca="1" ref="E412" ca="1">INDIRECT(ADDRESS($A412,E$4,,,$B412))</f>
        <v>0</v>
      </c>
      <c r="F412" s="43" cm="1">
        <f t="array" aca="1" ref="F412" ca="1">INDIRECT(ADDRESS($A412,F$4,,,$B412))</f>
        <v>0</v>
      </c>
      <c r="G412" s="43" cm="1">
        <f t="array" aca="1" ref="G412" ca="1">INDIRECT(ADDRESS($A412,G$4,,,$B412))</f>
        <v>0</v>
      </c>
      <c r="H412" s="43" cm="1">
        <f t="array" aca="1" ref="H412" ca="1">INDIRECT(ADDRESS($A412,H$4,,,$B412))</f>
        <v>0</v>
      </c>
      <c r="I412" s="43" cm="1">
        <f t="array" aca="1" ref="I412" ca="1">INDIRECT(ADDRESS($A412,I$4,,,$B412))</f>
        <v>0</v>
      </c>
      <c r="J412" s="43" cm="1">
        <f t="array" aca="1" ref="J412" ca="1">INDIRECT(ADDRESS($A412,J$4,,,$B412))</f>
        <v>0</v>
      </c>
    </row>
    <row r="413" spans="1:10">
      <c r="A413" s="39">
        <f t="shared" si="13"/>
        <v>203</v>
      </c>
      <c r="B413" s="42" t="str">
        <f t="shared" si="14"/>
        <v>W1</v>
      </c>
      <c r="C413" s="43" cm="1">
        <f t="array" aca="1" ref="C413" ca="1">INDIRECT(ADDRESS($A413,C$4,,,$B413))</f>
        <v>0</v>
      </c>
      <c r="D413" s="43" cm="1">
        <f t="array" aca="1" ref="D413" ca="1">INDIRECT(ADDRESS($A413,D$4,,,$B413))</f>
        <v>0</v>
      </c>
      <c r="E413" s="43" cm="1">
        <f t="array" aca="1" ref="E413" ca="1">INDIRECT(ADDRESS($A413,E$4,,,$B413))</f>
        <v>0</v>
      </c>
      <c r="F413" s="43" cm="1">
        <f t="array" aca="1" ref="F413" ca="1">INDIRECT(ADDRESS($A413,F$4,,,$B413))</f>
        <v>0</v>
      </c>
      <c r="G413" s="43" cm="1">
        <f t="array" aca="1" ref="G413" ca="1">INDIRECT(ADDRESS($A413,G$4,,,$B413))</f>
        <v>0</v>
      </c>
      <c r="H413" s="43" cm="1">
        <f t="array" aca="1" ref="H413" ca="1">INDIRECT(ADDRESS($A413,H$4,,,$B413))</f>
        <v>0</v>
      </c>
      <c r="I413" s="43" cm="1">
        <f t="array" aca="1" ref="I413" ca="1">INDIRECT(ADDRESS($A413,I$4,,,$B413))</f>
        <v>0</v>
      </c>
      <c r="J413" s="43" cm="1">
        <f t="array" aca="1" ref="J413" ca="1">INDIRECT(ADDRESS($A413,J$4,,,$B413))</f>
        <v>0</v>
      </c>
    </row>
    <row r="414" spans="1:10">
      <c r="A414" s="39">
        <f t="shared" si="13"/>
        <v>204</v>
      </c>
      <c r="B414" s="42" t="str">
        <f t="shared" si="14"/>
        <v>W1</v>
      </c>
      <c r="C414" s="43" cm="1">
        <f t="array" aca="1" ref="C414" ca="1">INDIRECT(ADDRESS($A414,C$4,,,$B414))</f>
        <v>0</v>
      </c>
      <c r="D414" s="43" cm="1">
        <f t="array" aca="1" ref="D414" ca="1">INDIRECT(ADDRESS($A414,D$4,,,$B414))</f>
        <v>0</v>
      </c>
      <c r="E414" s="43" cm="1">
        <f t="array" aca="1" ref="E414" ca="1">INDIRECT(ADDRESS($A414,E$4,,,$B414))</f>
        <v>0</v>
      </c>
      <c r="F414" s="43" cm="1">
        <f t="array" aca="1" ref="F414" ca="1">INDIRECT(ADDRESS($A414,F$4,,,$B414))</f>
        <v>0</v>
      </c>
      <c r="G414" s="43" cm="1">
        <f t="array" aca="1" ref="G414" ca="1">INDIRECT(ADDRESS($A414,G$4,,,$B414))</f>
        <v>0</v>
      </c>
      <c r="H414" s="43" cm="1">
        <f t="array" aca="1" ref="H414" ca="1">INDIRECT(ADDRESS($A414,H$4,,,$B414))</f>
        <v>0</v>
      </c>
      <c r="I414" s="43" cm="1">
        <f t="array" aca="1" ref="I414" ca="1">INDIRECT(ADDRESS($A414,I$4,,,$B414))</f>
        <v>0</v>
      </c>
      <c r="J414" s="43" cm="1">
        <f t="array" aca="1" ref="J414" ca="1">INDIRECT(ADDRESS($A414,J$4,,,$B414))</f>
        <v>0</v>
      </c>
    </row>
    <row r="415" spans="1:10">
      <c r="A415" s="39">
        <f t="shared" si="13"/>
        <v>205</v>
      </c>
      <c r="B415" s="42" t="str">
        <f t="shared" si="14"/>
        <v>W1</v>
      </c>
      <c r="C415" s="43" cm="1">
        <f t="array" aca="1" ref="C415" ca="1">INDIRECT(ADDRESS($A415,C$4,,,$B415))</f>
        <v>0</v>
      </c>
      <c r="D415" s="43" cm="1">
        <f t="array" aca="1" ref="D415" ca="1">INDIRECT(ADDRESS($A415,D$4,,,$B415))</f>
        <v>0</v>
      </c>
      <c r="E415" s="43" cm="1">
        <f t="array" aca="1" ref="E415" ca="1">INDIRECT(ADDRESS($A415,E$4,,,$B415))</f>
        <v>0</v>
      </c>
      <c r="F415" s="43" cm="1">
        <f t="array" aca="1" ref="F415" ca="1">INDIRECT(ADDRESS($A415,F$4,,,$B415))</f>
        <v>0</v>
      </c>
      <c r="G415" s="43" cm="1">
        <f t="array" aca="1" ref="G415" ca="1">INDIRECT(ADDRESS($A415,G$4,,,$B415))</f>
        <v>0</v>
      </c>
      <c r="H415" s="43" cm="1">
        <f t="array" aca="1" ref="H415" ca="1">INDIRECT(ADDRESS($A415,H$4,,,$B415))</f>
        <v>0</v>
      </c>
      <c r="I415" s="43" cm="1">
        <f t="array" aca="1" ref="I415" ca="1">INDIRECT(ADDRESS($A415,I$4,,,$B415))</f>
        <v>0</v>
      </c>
      <c r="J415" s="43" cm="1">
        <f t="array" aca="1" ref="J415" ca="1">INDIRECT(ADDRESS($A415,J$4,,,$B415))</f>
        <v>0</v>
      </c>
    </row>
    <row r="416" spans="1:10">
      <c r="A416" s="39">
        <f t="shared" si="13"/>
        <v>206</v>
      </c>
      <c r="B416" s="42" t="str">
        <f t="shared" si="14"/>
        <v>W1</v>
      </c>
      <c r="C416" s="43" cm="1">
        <f t="array" aca="1" ref="C416" ca="1">INDIRECT(ADDRESS($A416,C$4,,,$B416))</f>
        <v>0</v>
      </c>
      <c r="D416" s="43" cm="1">
        <f t="array" aca="1" ref="D416" ca="1">INDIRECT(ADDRESS($A416,D$4,,,$B416))</f>
        <v>0</v>
      </c>
      <c r="E416" s="43" cm="1">
        <f t="array" aca="1" ref="E416" ca="1">INDIRECT(ADDRESS($A416,E$4,,,$B416))</f>
        <v>0</v>
      </c>
      <c r="F416" s="43" cm="1">
        <f t="array" aca="1" ref="F416" ca="1">INDIRECT(ADDRESS($A416,F$4,,,$B416))</f>
        <v>0</v>
      </c>
      <c r="G416" s="43" cm="1">
        <f t="array" aca="1" ref="G416" ca="1">INDIRECT(ADDRESS($A416,G$4,,,$B416))</f>
        <v>0</v>
      </c>
      <c r="H416" s="43" cm="1">
        <f t="array" aca="1" ref="H416" ca="1">INDIRECT(ADDRESS($A416,H$4,,,$B416))</f>
        <v>0</v>
      </c>
      <c r="I416" s="43" cm="1">
        <f t="array" aca="1" ref="I416" ca="1">INDIRECT(ADDRESS($A416,I$4,,,$B416))</f>
        <v>0</v>
      </c>
      <c r="J416" s="43" cm="1">
        <f t="array" aca="1" ref="J416" ca="1">INDIRECT(ADDRESS($A416,J$4,,,$B416))</f>
        <v>0</v>
      </c>
    </row>
    <row r="417" spans="1:10">
      <c r="A417" s="39">
        <f t="shared" si="13"/>
        <v>207</v>
      </c>
      <c r="B417" s="42" t="str">
        <f t="shared" si="14"/>
        <v>W1</v>
      </c>
      <c r="C417" s="43" cm="1">
        <f t="array" aca="1" ref="C417" ca="1">INDIRECT(ADDRESS($A417,C$4,,,$B417))</f>
        <v>0</v>
      </c>
      <c r="D417" s="43" cm="1">
        <f t="array" aca="1" ref="D417" ca="1">INDIRECT(ADDRESS($A417,D$4,,,$B417))</f>
        <v>0</v>
      </c>
      <c r="E417" s="43" cm="1">
        <f t="array" aca="1" ref="E417" ca="1">INDIRECT(ADDRESS($A417,E$4,,,$B417))</f>
        <v>0</v>
      </c>
      <c r="F417" s="43" cm="1">
        <f t="array" aca="1" ref="F417" ca="1">INDIRECT(ADDRESS($A417,F$4,,,$B417))</f>
        <v>0</v>
      </c>
      <c r="G417" s="43" cm="1">
        <f t="array" aca="1" ref="G417" ca="1">INDIRECT(ADDRESS($A417,G$4,,,$B417))</f>
        <v>0</v>
      </c>
      <c r="H417" s="43" cm="1">
        <f t="array" aca="1" ref="H417" ca="1">INDIRECT(ADDRESS($A417,H$4,,,$B417))</f>
        <v>0</v>
      </c>
      <c r="I417" s="43" cm="1">
        <f t="array" aca="1" ref="I417" ca="1">INDIRECT(ADDRESS($A417,I$4,,,$B417))</f>
        <v>0</v>
      </c>
      <c r="J417" s="43" cm="1">
        <f t="array" aca="1" ref="J417" ca="1">INDIRECT(ADDRESS($A417,J$4,,,$B417))</f>
        <v>0</v>
      </c>
    </row>
    <row r="418" spans="1:10">
      <c r="A418" s="39">
        <f t="shared" si="13"/>
        <v>208</v>
      </c>
      <c r="B418" s="42" t="str">
        <f t="shared" si="14"/>
        <v>W1</v>
      </c>
      <c r="C418" s="43" cm="1">
        <f t="array" aca="1" ref="C418" ca="1">INDIRECT(ADDRESS($A418,C$4,,,$B418))</f>
        <v>0</v>
      </c>
      <c r="D418" s="43" cm="1">
        <f t="array" aca="1" ref="D418" ca="1">INDIRECT(ADDRESS($A418,D$4,,,$B418))</f>
        <v>0</v>
      </c>
      <c r="E418" s="43" cm="1">
        <f t="array" aca="1" ref="E418" ca="1">INDIRECT(ADDRESS($A418,E$4,,,$B418))</f>
        <v>0</v>
      </c>
      <c r="F418" s="43" cm="1">
        <f t="array" aca="1" ref="F418" ca="1">INDIRECT(ADDRESS($A418,F$4,,,$B418))</f>
        <v>0</v>
      </c>
      <c r="G418" s="43" cm="1">
        <f t="array" aca="1" ref="G418" ca="1">INDIRECT(ADDRESS($A418,G$4,,,$B418))</f>
        <v>0</v>
      </c>
      <c r="H418" s="43" cm="1">
        <f t="array" aca="1" ref="H418" ca="1">INDIRECT(ADDRESS($A418,H$4,,,$B418))</f>
        <v>0</v>
      </c>
      <c r="I418" s="43" cm="1">
        <f t="array" aca="1" ref="I418" ca="1">INDIRECT(ADDRESS($A418,I$4,,,$B418))</f>
        <v>0</v>
      </c>
      <c r="J418" s="43" cm="1">
        <f t="array" aca="1" ref="J418" ca="1">INDIRECT(ADDRESS($A418,J$4,,,$B418))</f>
        <v>0</v>
      </c>
    </row>
    <row r="419" spans="1:10">
      <c r="A419" s="39">
        <f t="shared" si="13"/>
        <v>209</v>
      </c>
      <c r="B419" s="42" t="str">
        <f t="shared" si="14"/>
        <v>W1</v>
      </c>
      <c r="C419" s="43" cm="1">
        <f t="array" aca="1" ref="C419" ca="1">INDIRECT(ADDRESS($A419,C$4,,,$B419))</f>
        <v>0</v>
      </c>
      <c r="D419" s="43" cm="1">
        <f t="array" aca="1" ref="D419" ca="1">INDIRECT(ADDRESS($A419,D$4,,,$B419))</f>
        <v>0</v>
      </c>
      <c r="E419" s="43" cm="1">
        <f t="array" aca="1" ref="E419" ca="1">INDIRECT(ADDRESS($A419,E$4,,,$B419))</f>
        <v>0</v>
      </c>
      <c r="F419" s="43" cm="1">
        <f t="array" aca="1" ref="F419" ca="1">INDIRECT(ADDRESS($A419,F$4,,,$B419))</f>
        <v>0</v>
      </c>
      <c r="G419" s="43" cm="1">
        <f t="array" aca="1" ref="G419" ca="1">INDIRECT(ADDRESS($A419,G$4,,,$B419))</f>
        <v>0</v>
      </c>
      <c r="H419" s="43" cm="1">
        <f t="array" aca="1" ref="H419" ca="1">INDIRECT(ADDRESS($A419,H$4,,,$B419))</f>
        <v>0</v>
      </c>
      <c r="I419" s="43" cm="1">
        <f t="array" aca="1" ref="I419" ca="1">INDIRECT(ADDRESS($A419,I$4,,,$B419))</f>
        <v>0</v>
      </c>
      <c r="J419" s="43" cm="1">
        <f t="array" aca="1" ref="J419" ca="1">INDIRECT(ADDRESS($A419,J$4,,,$B419))</f>
        <v>0</v>
      </c>
    </row>
    <row r="420" spans="1:10">
      <c r="A420" s="39">
        <f t="shared" si="13"/>
        <v>210</v>
      </c>
      <c r="B420" s="42" t="str">
        <f t="shared" si="14"/>
        <v>W1</v>
      </c>
      <c r="C420" s="43" cm="1">
        <f t="array" aca="1" ref="C420" ca="1">INDIRECT(ADDRESS($A420,C$4,,,$B420))</f>
        <v>0</v>
      </c>
      <c r="D420" s="43" cm="1">
        <f t="array" aca="1" ref="D420" ca="1">INDIRECT(ADDRESS($A420,D$4,,,$B420))</f>
        <v>0</v>
      </c>
      <c r="E420" s="43" cm="1">
        <f t="array" aca="1" ref="E420" ca="1">INDIRECT(ADDRESS($A420,E$4,,,$B420))</f>
        <v>0</v>
      </c>
      <c r="F420" s="43" cm="1">
        <f t="array" aca="1" ref="F420" ca="1">INDIRECT(ADDRESS($A420,F$4,,,$B420))</f>
        <v>0</v>
      </c>
      <c r="G420" s="43" cm="1">
        <f t="array" aca="1" ref="G420" ca="1">INDIRECT(ADDRESS($A420,G$4,,,$B420))</f>
        <v>0</v>
      </c>
      <c r="H420" s="43" cm="1">
        <f t="array" aca="1" ref="H420" ca="1">INDIRECT(ADDRESS($A420,H$4,,,$B420))</f>
        <v>0</v>
      </c>
      <c r="I420" s="43" cm="1">
        <f t="array" aca="1" ref="I420" ca="1">INDIRECT(ADDRESS($A420,I$4,,,$B420))</f>
        <v>0</v>
      </c>
      <c r="J420" s="43" cm="1">
        <f t="array" aca="1" ref="J420" ca="1">INDIRECT(ADDRESS($A420,J$4,,,$B420))</f>
        <v>0</v>
      </c>
    </row>
    <row r="421" spans="1:10">
      <c r="A421" s="39">
        <f t="shared" si="13"/>
        <v>211</v>
      </c>
      <c r="B421" s="42" t="str">
        <f t="shared" si="14"/>
        <v>W1</v>
      </c>
      <c r="C421" s="43" cm="1">
        <f t="array" aca="1" ref="C421" ca="1">INDIRECT(ADDRESS($A421,C$4,,,$B421))</f>
        <v>0</v>
      </c>
      <c r="D421" s="43" cm="1">
        <f t="array" aca="1" ref="D421" ca="1">INDIRECT(ADDRESS($A421,D$4,,,$B421))</f>
        <v>0</v>
      </c>
      <c r="E421" s="43" cm="1">
        <f t="array" aca="1" ref="E421" ca="1">INDIRECT(ADDRESS($A421,E$4,,,$B421))</f>
        <v>0</v>
      </c>
      <c r="F421" s="43" cm="1">
        <f t="array" aca="1" ref="F421" ca="1">INDIRECT(ADDRESS($A421,F$4,,,$B421))</f>
        <v>0</v>
      </c>
      <c r="G421" s="43" cm="1">
        <f t="array" aca="1" ref="G421" ca="1">INDIRECT(ADDRESS($A421,G$4,,,$B421))</f>
        <v>0</v>
      </c>
      <c r="H421" s="43" cm="1">
        <f t="array" aca="1" ref="H421" ca="1">INDIRECT(ADDRESS($A421,H$4,,,$B421))</f>
        <v>0</v>
      </c>
      <c r="I421" s="43" cm="1">
        <f t="array" aca="1" ref="I421" ca="1">INDIRECT(ADDRESS($A421,I$4,,,$B421))</f>
        <v>0</v>
      </c>
      <c r="J421" s="43" cm="1">
        <f t="array" aca="1" ref="J421" ca="1">INDIRECT(ADDRESS($A421,J$4,,,$B421))</f>
        <v>0</v>
      </c>
    </row>
    <row r="422" spans="1:10">
      <c r="A422" s="39">
        <f t="shared" si="13"/>
        <v>212</v>
      </c>
      <c r="B422" s="42" t="str">
        <f t="shared" si="14"/>
        <v>W1</v>
      </c>
      <c r="C422" s="43" cm="1">
        <f t="array" aca="1" ref="C422" ca="1">INDIRECT(ADDRESS($A422,C$4,,,$B422))</f>
        <v>0</v>
      </c>
      <c r="D422" s="43" cm="1">
        <f t="array" aca="1" ref="D422" ca="1">INDIRECT(ADDRESS($A422,D$4,,,$B422))</f>
        <v>0</v>
      </c>
      <c r="E422" s="43" cm="1">
        <f t="array" aca="1" ref="E422" ca="1">INDIRECT(ADDRESS($A422,E$4,,,$B422))</f>
        <v>0</v>
      </c>
      <c r="F422" s="43" cm="1">
        <f t="array" aca="1" ref="F422" ca="1">INDIRECT(ADDRESS($A422,F$4,,,$B422))</f>
        <v>0</v>
      </c>
      <c r="G422" s="43" cm="1">
        <f t="array" aca="1" ref="G422" ca="1">INDIRECT(ADDRESS($A422,G$4,,,$B422))</f>
        <v>0</v>
      </c>
      <c r="H422" s="43" cm="1">
        <f t="array" aca="1" ref="H422" ca="1">INDIRECT(ADDRESS($A422,H$4,,,$B422))</f>
        <v>0</v>
      </c>
      <c r="I422" s="43" cm="1">
        <f t="array" aca="1" ref="I422" ca="1">INDIRECT(ADDRESS($A422,I$4,,,$B422))</f>
        <v>0</v>
      </c>
      <c r="J422" s="43" cm="1">
        <f t="array" aca="1" ref="J422" ca="1">INDIRECT(ADDRESS($A422,J$4,,,$B422))</f>
        <v>0</v>
      </c>
    </row>
    <row r="423" spans="1:10">
      <c r="A423" s="39">
        <f t="shared" si="13"/>
        <v>213</v>
      </c>
      <c r="B423" s="42" t="str">
        <f t="shared" si="14"/>
        <v>W1</v>
      </c>
      <c r="C423" s="43" cm="1">
        <f t="array" aca="1" ref="C423" ca="1">INDIRECT(ADDRESS($A423,C$4,,,$B423))</f>
        <v>0</v>
      </c>
      <c r="D423" s="43" cm="1">
        <f t="array" aca="1" ref="D423" ca="1">INDIRECT(ADDRESS($A423,D$4,,,$B423))</f>
        <v>0</v>
      </c>
      <c r="E423" s="43" cm="1">
        <f t="array" aca="1" ref="E423" ca="1">INDIRECT(ADDRESS($A423,E$4,,,$B423))</f>
        <v>0</v>
      </c>
      <c r="F423" s="43" cm="1">
        <f t="array" aca="1" ref="F423" ca="1">INDIRECT(ADDRESS($A423,F$4,,,$B423))</f>
        <v>0</v>
      </c>
      <c r="G423" s="43" cm="1">
        <f t="array" aca="1" ref="G423" ca="1">INDIRECT(ADDRESS($A423,G$4,,,$B423))</f>
        <v>0</v>
      </c>
      <c r="H423" s="43" cm="1">
        <f t="array" aca="1" ref="H423" ca="1">INDIRECT(ADDRESS($A423,H$4,,,$B423))</f>
        <v>0</v>
      </c>
      <c r="I423" s="43" cm="1">
        <f t="array" aca="1" ref="I423" ca="1">INDIRECT(ADDRESS($A423,I$4,,,$B423))</f>
        <v>0</v>
      </c>
      <c r="J423" s="43" cm="1">
        <f t="array" aca="1" ref="J423" ca="1">INDIRECT(ADDRESS($A423,J$4,,,$B423))</f>
        <v>0</v>
      </c>
    </row>
    <row r="424" spans="1:10">
      <c r="A424" s="39">
        <f t="shared" si="13"/>
        <v>214</v>
      </c>
      <c r="B424" s="42" t="str">
        <f t="shared" si="14"/>
        <v>W1</v>
      </c>
      <c r="C424" s="43" cm="1">
        <f t="array" aca="1" ref="C424" ca="1">INDIRECT(ADDRESS($A424,C$4,,,$B424))</f>
        <v>0</v>
      </c>
      <c r="D424" s="43" cm="1">
        <f t="array" aca="1" ref="D424" ca="1">INDIRECT(ADDRESS($A424,D$4,,,$B424))</f>
        <v>0</v>
      </c>
      <c r="E424" s="43" cm="1">
        <f t="array" aca="1" ref="E424" ca="1">INDIRECT(ADDRESS($A424,E$4,,,$B424))</f>
        <v>0</v>
      </c>
      <c r="F424" s="43" cm="1">
        <f t="array" aca="1" ref="F424" ca="1">INDIRECT(ADDRESS($A424,F$4,,,$B424))</f>
        <v>0</v>
      </c>
      <c r="G424" s="43" cm="1">
        <f t="array" aca="1" ref="G424" ca="1">INDIRECT(ADDRESS($A424,G$4,,,$B424))</f>
        <v>0</v>
      </c>
      <c r="H424" s="43" cm="1">
        <f t="array" aca="1" ref="H424" ca="1">INDIRECT(ADDRESS($A424,H$4,,,$B424))</f>
        <v>0</v>
      </c>
      <c r="I424" s="43" cm="1">
        <f t="array" aca="1" ref="I424" ca="1">INDIRECT(ADDRESS($A424,I$4,,,$B424))</f>
        <v>0</v>
      </c>
      <c r="J424" s="43" cm="1">
        <f t="array" aca="1" ref="J424" ca="1">INDIRECT(ADDRESS($A424,J$4,,,$B424))</f>
        <v>0</v>
      </c>
    </row>
    <row r="425" spans="1:10">
      <c r="A425" s="39">
        <f t="shared" si="13"/>
        <v>215</v>
      </c>
      <c r="B425" s="42" t="str">
        <f t="shared" si="14"/>
        <v>W1</v>
      </c>
      <c r="C425" s="43" cm="1">
        <f t="array" aca="1" ref="C425" ca="1">INDIRECT(ADDRESS($A425,C$4,,,$B425))</f>
        <v>0</v>
      </c>
      <c r="D425" s="43" cm="1">
        <f t="array" aca="1" ref="D425" ca="1">INDIRECT(ADDRESS($A425,D$4,,,$B425))</f>
        <v>0</v>
      </c>
      <c r="E425" s="43" cm="1">
        <f t="array" aca="1" ref="E425" ca="1">INDIRECT(ADDRESS($A425,E$4,,,$B425))</f>
        <v>0</v>
      </c>
      <c r="F425" s="43" cm="1">
        <f t="array" aca="1" ref="F425" ca="1">INDIRECT(ADDRESS($A425,F$4,,,$B425))</f>
        <v>0</v>
      </c>
      <c r="G425" s="43" cm="1">
        <f t="array" aca="1" ref="G425" ca="1">INDIRECT(ADDRESS($A425,G$4,,,$B425))</f>
        <v>0</v>
      </c>
      <c r="H425" s="43" cm="1">
        <f t="array" aca="1" ref="H425" ca="1">INDIRECT(ADDRESS($A425,H$4,,,$B425))</f>
        <v>0</v>
      </c>
      <c r="I425" s="43" cm="1">
        <f t="array" aca="1" ref="I425" ca="1">INDIRECT(ADDRESS($A425,I$4,,,$B425))</f>
        <v>0</v>
      </c>
      <c r="J425" s="43" cm="1">
        <f t="array" aca="1" ref="J425" ca="1">INDIRECT(ADDRESS($A425,J$4,,,$B425))</f>
        <v>0</v>
      </c>
    </row>
    <row r="426" spans="1:10">
      <c r="A426" s="39">
        <f t="shared" si="13"/>
        <v>216</v>
      </c>
      <c r="B426" s="42" t="str">
        <f t="shared" si="14"/>
        <v>W1</v>
      </c>
      <c r="C426" s="43" cm="1">
        <f t="array" aca="1" ref="C426" ca="1">INDIRECT(ADDRESS($A426,C$4,,,$B426))</f>
        <v>0</v>
      </c>
      <c r="D426" s="43" cm="1">
        <f t="array" aca="1" ref="D426" ca="1">INDIRECT(ADDRESS($A426,D$4,,,$B426))</f>
        <v>0</v>
      </c>
      <c r="E426" s="43" cm="1">
        <f t="array" aca="1" ref="E426" ca="1">INDIRECT(ADDRESS($A426,E$4,,,$B426))</f>
        <v>0</v>
      </c>
      <c r="F426" s="43" cm="1">
        <f t="array" aca="1" ref="F426" ca="1">INDIRECT(ADDRESS($A426,F$4,,,$B426))</f>
        <v>0</v>
      </c>
      <c r="G426" s="43" cm="1">
        <f t="array" aca="1" ref="G426" ca="1">INDIRECT(ADDRESS($A426,G$4,,,$B426))</f>
        <v>0</v>
      </c>
      <c r="H426" s="43" cm="1">
        <f t="array" aca="1" ref="H426" ca="1">INDIRECT(ADDRESS($A426,H$4,,,$B426))</f>
        <v>0</v>
      </c>
      <c r="I426" s="43" cm="1">
        <f t="array" aca="1" ref="I426" ca="1">INDIRECT(ADDRESS($A426,I$4,,,$B426))</f>
        <v>0</v>
      </c>
      <c r="J426" s="43" cm="1">
        <f t="array" aca="1" ref="J426" ca="1">INDIRECT(ADDRESS($A426,J$4,,,$B426))</f>
        <v>0</v>
      </c>
    </row>
    <row r="427" spans="1:10">
      <c r="A427" s="39">
        <f t="shared" ref="A427:A461" si="15">+A199</f>
        <v>217</v>
      </c>
      <c r="B427" s="42" t="str">
        <f t="shared" ref="B427:B461" si="16">+$E$2</f>
        <v>W1</v>
      </c>
      <c r="C427" s="43" cm="1">
        <f t="array" aca="1" ref="C427" ca="1">INDIRECT(ADDRESS($A427,C$4,,,$B427))</f>
        <v>0</v>
      </c>
      <c r="D427" s="43" cm="1">
        <f t="array" aca="1" ref="D427" ca="1">INDIRECT(ADDRESS($A427,D$4,,,$B427))</f>
        <v>0</v>
      </c>
      <c r="E427" s="43" cm="1">
        <f t="array" aca="1" ref="E427" ca="1">INDIRECT(ADDRESS($A427,E$4,,,$B427))</f>
        <v>0</v>
      </c>
      <c r="F427" s="43" cm="1">
        <f t="array" aca="1" ref="F427" ca="1">INDIRECT(ADDRESS($A427,F$4,,,$B427))</f>
        <v>0</v>
      </c>
      <c r="G427" s="43" cm="1">
        <f t="array" aca="1" ref="G427" ca="1">INDIRECT(ADDRESS($A427,G$4,,,$B427))</f>
        <v>0</v>
      </c>
      <c r="H427" s="43" cm="1">
        <f t="array" aca="1" ref="H427" ca="1">INDIRECT(ADDRESS($A427,H$4,,,$B427))</f>
        <v>0</v>
      </c>
      <c r="I427" s="43" cm="1">
        <f t="array" aca="1" ref="I427" ca="1">INDIRECT(ADDRESS($A427,I$4,,,$B427))</f>
        <v>0</v>
      </c>
      <c r="J427" s="43" cm="1">
        <f t="array" aca="1" ref="J427" ca="1">INDIRECT(ADDRESS($A427,J$4,,,$B427))</f>
        <v>0</v>
      </c>
    </row>
    <row r="428" spans="1:10">
      <c r="A428" s="39">
        <f t="shared" si="15"/>
        <v>218</v>
      </c>
      <c r="B428" s="42" t="str">
        <f t="shared" si="16"/>
        <v>W1</v>
      </c>
      <c r="C428" s="43" cm="1">
        <f t="array" aca="1" ref="C428" ca="1">INDIRECT(ADDRESS($A428,C$4,,,$B428))</f>
        <v>0</v>
      </c>
      <c r="D428" s="43" cm="1">
        <f t="array" aca="1" ref="D428" ca="1">INDIRECT(ADDRESS($A428,D$4,,,$B428))</f>
        <v>0</v>
      </c>
      <c r="E428" s="43" cm="1">
        <f t="array" aca="1" ref="E428" ca="1">INDIRECT(ADDRESS($A428,E$4,,,$B428))</f>
        <v>0</v>
      </c>
      <c r="F428" s="43" cm="1">
        <f t="array" aca="1" ref="F428" ca="1">INDIRECT(ADDRESS($A428,F$4,,,$B428))</f>
        <v>0</v>
      </c>
      <c r="G428" s="43" cm="1">
        <f t="array" aca="1" ref="G428" ca="1">INDIRECT(ADDRESS($A428,G$4,,,$B428))</f>
        <v>0</v>
      </c>
      <c r="H428" s="43" cm="1">
        <f t="array" aca="1" ref="H428" ca="1">INDIRECT(ADDRESS($A428,H$4,,,$B428))</f>
        <v>0</v>
      </c>
      <c r="I428" s="43" cm="1">
        <f t="array" aca="1" ref="I428" ca="1">INDIRECT(ADDRESS($A428,I$4,,,$B428))</f>
        <v>0</v>
      </c>
      <c r="J428" s="43" cm="1">
        <f t="array" aca="1" ref="J428" ca="1">INDIRECT(ADDRESS($A428,J$4,,,$B428))</f>
        <v>0</v>
      </c>
    </row>
    <row r="429" spans="1:10">
      <c r="A429" s="39">
        <f t="shared" si="15"/>
        <v>219</v>
      </c>
      <c r="B429" s="42" t="str">
        <f t="shared" si="16"/>
        <v>W1</v>
      </c>
      <c r="C429" s="43" cm="1">
        <f t="array" aca="1" ref="C429" ca="1">INDIRECT(ADDRESS($A429,C$4,,,$B429))</f>
        <v>0</v>
      </c>
      <c r="D429" s="43" cm="1">
        <f t="array" aca="1" ref="D429" ca="1">INDIRECT(ADDRESS($A429,D$4,,,$B429))</f>
        <v>0</v>
      </c>
      <c r="E429" s="43" cm="1">
        <f t="array" aca="1" ref="E429" ca="1">INDIRECT(ADDRESS($A429,E$4,,,$B429))</f>
        <v>0</v>
      </c>
      <c r="F429" s="43" cm="1">
        <f t="array" aca="1" ref="F429" ca="1">INDIRECT(ADDRESS($A429,F$4,,,$B429))</f>
        <v>0</v>
      </c>
      <c r="G429" s="43" cm="1">
        <f t="array" aca="1" ref="G429" ca="1">INDIRECT(ADDRESS($A429,G$4,,,$B429))</f>
        <v>0</v>
      </c>
      <c r="H429" s="43" cm="1">
        <f t="array" aca="1" ref="H429" ca="1">INDIRECT(ADDRESS($A429,H$4,,,$B429))</f>
        <v>0</v>
      </c>
      <c r="I429" s="43" cm="1">
        <f t="array" aca="1" ref="I429" ca="1">INDIRECT(ADDRESS($A429,I$4,,,$B429))</f>
        <v>0</v>
      </c>
      <c r="J429" s="43" cm="1">
        <f t="array" aca="1" ref="J429" ca="1">INDIRECT(ADDRESS($A429,J$4,,,$B429))</f>
        <v>0</v>
      </c>
    </row>
    <row r="430" spans="1:10">
      <c r="A430" s="39">
        <f t="shared" si="15"/>
        <v>220</v>
      </c>
      <c r="B430" s="42" t="str">
        <f t="shared" si="16"/>
        <v>W1</v>
      </c>
      <c r="C430" s="43" cm="1">
        <f t="array" aca="1" ref="C430" ca="1">INDIRECT(ADDRESS($A430,C$4,,,$B430))</f>
        <v>0</v>
      </c>
      <c r="D430" s="43" cm="1">
        <f t="array" aca="1" ref="D430" ca="1">INDIRECT(ADDRESS($A430,D$4,,,$B430))</f>
        <v>0</v>
      </c>
      <c r="E430" s="43" cm="1">
        <f t="array" aca="1" ref="E430" ca="1">INDIRECT(ADDRESS($A430,E$4,,,$B430))</f>
        <v>0</v>
      </c>
      <c r="F430" s="43" cm="1">
        <f t="array" aca="1" ref="F430" ca="1">INDIRECT(ADDRESS($A430,F$4,,,$B430))</f>
        <v>0</v>
      </c>
      <c r="G430" s="43" cm="1">
        <f t="array" aca="1" ref="G430" ca="1">INDIRECT(ADDRESS($A430,G$4,,,$B430))</f>
        <v>0</v>
      </c>
      <c r="H430" s="43" cm="1">
        <f t="array" aca="1" ref="H430" ca="1">INDIRECT(ADDRESS($A430,H$4,,,$B430))</f>
        <v>0</v>
      </c>
      <c r="I430" s="43" cm="1">
        <f t="array" aca="1" ref="I430" ca="1">INDIRECT(ADDRESS($A430,I$4,,,$B430))</f>
        <v>0</v>
      </c>
      <c r="J430" s="43" cm="1">
        <f t="array" aca="1" ref="J430" ca="1">INDIRECT(ADDRESS($A430,J$4,,,$B430))</f>
        <v>0</v>
      </c>
    </row>
    <row r="431" spans="1:10">
      <c r="A431" s="39">
        <f t="shared" si="15"/>
        <v>221</v>
      </c>
      <c r="B431" s="42" t="str">
        <f t="shared" si="16"/>
        <v>W1</v>
      </c>
      <c r="C431" s="43" cm="1">
        <f t="array" aca="1" ref="C431" ca="1">INDIRECT(ADDRESS($A431,C$4,,,$B431))</f>
        <v>0</v>
      </c>
      <c r="D431" s="43" cm="1">
        <f t="array" aca="1" ref="D431" ca="1">INDIRECT(ADDRESS($A431,D$4,,,$B431))</f>
        <v>0</v>
      </c>
      <c r="E431" s="43" cm="1">
        <f t="array" aca="1" ref="E431" ca="1">INDIRECT(ADDRESS($A431,E$4,,,$B431))</f>
        <v>0</v>
      </c>
      <c r="F431" s="43" cm="1">
        <f t="array" aca="1" ref="F431" ca="1">INDIRECT(ADDRESS($A431,F$4,,,$B431))</f>
        <v>0</v>
      </c>
      <c r="G431" s="43" cm="1">
        <f t="array" aca="1" ref="G431" ca="1">INDIRECT(ADDRESS($A431,G$4,,,$B431))</f>
        <v>0</v>
      </c>
      <c r="H431" s="43" cm="1">
        <f t="array" aca="1" ref="H431" ca="1">INDIRECT(ADDRESS($A431,H$4,,,$B431))</f>
        <v>0</v>
      </c>
      <c r="I431" s="43" cm="1">
        <f t="array" aca="1" ref="I431" ca="1">INDIRECT(ADDRESS($A431,I$4,,,$B431))</f>
        <v>0</v>
      </c>
      <c r="J431" s="43" cm="1">
        <f t="array" aca="1" ref="J431" ca="1">INDIRECT(ADDRESS($A431,J$4,,,$B431))</f>
        <v>0</v>
      </c>
    </row>
    <row r="432" spans="1:10">
      <c r="A432" s="39">
        <f t="shared" si="15"/>
        <v>222</v>
      </c>
      <c r="B432" s="42" t="str">
        <f t="shared" si="16"/>
        <v>W1</v>
      </c>
      <c r="C432" s="43" cm="1">
        <f t="array" aca="1" ref="C432" ca="1">INDIRECT(ADDRESS($A432,C$4,,,$B432))</f>
        <v>0</v>
      </c>
      <c r="D432" s="43" cm="1">
        <f t="array" aca="1" ref="D432" ca="1">INDIRECT(ADDRESS($A432,D$4,,,$B432))</f>
        <v>0</v>
      </c>
      <c r="E432" s="43" cm="1">
        <f t="array" aca="1" ref="E432" ca="1">INDIRECT(ADDRESS($A432,E$4,,,$B432))</f>
        <v>0</v>
      </c>
      <c r="F432" s="43" cm="1">
        <f t="array" aca="1" ref="F432" ca="1">INDIRECT(ADDRESS($A432,F$4,,,$B432))</f>
        <v>0</v>
      </c>
      <c r="G432" s="43" cm="1">
        <f t="array" aca="1" ref="G432" ca="1">INDIRECT(ADDRESS($A432,G$4,,,$B432))</f>
        <v>0</v>
      </c>
      <c r="H432" s="43" cm="1">
        <f t="array" aca="1" ref="H432" ca="1">INDIRECT(ADDRESS($A432,H$4,,,$B432))</f>
        <v>0</v>
      </c>
      <c r="I432" s="43" cm="1">
        <f t="array" aca="1" ref="I432" ca="1">INDIRECT(ADDRESS($A432,I$4,,,$B432))</f>
        <v>0</v>
      </c>
      <c r="J432" s="43" cm="1">
        <f t="array" aca="1" ref="J432" ca="1">INDIRECT(ADDRESS($A432,J$4,,,$B432))</f>
        <v>0</v>
      </c>
    </row>
    <row r="433" spans="1:10">
      <c r="A433" s="39">
        <f t="shared" si="15"/>
        <v>223</v>
      </c>
      <c r="B433" s="42" t="str">
        <f t="shared" si="16"/>
        <v>W1</v>
      </c>
      <c r="C433" s="43" cm="1">
        <f t="array" aca="1" ref="C433" ca="1">INDIRECT(ADDRESS($A433,C$4,,,$B433))</f>
        <v>0</v>
      </c>
      <c r="D433" s="43" cm="1">
        <f t="array" aca="1" ref="D433" ca="1">INDIRECT(ADDRESS($A433,D$4,,,$B433))</f>
        <v>0</v>
      </c>
      <c r="E433" s="43" cm="1">
        <f t="array" aca="1" ref="E433" ca="1">INDIRECT(ADDRESS($A433,E$4,,,$B433))</f>
        <v>0</v>
      </c>
      <c r="F433" s="43" cm="1">
        <f t="array" aca="1" ref="F433" ca="1">INDIRECT(ADDRESS($A433,F$4,,,$B433))</f>
        <v>0</v>
      </c>
      <c r="G433" s="43" cm="1">
        <f t="array" aca="1" ref="G433" ca="1">INDIRECT(ADDRESS($A433,G$4,,,$B433))</f>
        <v>0</v>
      </c>
      <c r="H433" s="43" cm="1">
        <f t="array" aca="1" ref="H433" ca="1">INDIRECT(ADDRESS($A433,H$4,,,$B433))</f>
        <v>0</v>
      </c>
      <c r="I433" s="43" cm="1">
        <f t="array" aca="1" ref="I433" ca="1">INDIRECT(ADDRESS($A433,I$4,,,$B433))</f>
        <v>0</v>
      </c>
      <c r="J433" s="43" cm="1">
        <f t="array" aca="1" ref="J433" ca="1">INDIRECT(ADDRESS($A433,J$4,,,$B433))</f>
        <v>0</v>
      </c>
    </row>
    <row r="434" spans="1:10">
      <c r="A434" s="39">
        <f t="shared" si="15"/>
        <v>224</v>
      </c>
      <c r="B434" s="42" t="str">
        <f t="shared" si="16"/>
        <v>W1</v>
      </c>
      <c r="C434" s="43" cm="1">
        <f t="array" aca="1" ref="C434" ca="1">INDIRECT(ADDRESS($A434,C$4,,,$B434))</f>
        <v>0</v>
      </c>
      <c r="D434" s="43" cm="1">
        <f t="array" aca="1" ref="D434" ca="1">INDIRECT(ADDRESS($A434,D$4,,,$B434))</f>
        <v>0</v>
      </c>
      <c r="E434" s="43" cm="1">
        <f t="array" aca="1" ref="E434" ca="1">INDIRECT(ADDRESS($A434,E$4,,,$B434))</f>
        <v>0</v>
      </c>
      <c r="F434" s="43" cm="1">
        <f t="array" aca="1" ref="F434" ca="1">INDIRECT(ADDRESS($A434,F$4,,,$B434))</f>
        <v>0</v>
      </c>
      <c r="G434" s="43" cm="1">
        <f t="array" aca="1" ref="G434" ca="1">INDIRECT(ADDRESS($A434,G$4,,,$B434))</f>
        <v>0</v>
      </c>
      <c r="H434" s="43" cm="1">
        <f t="array" aca="1" ref="H434" ca="1">INDIRECT(ADDRESS($A434,H$4,,,$B434))</f>
        <v>0</v>
      </c>
      <c r="I434" s="43" cm="1">
        <f t="array" aca="1" ref="I434" ca="1">INDIRECT(ADDRESS($A434,I$4,,,$B434))</f>
        <v>0</v>
      </c>
      <c r="J434" s="43" cm="1">
        <f t="array" aca="1" ref="J434" ca="1">INDIRECT(ADDRESS($A434,J$4,,,$B434))</f>
        <v>0</v>
      </c>
    </row>
    <row r="435" spans="1:10">
      <c r="A435" s="39">
        <f t="shared" si="15"/>
        <v>225</v>
      </c>
      <c r="B435" s="42" t="str">
        <f t="shared" si="16"/>
        <v>W1</v>
      </c>
      <c r="C435" s="43" cm="1">
        <f t="array" aca="1" ref="C435" ca="1">INDIRECT(ADDRESS($A435,C$4,,,$B435))</f>
        <v>0</v>
      </c>
      <c r="D435" s="43" cm="1">
        <f t="array" aca="1" ref="D435" ca="1">INDIRECT(ADDRESS($A435,D$4,,,$B435))</f>
        <v>0</v>
      </c>
      <c r="E435" s="43" cm="1">
        <f t="array" aca="1" ref="E435" ca="1">INDIRECT(ADDRESS($A435,E$4,,,$B435))</f>
        <v>0</v>
      </c>
      <c r="F435" s="43" cm="1">
        <f t="array" aca="1" ref="F435" ca="1">INDIRECT(ADDRESS($A435,F$4,,,$B435))</f>
        <v>0</v>
      </c>
      <c r="G435" s="43" cm="1">
        <f t="array" aca="1" ref="G435" ca="1">INDIRECT(ADDRESS($A435,G$4,,,$B435))</f>
        <v>0</v>
      </c>
      <c r="H435" s="43" cm="1">
        <f t="array" aca="1" ref="H435" ca="1">INDIRECT(ADDRESS($A435,H$4,,,$B435))</f>
        <v>0</v>
      </c>
      <c r="I435" s="43" cm="1">
        <f t="array" aca="1" ref="I435" ca="1">INDIRECT(ADDRESS($A435,I$4,,,$B435))</f>
        <v>0</v>
      </c>
      <c r="J435" s="43" cm="1">
        <f t="array" aca="1" ref="J435" ca="1">INDIRECT(ADDRESS($A435,J$4,,,$B435))</f>
        <v>0</v>
      </c>
    </row>
    <row r="436" spans="1:10">
      <c r="A436" s="39">
        <f t="shared" si="15"/>
        <v>226</v>
      </c>
      <c r="B436" s="42" t="str">
        <f t="shared" si="16"/>
        <v>W1</v>
      </c>
      <c r="C436" s="43" cm="1">
        <f t="array" aca="1" ref="C436" ca="1">INDIRECT(ADDRESS($A436,C$4,,,$B436))</f>
        <v>0</v>
      </c>
      <c r="D436" s="43" cm="1">
        <f t="array" aca="1" ref="D436" ca="1">INDIRECT(ADDRESS($A436,D$4,,,$B436))</f>
        <v>0</v>
      </c>
      <c r="E436" s="43" cm="1">
        <f t="array" aca="1" ref="E436" ca="1">INDIRECT(ADDRESS($A436,E$4,,,$B436))</f>
        <v>0</v>
      </c>
      <c r="F436" s="43" cm="1">
        <f t="array" aca="1" ref="F436" ca="1">INDIRECT(ADDRESS($A436,F$4,,,$B436))</f>
        <v>0</v>
      </c>
      <c r="G436" s="43" cm="1">
        <f t="array" aca="1" ref="G436" ca="1">INDIRECT(ADDRESS($A436,G$4,,,$B436))</f>
        <v>0</v>
      </c>
      <c r="H436" s="43" cm="1">
        <f t="array" aca="1" ref="H436" ca="1">INDIRECT(ADDRESS($A436,H$4,,,$B436))</f>
        <v>0</v>
      </c>
      <c r="I436" s="43" cm="1">
        <f t="array" aca="1" ref="I436" ca="1">INDIRECT(ADDRESS($A436,I$4,,,$B436))</f>
        <v>0</v>
      </c>
      <c r="J436" s="43" cm="1">
        <f t="array" aca="1" ref="J436" ca="1">INDIRECT(ADDRESS($A436,J$4,,,$B436))</f>
        <v>0</v>
      </c>
    </row>
    <row r="437" spans="1:10">
      <c r="A437" s="39">
        <f t="shared" si="15"/>
        <v>227</v>
      </c>
      <c r="B437" s="42" t="str">
        <f t="shared" si="16"/>
        <v>W1</v>
      </c>
      <c r="C437" s="43" cm="1">
        <f t="array" aca="1" ref="C437" ca="1">INDIRECT(ADDRESS($A437,C$4,,,$B437))</f>
        <v>0</v>
      </c>
      <c r="D437" s="43" cm="1">
        <f t="array" aca="1" ref="D437" ca="1">INDIRECT(ADDRESS($A437,D$4,,,$B437))</f>
        <v>0</v>
      </c>
      <c r="E437" s="43" cm="1">
        <f t="array" aca="1" ref="E437" ca="1">INDIRECT(ADDRESS($A437,E$4,,,$B437))</f>
        <v>0</v>
      </c>
      <c r="F437" s="43" cm="1">
        <f t="array" aca="1" ref="F437" ca="1">INDIRECT(ADDRESS($A437,F$4,,,$B437))</f>
        <v>0</v>
      </c>
      <c r="G437" s="43" cm="1">
        <f t="array" aca="1" ref="G437" ca="1">INDIRECT(ADDRESS($A437,G$4,,,$B437))</f>
        <v>0</v>
      </c>
      <c r="H437" s="43" cm="1">
        <f t="array" aca="1" ref="H437" ca="1">INDIRECT(ADDRESS($A437,H$4,,,$B437))</f>
        <v>0</v>
      </c>
      <c r="I437" s="43" cm="1">
        <f t="array" aca="1" ref="I437" ca="1">INDIRECT(ADDRESS($A437,I$4,,,$B437))</f>
        <v>0</v>
      </c>
      <c r="J437" s="43" cm="1">
        <f t="array" aca="1" ref="J437" ca="1">INDIRECT(ADDRESS($A437,J$4,,,$B437))</f>
        <v>0</v>
      </c>
    </row>
    <row r="438" spans="1:10">
      <c r="A438" s="39">
        <f t="shared" si="15"/>
        <v>228</v>
      </c>
      <c r="B438" s="42" t="str">
        <f t="shared" si="16"/>
        <v>W1</v>
      </c>
      <c r="C438" s="43" cm="1">
        <f t="array" aca="1" ref="C438" ca="1">INDIRECT(ADDRESS($A438,C$4,,,$B438))</f>
        <v>0</v>
      </c>
      <c r="D438" s="43" cm="1">
        <f t="array" aca="1" ref="D438" ca="1">INDIRECT(ADDRESS($A438,D$4,,,$B438))</f>
        <v>0</v>
      </c>
      <c r="E438" s="43" cm="1">
        <f t="array" aca="1" ref="E438" ca="1">INDIRECT(ADDRESS($A438,E$4,,,$B438))</f>
        <v>0</v>
      </c>
      <c r="F438" s="43" cm="1">
        <f t="array" aca="1" ref="F438" ca="1">INDIRECT(ADDRESS($A438,F$4,,,$B438))</f>
        <v>0</v>
      </c>
      <c r="G438" s="43" cm="1">
        <f t="array" aca="1" ref="G438" ca="1">INDIRECT(ADDRESS($A438,G$4,,,$B438))</f>
        <v>0</v>
      </c>
      <c r="H438" s="43" cm="1">
        <f t="array" aca="1" ref="H438" ca="1">INDIRECT(ADDRESS($A438,H$4,,,$B438))</f>
        <v>0</v>
      </c>
      <c r="I438" s="43" cm="1">
        <f t="array" aca="1" ref="I438" ca="1">INDIRECT(ADDRESS($A438,I$4,,,$B438))</f>
        <v>0</v>
      </c>
      <c r="J438" s="43" cm="1">
        <f t="array" aca="1" ref="J438" ca="1">INDIRECT(ADDRESS($A438,J$4,,,$B438))</f>
        <v>0</v>
      </c>
    </row>
    <row r="439" spans="1:10">
      <c r="A439" s="39">
        <f t="shared" si="15"/>
        <v>229</v>
      </c>
      <c r="B439" s="42" t="str">
        <f t="shared" si="16"/>
        <v>W1</v>
      </c>
      <c r="C439" s="43" cm="1">
        <f t="array" aca="1" ref="C439" ca="1">INDIRECT(ADDRESS($A439,C$4,,,$B439))</f>
        <v>0</v>
      </c>
      <c r="D439" s="43" cm="1">
        <f t="array" aca="1" ref="D439" ca="1">INDIRECT(ADDRESS($A439,D$4,,,$B439))</f>
        <v>0</v>
      </c>
      <c r="E439" s="43" cm="1">
        <f t="array" aca="1" ref="E439" ca="1">INDIRECT(ADDRESS($A439,E$4,,,$B439))</f>
        <v>0</v>
      </c>
      <c r="F439" s="43" cm="1">
        <f t="array" aca="1" ref="F439" ca="1">INDIRECT(ADDRESS($A439,F$4,,,$B439))</f>
        <v>0</v>
      </c>
      <c r="G439" s="43" cm="1">
        <f t="array" aca="1" ref="G439" ca="1">INDIRECT(ADDRESS($A439,G$4,,,$B439))</f>
        <v>0</v>
      </c>
      <c r="H439" s="43" cm="1">
        <f t="array" aca="1" ref="H439" ca="1">INDIRECT(ADDRESS($A439,H$4,,,$B439))</f>
        <v>0</v>
      </c>
      <c r="I439" s="43" cm="1">
        <f t="array" aca="1" ref="I439" ca="1">INDIRECT(ADDRESS($A439,I$4,,,$B439))</f>
        <v>0</v>
      </c>
      <c r="J439" s="43" cm="1">
        <f t="array" aca="1" ref="J439" ca="1">INDIRECT(ADDRESS($A439,J$4,,,$B439))</f>
        <v>0</v>
      </c>
    </row>
    <row r="440" spans="1:10">
      <c r="A440" s="39">
        <f t="shared" si="15"/>
        <v>230</v>
      </c>
      <c r="B440" s="42" t="str">
        <f t="shared" si="16"/>
        <v>W1</v>
      </c>
      <c r="C440" s="43" cm="1">
        <f t="array" aca="1" ref="C440" ca="1">INDIRECT(ADDRESS($A440,C$4,,,$B440))</f>
        <v>0</v>
      </c>
      <c r="D440" s="43" cm="1">
        <f t="array" aca="1" ref="D440" ca="1">INDIRECT(ADDRESS($A440,D$4,,,$B440))</f>
        <v>0</v>
      </c>
      <c r="E440" s="43" cm="1">
        <f t="array" aca="1" ref="E440" ca="1">INDIRECT(ADDRESS($A440,E$4,,,$B440))</f>
        <v>0</v>
      </c>
      <c r="F440" s="43" cm="1">
        <f t="array" aca="1" ref="F440" ca="1">INDIRECT(ADDRESS($A440,F$4,,,$B440))</f>
        <v>0</v>
      </c>
      <c r="G440" s="43" cm="1">
        <f t="array" aca="1" ref="G440" ca="1">INDIRECT(ADDRESS($A440,G$4,,,$B440))</f>
        <v>0</v>
      </c>
      <c r="H440" s="43" cm="1">
        <f t="array" aca="1" ref="H440" ca="1">INDIRECT(ADDRESS($A440,H$4,,,$B440))</f>
        <v>0</v>
      </c>
      <c r="I440" s="43" cm="1">
        <f t="array" aca="1" ref="I440" ca="1">INDIRECT(ADDRESS($A440,I$4,,,$B440))</f>
        <v>0</v>
      </c>
      <c r="J440" s="43" cm="1">
        <f t="array" aca="1" ref="J440" ca="1">INDIRECT(ADDRESS($A440,J$4,,,$B440))</f>
        <v>0</v>
      </c>
    </row>
    <row r="441" spans="1:10">
      <c r="A441" s="39">
        <f t="shared" si="15"/>
        <v>231</v>
      </c>
      <c r="B441" s="42" t="str">
        <f t="shared" si="16"/>
        <v>W1</v>
      </c>
      <c r="C441" s="43" cm="1">
        <f t="array" aca="1" ref="C441" ca="1">INDIRECT(ADDRESS($A441,C$4,,,$B441))</f>
        <v>0</v>
      </c>
      <c r="D441" s="43" cm="1">
        <f t="array" aca="1" ref="D441" ca="1">INDIRECT(ADDRESS($A441,D$4,,,$B441))</f>
        <v>0</v>
      </c>
      <c r="E441" s="43" cm="1">
        <f t="array" aca="1" ref="E441" ca="1">INDIRECT(ADDRESS($A441,E$4,,,$B441))</f>
        <v>0</v>
      </c>
      <c r="F441" s="43" cm="1">
        <f t="array" aca="1" ref="F441" ca="1">INDIRECT(ADDRESS($A441,F$4,,,$B441))</f>
        <v>0</v>
      </c>
      <c r="G441" s="43" cm="1">
        <f t="array" aca="1" ref="G441" ca="1">INDIRECT(ADDRESS($A441,G$4,,,$B441))</f>
        <v>0</v>
      </c>
      <c r="H441" s="43" cm="1">
        <f t="array" aca="1" ref="H441" ca="1">INDIRECT(ADDRESS($A441,H$4,,,$B441))</f>
        <v>0</v>
      </c>
      <c r="I441" s="43" cm="1">
        <f t="array" aca="1" ref="I441" ca="1">INDIRECT(ADDRESS($A441,I$4,,,$B441))</f>
        <v>0</v>
      </c>
      <c r="J441" s="43" cm="1">
        <f t="array" aca="1" ref="J441" ca="1">INDIRECT(ADDRESS($A441,J$4,,,$B441))</f>
        <v>0</v>
      </c>
    </row>
    <row r="442" spans="1:10">
      <c r="A442" s="39">
        <f t="shared" si="15"/>
        <v>232</v>
      </c>
      <c r="B442" s="42" t="str">
        <f t="shared" si="16"/>
        <v>W1</v>
      </c>
      <c r="C442" s="43" cm="1">
        <f t="array" aca="1" ref="C442" ca="1">INDIRECT(ADDRESS($A442,C$4,,,$B442))</f>
        <v>0</v>
      </c>
      <c r="D442" s="43" cm="1">
        <f t="array" aca="1" ref="D442" ca="1">INDIRECT(ADDRESS($A442,D$4,,,$B442))</f>
        <v>0</v>
      </c>
      <c r="E442" s="43" cm="1">
        <f t="array" aca="1" ref="E442" ca="1">INDIRECT(ADDRESS($A442,E$4,,,$B442))</f>
        <v>0</v>
      </c>
      <c r="F442" s="43" cm="1">
        <f t="array" aca="1" ref="F442" ca="1">INDIRECT(ADDRESS($A442,F$4,,,$B442))</f>
        <v>0</v>
      </c>
      <c r="G442" s="43" cm="1">
        <f t="array" aca="1" ref="G442" ca="1">INDIRECT(ADDRESS($A442,G$4,,,$B442))</f>
        <v>0</v>
      </c>
      <c r="H442" s="43" cm="1">
        <f t="array" aca="1" ref="H442" ca="1">INDIRECT(ADDRESS($A442,H$4,,,$B442))</f>
        <v>0</v>
      </c>
      <c r="I442" s="43" cm="1">
        <f t="array" aca="1" ref="I442" ca="1">INDIRECT(ADDRESS($A442,I$4,,,$B442))</f>
        <v>0</v>
      </c>
      <c r="J442" s="43" cm="1">
        <f t="array" aca="1" ref="J442" ca="1">INDIRECT(ADDRESS($A442,J$4,,,$B442))</f>
        <v>0</v>
      </c>
    </row>
    <row r="443" spans="1:10">
      <c r="A443" s="39">
        <f t="shared" si="15"/>
        <v>233</v>
      </c>
      <c r="B443" s="42" t="str">
        <f t="shared" si="16"/>
        <v>W1</v>
      </c>
      <c r="C443" s="43" cm="1">
        <f t="array" aca="1" ref="C443" ca="1">INDIRECT(ADDRESS($A443,C$4,,,$B443))</f>
        <v>0</v>
      </c>
      <c r="D443" s="43" cm="1">
        <f t="array" aca="1" ref="D443" ca="1">INDIRECT(ADDRESS($A443,D$4,,,$B443))</f>
        <v>0</v>
      </c>
      <c r="E443" s="43" cm="1">
        <f t="array" aca="1" ref="E443" ca="1">INDIRECT(ADDRESS($A443,E$4,,,$B443))</f>
        <v>0</v>
      </c>
      <c r="F443" s="43" cm="1">
        <f t="array" aca="1" ref="F443" ca="1">INDIRECT(ADDRESS($A443,F$4,,,$B443))</f>
        <v>0</v>
      </c>
      <c r="G443" s="43" cm="1">
        <f t="array" aca="1" ref="G443" ca="1">INDIRECT(ADDRESS($A443,G$4,,,$B443))</f>
        <v>0</v>
      </c>
      <c r="H443" s="43" cm="1">
        <f t="array" aca="1" ref="H443" ca="1">INDIRECT(ADDRESS($A443,H$4,,,$B443))</f>
        <v>0</v>
      </c>
      <c r="I443" s="43" cm="1">
        <f t="array" aca="1" ref="I443" ca="1">INDIRECT(ADDRESS($A443,I$4,,,$B443))</f>
        <v>0</v>
      </c>
      <c r="J443" s="43" cm="1">
        <f t="array" aca="1" ref="J443" ca="1">INDIRECT(ADDRESS($A443,J$4,,,$B443))</f>
        <v>0</v>
      </c>
    </row>
    <row r="444" spans="1:10">
      <c r="A444" s="39">
        <f t="shared" si="15"/>
        <v>234</v>
      </c>
      <c r="B444" s="42" t="str">
        <f t="shared" si="16"/>
        <v>W1</v>
      </c>
      <c r="C444" s="43" cm="1">
        <f t="array" aca="1" ref="C444" ca="1">INDIRECT(ADDRESS($A444,C$4,,,$B444))</f>
        <v>0</v>
      </c>
      <c r="D444" s="43" cm="1">
        <f t="array" aca="1" ref="D444" ca="1">INDIRECT(ADDRESS($A444,D$4,,,$B444))</f>
        <v>0</v>
      </c>
      <c r="E444" s="43" cm="1">
        <f t="array" aca="1" ref="E444" ca="1">INDIRECT(ADDRESS($A444,E$4,,,$B444))</f>
        <v>0</v>
      </c>
      <c r="F444" s="43" cm="1">
        <f t="array" aca="1" ref="F444" ca="1">INDIRECT(ADDRESS($A444,F$4,,,$B444))</f>
        <v>0</v>
      </c>
      <c r="G444" s="43" cm="1">
        <f t="array" aca="1" ref="G444" ca="1">INDIRECT(ADDRESS($A444,G$4,,,$B444))</f>
        <v>0</v>
      </c>
      <c r="H444" s="43" cm="1">
        <f t="array" aca="1" ref="H444" ca="1">INDIRECT(ADDRESS($A444,H$4,,,$B444))</f>
        <v>0</v>
      </c>
      <c r="I444" s="43" cm="1">
        <f t="array" aca="1" ref="I444" ca="1">INDIRECT(ADDRESS($A444,I$4,,,$B444))</f>
        <v>0</v>
      </c>
      <c r="J444" s="43" cm="1">
        <f t="array" aca="1" ref="J444" ca="1">INDIRECT(ADDRESS($A444,J$4,,,$B444))</f>
        <v>0</v>
      </c>
    </row>
    <row r="445" spans="1:10">
      <c r="A445" s="39">
        <f t="shared" si="15"/>
        <v>235</v>
      </c>
      <c r="B445" s="42" t="str">
        <f t="shared" si="16"/>
        <v>W1</v>
      </c>
      <c r="C445" s="43" cm="1">
        <f t="array" aca="1" ref="C445" ca="1">INDIRECT(ADDRESS($A445,C$4,,,$B445))</f>
        <v>0</v>
      </c>
      <c r="D445" s="43" cm="1">
        <f t="array" aca="1" ref="D445" ca="1">INDIRECT(ADDRESS($A445,D$4,,,$B445))</f>
        <v>0</v>
      </c>
      <c r="E445" s="43" cm="1">
        <f t="array" aca="1" ref="E445" ca="1">INDIRECT(ADDRESS($A445,E$4,,,$B445))</f>
        <v>0</v>
      </c>
      <c r="F445" s="43" cm="1">
        <f t="array" aca="1" ref="F445" ca="1">INDIRECT(ADDRESS($A445,F$4,,,$B445))</f>
        <v>0</v>
      </c>
      <c r="G445" s="43" cm="1">
        <f t="array" aca="1" ref="G445" ca="1">INDIRECT(ADDRESS($A445,G$4,,,$B445))</f>
        <v>0</v>
      </c>
      <c r="H445" s="43" cm="1">
        <f t="array" aca="1" ref="H445" ca="1">INDIRECT(ADDRESS($A445,H$4,,,$B445))</f>
        <v>0</v>
      </c>
      <c r="I445" s="43" cm="1">
        <f t="array" aca="1" ref="I445" ca="1">INDIRECT(ADDRESS($A445,I$4,,,$B445))</f>
        <v>0</v>
      </c>
      <c r="J445" s="43" cm="1">
        <f t="array" aca="1" ref="J445" ca="1">INDIRECT(ADDRESS($A445,J$4,,,$B445))</f>
        <v>0</v>
      </c>
    </row>
    <row r="446" spans="1:10">
      <c r="A446" s="39">
        <f t="shared" si="15"/>
        <v>236</v>
      </c>
      <c r="B446" s="42" t="str">
        <f t="shared" si="16"/>
        <v>W1</v>
      </c>
      <c r="C446" s="43" cm="1">
        <f t="array" aca="1" ref="C446" ca="1">INDIRECT(ADDRESS($A446,C$4,,,$B446))</f>
        <v>0</v>
      </c>
      <c r="D446" s="43" cm="1">
        <f t="array" aca="1" ref="D446" ca="1">INDIRECT(ADDRESS($A446,D$4,,,$B446))</f>
        <v>0</v>
      </c>
      <c r="E446" s="43" cm="1">
        <f t="array" aca="1" ref="E446" ca="1">INDIRECT(ADDRESS($A446,E$4,,,$B446))</f>
        <v>0</v>
      </c>
      <c r="F446" s="43" cm="1">
        <f t="array" aca="1" ref="F446" ca="1">INDIRECT(ADDRESS($A446,F$4,,,$B446))</f>
        <v>0</v>
      </c>
      <c r="G446" s="43" cm="1">
        <f t="array" aca="1" ref="G446" ca="1">INDIRECT(ADDRESS($A446,G$4,,,$B446))</f>
        <v>0</v>
      </c>
      <c r="H446" s="43" cm="1">
        <f t="array" aca="1" ref="H446" ca="1">INDIRECT(ADDRESS($A446,H$4,,,$B446))</f>
        <v>0</v>
      </c>
      <c r="I446" s="43" cm="1">
        <f t="array" aca="1" ref="I446" ca="1">INDIRECT(ADDRESS($A446,I$4,,,$B446))</f>
        <v>0</v>
      </c>
      <c r="J446" s="43" cm="1">
        <f t="array" aca="1" ref="J446" ca="1">INDIRECT(ADDRESS($A446,J$4,,,$B446))</f>
        <v>0</v>
      </c>
    </row>
    <row r="447" spans="1:10">
      <c r="A447" s="39">
        <f t="shared" si="15"/>
        <v>237</v>
      </c>
      <c r="B447" s="42" t="str">
        <f t="shared" si="16"/>
        <v>W1</v>
      </c>
      <c r="C447" s="43" cm="1">
        <f t="array" aca="1" ref="C447" ca="1">INDIRECT(ADDRESS($A447,C$4,,,$B447))</f>
        <v>0</v>
      </c>
      <c r="D447" s="43" cm="1">
        <f t="array" aca="1" ref="D447" ca="1">INDIRECT(ADDRESS($A447,D$4,,,$B447))</f>
        <v>0</v>
      </c>
      <c r="E447" s="43" cm="1">
        <f t="array" aca="1" ref="E447" ca="1">INDIRECT(ADDRESS($A447,E$4,,,$B447))</f>
        <v>0</v>
      </c>
      <c r="F447" s="43" cm="1">
        <f t="array" aca="1" ref="F447" ca="1">INDIRECT(ADDRESS($A447,F$4,,,$B447))</f>
        <v>0</v>
      </c>
      <c r="G447" s="43" cm="1">
        <f t="array" aca="1" ref="G447" ca="1">INDIRECT(ADDRESS($A447,G$4,,,$B447))</f>
        <v>0</v>
      </c>
      <c r="H447" s="43" cm="1">
        <f t="array" aca="1" ref="H447" ca="1">INDIRECT(ADDRESS($A447,H$4,,,$B447))</f>
        <v>0</v>
      </c>
      <c r="I447" s="43" cm="1">
        <f t="array" aca="1" ref="I447" ca="1">INDIRECT(ADDRESS($A447,I$4,,,$B447))</f>
        <v>0</v>
      </c>
      <c r="J447" s="43" cm="1">
        <f t="array" aca="1" ref="J447" ca="1">INDIRECT(ADDRESS($A447,J$4,,,$B447))</f>
        <v>0</v>
      </c>
    </row>
    <row r="448" spans="1:10">
      <c r="A448" s="39">
        <f t="shared" si="15"/>
        <v>238</v>
      </c>
      <c r="B448" s="42" t="str">
        <f t="shared" si="16"/>
        <v>W1</v>
      </c>
      <c r="C448" s="43" cm="1">
        <f t="array" aca="1" ref="C448" ca="1">INDIRECT(ADDRESS($A448,C$4,,,$B448))</f>
        <v>0</v>
      </c>
      <c r="D448" s="43" cm="1">
        <f t="array" aca="1" ref="D448" ca="1">INDIRECT(ADDRESS($A448,D$4,,,$B448))</f>
        <v>0</v>
      </c>
      <c r="E448" s="43" cm="1">
        <f t="array" aca="1" ref="E448" ca="1">INDIRECT(ADDRESS($A448,E$4,,,$B448))</f>
        <v>0</v>
      </c>
      <c r="F448" s="43" cm="1">
        <f t="array" aca="1" ref="F448" ca="1">INDIRECT(ADDRESS($A448,F$4,,,$B448))</f>
        <v>0</v>
      </c>
      <c r="G448" s="43" cm="1">
        <f t="array" aca="1" ref="G448" ca="1">INDIRECT(ADDRESS($A448,G$4,,,$B448))</f>
        <v>0</v>
      </c>
      <c r="H448" s="43" cm="1">
        <f t="array" aca="1" ref="H448" ca="1">INDIRECT(ADDRESS($A448,H$4,,,$B448))</f>
        <v>0</v>
      </c>
      <c r="I448" s="43" cm="1">
        <f t="array" aca="1" ref="I448" ca="1">INDIRECT(ADDRESS($A448,I$4,,,$B448))</f>
        <v>0</v>
      </c>
      <c r="J448" s="43" cm="1">
        <f t="array" aca="1" ref="J448" ca="1">INDIRECT(ADDRESS($A448,J$4,,,$B448))</f>
        <v>0</v>
      </c>
    </row>
    <row r="449" spans="1:10">
      <c r="A449" s="39">
        <f t="shared" si="15"/>
        <v>239</v>
      </c>
      <c r="B449" s="42" t="str">
        <f t="shared" si="16"/>
        <v>W1</v>
      </c>
      <c r="C449" s="43" cm="1">
        <f t="array" aca="1" ref="C449" ca="1">INDIRECT(ADDRESS($A449,C$4,,,$B449))</f>
        <v>0</v>
      </c>
      <c r="D449" s="43" cm="1">
        <f t="array" aca="1" ref="D449" ca="1">INDIRECT(ADDRESS($A449,D$4,,,$B449))</f>
        <v>0</v>
      </c>
      <c r="E449" s="43" cm="1">
        <f t="array" aca="1" ref="E449" ca="1">INDIRECT(ADDRESS($A449,E$4,,,$B449))</f>
        <v>0</v>
      </c>
      <c r="F449" s="43" cm="1">
        <f t="array" aca="1" ref="F449" ca="1">INDIRECT(ADDRESS($A449,F$4,,,$B449))</f>
        <v>0</v>
      </c>
      <c r="G449" s="43" cm="1">
        <f t="array" aca="1" ref="G449" ca="1">INDIRECT(ADDRESS($A449,G$4,,,$B449))</f>
        <v>0</v>
      </c>
      <c r="H449" s="43" cm="1">
        <f t="array" aca="1" ref="H449" ca="1">INDIRECT(ADDRESS($A449,H$4,,,$B449))</f>
        <v>0</v>
      </c>
      <c r="I449" s="43" cm="1">
        <f t="array" aca="1" ref="I449" ca="1">INDIRECT(ADDRESS($A449,I$4,,,$B449))</f>
        <v>0</v>
      </c>
      <c r="J449" s="43" cm="1">
        <f t="array" aca="1" ref="J449" ca="1">INDIRECT(ADDRESS($A449,J$4,,,$B449))</f>
        <v>0</v>
      </c>
    </row>
    <row r="450" spans="1:10">
      <c r="A450" s="39">
        <f t="shared" si="15"/>
        <v>240</v>
      </c>
      <c r="B450" s="42" t="str">
        <f t="shared" si="16"/>
        <v>W1</v>
      </c>
      <c r="C450" s="43" cm="1">
        <f t="array" aca="1" ref="C450" ca="1">INDIRECT(ADDRESS($A450,C$4,,,$B450))</f>
        <v>0</v>
      </c>
      <c r="D450" s="43" cm="1">
        <f t="array" aca="1" ref="D450" ca="1">INDIRECT(ADDRESS($A450,D$4,,,$B450))</f>
        <v>0</v>
      </c>
      <c r="E450" s="43" cm="1">
        <f t="array" aca="1" ref="E450" ca="1">INDIRECT(ADDRESS($A450,E$4,,,$B450))</f>
        <v>0</v>
      </c>
      <c r="F450" s="43" cm="1">
        <f t="array" aca="1" ref="F450" ca="1">INDIRECT(ADDRESS($A450,F$4,,,$B450))</f>
        <v>0</v>
      </c>
      <c r="G450" s="43" cm="1">
        <f t="array" aca="1" ref="G450" ca="1">INDIRECT(ADDRESS($A450,G$4,,,$B450))</f>
        <v>0</v>
      </c>
      <c r="H450" s="43" cm="1">
        <f t="array" aca="1" ref="H450" ca="1">INDIRECT(ADDRESS($A450,H$4,,,$B450))</f>
        <v>0</v>
      </c>
      <c r="I450" s="43" cm="1">
        <f t="array" aca="1" ref="I450" ca="1">INDIRECT(ADDRESS($A450,I$4,,,$B450))</f>
        <v>0</v>
      </c>
      <c r="J450" s="43" cm="1">
        <f t="array" aca="1" ref="J450" ca="1">INDIRECT(ADDRESS($A450,J$4,,,$B450))</f>
        <v>0</v>
      </c>
    </row>
    <row r="451" spans="1:10">
      <c r="A451" s="39">
        <f t="shared" si="15"/>
        <v>241</v>
      </c>
      <c r="B451" s="42" t="str">
        <f t="shared" si="16"/>
        <v>W1</v>
      </c>
      <c r="C451" s="43" cm="1">
        <f t="array" aca="1" ref="C451" ca="1">INDIRECT(ADDRESS($A451,C$4,,,$B451))</f>
        <v>0</v>
      </c>
      <c r="D451" s="43" cm="1">
        <f t="array" aca="1" ref="D451" ca="1">INDIRECT(ADDRESS($A451,D$4,,,$B451))</f>
        <v>0</v>
      </c>
      <c r="E451" s="43" cm="1">
        <f t="array" aca="1" ref="E451" ca="1">INDIRECT(ADDRESS($A451,E$4,,,$B451))</f>
        <v>0</v>
      </c>
      <c r="F451" s="43" cm="1">
        <f t="array" aca="1" ref="F451" ca="1">INDIRECT(ADDRESS($A451,F$4,,,$B451))</f>
        <v>0</v>
      </c>
      <c r="G451" s="43" cm="1">
        <f t="array" aca="1" ref="G451" ca="1">INDIRECT(ADDRESS($A451,G$4,,,$B451))</f>
        <v>0</v>
      </c>
      <c r="H451" s="43" cm="1">
        <f t="array" aca="1" ref="H451" ca="1">INDIRECT(ADDRESS($A451,H$4,,,$B451))</f>
        <v>0</v>
      </c>
      <c r="I451" s="43" cm="1">
        <f t="array" aca="1" ref="I451" ca="1">INDIRECT(ADDRESS($A451,I$4,,,$B451))</f>
        <v>0</v>
      </c>
      <c r="J451" s="43" cm="1">
        <f t="array" aca="1" ref="J451" ca="1">INDIRECT(ADDRESS($A451,J$4,,,$B451))</f>
        <v>0</v>
      </c>
    </row>
    <row r="452" spans="1:10">
      <c r="A452" s="39">
        <f t="shared" si="15"/>
        <v>242</v>
      </c>
      <c r="B452" s="42" t="str">
        <f t="shared" si="16"/>
        <v>W1</v>
      </c>
      <c r="C452" s="43" cm="1">
        <f t="array" aca="1" ref="C452" ca="1">INDIRECT(ADDRESS($A452,C$4,,,$B452))</f>
        <v>0</v>
      </c>
      <c r="D452" s="43" cm="1">
        <f t="array" aca="1" ref="D452" ca="1">INDIRECT(ADDRESS($A452,D$4,,,$B452))</f>
        <v>0</v>
      </c>
      <c r="E452" s="43" cm="1">
        <f t="array" aca="1" ref="E452" ca="1">INDIRECT(ADDRESS($A452,E$4,,,$B452))</f>
        <v>0</v>
      </c>
      <c r="F452" s="43" cm="1">
        <f t="array" aca="1" ref="F452" ca="1">INDIRECT(ADDRESS($A452,F$4,,,$B452))</f>
        <v>0</v>
      </c>
      <c r="G452" s="43" cm="1">
        <f t="array" aca="1" ref="G452" ca="1">INDIRECT(ADDRESS($A452,G$4,,,$B452))</f>
        <v>0</v>
      </c>
      <c r="H452" s="43" cm="1">
        <f t="array" aca="1" ref="H452" ca="1">INDIRECT(ADDRESS($A452,H$4,,,$B452))</f>
        <v>0</v>
      </c>
      <c r="I452" s="43" cm="1">
        <f t="array" aca="1" ref="I452" ca="1">INDIRECT(ADDRESS($A452,I$4,,,$B452))</f>
        <v>0</v>
      </c>
      <c r="J452" s="43" cm="1">
        <f t="array" aca="1" ref="J452" ca="1">INDIRECT(ADDRESS($A452,J$4,,,$B452))</f>
        <v>0</v>
      </c>
    </row>
    <row r="453" spans="1:10">
      <c r="A453" s="39">
        <f t="shared" si="15"/>
        <v>243</v>
      </c>
      <c r="B453" s="42" t="str">
        <f t="shared" si="16"/>
        <v>W1</v>
      </c>
      <c r="C453" s="43" cm="1">
        <f t="array" aca="1" ref="C453" ca="1">INDIRECT(ADDRESS($A453,C$4,,,$B453))</f>
        <v>0</v>
      </c>
      <c r="D453" s="43" cm="1">
        <f t="array" aca="1" ref="D453" ca="1">INDIRECT(ADDRESS($A453,D$4,,,$B453))</f>
        <v>0</v>
      </c>
      <c r="E453" s="43" cm="1">
        <f t="array" aca="1" ref="E453" ca="1">INDIRECT(ADDRESS($A453,E$4,,,$B453))</f>
        <v>0</v>
      </c>
      <c r="F453" s="43" cm="1">
        <f t="array" aca="1" ref="F453" ca="1">INDIRECT(ADDRESS($A453,F$4,,,$B453))</f>
        <v>0</v>
      </c>
      <c r="G453" s="43" cm="1">
        <f t="array" aca="1" ref="G453" ca="1">INDIRECT(ADDRESS($A453,G$4,,,$B453))</f>
        <v>0</v>
      </c>
      <c r="H453" s="43" cm="1">
        <f t="array" aca="1" ref="H453" ca="1">INDIRECT(ADDRESS($A453,H$4,,,$B453))</f>
        <v>0</v>
      </c>
      <c r="I453" s="43" cm="1">
        <f t="array" aca="1" ref="I453" ca="1">INDIRECT(ADDRESS($A453,I$4,,,$B453))</f>
        <v>0</v>
      </c>
      <c r="J453" s="43" cm="1">
        <f t="array" aca="1" ref="J453" ca="1">INDIRECT(ADDRESS($A453,J$4,,,$B453))</f>
        <v>0</v>
      </c>
    </row>
    <row r="454" spans="1:10">
      <c r="A454" s="39">
        <f t="shared" si="15"/>
        <v>244</v>
      </c>
      <c r="B454" s="42" t="str">
        <f t="shared" si="16"/>
        <v>W1</v>
      </c>
      <c r="C454" s="43" cm="1">
        <f t="array" aca="1" ref="C454" ca="1">INDIRECT(ADDRESS($A454,C$4,,,$B454))</f>
        <v>0</v>
      </c>
      <c r="D454" s="43" cm="1">
        <f t="array" aca="1" ref="D454" ca="1">INDIRECT(ADDRESS($A454,D$4,,,$B454))</f>
        <v>0</v>
      </c>
      <c r="E454" s="43" cm="1">
        <f t="array" aca="1" ref="E454" ca="1">INDIRECT(ADDRESS($A454,E$4,,,$B454))</f>
        <v>0</v>
      </c>
      <c r="F454" s="43" cm="1">
        <f t="array" aca="1" ref="F454" ca="1">INDIRECT(ADDRESS($A454,F$4,,,$B454))</f>
        <v>0</v>
      </c>
      <c r="G454" s="43" cm="1">
        <f t="array" aca="1" ref="G454" ca="1">INDIRECT(ADDRESS($A454,G$4,,,$B454))</f>
        <v>0</v>
      </c>
      <c r="H454" s="43" cm="1">
        <f t="array" aca="1" ref="H454" ca="1">INDIRECT(ADDRESS($A454,H$4,,,$B454))</f>
        <v>0</v>
      </c>
      <c r="I454" s="43" cm="1">
        <f t="array" aca="1" ref="I454" ca="1">INDIRECT(ADDRESS($A454,I$4,,,$B454))</f>
        <v>0</v>
      </c>
      <c r="J454" s="43" cm="1">
        <f t="array" aca="1" ref="J454" ca="1">INDIRECT(ADDRESS($A454,J$4,,,$B454))</f>
        <v>0</v>
      </c>
    </row>
    <row r="455" spans="1:10">
      <c r="A455" s="39">
        <f t="shared" si="15"/>
        <v>245</v>
      </c>
      <c r="B455" s="42" t="str">
        <f t="shared" si="16"/>
        <v>W1</v>
      </c>
      <c r="C455" s="43" cm="1">
        <f t="array" aca="1" ref="C455" ca="1">INDIRECT(ADDRESS($A455,C$4,,,$B455))</f>
        <v>0</v>
      </c>
      <c r="D455" s="43" cm="1">
        <f t="array" aca="1" ref="D455" ca="1">INDIRECT(ADDRESS($A455,D$4,,,$B455))</f>
        <v>0</v>
      </c>
      <c r="E455" s="43" cm="1">
        <f t="array" aca="1" ref="E455" ca="1">INDIRECT(ADDRESS($A455,E$4,,,$B455))</f>
        <v>0</v>
      </c>
      <c r="F455" s="43" cm="1">
        <f t="array" aca="1" ref="F455" ca="1">INDIRECT(ADDRESS($A455,F$4,,,$B455))</f>
        <v>0</v>
      </c>
      <c r="G455" s="43" cm="1">
        <f t="array" aca="1" ref="G455" ca="1">INDIRECT(ADDRESS($A455,G$4,,,$B455))</f>
        <v>0</v>
      </c>
      <c r="H455" s="43" cm="1">
        <f t="array" aca="1" ref="H455" ca="1">INDIRECT(ADDRESS($A455,H$4,,,$B455))</f>
        <v>0</v>
      </c>
      <c r="I455" s="43" cm="1">
        <f t="array" aca="1" ref="I455" ca="1">INDIRECT(ADDRESS($A455,I$4,,,$B455))</f>
        <v>0</v>
      </c>
      <c r="J455" s="43" cm="1">
        <f t="array" aca="1" ref="J455" ca="1">INDIRECT(ADDRESS($A455,J$4,,,$B455))</f>
        <v>0</v>
      </c>
    </row>
    <row r="456" spans="1:10">
      <c r="A456" s="39">
        <f t="shared" si="15"/>
        <v>246</v>
      </c>
      <c r="B456" s="42" t="str">
        <f t="shared" si="16"/>
        <v>W1</v>
      </c>
      <c r="C456" s="43" cm="1">
        <f t="array" aca="1" ref="C456" ca="1">INDIRECT(ADDRESS($A456,C$4,,,$B456))</f>
        <v>0</v>
      </c>
      <c r="D456" s="43" cm="1">
        <f t="array" aca="1" ref="D456" ca="1">INDIRECT(ADDRESS($A456,D$4,,,$B456))</f>
        <v>0</v>
      </c>
      <c r="E456" s="43" cm="1">
        <f t="array" aca="1" ref="E456" ca="1">INDIRECT(ADDRESS($A456,E$4,,,$B456))</f>
        <v>0</v>
      </c>
      <c r="F456" s="43" cm="1">
        <f t="array" aca="1" ref="F456" ca="1">INDIRECT(ADDRESS($A456,F$4,,,$B456))</f>
        <v>0</v>
      </c>
      <c r="G456" s="43" cm="1">
        <f t="array" aca="1" ref="G456" ca="1">INDIRECT(ADDRESS($A456,G$4,,,$B456))</f>
        <v>0</v>
      </c>
      <c r="H456" s="43" cm="1">
        <f t="array" aca="1" ref="H456" ca="1">INDIRECT(ADDRESS($A456,H$4,,,$B456))</f>
        <v>0</v>
      </c>
      <c r="I456" s="43" cm="1">
        <f t="array" aca="1" ref="I456" ca="1">INDIRECT(ADDRESS($A456,I$4,,,$B456))</f>
        <v>0</v>
      </c>
      <c r="J456" s="43" cm="1">
        <f t="array" aca="1" ref="J456" ca="1">INDIRECT(ADDRESS($A456,J$4,,,$B456))</f>
        <v>0</v>
      </c>
    </row>
    <row r="457" spans="1:10">
      <c r="A457" s="39">
        <f t="shared" si="15"/>
        <v>247</v>
      </c>
      <c r="B457" s="42" t="str">
        <f t="shared" si="16"/>
        <v>W1</v>
      </c>
      <c r="C457" s="43" cm="1">
        <f t="array" aca="1" ref="C457" ca="1">INDIRECT(ADDRESS($A457,C$4,,,$B457))</f>
        <v>0</v>
      </c>
      <c r="D457" s="43" cm="1">
        <f t="array" aca="1" ref="D457" ca="1">INDIRECT(ADDRESS($A457,D$4,,,$B457))</f>
        <v>0</v>
      </c>
      <c r="E457" s="43" cm="1">
        <f t="array" aca="1" ref="E457" ca="1">INDIRECT(ADDRESS($A457,E$4,,,$B457))</f>
        <v>0</v>
      </c>
      <c r="F457" s="43" cm="1">
        <f t="array" aca="1" ref="F457" ca="1">INDIRECT(ADDRESS($A457,F$4,,,$B457))</f>
        <v>0</v>
      </c>
      <c r="G457" s="43" cm="1">
        <f t="array" aca="1" ref="G457" ca="1">INDIRECT(ADDRESS($A457,G$4,,,$B457))</f>
        <v>0</v>
      </c>
      <c r="H457" s="43" cm="1">
        <f t="array" aca="1" ref="H457" ca="1">INDIRECT(ADDRESS($A457,H$4,,,$B457))</f>
        <v>0</v>
      </c>
      <c r="I457" s="43" cm="1">
        <f t="array" aca="1" ref="I457" ca="1">INDIRECT(ADDRESS($A457,I$4,,,$B457))</f>
        <v>0</v>
      </c>
      <c r="J457" s="43" cm="1">
        <f t="array" aca="1" ref="J457" ca="1">INDIRECT(ADDRESS($A457,J$4,,,$B457))</f>
        <v>0</v>
      </c>
    </row>
    <row r="458" spans="1:10">
      <c r="A458" s="39">
        <f t="shared" si="15"/>
        <v>248</v>
      </c>
      <c r="B458" s="42" t="str">
        <f t="shared" si="16"/>
        <v>W1</v>
      </c>
      <c r="C458" s="43" cm="1">
        <f t="array" aca="1" ref="C458" ca="1">INDIRECT(ADDRESS($A458,C$4,,,$B458))</f>
        <v>0</v>
      </c>
      <c r="D458" s="43" cm="1">
        <f t="array" aca="1" ref="D458" ca="1">INDIRECT(ADDRESS($A458,D$4,,,$B458))</f>
        <v>0</v>
      </c>
      <c r="E458" s="43" cm="1">
        <f t="array" aca="1" ref="E458" ca="1">INDIRECT(ADDRESS($A458,E$4,,,$B458))</f>
        <v>0</v>
      </c>
      <c r="F458" s="43" cm="1">
        <f t="array" aca="1" ref="F458" ca="1">INDIRECT(ADDRESS($A458,F$4,,,$B458))</f>
        <v>0</v>
      </c>
      <c r="G458" s="43" cm="1">
        <f t="array" aca="1" ref="G458" ca="1">INDIRECT(ADDRESS($A458,G$4,,,$B458))</f>
        <v>0</v>
      </c>
      <c r="H458" s="43" cm="1">
        <f t="array" aca="1" ref="H458" ca="1">INDIRECT(ADDRESS($A458,H$4,,,$B458))</f>
        <v>0</v>
      </c>
      <c r="I458" s="43" cm="1">
        <f t="array" aca="1" ref="I458" ca="1">INDIRECT(ADDRESS($A458,I$4,,,$B458))</f>
        <v>0</v>
      </c>
      <c r="J458" s="43" cm="1">
        <f t="array" aca="1" ref="J458" ca="1">INDIRECT(ADDRESS($A458,J$4,,,$B458))</f>
        <v>0</v>
      </c>
    </row>
    <row r="459" spans="1:10">
      <c r="A459" s="39">
        <f t="shared" si="15"/>
        <v>249</v>
      </c>
      <c r="B459" s="42" t="str">
        <f t="shared" si="16"/>
        <v>W1</v>
      </c>
      <c r="C459" s="43" cm="1">
        <f t="array" aca="1" ref="C459" ca="1">INDIRECT(ADDRESS($A459,C$4,,,$B459))</f>
        <v>0</v>
      </c>
      <c r="D459" s="43" cm="1">
        <f t="array" aca="1" ref="D459" ca="1">INDIRECT(ADDRESS($A459,D$4,,,$B459))</f>
        <v>0</v>
      </c>
      <c r="E459" s="43" cm="1">
        <f t="array" aca="1" ref="E459" ca="1">INDIRECT(ADDRESS($A459,E$4,,,$B459))</f>
        <v>0</v>
      </c>
      <c r="F459" s="43" cm="1">
        <f t="array" aca="1" ref="F459" ca="1">INDIRECT(ADDRESS($A459,F$4,,,$B459))</f>
        <v>0</v>
      </c>
      <c r="G459" s="43" cm="1">
        <f t="array" aca="1" ref="G459" ca="1">INDIRECT(ADDRESS($A459,G$4,,,$B459))</f>
        <v>0</v>
      </c>
      <c r="H459" s="43" cm="1">
        <f t="array" aca="1" ref="H459" ca="1">INDIRECT(ADDRESS($A459,H$4,,,$B459))</f>
        <v>0</v>
      </c>
      <c r="I459" s="43" cm="1">
        <f t="array" aca="1" ref="I459" ca="1">INDIRECT(ADDRESS($A459,I$4,,,$B459))</f>
        <v>0</v>
      </c>
      <c r="J459" s="43" cm="1">
        <f t="array" aca="1" ref="J459" ca="1">INDIRECT(ADDRESS($A459,J$4,,,$B459))</f>
        <v>0</v>
      </c>
    </row>
    <row r="460" spans="1:10">
      <c r="A460" s="39">
        <f t="shared" si="15"/>
        <v>250</v>
      </c>
      <c r="B460" s="42" t="str">
        <f t="shared" si="16"/>
        <v>W1</v>
      </c>
      <c r="C460" s="43" cm="1">
        <f t="array" aca="1" ref="C460" ca="1">INDIRECT(ADDRESS($A460,C$4,,,$B460))</f>
        <v>0</v>
      </c>
      <c r="D460" s="43" cm="1">
        <f t="array" aca="1" ref="D460" ca="1">INDIRECT(ADDRESS($A460,D$4,,,$B460))</f>
        <v>0</v>
      </c>
      <c r="E460" s="43" cm="1">
        <f t="array" aca="1" ref="E460" ca="1">INDIRECT(ADDRESS($A460,E$4,,,$B460))</f>
        <v>0</v>
      </c>
      <c r="F460" s="43" cm="1">
        <f t="array" aca="1" ref="F460" ca="1">INDIRECT(ADDRESS($A460,F$4,,,$B460))</f>
        <v>0</v>
      </c>
      <c r="G460" s="43" cm="1">
        <f t="array" aca="1" ref="G460" ca="1">INDIRECT(ADDRESS($A460,G$4,,,$B460))</f>
        <v>0</v>
      </c>
      <c r="H460" s="43" cm="1">
        <f t="array" aca="1" ref="H460" ca="1">INDIRECT(ADDRESS($A460,H$4,,,$B460))</f>
        <v>0</v>
      </c>
      <c r="I460" s="43" cm="1">
        <f t="array" aca="1" ref="I460" ca="1">INDIRECT(ADDRESS($A460,I$4,,,$B460))</f>
        <v>0</v>
      </c>
      <c r="J460" s="43" cm="1">
        <f t="array" aca="1" ref="J460" ca="1">INDIRECT(ADDRESS($A460,J$4,,,$B460))</f>
        <v>0</v>
      </c>
    </row>
    <row r="461" spans="1:10">
      <c r="A461" s="39">
        <f t="shared" si="15"/>
        <v>251</v>
      </c>
      <c r="B461" s="42" t="str">
        <f t="shared" si="16"/>
        <v>W1</v>
      </c>
      <c r="C461" s="43" cm="1">
        <f t="array" aca="1" ref="C461" ca="1">INDIRECT(ADDRESS($A461,C$4,,,$B461))</f>
        <v>0</v>
      </c>
      <c r="D461" s="43" cm="1">
        <f t="array" aca="1" ref="D461" ca="1">INDIRECT(ADDRESS($A461,D$4,,,$B461))</f>
        <v>0</v>
      </c>
      <c r="E461" s="43" cm="1">
        <f t="array" aca="1" ref="E461" ca="1">INDIRECT(ADDRESS($A461,E$4,,,$B461))</f>
        <v>0</v>
      </c>
      <c r="F461" s="43" cm="1">
        <f t="array" aca="1" ref="F461" ca="1">INDIRECT(ADDRESS($A461,F$4,,,$B461))</f>
        <v>0</v>
      </c>
      <c r="G461" s="43" cm="1">
        <f t="array" aca="1" ref="G461" ca="1">INDIRECT(ADDRESS($A461,G$4,,,$B461))</f>
        <v>0</v>
      </c>
      <c r="H461" s="43" cm="1">
        <f t="array" aca="1" ref="H461" ca="1">INDIRECT(ADDRESS($A461,H$4,,,$B461))</f>
        <v>0</v>
      </c>
      <c r="I461" s="43" cm="1">
        <f t="array" aca="1" ref="I461" ca="1">INDIRECT(ADDRESS($A461,I$4,,,$B461))</f>
        <v>0</v>
      </c>
      <c r="J461" s="43" cm="1">
        <f t="array" aca="1" ref="J461" ca="1">INDIRECT(ADDRESS($A461,J$4,,,$B461))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40625" defaultRowHeight="15"/>
  <cols>
    <col min="1" max="1" width="16.7109375" style="129" customWidth="1"/>
    <col min="2" max="2" width="9.140625" style="128" customWidth="1"/>
    <col min="3" max="3" width="1.85546875" style="129" customWidth="1"/>
    <col min="4" max="4" width="21.5703125" style="128" customWidth="1"/>
    <col min="5" max="5" width="6.42578125" style="129" customWidth="1"/>
    <col min="6" max="6" width="19.5703125" style="128" customWidth="1"/>
    <col min="7" max="7" width="2.85546875" style="129" customWidth="1"/>
    <col min="8" max="8" width="27.140625" style="128" bestFit="1" customWidth="1"/>
    <col min="9" max="9" width="2.5703125" style="129" customWidth="1"/>
    <col min="10" max="10" width="21.7109375" style="128" customWidth="1"/>
    <col min="11" max="16384" width="9.140625" style="129"/>
  </cols>
  <sheetData>
    <row r="1" spans="1:10" ht="15.75">
      <c r="A1" s="127" t="s">
        <v>193</v>
      </c>
    </row>
    <row r="3" spans="1:10">
      <c r="A3" s="130" t="s">
        <v>194</v>
      </c>
      <c r="B3" s="131"/>
      <c r="C3" s="130"/>
      <c r="D3" s="131"/>
    </row>
    <row r="4" spans="1:10">
      <c r="A4" s="132"/>
    </row>
    <row r="5" spans="1:10">
      <c r="A5" s="133" t="s">
        <v>195</v>
      </c>
    </row>
    <row r="6" spans="1:10">
      <c r="A6" s="133" t="s">
        <v>196</v>
      </c>
    </row>
    <row r="7" spans="1:10">
      <c r="A7" s="132"/>
    </row>
    <row r="8" spans="1:10">
      <c r="A8" s="449" t="s">
        <v>197</v>
      </c>
      <c r="B8" s="450"/>
      <c r="D8" s="134" t="s">
        <v>198</v>
      </c>
      <c r="E8" s="135"/>
      <c r="F8" s="134" t="s">
        <v>199</v>
      </c>
      <c r="G8" s="136"/>
      <c r="H8" s="134" t="s">
        <v>200</v>
      </c>
      <c r="I8" s="136"/>
      <c r="J8" s="134" t="s">
        <v>201</v>
      </c>
    </row>
    <row r="9" spans="1:10">
      <c r="A9" s="137"/>
      <c r="B9" s="138"/>
      <c r="D9" s="139"/>
      <c r="E9" s="136"/>
      <c r="F9" s="139"/>
      <c r="G9" s="136"/>
      <c r="H9" s="139"/>
      <c r="I9" s="136"/>
      <c r="J9" s="139"/>
    </row>
    <row r="10" spans="1:10">
      <c r="A10" s="140" t="s">
        <v>202</v>
      </c>
      <c r="B10" s="141"/>
      <c r="D10" s="142"/>
      <c r="E10" s="143"/>
      <c r="F10" s="144"/>
      <c r="G10" s="143"/>
      <c r="H10" s="144"/>
      <c r="I10" s="143"/>
      <c r="J10" s="144"/>
    </row>
    <row r="11" spans="1:10">
      <c r="A11" s="137"/>
      <c r="B11" s="138"/>
      <c r="D11" s="144"/>
      <c r="E11" s="143"/>
      <c r="F11" s="144"/>
      <c r="G11" s="143"/>
      <c r="H11" s="144"/>
      <c r="I11" s="143"/>
      <c r="J11" s="144"/>
    </row>
    <row r="12" spans="1:10">
      <c r="A12" s="145" t="s">
        <v>25</v>
      </c>
      <c r="B12" s="138">
        <f>+'W1'!$J$12</f>
        <v>10.134259999999999</v>
      </c>
      <c r="D12" s="144">
        <f>+'W1'!$K$19</f>
        <v>925.49592577300007</v>
      </c>
      <c r="E12" s="143"/>
      <c r="F12" s="144">
        <f>+B12+D12</f>
        <v>935.63018577300011</v>
      </c>
      <c r="G12" s="143"/>
      <c r="H12" s="144">
        <f>D12+B12-D10</f>
        <v>935.63018577300011</v>
      </c>
      <c r="I12" s="143"/>
      <c r="J12" s="144">
        <f>+'W1'!$L$19</f>
        <v>0</v>
      </c>
    </row>
    <row r="13" spans="1:10">
      <c r="A13" s="145" t="s">
        <v>29</v>
      </c>
      <c r="B13" s="138">
        <f>+'W2'!$J$12</f>
        <v>95.820000000000007</v>
      </c>
      <c r="D13" s="144">
        <f>+'W2'!$K$19</f>
        <v>1094.8548048743571</v>
      </c>
      <c r="E13" s="143"/>
      <c r="F13" s="144">
        <f>+B13+D13</f>
        <v>1190.6748048743571</v>
      </c>
      <c r="G13" s="143"/>
      <c r="H13" s="144">
        <f>F13-F12</f>
        <v>255.04461910135694</v>
      </c>
      <c r="I13" s="143"/>
      <c r="J13" s="144">
        <f>+'W2'!$L$19</f>
        <v>0</v>
      </c>
    </row>
    <row r="14" spans="1:10">
      <c r="A14" s="145" t="s">
        <v>33</v>
      </c>
      <c r="B14" s="138">
        <f>+'W3'!$J$12</f>
        <v>230.38955999999999</v>
      </c>
      <c r="D14" s="144">
        <f>+'W3'!$K$19</f>
        <v>1262.1781653428775</v>
      </c>
      <c r="E14" s="143"/>
      <c r="F14" s="144">
        <f>+B14+D14</f>
        <v>1492.5677253428776</v>
      </c>
      <c r="G14" s="143"/>
      <c r="H14" s="144">
        <f>F14-F13</f>
        <v>301.89292046852051</v>
      </c>
      <c r="I14" s="143"/>
      <c r="J14" s="144">
        <f>+'W3'!$L$19</f>
        <v>0</v>
      </c>
    </row>
    <row r="15" spans="1:10">
      <c r="A15" s="145" t="s">
        <v>37</v>
      </c>
      <c r="B15" s="138">
        <f>+'W4'!$J$12</f>
        <v>352.24881950000002</v>
      </c>
      <c r="D15" s="144">
        <f>+'W4'!$K$19</f>
        <v>1263.8100000000002</v>
      </c>
      <c r="E15" s="143"/>
      <c r="F15" s="144">
        <f>+B15+D15</f>
        <v>1616.0588195000003</v>
      </c>
      <c r="G15" s="143"/>
      <c r="H15" s="144">
        <f>F15-F14</f>
        <v>123.49109415712269</v>
      </c>
      <c r="I15" s="143"/>
      <c r="J15" s="144">
        <f>+'W4'!$L$19</f>
        <v>0</v>
      </c>
    </row>
    <row r="16" spans="1:10">
      <c r="A16" s="145" t="s">
        <v>41</v>
      </c>
      <c r="B16" s="138">
        <f>+'W5'!$J$12</f>
        <v>542.53</v>
      </c>
      <c r="D16" s="144">
        <f>+'W5'!$K$19</f>
        <v>1055.6300000000001</v>
      </c>
      <c r="E16" s="143"/>
      <c r="F16" s="144">
        <f>+B16+D16</f>
        <v>1598.16</v>
      </c>
      <c r="G16" s="143"/>
      <c r="H16" s="144">
        <f>F16-F15</f>
        <v>-17.898819500000172</v>
      </c>
      <c r="I16" s="143"/>
      <c r="J16" s="144">
        <f>+'W5'!$L$19</f>
        <v>0</v>
      </c>
    </row>
    <row r="17" spans="1:10">
      <c r="A17" s="146" t="s">
        <v>203</v>
      </c>
      <c r="B17" s="147"/>
      <c r="D17" s="144"/>
      <c r="E17" s="143"/>
      <c r="F17" s="144"/>
      <c r="G17" s="143"/>
      <c r="H17" s="144"/>
      <c r="I17" s="143"/>
      <c r="J17" s="144"/>
    </row>
    <row r="18" spans="1:10">
      <c r="A18" s="145" t="s">
        <v>45</v>
      </c>
      <c r="B18" s="138">
        <f>+'W6'!$J$12</f>
        <v>69.680000000000007</v>
      </c>
      <c r="D18" s="144">
        <f>+'W6'!$K$19</f>
        <v>869.15049510000017</v>
      </c>
      <c r="E18" s="143"/>
      <c r="F18" s="144">
        <f>+B17+B18+D18</f>
        <v>938.83049510000023</v>
      </c>
      <c r="G18" s="143"/>
      <c r="H18" s="144">
        <f>F18-F16</f>
        <v>-659.32950489999985</v>
      </c>
      <c r="I18" s="143"/>
      <c r="J18" s="144">
        <f>+'W6'!$L$19</f>
        <v>0</v>
      </c>
    </row>
    <row r="19" spans="1:10">
      <c r="A19" s="145" t="s">
        <v>49</v>
      </c>
      <c r="B19" s="138">
        <f>+'W7'!$J$12</f>
        <v>83</v>
      </c>
      <c r="D19" s="144">
        <f>+'W7'!$K$19</f>
        <v>1009.6433848929868</v>
      </c>
      <c r="E19" s="143"/>
      <c r="F19" s="144">
        <f>+B17+B19+D19</f>
        <v>1092.6433848929869</v>
      </c>
      <c r="G19" s="143"/>
      <c r="H19" s="144">
        <f>F19-F18</f>
        <v>153.81288979298665</v>
      </c>
      <c r="I19" s="143"/>
      <c r="J19" s="144">
        <f>+'W7'!$L$19</f>
        <v>0</v>
      </c>
    </row>
    <row r="20" spans="1:10">
      <c r="A20" s="145" t="s">
        <v>53</v>
      </c>
      <c r="B20" s="138">
        <f>+'W8'!$J$12</f>
        <v>156.24734579999995</v>
      </c>
      <c r="D20" s="144">
        <f>+'W8'!$K$19</f>
        <v>1266.2799903452769</v>
      </c>
      <c r="E20" s="143"/>
      <c r="F20" s="144">
        <f>+B17+B20+D20</f>
        <v>1422.5273361452769</v>
      </c>
      <c r="G20" s="143"/>
      <c r="H20" s="144">
        <f>F20-F19</f>
        <v>329.88395125228999</v>
      </c>
      <c r="I20" s="143"/>
      <c r="J20" s="144">
        <f>+'W8'!$L$19</f>
        <v>0</v>
      </c>
    </row>
    <row r="21" spans="1:10">
      <c r="A21" s="145" t="s">
        <v>58</v>
      </c>
      <c r="B21" s="138">
        <f>+'W9'!$J$12</f>
        <v>573</v>
      </c>
      <c r="D21" s="144">
        <f>+'W9'!$K$19</f>
        <v>2302.9323880000002</v>
      </c>
      <c r="E21" s="143"/>
      <c r="F21" s="144">
        <f>+B22+B21+D21</f>
        <v>2875.9323880000002</v>
      </c>
      <c r="G21" s="143"/>
      <c r="H21" s="144">
        <f>F21-F20</f>
        <v>1453.4050518547233</v>
      </c>
      <c r="I21" s="143"/>
      <c r="J21" s="144">
        <f>+'W9'!$L$19</f>
        <v>0</v>
      </c>
    </row>
    <row r="22" spans="1:10">
      <c r="A22" s="146" t="s">
        <v>204</v>
      </c>
      <c r="B22" s="147"/>
      <c r="D22" s="144"/>
      <c r="E22" s="143"/>
      <c r="F22" s="144"/>
      <c r="G22" s="143"/>
      <c r="H22" s="144"/>
      <c r="I22" s="143"/>
      <c r="J22" s="144"/>
    </row>
    <row r="23" spans="1:10">
      <c r="A23" s="145" t="s">
        <v>62</v>
      </c>
      <c r="B23" s="138">
        <f>+'W10'!$J$12</f>
        <v>31</v>
      </c>
      <c r="D23" s="144">
        <f>+'W10'!$K$19</f>
        <v>2342.7469043651663</v>
      </c>
      <c r="E23" s="143"/>
      <c r="F23" s="144">
        <f>+B22+B23+D23</f>
        <v>2373.7469043651663</v>
      </c>
      <c r="G23" s="143"/>
      <c r="H23" s="144">
        <f>F23-F21</f>
        <v>-502.18548363483387</v>
      </c>
      <c r="I23" s="143"/>
      <c r="J23" s="144">
        <f>+'W10'!$L$19</f>
        <v>0</v>
      </c>
    </row>
    <row r="24" spans="1:10">
      <c r="A24" s="145" t="s">
        <v>66</v>
      </c>
      <c r="B24" s="138">
        <f>+'W11'!$J$12</f>
        <v>78</v>
      </c>
      <c r="D24" s="144">
        <f>+'W11'!$K$19</f>
        <v>2998.0455150999987</v>
      </c>
      <c r="E24" s="143"/>
      <c r="F24" s="144">
        <f>+B22+B24+D24</f>
        <v>3076.0455150999987</v>
      </c>
      <c r="G24" s="143"/>
      <c r="H24" s="144">
        <f>F24-F23</f>
        <v>702.29861073483244</v>
      </c>
      <c r="I24" s="143"/>
      <c r="J24" s="144">
        <f>+'W11'!$L$19</f>
        <v>0</v>
      </c>
    </row>
    <row r="25" spans="1:10">
      <c r="A25" s="145" t="s">
        <v>70</v>
      </c>
      <c r="B25" s="138">
        <f>+'W12'!$J$12</f>
        <v>197.22</v>
      </c>
      <c r="D25" s="144">
        <f>+'W12'!$K$19</f>
        <v>2975.9452751000008</v>
      </c>
      <c r="E25" s="143"/>
      <c r="F25" s="144">
        <f>+B22+B25+D25</f>
        <v>3173.1652751000006</v>
      </c>
      <c r="G25" s="143"/>
      <c r="H25" s="144">
        <f>F25-F24</f>
        <v>97.119760000001861</v>
      </c>
      <c r="I25" s="143"/>
      <c r="J25" s="144">
        <f>+'W12'!$L$19</f>
        <v>0</v>
      </c>
    </row>
    <row r="26" spans="1:10">
      <c r="A26" s="145" t="s">
        <v>75</v>
      </c>
      <c r="B26" s="138">
        <f>+'W13'!$J$12</f>
        <v>441.52</v>
      </c>
      <c r="D26" s="144">
        <f>+'W13'!$K$19</f>
        <v>3365.0094141</v>
      </c>
      <c r="E26" s="143"/>
      <c r="F26" s="144">
        <f>+B22+B26+D26</f>
        <v>3806.5294140999999</v>
      </c>
      <c r="G26" s="143"/>
      <c r="H26" s="144">
        <f>F26-F25</f>
        <v>633.36413899999934</v>
      </c>
      <c r="I26" s="143"/>
      <c r="J26" s="144">
        <f>+'W13'!$L$19</f>
        <v>0</v>
      </c>
    </row>
    <row r="27" spans="1:10">
      <c r="A27" s="146" t="s">
        <v>205</v>
      </c>
      <c r="B27" s="147"/>
      <c r="D27" s="144"/>
      <c r="E27" s="143"/>
      <c r="F27" s="144"/>
      <c r="G27" s="143"/>
      <c r="H27" s="144"/>
      <c r="I27" s="143"/>
      <c r="J27" s="144"/>
    </row>
    <row r="28" spans="1:10">
      <c r="A28" s="145" t="s">
        <v>78</v>
      </c>
      <c r="B28" s="138">
        <f>+'W14'!$J$12</f>
        <v>6.5</v>
      </c>
      <c r="D28" s="144">
        <f>+'W14'!$K$19</f>
        <v>3097.8574321730002</v>
      </c>
      <c r="E28" s="143"/>
      <c r="F28" s="144">
        <f>+B27+B28+D28</f>
        <v>3104.3574321730002</v>
      </c>
      <c r="G28" s="143"/>
      <c r="H28" s="144">
        <f>F28-F26</f>
        <v>-702.17198192699971</v>
      </c>
      <c r="I28" s="143"/>
      <c r="J28" s="144">
        <f>+'W14'!$L$19</f>
        <v>0</v>
      </c>
    </row>
    <row r="29" spans="1:10">
      <c r="A29" s="145" t="s">
        <v>81</v>
      </c>
      <c r="B29" s="138">
        <f>+'W15'!$J$12</f>
        <v>59.37</v>
      </c>
      <c r="D29" s="144">
        <f>+'W15'!$K$19</f>
        <v>3181.8574321730002</v>
      </c>
      <c r="E29" s="143"/>
      <c r="F29" s="144">
        <f>+B27+B29+D29</f>
        <v>3241.2274321730001</v>
      </c>
      <c r="G29" s="143"/>
      <c r="H29" s="144">
        <f>F29-F28</f>
        <v>136.86999999999989</v>
      </c>
      <c r="I29" s="143"/>
      <c r="J29" s="144">
        <f>+'W15'!$L$19</f>
        <v>0</v>
      </c>
    </row>
    <row r="30" spans="1:10">
      <c r="A30" s="145" t="s">
        <v>84</v>
      </c>
      <c r="B30" s="138">
        <f>+'W16'!$J$12</f>
        <v>177</v>
      </c>
      <c r="D30" s="144">
        <f>+'W16'!$K$19</f>
        <v>3286.2972213830003</v>
      </c>
      <c r="E30" s="143"/>
      <c r="F30" s="144">
        <f>+B27+B30+D30</f>
        <v>3463.2972213830003</v>
      </c>
      <c r="G30" s="143"/>
      <c r="H30" s="144">
        <f>F30-F29</f>
        <v>222.06978921000018</v>
      </c>
      <c r="I30" s="143"/>
      <c r="J30" s="144">
        <f>+'W16'!$L$19</f>
        <v>0</v>
      </c>
    </row>
    <row r="31" spans="1:10">
      <c r="A31" s="145" t="s">
        <v>87</v>
      </c>
      <c r="B31" s="138">
        <f>+'W17'!$J$12</f>
        <v>278.27815040000002</v>
      </c>
      <c r="D31" s="144">
        <f>+'W17'!$K$19</f>
        <v>3398.1054440879993</v>
      </c>
      <c r="E31" s="143"/>
      <c r="F31" s="144">
        <f>+B27+B31+D31</f>
        <v>3676.3835944879993</v>
      </c>
      <c r="G31" s="143"/>
      <c r="H31" s="144">
        <f>F31-F30</f>
        <v>213.08637310499898</v>
      </c>
      <c r="I31" s="143"/>
      <c r="J31" s="144">
        <f>+'W17'!$L$19</f>
        <v>0</v>
      </c>
    </row>
    <row r="32" spans="1:10">
      <c r="A32" s="145" t="s">
        <v>90</v>
      </c>
      <c r="B32" s="138">
        <f>+'W18'!$J$12</f>
        <v>472</v>
      </c>
      <c r="D32" s="144">
        <f>+'W18'!$K$19</f>
        <v>3501.5122239809998</v>
      </c>
      <c r="E32" s="143"/>
      <c r="F32" s="144">
        <f>+B33+B32+D32</f>
        <v>3973.5122239809998</v>
      </c>
      <c r="G32" s="143"/>
      <c r="H32" s="144">
        <f>F32-F31</f>
        <v>297.12862949300052</v>
      </c>
      <c r="I32" s="143"/>
      <c r="J32" s="144">
        <f>+'W18'!$L$19</f>
        <v>0</v>
      </c>
    </row>
    <row r="33" spans="1:10">
      <c r="A33" s="146" t="s">
        <v>206</v>
      </c>
      <c r="B33" s="147"/>
      <c r="D33" s="144"/>
      <c r="E33" s="143"/>
      <c r="F33" s="144"/>
      <c r="G33" s="143"/>
      <c r="H33" s="144"/>
      <c r="I33" s="143"/>
      <c r="J33" s="144"/>
    </row>
    <row r="34" spans="1:10">
      <c r="A34" s="145" t="s">
        <v>93</v>
      </c>
      <c r="B34" s="138">
        <f>+'W19'!$J$12</f>
        <v>117</v>
      </c>
      <c r="D34" s="144">
        <f>+'W19'!$K$19</f>
        <v>3494.8517523130004</v>
      </c>
      <c r="E34" s="143"/>
      <c r="F34" s="144">
        <f>+B33+B34+D34</f>
        <v>3611.8517523130004</v>
      </c>
      <c r="G34" s="143"/>
      <c r="H34" s="144">
        <f>F34-F32</f>
        <v>-361.66047166799945</v>
      </c>
      <c r="I34" s="143"/>
      <c r="J34" s="144">
        <f>+'W19'!$L$19</f>
        <v>0</v>
      </c>
    </row>
    <row r="35" spans="1:10">
      <c r="A35" s="145" t="s">
        <v>96</v>
      </c>
      <c r="B35" s="138">
        <f>+'W20'!$J$12</f>
        <v>152</v>
      </c>
      <c r="D35" s="144">
        <f>+'W20'!$K$19</f>
        <v>3709.0805545039998</v>
      </c>
      <c r="E35" s="143"/>
      <c r="F35" s="144">
        <f>+B33+B35+D35</f>
        <v>3861.0805545039998</v>
      </c>
      <c r="G35" s="143"/>
      <c r="H35" s="144">
        <f>F35-F34</f>
        <v>249.22880219099943</v>
      </c>
      <c r="I35" s="143"/>
      <c r="J35" s="144">
        <f>+'W20'!$L$19</f>
        <v>0</v>
      </c>
    </row>
    <row r="36" spans="1:10">
      <c r="A36" s="145" t="s">
        <v>99</v>
      </c>
      <c r="B36" s="138">
        <f>+'W21'!$J$12</f>
        <v>272</v>
      </c>
      <c r="D36" s="144">
        <f>+'W21'!$K$19</f>
        <v>3657.2126961779995</v>
      </c>
      <c r="E36" s="143"/>
      <c r="F36" s="144">
        <f>+B33+B36+D36</f>
        <v>3929.2126961779995</v>
      </c>
      <c r="G36" s="143"/>
      <c r="H36" s="144">
        <f>F36-F35</f>
        <v>68.13214167399974</v>
      </c>
      <c r="I36" s="143"/>
      <c r="J36" s="144">
        <f>+'W21'!$L$19</f>
        <v>0</v>
      </c>
    </row>
    <row r="37" spans="1:10">
      <c r="A37" s="145" t="s">
        <v>102</v>
      </c>
      <c r="B37" s="138">
        <f>+'W22'!$J$12</f>
        <v>466</v>
      </c>
      <c r="D37" s="144">
        <f>+'W22'!$K$19</f>
        <v>3649.4797284799997</v>
      </c>
      <c r="E37" s="143"/>
      <c r="F37" s="144">
        <f>+B38+B37+D37</f>
        <v>4115.4797284799997</v>
      </c>
      <c r="G37" s="143"/>
      <c r="H37" s="144">
        <f>F37-F36</f>
        <v>186.26703230200019</v>
      </c>
      <c r="I37" s="143"/>
      <c r="J37" s="144">
        <f>+'W22'!$L$19</f>
        <v>0</v>
      </c>
    </row>
    <row r="38" spans="1:10">
      <c r="A38" s="146" t="s">
        <v>207</v>
      </c>
      <c r="B38" s="147"/>
      <c r="D38" s="144"/>
      <c r="E38" s="143"/>
      <c r="F38" s="144"/>
      <c r="G38" s="143"/>
      <c r="H38" s="144"/>
      <c r="I38" s="143"/>
      <c r="J38" s="144"/>
    </row>
    <row r="39" spans="1:10">
      <c r="A39" s="145" t="s">
        <v>105</v>
      </c>
      <c r="B39" s="138">
        <f>+'W23'!$J$12</f>
        <v>158</v>
      </c>
      <c r="D39" s="144">
        <f>+'W23'!$K$19</f>
        <v>3464.4907380999998</v>
      </c>
      <c r="E39" s="143"/>
      <c r="F39" s="144">
        <f>+B38+B39+D39</f>
        <v>3622.4907380999998</v>
      </c>
      <c r="G39" s="143"/>
      <c r="H39" s="144">
        <f>F39-F37</f>
        <v>-492.9889903799999</v>
      </c>
      <c r="I39" s="143"/>
      <c r="J39" s="144">
        <f>+'W23'!$L$19</f>
        <v>0</v>
      </c>
    </row>
    <row r="40" spans="1:10">
      <c r="A40" s="145" t="s">
        <v>108</v>
      </c>
      <c r="B40" s="138">
        <f>+'W24'!$J$12</f>
        <v>311</v>
      </c>
      <c r="D40" s="144">
        <f>+'W24'!$K$19</f>
        <v>3343.2065498649999</v>
      </c>
      <c r="E40" s="143"/>
      <c r="F40" s="144">
        <f>+B38+B40+D40</f>
        <v>3654.2065498649999</v>
      </c>
      <c r="G40" s="143"/>
      <c r="H40" s="144">
        <f>F40-F39</f>
        <v>31.715811765000126</v>
      </c>
      <c r="I40" s="143"/>
      <c r="J40" s="144">
        <f>+'W24'!$L$19</f>
        <v>0</v>
      </c>
    </row>
    <row r="41" spans="1:10">
      <c r="A41" s="145" t="s">
        <v>111</v>
      </c>
      <c r="B41" s="138">
        <f>+'W25'!$J$12</f>
        <v>488</v>
      </c>
      <c r="D41" s="144">
        <f>+'W25'!$K$19</f>
        <v>3338.7145303940001</v>
      </c>
      <c r="E41" s="143"/>
      <c r="F41" s="144">
        <f>+B38+B41+D41</f>
        <v>3826.7145303940001</v>
      </c>
      <c r="G41" s="143"/>
      <c r="H41" s="144">
        <f>F41-F40</f>
        <v>172.50798052900018</v>
      </c>
      <c r="I41" s="143"/>
      <c r="J41" s="144">
        <f>+'W25'!$L$19</f>
        <v>0</v>
      </c>
    </row>
    <row r="42" spans="1:10">
      <c r="A42" s="145" t="s">
        <v>113</v>
      </c>
      <c r="B42" s="138">
        <f>+'W26'!$J$12</f>
        <v>656</v>
      </c>
      <c r="D42" s="144">
        <f>+'W26'!$K$19</f>
        <v>3502.0384911540004</v>
      </c>
      <c r="E42" s="143"/>
      <c r="F42" s="144">
        <f>+B38+B42+D42</f>
        <v>4158.0384911540004</v>
      </c>
      <c r="G42" s="143"/>
      <c r="H42" s="144">
        <f>F42-F41</f>
        <v>331.32396076000032</v>
      </c>
      <c r="I42" s="143"/>
      <c r="J42" s="144">
        <f>+'W26'!$L$19</f>
        <v>0</v>
      </c>
    </row>
    <row r="43" spans="1:10">
      <c r="A43" s="146" t="s">
        <v>208</v>
      </c>
      <c r="B43" s="147"/>
      <c r="D43" s="144"/>
      <c r="E43" s="143"/>
      <c r="F43" s="144"/>
      <c r="G43" s="143"/>
      <c r="H43" s="144"/>
      <c r="I43" s="143"/>
      <c r="J43" s="144"/>
    </row>
    <row r="44" spans="1:10">
      <c r="A44" s="145" t="s">
        <v>116</v>
      </c>
      <c r="B44" s="138">
        <f>+'W27'!$J$12</f>
        <v>215</v>
      </c>
      <c r="D44" s="144">
        <f>+'W27'!$K$19</f>
        <v>3246.6091585699992</v>
      </c>
      <c r="E44" s="143"/>
      <c r="F44" s="144">
        <f>+B43+B44+D44</f>
        <v>3461.6091585699992</v>
      </c>
      <c r="G44" s="143"/>
      <c r="H44" s="144">
        <f>F44-F42</f>
        <v>-696.42933258400126</v>
      </c>
      <c r="I44" s="143"/>
      <c r="J44" s="144">
        <f>+'W27'!$L$19</f>
        <v>0</v>
      </c>
    </row>
    <row r="45" spans="1:10">
      <c r="A45" s="145" t="s">
        <v>119</v>
      </c>
      <c r="B45" s="138">
        <f>+'W28'!$J$12</f>
        <v>407</v>
      </c>
      <c r="D45" s="144">
        <f>+'W28'!$K$19</f>
        <v>3233.1982481830005</v>
      </c>
      <c r="E45" s="143"/>
      <c r="F45" s="144">
        <f>+B43+B45+D45</f>
        <v>3640.1982481830005</v>
      </c>
      <c r="G45" s="143"/>
      <c r="H45" s="144">
        <f>F45-F44</f>
        <v>178.58908961300131</v>
      </c>
      <c r="I45" s="143"/>
      <c r="J45" s="144">
        <f>+'W28'!$L$19</f>
        <v>0</v>
      </c>
    </row>
    <row r="46" spans="1:10">
      <c r="A46" s="145" t="s">
        <v>122</v>
      </c>
      <c r="B46" s="138">
        <f>+'W29'!$J$12</f>
        <v>749</v>
      </c>
      <c r="D46" s="144">
        <f>+'W29'!$K$19</f>
        <v>3228.0777559229996</v>
      </c>
      <c r="E46" s="143"/>
      <c r="F46" s="144">
        <f>+B43+B46+D46</f>
        <v>3977.0777559229996</v>
      </c>
      <c r="G46" s="143"/>
      <c r="H46" s="144">
        <f>F46-F45</f>
        <v>336.8795077399991</v>
      </c>
      <c r="I46" s="143"/>
      <c r="J46" s="144">
        <f>+'W29'!$L$19</f>
        <v>0</v>
      </c>
    </row>
    <row r="47" spans="1:10">
      <c r="A47" s="145" t="s">
        <v>124</v>
      </c>
      <c r="B47" s="138">
        <f>+'W30'!$J$12</f>
        <v>870</v>
      </c>
      <c r="D47" s="144">
        <f>+'W30'!$K$19</f>
        <v>3244.469000224999</v>
      </c>
      <c r="E47" s="143"/>
      <c r="F47" s="144">
        <f>+B43+B47+D47</f>
        <v>4114.469000224999</v>
      </c>
      <c r="G47" s="143"/>
      <c r="H47" s="144">
        <f>F47-F46</f>
        <v>137.39124430199945</v>
      </c>
      <c r="I47" s="143"/>
      <c r="J47" s="144">
        <f>+'W30'!$L$19</f>
        <v>0</v>
      </c>
    </row>
    <row r="48" spans="1:10">
      <c r="A48" s="145" t="s">
        <v>127</v>
      </c>
      <c r="B48" s="138">
        <f>+'W31'!$J$12</f>
        <v>929</v>
      </c>
      <c r="D48" s="144">
        <f>+'W31'!$K$19</f>
        <v>3178.6204239619988</v>
      </c>
      <c r="E48" s="143"/>
      <c r="F48" s="144">
        <f>+B43+B48+D48</f>
        <v>4107.6204239619983</v>
      </c>
      <c r="G48" s="143"/>
      <c r="H48" s="144">
        <f>F48-F47</f>
        <v>-6.848576263000723</v>
      </c>
      <c r="I48" s="143"/>
      <c r="J48" s="144">
        <f>+'W31'!$L$19</f>
        <v>0</v>
      </c>
    </row>
    <row r="49" spans="1:10">
      <c r="A49" s="146" t="s">
        <v>209</v>
      </c>
      <c r="B49" s="147"/>
      <c r="D49" s="144"/>
      <c r="E49" s="143"/>
      <c r="F49" s="144"/>
      <c r="G49" s="143"/>
      <c r="H49" s="144"/>
      <c r="I49" s="143"/>
      <c r="J49" s="144"/>
    </row>
    <row r="50" spans="1:10">
      <c r="A50" s="145" t="s">
        <v>130</v>
      </c>
      <c r="B50" s="138">
        <f>+'W32'!$J$12</f>
        <v>106</v>
      </c>
      <c r="D50" s="144">
        <f>+'W32'!$K$19</f>
        <v>3035.6394778579997</v>
      </c>
      <c r="E50" s="143"/>
      <c r="F50" s="144">
        <f>+B49+B50+D50</f>
        <v>3141.6394778579997</v>
      </c>
      <c r="G50" s="143"/>
      <c r="H50" s="144">
        <f>F50-F48</f>
        <v>-965.98094610399858</v>
      </c>
      <c r="I50" s="143"/>
      <c r="J50" s="144">
        <f>+'W32'!$L$19</f>
        <v>0</v>
      </c>
    </row>
    <row r="51" spans="1:10">
      <c r="A51" s="145" t="s">
        <v>133</v>
      </c>
      <c r="B51" s="138">
        <f>+'W33'!$J$12</f>
        <v>227</v>
      </c>
      <c r="D51" s="144">
        <f>+'W33'!$K$19</f>
        <v>2944.7055227690003</v>
      </c>
      <c r="E51" s="143"/>
      <c r="F51" s="144">
        <f>+B49+B51+D51</f>
        <v>3171.7055227690003</v>
      </c>
      <c r="G51" s="143"/>
      <c r="H51" s="144">
        <f>F51-F50</f>
        <v>30.066044911000517</v>
      </c>
      <c r="I51" s="143"/>
      <c r="J51" s="144">
        <f>+'W33'!$L$19</f>
        <v>0</v>
      </c>
    </row>
    <row r="52" spans="1:10">
      <c r="A52" s="145" t="s">
        <v>136</v>
      </c>
      <c r="B52" s="138">
        <f>+'W34'!$J$12</f>
        <v>388</v>
      </c>
      <c r="D52" s="144">
        <f>+'W34'!$K$19</f>
        <v>3060.5815101070002</v>
      </c>
      <c r="E52" s="143"/>
      <c r="F52" s="144">
        <f>+B49+B52+D52</f>
        <v>3448.5815101070002</v>
      </c>
      <c r="G52" s="143"/>
      <c r="H52" s="144">
        <f>F52-F51</f>
        <v>276.87598733799996</v>
      </c>
      <c r="I52" s="143"/>
      <c r="J52" s="144">
        <f>+'W34'!$L$19</f>
        <v>0</v>
      </c>
    </row>
    <row r="53" spans="1:10">
      <c r="A53" s="145" t="s">
        <v>139</v>
      </c>
      <c r="B53" s="138">
        <f>+'W35'!$J$12</f>
        <v>699</v>
      </c>
      <c r="D53" s="144">
        <f>+'W35'!$K$19</f>
        <v>3809.5392414370003</v>
      </c>
      <c r="E53" s="143"/>
      <c r="F53" s="144">
        <f>+B48+B53+D53</f>
        <v>5437.5392414369999</v>
      </c>
      <c r="G53" s="143"/>
      <c r="H53" s="144">
        <f>F53-F52</f>
        <v>1988.9577313299997</v>
      </c>
      <c r="I53" s="143"/>
      <c r="J53" s="144">
        <f>+'W35'!$L$19</f>
        <v>0</v>
      </c>
    </row>
    <row r="54" spans="1:10">
      <c r="A54" s="146" t="s">
        <v>210</v>
      </c>
      <c r="B54" s="147"/>
      <c r="D54" s="144"/>
      <c r="E54" s="143"/>
      <c r="F54" s="144"/>
      <c r="G54" s="143"/>
      <c r="H54" s="144"/>
      <c r="I54" s="143"/>
      <c r="J54" s="144"/>
    </row>
    <row r="55" spans="1:10">
      <c r="A55" s="145" t="s">
        <v>142</v>
      </c>
      <c r="B55" s="138">
        <f>+'W36'!$J$12</f>
        <v>98</v>
      </c>
      <c r="D55" s="144">
        <f>+'W36'!$K$19</f>
        <v>3867.6947400589002</v>
      </c>
      <c r="E55" s="143"/>
      <c r="F55" s="144">
        <f>+B54+B55+D55</f>
        <v>3965.6947400589002</v>
      </c>
      <c r="G55" s="143"/>
      <c r="H55" s="144">
        <f>F55-F53</f>
        <v>-1471.8445013780997</v>
      </c>
      <c r="I55" s="143"/>
      <c r="J55" s="144">
        <f>+'W36'!$L$19</f>
        <v>0</v>
      </c>
    </row>
    <row r="56" spans="1:10">
      <c r="A56" s="145" t="s">
        <v>145</v>
      </c>
      <c r="B56" s="138">
        <f>+'W37'!$J$12</f>
        <v>338</v>
      </c>
      <c r="D56" s="144">
        <f>+'W37'!$K$19</f>
        <v>3694.1928980779012</v>
      </c>
      <c r="E56" s="143"/>
      <c r="F56" s="144">
        <f>+B54+B56+D56</f>
        <v>4032.1928980779012</v>
      </c>
      <c r="G56" s="143"/>
      <c r="H56" s="144">
        <f>F56-F55</f>
        <v>66.498158019001039</v>
      </c>
      <c r="I56" s="143"/>
      <c r="J56" s="144">
        <f>+'W37'!$L$19</f>
        <v>0</v>
      </c>
    </row>
    <row r="57" spans="1:10">
      <c r="A57" s="145" t="s">
        <v>148</v>
      </c>
      <c r="B57" s="138">
        <f>+'W38'!$J$12</f>
        <v>486</v>
      </c>
      <c r="D57" s="144">
        <f>+'W38'!$K$19</f>
        <v>3625.8805106959012</v>
      </c>
      <c r="E57" s="143"/>
      <c r="F57" s="144">
        <f>+B54+B57+D57</f>
        <v>4111.8805106959007</v>
      </c>
      <c r="G57" s="143"/>
      <c r="H57" s="144">
        <f>F57-F56</f>
        <v>79.687612617999548</v>
      </c>
      <c r="I57" s="143"/>
      <c r="J57" s="144">
        <f>+'W38'!$L$19</f>
        <v>0</v>
      </c>
    </row>
    <row r="58" spans="1:10">
      <c r="A58" s="145" t="s">
        <v>151</v>
      </c>
      <c r="B58" s="138">
        <f>+'W39'!$J$12</f>
        <v>868</v>
      </c>
      <c r="D58" s="144">
        <f>+'W39'!$K$19</f>
        <v>3135.5063221889004</v>
      </c>
      <c r="E58" s="143"/>
      <c r="F58" s="144">
        <f>+B54+B58+D58</f>
        <v>4003.5063221889004</v>
      </c>
      <c r="G58" s="143"/>
      <c r="H58" s="144">
        <f>F58-F57</f>
        <v>-108.37418850700033</v>
      </c>
      <c r="I58" s="143"/>
      <c r="J58" s="144">
        <f>+'W39'!$L$19</f>
        <v>0</v>
      </c>
    </row>
    <row r="59" spans="1:10">
      <c r="A59" s="146" t="s">
        <v>211</v>
      </c>
      <c r="B59" s="147"/>
      <c r="D59" s="144"/>
      <c r="E59" s="143"/>
      <c r="F59" s="144"/>
      <c r="G59" s="143"/>
      <c r="H59" s="144"/>
      <c r="I59" s="143"/>
      <c r="J59" s="144"/>
    </row>
    <row r="60" spans="1:10">
      <c r="A60" s="145" t="s">
        <v>154</v>
      </c>
      <c r="B60" s="138">
        <f>+'W40'!$J$12</f>
        <v>120</v>
      </c>
      <c r="D60" s="144">
        <f>+'W40'!$K$19</f>
        <v>2995.1083440639022</v>
      </c>
      <c r="E60" s="143"/>
      <c r="F60" s="144">
        <f>+B59+B60+D60</f>
        <v>3115.1083440639022</v>
      </c>
      <c r="G60" s="143"/>
      <c r="H60" s="144">
        <f>F60-F58</f>
        <v>-888.39797812499819</v>
      </c>
      <c r="I60" s="143"/>
      <c r="J60" s="144">
        <f>+'W40'!$L$19</f>
        <v>109.15973000000001</v>
      </c>
    </row>
    <row r="61" spans="1:10">
      <c r="A61" s="145" t="s">
        <v>157</v>
      </c>
      <c r="B61" s="138">
        <f>+'W41'!$J$12</f>
        <v>306</v>
      </c>
      <c r="D61" s="144">
        <f>+'W41'!$K$19</f>
        <v>2909.3515846505334</v>
      </c>
      <c r="E61" s="143"/>
      <c r="F61" s="144">
        <f>+B59+B61+D61</f>
        <v>3215.3515846505334</v>
      </c>
      <c r="G61" s="143"/>
      <c r="H61" s="144">
        <f>F61-F60</f>
        <v>100.24324058663115</v>
      </c>
      <c r="I61" s="143"/>
      <c r="J61" s="144">
        <f>+'W41'!$L$19</f>
        <v>109.15973000000001</v>
      </c>
    </row>
    <row r="62" spans="1:10">
      <c r="A62" s="145" t="s">
        <v>160</v>
      </c>
      <c r="B62" s="138">
        <f>+'W42'!$J$12</f>
        <v>0</v>
      </c>
      <c r="D62" s="144">
        <f>+'W42'!$K$19</f>
        <v>0</v>
      </c>
      <c r="E62" s="143"/>
      <c r="F62" s="144">
        <f>+B59+B62+D62</f>
        <v>0</v>
      </c>
      <c r="G62" s="143"/>
      <c r="H62" s="144">
        <f>F62-F61</f>
        <v>-3215.3515846505334</v>
      </c>
      <c r="I62" s="143"/>
      <c r="J62" s="144">
        <f>+'W42'!$L$19</f>
        <v>0</v>
      </c>
    </row>
    <row r="63" spans="1:10">
      <c r="A63" s="145" t="s">
        <v>163</v>
      </c>
      <c r="B63" s="138">
        <f>+'W43'!$J$12</f>
        <v>0</v>
      </c>
      <c r="D63" s="144">
        <f>+'W43'!$K$19</f>
        <v>0</v>
      </c>
      <c r="E63" s="143"/>
      <c r="F63" s="144">
        <f>+B59+B63+D63</f>
        <v>0</v>
      </c>
      <c r="G63" s="143"/>
      <c r="H63" s="144">
        <f>F63-F62</f>
        <v>0</v>
      </c>
      <c r="I63" s="143"/>
      <c r="J63" s="144">
        <f>+'W43'!$L$19</f>
        <v>0</v>
      </c>
    </row>
    <row r="64" spans="1:10">
      <c r="A64" s="145" t="s">
        <v>166</v>
      </c>
      <c r="B64" s="138">
        <f>+'W44'!$J$12</f>
        <v>0</v>
      </c>
      <c r="D64" s="144">
        <f>+'W44'!$K$19</f>
        <v>0</v>
      </c>
      <c r="E64" s="143"/>
      <c r="F64" s="144">
        <f>+B65+B64+D64</f>
        <v>0</v>
      </c>
      <c r="G64" s="143"/>
      <c r="H64" s="144">
        <f>F64-F62</f>
        <v>0</v>
      </c>
      <c r="I64" s="143"/>
      <c r="J64" s="144">
        <f>+'W44'!$L$19</f>
        <v>0</v>
      </c>
    </row>
    <row r="65" spans="1:10">
      <c r="A65" s="146" t="s">
        <v>212</v>
      </c>
      <c r="B65" s="147"/>
      <c r="D65" s="144"/>
      <c r="E65" s="143"/>
      <c r="F65" s="144"/>
      <c r="G65" s="143"/>
      <c r="H65" s="144"/>
      <c r="I65" s="143"/>
      <c r="J65" s="144"/>
    </row>
    <row r="66" spans="1:10">
      <c r="A66" s="145" t="s">
        <v>167</v>
      </c>
      <c r="B66" s="138">
        <f>+'W45'!$J$12</f>
        <v>0</v>
      </c>
      <c r="D66" s="144">
        <f>+'W45'!$K$19</f>
        <v>0</v>
      </c>
      <c r="E66" s="143"/>
      <c r="F66" s="144">
        <f>+B65+B66+D66</f>
        <v>0</v>
      </c>
      <c r="G66" s="143"/>
      <c r="H66" s="144">
        <f>F66-F65</f>
        <v>0</v>
      </c>
      <c r="I66" s="143"/>
      <c r="J66" s="144">
        <f>+'W45'!$L$19</f>
        <v>0</v>
      </c>
    </row>
    <row r="67" spans="1:10">
      <c r="A67" s="145" t="s">
        <v>168</v>
      </c>
      <c r="B67" s="138">
        <f>+'W46'!$J$12</f>
        <v>0</v>
      </c>
      <c r="D67" s="144">
        <f>+'W46'!$K$19</f>
        <v>0</v>
      </c>
      <c r="E67" s="143"/>
      <c r="F67" s="144">
        <f>+B65+B67+D67</f>
        <v>0</v>
      </c>
      <c r="G67" s="143"/>
      <c r="H67" s="144">
        <f>F67-F66</f>
        <v>0</v>
      </c>
      <c r="I67" s="143"/>
      <c r="J67" s="144">
        <f>+'W46'!$L$19</f>
        <v>0</v>
      </c>
    </row>
    <row r="68" spans="1:10">
      <c r="A68" s="145" t="s">
        <v>169</v>
      </c>
      <c r="B68" s="138">
        <f>+'W47'!$J$12</f>
        <v>0</v>
      </c>
      <c r="D68" s="144">
        <f>+'W47'!$K$19</f>
        <v>0</v>
      </c>
      <c r="E68" s="143"/>
      <c r="F68" s="144">
        <f>+B65+B68+D68</f>
        <v>0</v>
      </c>
      <c r="G68" s="143"/>
      <c r="H68" s="144">
        <f>F68-F67</f>
        <v>0</v>
      </c>
      <c r="I68" s="143"/>
      <c r="J68" s="144">
        <f>+'W47'!$L$19</f>
        <v>0</v>
      </c>
    </row>
    <row r="69" spans="1:10">
      <c r="A69" s="145" t="s">
        <v>170</v>
      </c>
      <c r="B69" s="138">
        <f>+'W48'!$J$12</f>
        <v>0</v>
      </c>
      <c r="D69" s="144">
        <f>+'W48'!$K$19</f>
        <v>0</v>
      </c>
      <c r="E69" s="143"/>
      <c r="F69" s="144">
        <f>+B65+B69+D69</f>
        <v>0</v>
      </c>
      <c r="G69" s="143"/>
      <c r="H69" s="144">
        <f>F69-F68</f>
        <v>0</v>
      </c>
      <c r="I69" s="143"/>
      <c r="J69" s="144">
        <f>+'W48'!$L$19</f>
        <v>0</v>
      </c>
    </row>
    <row r="70" spans="1:10">
      <c r="A70" s="146" t="s">
        <v>213</v>
      </c>
      <c r="B70" s="147"/>
      <c r="D70" s="144"/>
      <c r="E70" s="143"/>
      <c r="F70" s="144"/>
      <c r="G70" s="143"/>
      <c r="H70" s="144"/>
      <c r="I70" s="143"/>
      <c r="J70" s="144"/>
    </row>
    <row r="71" spans="1:10">
      <c r="A71" s="145" t="s">
        <v>171</v>
      </c>
      <c r="B71" s="138">
        <f>+'W49'!$J$12</f>
        <v>0</v>
      </c>
      <c r="D71" s="144">
        <f>+'W49'!$K$19</f>
        <v>0</v>
      </c>
      <c r="E71" s="143"/>
      <c r="F71" s="144">
        <f>+B70+B71+D71</f>
        <v>0</v>
      </c>
      <c r="G71" s="143"/>
      <c r="H71" s="144">
        <f>F71-F69</f>
        <v>0</v>
      </c>
      <c r="I71" s="143"/>
      <c r="J71" s="144">
        <f>+'W49'!$L$19</f>
        <v>0</v>
      </c>
    </row>
    <row r="72" spans="1:10">
      <c r="A72" s="145" t="s">
        <v>172</v>
      </c>
      <c r="B72" s="138">
        <f>+'W50'!$J$12</f>
        <v>0</v>
      </c>
      <c r="D72" s="144">
        <f>+'W50'!$K$19</f>
        <v>0</v>
      </c>
      <c r="E72" s="143"/>
      <c r="F72" s="144">
        <f>+B70+B72+D72</f>
        <v>0</v>
      </c>
      <c r="G72" s="143"/>
      <c r="H72" s="144">
        <f>F72-F71</f>
        <v>0</v>
      </c>
      <c r="I72" s="143"/>
      <c r="J72" s="144">
        <f>+'W50'!$L$19</f>
        <v>0</v>
      </c>
    </row>
    <row r="73" spans="1:10">
      <c r="A73" s="145" t="s">
        <v>173</v>
      </c>
      <c r="B73" s="138">
        <f>+'W51'!$J$12</f>
        <v>0</v>
      </c>
      <c r="D73" s="144">
        <f>+'W51'!$K$19</f>
        <v>0</v>
      </c>
      <c r="E73" s="143"/>
      <c r="F73" s="144">
        <f>+B70+B73+D73</f>
        <v>0</v>
      </c>
      <c r="G73" s="143"/>
      <c r="H73" s="144">
        <f>F73-F72</f>
        <v>0</v>
      </c>
      <c r="I73" s="143"/>
      <c r="J73" s="144">
        <f>+'W51'!$L$19</f>
        <v>0</v>
      </c>
    </row>
    <row r="74" spans="1:10">
      <c r="A74" s="145" t="s">
        <v>174</v>
      </c>
      <c r="B74" s="138">
        <f>+'W52'!$J$12</f>
        <v>0</v>
      </c>
      <c r="D74" s="144">
        <f>+'W52'!$K$19</f>
        <v>0</v>
      </c>
      <c r="E74" s="143"/>
      <c r="F74" s="144">
        <f>+B70+B74+D74</f>
        <v>0</v>
      </c>
      <c r="G74" s="143"/>
      <c r="H74" s="144">
        <f>F74-F73</f>
        <v>0</v>
      </c>
      <c r="I74" s="143"/>
      <c r="J74" s="144">
        <f>+'W52'!$L$19</f>
        <v>0</v>
      </c>
    </row>
    <row r="75" spans="1:10">
      <c r="A75" s="148" t="s">
        <v>214</v>
      </c>
      <c r="B75" s="149"/>
      <c r="D75" s="150"/>
      <c r="E75" s="143"/>
      <c r="F75" s="150"/>
      <c r="G75" s="143"/>
      <c r="H75" s="150"/>
      <c r="I75" s="143"/>
      <c r="J75" s="150"/>
    </row>
  </sheetData>
  <mergeCells count="1">
    <mergeCell ref="A8:B8"/>
  </mergeCells>
  <phoneticPr fontId="40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theme="3" tint="0.59999389629810485"/>
    <pageSetUpPr fitToPage="1"/>
  </sheetPr>
  <dimension ref="A2:AL382"/>
  <sheetViews>
    <sheetView showGridLines="0" zoomScale="70" zoomScaleNormal="70" workbookViewId="0">
      <selection activeCell="P10" sqref="P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25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January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52.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January Turnover</v>
      </c>
      <c r="K8" s="65"/>
      <c r="L8" s="166" t="s">
        <v>221</v>
      </c>
      <c r="M8" s="65"/>
      <c r="N8" s="65"/>
      <c r="O8" s="175" t="s">
        <v>222</v>
      </c>
      <c r="P8" s="58"/>
      <c r="Q8" s="58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</v>
      </c>
      <c r="I9" s="61"/>
      <c r="J9" s="161" t="str">
        <f>+"from "&amp;G6&amp;" 1 until end of "&amp;G4</f>
        <v>from January 1 until end of W1</v>
      </c>
      <c r="K9" s="79"/>
      <c r="L9" s="167" t="str">
        <f>+G6</f>
        <v>January</v>
      </c>
      <c r="M9" s="80"/>
      <c r="N9" s="80"/>
      <c r="O9" s="176" t="str">
        <f>+G4</f>
        <v>W1</v>
      </c>
      <c r="P9" s="58"/>
      <c r="Q9" s="58"/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J10</f>
        <v>10.134259999999999</v>
      </c>
      <c r="I10" s="61"/>
      <c r="J10" s="159">
        <f>1013426/100000</f>
        <v>10.134259999999999</v>
      </c>
      <c r="L10" s="159">
        <f>J10+N19</f>
        <v>507.82698444999988</v>
      </c>
      <c r="N10" s="55"/>
      <c r="O10" s="177">
        <f>+H10+K17</f>
        <v>935.63018577300011</v>
      </c>
      <c r="P10" s="58"/>
      <c r="Q10" s="58"/>
      <c r="R10" s="86"/>
      <c r="S10" s="15"/>
    </row>
    <row r="11" spans="5:38" ht="20.45" customHeight="1">
      <c r="E11" s="87" t="s">
        <v>224</v>
      </c>
      <c r="F11" s="88"/>
      <c r="G11" s="89"/>
      <c r="H11" s="16">
        <f>J11</f>
        <v>0</v>
      </c>
      <c r="I11" s="61"/>
      <c r="J11" s="16">
        <v>0</v>
      </c>
      <c r="L11" s="16">
        <v>0</v>
      </c>
      <c r="N11" s="55"/>
      <c r="O11" s="157">
        <f>+H11+K18</f>
        <v>0</v>
      </c>
      <c r="P11" s="58"/>
      <c r="Q11" s="58"/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10.134259999999999</v>
      </c>
      <c r="I12" s="61"/>
      <c r="J12" s="126">
        <f>SUM(J10:J11)</f>
        <v>10.134259999999999</v>
      </c>
      <c r="K12" s="65"/>
      <c r="L12" s="126">
        <f>SUM(L10:L11)</f>
        <v>507.82698444999988</v>
      </c>
      <c r="M12" s="65"/>
      <c r="N12" s="65"/>
      <c r="O12" s="158">
        <f>SUM(O10:O11)</f>
        <v>935.63018577300011</v>
      </c>
      <c r="P12" s="58"/>
      <c r="Q12" s="58"/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40.9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1:38" ht="14.25">
      <c r="E17" s="120" t="s">
        <v>19</v>
      </c>
      <c r="F17" s="121"/>
      <c r="G17" s="121"/>
      <c r="H17" s="121"/>
      <c r="I17" s="121"/>
      <c r="J17" s="108">
        <f>+SUMIF($F$24:$F$252,"External",$J$24:$J$252)</f>
        <v>925.49592577300007</v>
      </c>
      <c r="K17" s="108">
        <f>+SUMIF($F$24:$F$252,"External",$K$24:$K$252)</f>
        <v>925.49592577300007</v>
      </c>
      <c r="L17" s="109">
        <f>+SUMIF($F$24:$F$252,"External",$L$24:$L$252)</f>
        <v>0</v>
      </c>
      <c r="M17" s="110"/>
      <c r="N17" s="111">
        <f t="shared" ref="N17:Y17" si="0">+SUMIF($F$24:$F$252,"External",N$24:N$252)</f>
        <v>497.6927244499999</v>
      </c>
      <c r="O17" s="111">
        <f t="shared" si="0"/>
        <v>279.30503268000007</v>
      </c>
      <c r="P17" s="111">
        <f t="shared" si="0"/>
        <v>27.305476540999997</v>
      </c>
      <c r="Q17" s="111">
        <f t="shared" si="0"/>
        <v>39.714621102000002</v>
      </c>
      <c r="R17" s="111">
        <f t="shared" si="0"/>
        <v>81.478071</v>
      </c>
      <c r="S17" s="111">
        <f t="shared" si="0"/>
        <v>0</v>
      </c>
      <c r="T17" s="111">
        <f t="shared" si="0"/>
        <v>0</v>
      </c>
      <c r="U17" s="111">
        <f t="shared" si="0"/>
        <v>0</v>
      </c>
      <c r="V17" s="111">
        <f t="shared" si="0"/>
        <v>0</v>
      </c>
      <c r="W17" s="111">
        <f t="shared" si="0"/>
        <v>0</v>
      </c>
      <c r="X17" s="111">
        <f t="shared" si="0"/>
        <v>0</v>
      </c>
      <c r="Y17" s="111">
        <f t="shared" si="0"/>
        <v>0</v>
      </c>
      <c r="Z17" s="112"/>
      <c r="AA17" s="111">
        <f t="shared" ref="AA17:AL17" si="1">+SUMIF($F$24:$F$252,"External",AA$24:AA$252)</f>
        <v>0</v>
      </c>
      <c r="AB17" s="111">
        <f t="shared" si="1"/>
        <v>0</v>
      </c>
      <c r="AC17" s="111">
        <f t="shared" si="1"/>
        <v>0</v>
      </c>
      <c r="AD17" s="111">
        <f t="shared" si="1"/>
        <v>0</v>
      </c>
      <c r="AE17" s="111">
        <f t="shared" si="1"/>
        <v>0</v>
      </c>
      <c r="AF17" s="111">
        <f t="shared" si="1"/>
        <v>0</v>
      </c>
      <c r="AG17" s="111">
        <f t="shared" si="1"/>
        <v>0</v>
      </c>
      <c r="AH17" s="111">
        <f t="shared" si="1"/>
        <v>0</v>
      </c>
      <c r="AI17" s="111">
        <f t="shared" si="1"/>
        <v>0</v>
      </c>
      <c r="AJ17" s="111">
        <f t="shared" si="1"/>
        <v>0</v>
      </c>
      <c r="AK17" s="111">
        <f t="shared" si="1"/>
        <v>0</v>
      </c>
      <c r="AL17" s="111">
        <f t="shared" si="1"/>
        <v>0</v>
      </c>
    </row>
    <row r="18" spans="1:38" ht="14.25">
      <c r="E18" s="122" t="s">
        <v>17</v>
      </c>
      <c r="F18" s="123"/>
      <c r="G18" s="123"/>
      <c r="H18" s="123"/>
      <c r="I18" s="123"/>
      <c r="J18" s="113">
        <f>+SUMIF($F$24:$F$252,"Group",$J$24:$J$252)</f>
        <v>0</v>
      </c>
      <c r="K18" s="113">
        <f>+SUMIF($F$24:$F$252,"Group",$K$24:$K$252)</f>
        <v>0</v>
      </c>
      <c r="L18" s="114">
        <f>SUMIF($F$24:$F$252,"Group",$L$24:$L$252)</f>
        <v>0</v>
      </c>
      <c r="M18" s="110"/>
      <c r="N18" s="114">
        <f t="shared" ref="N18:Y18" si="2">+SUMIF($F$24:$F$252,"Group",N$24:N$252)</f>
        <v>0</v>
      </c>
      <c r="O18" s="114">
        <f>+SUMIF($F$24:$F$252,"Group",O$24:O$252)</f>
        <v>0</v>
      </c>
      <c r="P18" s="114">
        <f t="shared" si="2"/>
        <v>0</v>
      </c>
      <c r="Q18" s="114">
        <f t="shared" si="2"/>
        <v>0</v>
      </c>
      <c r="R18" s="114">
        <f t="shared" si="2"/>
        <v>0</v>
      </c>
      <c r="S18" s="114">
        <f>+SUMIF($F$24:$F$252,"Group",S$24:S$252)</f>
        <v>0</v>
      </c>
      <c r="T18" s="114">
        <f t="shared" si="2"/>
        <v>0</v>
      </c>
      <c r="U18" s="114">
        <f t="shared" si="2"/>
        <v>0</v>
      </c>
      <c r="V18" s="114">
        <f t="shared" si="2"/>
        <v>0</v>
      </c>
      <c r="W18" s="114">
        <f t="shared" si="2"/>
        <v>0</v>
      </c>
      <c r="X18" s="114">
        <f t="shared" si="2"/>
        <v>0</v>
      </c>
      <c r="Y18" s="114">
        <f t="shared" si="2"/>
        <v>0</v>
      </c>
      <c r="Z18" s="112"/>
      <c r="AA18" s="114">
        <f t="shared" ref="AA18:AL18" si="3">+SUMIF($F$24:$F$252,"Group",AA$24:AA$252)</f>
        <v>0</v>
      </c>
      <c r="AB18" s="114">
        <f t="shared" si="3"/>
        <v>0</v>
      </c>
      <c r="AC18" s="114">
        <f>+SUMIF($F$24:$F$252,"Group",AC$24:AC$252)</f>
        <v>0</v>
      </c>
      <c r="AD18" s="114">
        <f t="shared" si="3"/>
        <v>0</v>
      </c>
      <c r="AE18" s="114">
        <f t="shared" si="3"/>
        <v>0</v>
      </c>
      <c r="AF18" s="114">
        <f t="shared" si="3"/>
        <v>0</v>
      </c>
      <c r="AG18" s="114">
        <f t="shared" si="3"/>
        <v>0</v>
      </c>
      <c r="AH18" s="114">
        <f t="shared" si="3"/>
        <v>0</v>
      </c>
      <c r="AI18" s="114">
        <f t="shared" si="3"/>
        <v>0</v>
      </c>
      <c r="AJ18" s="114">
        <f t="shared" si="3"/>
        <v>0</v>
      </c>
      <c r="AK18" s="114">
        <f t="shared" si="3"/>
        <v>0</v>
      </c>
      <c r="AL18" s="114">
        <f t="shared" si="3"/>
        <v>0</v>
      </c>
    </row>
    <row r="19" spans="1:38">
      <c r="E19" s="124" t="s">
        <v>226</v>
      </c>
      <c r="F19" s="125"/>
      <c r="G19" s="125"/>
      <c r="H19" s="125"/>
      <c r="I19" s="125"/>
      <c r="J19" s="115">
        <f>SUM(J17:J18)</f>
        <v>925.49592577300007</v>
      </c>
      <c r="K19" s="115">
        <f>SUM(K17:K18)</f>
        <v>925.49592577300007</v>
      </c>
      <c r="L19" s="116">
        <f>SUM(L17:L18)</f>
        <v>0</v>
      </c>
      <c r="M19" s="117"/>
      <c r="N19" s="116">
        <f>SUM(N17:N18)</f>
        <v>497.6927244499999</v>
      </c>
      <c r="O19" s="116">
        <f t="shared" ref="O19:Y19" si="4">SUM(O17:O18)</f>
        <v>279.30503268000007</v>
      </c>
      <c r="P19" s="116">
        <f t="shared" si="4"/>
        <v>27.305476540999997</v>
      </c>
      <c r="Q19" s="116">
        <f t="shared" si="4"/>
        <v>39.714621102000002</v>
      </c>
      <c r="R19" s="116">
        <f t="shared" si="4"/>
        <v>81.478071</v>
      </c>
      <c r="S19" s="116">
        <f t="shared" si="4"/>
        <v>0</v>
      </c>
      <c r="T19" s="116">
        <f t="shared" si="4"/>
        <v>0</v>
      </c>
      <c r="U19" s="116">
        <f t="shared" si="4"/>
        <v>0</v>
      </c>
      <c r="V19" s="116">
        <f t="shared" si="4"/>
        <v>0</v>
      </c>
      <c r="W19" s="116">
        <f t="shared" si="4"/>
        <v>0</v>
      </c>
      <c r="X19" s="116">
        <f t="shared" si="4"/>
        <v>0</v>
      </c>
      <c r="Y19" s="116">
        <f t="shared" si="4"/>
        <v>0</v>
      </c>
      <c r="Z19" s="112"/>
      <c r="AA19" s="116">
        <f t="shared" ref="AA19:AL19" si="5">SUM(AA17:AA18)</f>
        <v>0</v>
      </c>
      <c r="AB19" s="116">
        <f t="shared" si="5"/>
        <v>0</v>
      </c>
      <c r="AC19" s="116">
        <f t="shared" si="5"/>
        <v>0</v>
      </c>
      <c r="AD19" s="116">
        <f t="shared" si="5"/>
        <v>0</v>
      </c>
      <c r="AE19" s="116">
        <f t="shared" si="5"/>
        <v>0</v>
      </c>
      <c r="AF19" s="116">
        <f t="shared" si="5"/>
        <v>0</v>
      </c>
      <c r="AG19" s="116">
        <f t="shared" si="5"/>
        <v>0</v>
      </c>
      <c r="AH19" s="116">
        <f t="shared" si="5"/>
        <v>0</v>
      </c>
      <c r="AI19" s="116">
        <f t="shared" si="5"/>
        <v>0</v>
      </c>
      <c r="AJ19" s="116">
        <f t="shared" si="5"/>
        <v>0</v>
      </c>
      <c r="AK19" s="116">
        <f t="shared" si="5"/>
        <v>0</v>
      </c>
      <c r="AL19" s="116">
        <f t="shared" si="5"/>
        <v>0</v>
      </c>
    </row>
    <row r="20" spans="1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ht="18">
      <c r="E21" s="17"/>
      <c r="F21" s="18"/>
      <c r="G21" s="18"/>
      <c r="H21" s="18"/>
      <c r="I21" s="18" t="s">
        <v>231</v>
      </c>
      <c r="J21" s="25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1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 s="105" customFormat="1" ht="40.5" customHeight="1">
      <c r="A23" s="312"/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1:38">
      <c r="D24" s="151" t="s">
        <v>233</v>
      </c>
      <c r="E24" s="6" t="s">
        <v>234</v>
      </c>
      <c r="F24" s="7" t="s">
        <v>19</v>
      </c>
      <c r="G24" s="6" t="s">
        <v>235</v>
      </c>
      <c r="H24" s="187" t="s">
        <v>236</v>
      </c>
      <c r="I24" s="8"/>
      <c r="J24" s="118">
        <f t="shared" ref="J24" si="6">+K24+L24</f>
        <v>7.2617511019999998</v>
      </c>
      <c r="K24" s="119">
        <f t="shared" ref="K24" si="7">SUM(N24:Y24)</f>
        <v>7.2617511019999998</v>
      </c>
      <c r="L24" s="119">
        <f t="shared" ref="L24" si="8">SUM(AA24:AL24)</f>
        <v>0</v>
      </c>
      <c r="M24" s="23"/>
      <c r="N24" s="24"/>
      <c r="O24" s="24"/>
      <c r="P24" s="24"/>
      <c r="Q24" s="24">
        <v>7.2617511019999998</v>
      </c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1:38">
      <c r="E25" s="6" t="s">
        <v>234</v>
      </c>
      <c r="F25" s="7" t="s">
        <v>19</v>
      </c>
      <c r="G25" s="6" t="s">
        <v>237</v>
      </c>
      <c r="H25" s="188" t="s">
        <v>236</v>
      </c>
      <c r="I25" s="9"/>
      <c r="J25" s="118">
        <f t="shared" ref="J25:J88" si="9">+K25+L25</f>
        <v>19.087499999999999</v>
      </c>
      <c r="K25" s="119">
        <f t="shared" ref="K25:K88" si="10">SUM(N25:Y25)</f>
        <v>19.087499999999999</v>
      </c>
      <c r="L25" s="119">
        <f t="shared" ref="L25:L88" si="11">SUM(AA25:AL25)</f>
        <v>0</v>
      </c>
      <c r="M25" s="23"/>
      <c r="N25" s="24"/>
      <c r="O25" s="24"/>
      <c r="P25" s="24">
        <v>19.087499999999999</v>
      </c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1:38" ht="15.75" customHeight="1">
      <c r="E26" s="6" t="s">
        <v>238</v>
      </c>
      <c r="F26" s="7" t="s">
        <v>19</v>
      </c>
      <c r="G26" s="6" t="s">
        <v>239</v>
      </c>
      <c r="H26" s="188" t="s">
        <v>236</v>
      </c>
      <c r="I26" s="9"/>
      <c r="J26" s="118">
        <f t="shared" si="9"/>
        <v>9.0229321999999996</v>
      </c>
      <c r="K26" s="119">
        <f t="shared" si="10"/>
        <v>9.0229321999999996</v>
      </c>
      <c r="L26" s="119">
        <f t="shared" si="11"/>
        <v>0</v>
      </c>
      <c r="M26" s="23"/>
      <c r="N26" s="24">
        <v>9.0229321999999996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1:38">
      <c r="E27" s="6" t="s">
        <v>240</v>
      </c>
      <c r="F27" s="7" t="s">
        <v>19</v>
      </c>
      <c r="G27" s="6" t="s">
        <v>237</v>
      </c>
      <c r="H27" s="188" t="s">
        <v>236</v>
      </c>
      <c r="I27" s="9"/>
      <c r="J27" s="118">
        <f t="shared" si="9"/>
        <v>7.9641265410000006</v>
      </c>
      <c r="K27" s="119">
        <f t="shared" si="10"/>
        <v>7.9641265410000006</v>
      </c>
      <c r="L27" s="119">
        <f t="shared" si="11"/>
        <v>0</v>
      </c>
      <c r="M27" s="23"/>
      <c r="N27" s="24"/>
      <c r="O27" s="24"/>
      <c r="P27" s="24">
        <v>7.9641265410000006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1:38">
      <c r="E28" s="6" t="s">
        <v>241</v>
      </c>
      <c r="F28" s="7" t="s">
        <v>19</v>
      </c>
      <c r="G28" s="6" t="s">
        <v>242</v>
      </c>
      <c r="H28" s="188" t="s">
        <v>243</v>
      </c>
      <c r="I28" s="9"/>
      <c r="J28" s="118">
        <f t="shared" si="9"/>
        <v>6.2638655000000005</v>
      </c>
      <c r="K28" s="119">
        <f t="shared" si="10"/>
        <v>6.2638655000000005</v>
      </c>
      <c r="L28" s="119">
        <f t="shared" si="11"/>
        <v>0</v>
      </c>
      <c r="M28" s="23"/>
      <c r="N28" s="24">
        <v>6.2638655000000005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1:38">
      <c r="E29" s="6" t="s">
        <v>244</v>
      </c>
      <c r="F29" s="7" t="s">
        <v>19</v>
      </c>
      <c r="G29" s="6" t="s">
        <v>245</v>
      </c>
      <c r="H29" s="189" t="s">
        <v>236</v>
      </c>
      <c r="I29" s="10"/>
      <c r="J29" s="118">
        <f t="shared" si="9"/>
        <v>39.996063999999997</v>
      </c>
      <c r="K29" s="119">
        <f t="shared" si="10"/>
        <v>39.996063999999997</v>
      </c>
      <c r="L29" s="119">
        <f t="shared" si="11"/>
        <v>0</v>
      </c>
      <c r="M29" s="23"/>
      <c r="N29" s="24"/>
      <c r="O29" s="24"/>
      <c r="P29" s="24"/>
      <c r="Q29" s="24"/>
      <c r="R29" s="24">
        <v>39.996063999999997</v>
      </c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1:38">
      <c r="E30" s="6" t="s">
        <v>246</v>
      </c>
      <c r="F30" s="7" t="s">
        <v>19</v>
      </c>
      <c r="G30" s="6" t="s">
        <v>247</v>
      </c>
      <c r="H30" s="190" t="s">
        <v>236</v>
      </c>
      <c r="I30" s="11"/>
      <c r="J30" s="118">
        <f t="shared" si="9"/>
        <v>40.110491600000003</v>
      </c>
      <c r="K30" s="119">
        <f t="shared" si="10"/>
        <v>40.110491600000003</v>
      </c>
      <c r="L30" s="119">
        <f t="shared" si="11"/>
        <v>0</v>
      </c>
      <c r="M30" s="23"/>
      <c r="N30" s="24">
        <v>40.110491600000003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1:38">
      <c r="E31" s="6" t="s">
        <v>246</v>
      </c>
      <c r="F31" s="7" t="s">
        <v>19</v>
      </c>
      <c r="G31" s="6" t="s">
        <v>248</v>
      </c>
      <c r="H31" s="190" t="s">
        <v>236</v>
      </c>
      <c r="I31" s="11"/>
      <c r="J31" s="118">
        <f t="shared" si="9"/>
        <v>3.1881162999999999</v>
      </c>
      <c r="K31" s="119">
        <f t="shared" si="10"/>
        <v>3.1881162999999999</v>
      </c>
      <c r="L31" s="119">
        <f t="shared" si="11"/>
        <v>0</v>
      </c>
      <c r="M31" s="23"/>
      <c r="N31" s="24">
        <v>3.1881162999999999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1:38">
      <c r="E32" s="6" t="s">
        <v>246</v>
      </c>
      <c r="F32" s="7" t="s">
        <v>19</v>
      </c>
      <c r="G32" s="6" t="s">
        <v>249</v>
      </c>
      <c r="H32" s="190" t="s">
        <v>236</v>
      </c>
      <c r="I32" s="11"/>
      <c r="J32" s="118">
        <f t="shared" si="9"/>
        <v>41.310783200000003</v>
      </c>
      <c r="K32" s="119">
        <f t="shared" si="10"/>
        <v>41.310783200000003</v>
      </c>
      <c r="L32" s="119">
        <f t="shared" si="11"/>
        <v>0</v>
      </c>
      <c r="M32" s="15"/>
      <c r="N32" s="24">
        <v>41.310783200000003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246</v>
      </c>
      <c r="F33" s="7" t="s">
        <v>19</v>
      </c>
      <c r="G33" s="6" t="s">
        <v>250</v>
      </c>
      <c r="H33" s="190" t="s">
        <v>236</v>
      </c>
      <c r="I33" s="11"/>
      <c r="J33" s="118">
        <f t="shared" si="9"/>
        <v>16.992311600000001</v>
      </c>
      <c r="K33" s="119">
        <f t="shared" si="10"/>
        <v>16.992311600000001</v>
      </c>
      <c r="L33" s="119">
        <f t="shared" si="11"/>
        <v>0</v>
      </c>
      <c r="M33" s="15"/>
      <c r="N33" s="24">
        <v>7.9570145999999999</v>
      </c>
      <c r="O33" s="24"/>
      <c r="P33" s="24"/>
      <c r="Q33" s="24"/>
      <c r="R33" s="24">
        <v>9.0352969999999999</v>
      </c>
      <c r="S33" s="24"/>
      <c r="T33" s="24"/>
      <c r="U33" s="24"/>
      <c r="V33" s="24"/>
      <c r="W33" s="24"/>
      <c r="X33" s="24"/>
      <c r="Y33" s="24"/>
    </row>
    <row r="34" spans="5:25">
      <c r="E34" s="6" t="s">
        <v>246</v>
      </c>
      <c r="F34" s="7" t="s">
        <v>19</v>
      </c>
      <c r="G34" s="6" t="s">
        <v>251</v>
      </c>
      <c r="H34" s="190" t="s">
        <v>236</v>
      </c>
      <c r="I34" s="11"/>
      <c r="J34" s="118">
        <f t="shared" si="9"/>
        <v>30.265831199999997</v>
      </c>
      <c r="K34" s="119">
        <f t="shared" si="10"/>
        <v>30.265831199999997</v>
      </c>
      <c r="L34" s="119">
        <f t="shared" si="11"/>
        <v>0</v>
      </c>
      <c r="M34" s="15"/>
      <c r="N34" s="24">
        <v>30.265831199999997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5:25">
      <c r="E35" s="6" t="s">
        <v>246</v>
      </c>
      <c r="F35" s="7" t="s">
        <v>19</v>
      </c>
      <c r="G35" s="6" t="s">
        <v>252</v>
      </c>
      <c r="H35" s="190" t="s">
        <v>236</v>
      </c>
      <c r="I35" s="11"/>
      <c r="J35" s="118">
        <f t="shared" si="9"/>
        <v>24.496051399999999</v>
      </c>
      <c r="K35" s="119">
        <f t="shared" si="10"/>
        <v>24.496051399999999</v>
      </c>
      <c r="L35" s="119">
        <f t="shared" si="11"/>
        <v>0</v>
      </c>
      <c r="M35" s="15"/>
      <c r="N35" s="24">
        <v>24.496051399999999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5:25">
      <c r="E36" s="6" t="s">
        <v>246</v>
      </c>
      <c r="F36" s="7" t="s">
        <v>19</v>
      </c>
      <c r="G36" s="6" t="s">
        <v>245</v>
      </c>
      <c r="H36" s="190" t="s">
        <v>236</v>
      </c>
      <c r="I36" s="11"/>
      <c r="J36" s="118">
        <f t="shared" si="9"/>
        <v>146.69350150000002</v>
      </c>
      <c r="K36" s="119">
        <f t="shared" si="10"/>
        <v>146.69350150000002</v>
      </c>
      <c r="L36" s="119">
        <f t="shared" si="11"/>
        <v>0</v>
      </c>
      <c r="M36" s="15"/>
      <c r="N36" s="24"/>
      <c r="O36" s="24">
        <v>146.69350150000002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5:25">
      <c r="E37" s="6" t="s">
        <v>253</v>
      </c>
      <c r="F37" s="7" t="s">
        <v>19</v>
      </c>
      <c r="G37" s="6" t="s">
        <v>254</v>
      </c>
      <c r="H37" s="190" t="s">
        <v>236</v>
      </c>
      <c r="I37" s="11"/>
      <c r="J37" s="118">
        <f t="shared" si="9"/>
        <v>1.8251618000000001</v>
      </c>
      <c r="K37" s="119">
        <f t="shared" si="10"/>
        <v>1.8251618000000001</v>
      </c>
      <c r="L37" s="119">
        <f t="shared" si="11"/>
        <v>0</v>
      </c>
      <c r="M37" s="15"/>
      <c r="N37" s="24">
        <v>1.8251618000000001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5:25">
      <c r="E38" s="6" t="s">
        <v>255</v>
      </c>
      <c r="F38" s="7" t="s">
        <v>19</v>
      </c>
      <c r="G38" s="6" t="s">
        <v>256</v>
      </c>
      <c r="H38" s="190" t="s">
        <v>236</v>
      </c>
      <c r="I38" s="11"/>
      <c r="J38" s="118">
        <f t="shared" si="9"/>
        <v>112.31055000000001</v>
      </c>
      <c r="K38" s="119">
        <f t="shared" si="10"/>
        <v>112.31055000000001</v>
      </c>
      <c r="L38" s="119">
        <f t="shared" si="11"/>
        <v>0</v>
      </c>
      <c r="M38" s="15"/>
      <c r="N38" s="24">
        <v>0.84614999999999996</v>
      </c>
      <c r="O38" s="24">
        <v>46.310969999999998</v>
      </c>
      <c r="P38" s="24">
        <v>0.25385000000000002</v>
      </c>
      <c r="Q38" s="24">
        <v>32.452870000000004</v>
      </c>
      <c r="R38" s="24">
        <v>32.446710000000003</v>
      </c>
      <c r="S38" s="24"/>
      <c r="T38" s="24"/>
      <c r="U38" s="24"/>
      <c r="V38" s="24"/>
      <c r="W38" s="24"/>
      <c r="X38" s="24"/>
      <c r="Y38" s="24"/>
    </row>
    <row r="39" spans="5:25">
      <c r="E39" s="6" t="s">
        <v>257</v>
      </c>
      <c r="F39" s="7" t="s">
        <v>19</v>
      </c>
      <c r="G39" s="6" t="s">
        <v>258</v>
      </c>
      <c r="H39" s="190" t="s">
        <v>236</v>
      </c>
      <c r="I39" s="11"/>
      <c r="J39" s="118">
        <f t="shared" si="9"/>
        <v>2.1232700000000002</v>
      </c>
      <c r="K39" s="119">
        <f t="shared" si="10"/>
        <v>2.1232700000000002</v>
      </c>
      <c r="L39" s="119">
        <f t="shared" si="11"/>
        <v>0</v>
      </c>
      <c r="M39" s="15"/>
      <c r="N39" s="24">
        <v>2.1232700000000002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5:25">
      <c r="E40" s="6" t="s">
        <v>259</v>
      </c>
      <c r="F40" s="7" t="s">
        <v>19</v>
      </c>
      <c r="G40" s="6" t="s">
        <v>258</v>
      </c>
      <c r="H40" s="190" t="s">
        <v>236</v>
      </c>
      <c r="I40" s="11"/>
      <c r="J40" s="118">
        <f t="shared" si="9"/>
        <v>17.255213430000001</v>
      </c>
      <c r="K40" s="119">
        <f t="shared" si="10"/>
        <v>17.255213430000001</v>
      </c>
      <c r="L40" s="119">
        <f t="shared" si="11"/>
        <v>0</v>
      </c>
      <c r="M40" s="15"/>
      <c r="N40" s="24">
        <v>5.9639029500000005</v>
      </c>
      <c r="O40" s="24">
        <v>11.291310480000002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5:25">
      <c r="E41" s="6" t="s">
        <v>260</v>
      </c>
      <c r="F41" s="7" t="s">
        <v>19</v>
      </c>
      <c r="G41" s="6" t="s">
        <v>261</v>
      </c>
      <c r="H41" s="190" t="s">
        <v>236</v>
      </c>
      <c r="I41" s="11"/>
      <c r="J41" s="118">
        <f t="shared" si="9"/>
        <v>23.4443725</v>
      </c>
      <c r="K41" s="119">
        <f t="shared" si="10"/>
        <v>23.4443725</v>
      </c>
      <c r="L41" s="119">
        <f t="shared" si="11"/>
        <v>0</v>
      </c>
      <c r="M41" s="15"/>
      <c r="N41" s="24">
        <v>23.4443725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5:25">
      <c r="E42" s="6" t="s">
        <v>260</v>
      </c>
      <c r="F42" s="7" t="s">
        <v>19</v>
      </c>
      <c r="G42" s="6" t="s">
        <v>261</v>
      </c>
      <c r="H42" s="190" t="s">
        <v>243</v>
      </c>
      <c r="I42" s="11"/>
      <c r="J42" s="118">
        <f t="shared" si="9"/>
        <v>11.6151789</v>
      </c>
      <c r="K42" s="119">
        <f t="shared" si="10"/>
        <v>11.6151789</v>
      </c>
      <c r="L42" s="119">
        <f t="shared" si="11"/>
        <v>0</v>
      </c>
      <c r="M42" s="15"/>
      <c r="N42" s="24">
        <v>11.6151789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5:25">
      <c r="E43" s="6" t="s">
        <v>260</v>
      </c>
      <c r="F43" s="7" t="s">
        <v>19</v>
      </c>
      <c r="G43" s="6" t="s">
        <v>262</v>
      </c>
      <c r="H43" s="188" t="s">
        <v>243</v>
      </c>
      <c r="I43" s="12"/>
      <c r="J43" s="118">
        <f t="shared" si="9"/>
        <v>83.958234400000009</v>
      </c>
      <c r="K43" s="119">
        <f t="shared" si="10"/>
        <v>83.958234400000009</v>
      </c>
      <c r="L43" s="119">
        <f t="shared" si="11"/>
        <v>0</v>
      </c>
      <c r="M43" s="15"/>
      <c r="N43" s="24">
        <v>83.958234400000009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5:25">
      <c r="E44" s="6" t="s">
        <v>263</v>
      </c>
      <c r="F44" s="7" t="s">
        <v>19</v>
      </c>
      <c r="G44" s="6" t="s">
        <v>264</v>
      </c>
      <c r="H44" s="188" t="s">
        <v>243</v>
      </c>
      <c r="I44" s="12"/>
      <c r="J44" s="118">
        <f t="shared" si="9"/>
        <v>25.6758539</v>
      </c>
      <c r="K44" s="119">
        <f t="shared" si="10"/>
        <v>25.6758539</v>
      </c>
      <c r="L44" s="119">
        <f t="shared" si="11"/>
        <v>0</v>
      </c>
      <c r="M44" s="15"/>
      <c r="N44" s="24">
        <v>25.6758539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5:25">
      <c r="E45" s="6" t="s">
        <v>263</v>
      </c>
      <c r="F45" s="7" t="s">
        <v>19</v>
      </c>
      <c r="G45" s="6" t="s">
        <v>261</v>
      </c>
      <c r="H45" s="188" t="s">
        <v>243</v>
      </c>
      <c r="I45" s="12"/>
      <c r="J45" s="118">
        <f t="shared" si="9"/>
        <v>13.609435900000001</v>
      </c>
      <c r="K45" s="119">
        <f t="shared" si="10"/>
        <v>13.609435900000001</v>
      </c>
      <c r="L45" s="119">
        <f t="shared" si="11"/>
        <v>0</v>
      </c>
      <c r="M45" s="15"/>
      <c r="N45" s="24">
        <v>13.609435900000001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5:25">
      <c r="E46" s="6" t="s">
        <v>263</v>
      </c>
      <c r="F46" s="7" t="s">
        <v>19</v>
      </c>
      <c r="G46" s="6" t="s">
        <v>265</v>
      </c>
      <c r="H46" s="188" t="s">
        <v>243</v>
      </c>
      <c r="I46" s="9"/>
      <c r="J46" s="118">
        <f t="shared" si="9"/>
        <v>7.7487130000000004</v>
      </c>
      <c r="K46" s="119">
        <f t="shared" si="10"/>
        <v>7.7487130000000004</v>
      </c>
      <c r="L46" s="119">
        <f t="shared" si="11"/>
        <v>0</v>
      </c>
      <c r="M46" s="15"/>
      <c r="N46" s="24">
        <v>7.7487130000000004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5:25">
      <c r="E47" s="6" t="s">
        <v>263</v>
      </c>
      <c r="F47" s="7" t="s">
        <v>19</v>
      </c>
      <c r="G47" s="6" t="s">
        <v>266</v>
      </c>
      <c r="H47" s="188" t="s">
        <v>243</v>
      </c>
      <c r="I47" s="9"/>
      <c r="J47" s="118">
        <f t="shared" si="9"/>
        <v>49.2676771</v>
      </c>
      <c r="K47" s="119">
        <f t="shared" si="10"/>
        <v>49.2676771</v>
      </c>
      <c r="L47" s="119">
        <f t="shared" si="11"/>
        <v>0</v>
      </c>
      <c r="M47" s="15"/>
      <c r="N47" s="24">
        <v>49.2676771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5:25">
      <c r="E48" s="6" t="s">
        <v>263</v>
      </c>
      <c r="F48" s="7" t="s">
        <v>19</v>
      </c>
      <c r="G48" s="6" t="s">
        <v>267</v>
      </c>
      <c r="H48" s="189" t="s">
        <v>243</v>
      </c>
      <c r="I48" s="10"/>
      <c r="J48" s="118">
        <f t="shared" si="9"/>
        <v>7.5061799999999996</v>
      </c>
      <c r="K48" s="119">
        <f t="shared" si="10"/>
        <v>7.5061799999999996</v>
      </c>
      <c r="L48" s="119">
        <f t="shared" si="11"/>
        <v>0</v>
      </c>
      <c r="M48" s="15"/>
      <c r="N48" s="24">
        <v>7.5061799999999996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5:25">
      <c r="E49" s="6" t="s">
        <v>268</v>
      </c>
      <c r="F49" s="7" t="s">
        <v>19</v>
      </c>
      <c r="G49" s="6" t="s">
        <v>269</v>
      </c>
      <c r="H49" s="190" t="s">
        <v>236</v>
      </c>
      <c r="I49" s="11"/>
      <c r="J49" s="118">
        <f t="shared" si="9"/>
        <v>101.96074589999999</v>
      </c>
      <c r="K49" s="119">
        <f t="shared" si="10"/>
        <v>101.96074589999999</v>
      </c>
      <c r="L49" s="119">
        <f t="shared" si="11"/>
        <v>0</v>
      </c>
      <c r="M49" s="15"/>
      <c r="N49" s="24">
        <v>48.488265899999973</v>
      </c>
      <c r="O49" s="24">
        <v>53.472480000000019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5:25">
      <c r="E50" s="6" t="s">
        <v>270</v>
      </c>
      <c r="F50" s="7" t="s">
        <v>19</v>
      </c>
      <c r="G50" s="6" t="s">
        <v>269</v>
      </c>
      <c r="H50" s="190" t="s">
        <v>236</v>
      </c>
      <c r="I50" s="11"/>
      <c r="J50" s="118">
        <f t="shared" si="9"/>
        <v>15.972842100000001</v>
      </c>
      <c r="K50" s="119">
        <f t="shared" si="10"/>
        <v>15.972842100000001</v>
      </c>
      <c r="L50" s="119">
        <f t="shared" si="11"/>
        <v>0</v>
      </c>
      <c r="M50" s="15"/>
      <c r="N50" s="24">
        <v>15.972842100000001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5:25">
      <c r="E51" s="6" t="s">
        <v>271</v>
      </c>
      <c r="F51" s="7" t="s">
        <v>19</v>
      </c>
      <c r="G51" s="6" t="s">
        <v>247</v>
      </c>
      <c r="H51" s="190" t="s">
        <v>236</v>
      </c>
      <c r="I51" s="11"/>
      <c r="J51" s="118">
        <f t="shared" si="9"/>
        <v>3.3210000000000002</v>
      </c>
      <c r="K51" s="119">
        <f t="shared" si="10"/>
        <v>3.3210000000000002</v>
      </c>
      <c r="L51" s="119">
        <f t="shared" si="11"/>
        <v>0</v>
      </c>
      <c r="M51" s="15"/>
      <c r="N51" s="24"/>
      <c r="O51" s="24">
        <v>3.3210000000000002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5:25">
      <c r="E52" s="6" t="s">
        <v>271</v>
      </c>
      <c r="F52" s="7" t="s">
        <v>19</v>
      </c>
      <c r="G52" s="6" t="s">
        <v>272</v>
      </c>
      <c r="H52" s="190" t="s">
        <v>236</v>
      </c>
      <c r="I52" s="11"/>
      <c r="J52" s="118">
        <f t="shared" si="9"/>
        <v>37.032400000000003</v>
      </c>
      <c r="K52" s="119">
        <f t="shared" si="10"/>
        <v>37.032400000000003</v>
      </c>
      <c r="L52" s="119">
        <f t="shared" si="11"/>
        <v>0</v>
      </c>
      <c r="M52" s="15"/>
      <c r="N52" s="24">
        <v>37.032400000000003</v>
      </c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5:25">
      <c r="E53" s="6" t="s">
        <v>271</v>
      </c>
      <c r="F53" s="7" t="s">
        <v>19</v>
      </c>
      <c r="G53" s="6" t="s">
        <v>252</v>
      </c>
      <c r="H53" s="190" t="s">
        <v>243</v>
      </c>
      <c r="I53" s="11"/>
      <c r="J53" s="118">
        <f t="shared" si="9"/>
        <v>18.2157707</v>
      </c>
      <c r="K53" s="119">
        <f t="shared" si="10"/>
        <v>18.2157707</v>
      </c>
      <c r="L53" s="119">
        <f t="shared" si="11"/>
        <v>0</v>
      </c>
      <c r="M53" s="15"/>
      <c r="N53" s="24"/>
      <c r="O53" s="24">
        <v>18.2157707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5:25">
      <c r="E54" s="6"/>
      <c r="F54" s="7"/>
      <c r="G54" s="6"/>
      <c r="H54" s="11"/>
      <c r="I54" s="11"/>
      <c r="J54" s="118">
        <f t="shared" si="9"/>
        <v>0</v>
      </c>
      <c r="K54" s="119">
        <f t="shared" si="10"/>
        <v>0</v>
      </c>
      <c r="L54" s="119">
        <f t="shared" si="11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5:25">
      <c r="E55" s="6"/>
      <c r="F55" s="7"/>
      <c r="G55" s="6"/>
      <c r="H55" s="11"/>
      <c r="I55" s="11"/>
      <c r="J55" s="118">
        <f t="shared" si="9"/>
        <v>0</v>
      </c>
      <c r="K55" s="119">
        <f t="shared" si="10"/>
        <v>0</v>
      </c>
      <c r="L55" s="119">
        <f t="shared" si="11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5:25">
      <c r="E56" s="6"/>
      <c r="F56" s="7"/>
      <c r="G56" s="6"/>
      <c r="H56" s="11"/>
      <c r="I56" s="11"/>
      <c r="J56" s="118">
        <f t="shared" si="9"/>
        <v>0</v>
      </c>
      <c r="K56" s="119">
        <f t="shared" si="10"/>
        <v>0</v>
      </c>
      <c r="L56" s="119">
        <f t="shared" si="11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5:25">
      <c r="E57" s="6"/>
      <c r="F57" s="7"/>
      <c r="G57" s="6"/>
      <c r="H57" s="11"/>
      <c r="I57" s="11"/>
      <c r="J57" s="118">
        <f t="shared" si="9"/>
        <v>0</v>
      </c>
      <c r="K57" s="119">
        <f t="shared" si="10"/>
        <v>0</v>
      </c>
      <c r="L57" s="119">
        <f t="shared" si="11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5:25">
      <c r="E58" s="6"/>
      <c r="F58" s="7"/>
      <c r="G58" s="6"/>
      <c r="H58" s="11"/>
      <c r="I58" s="11"/>
      <c r="J58" s="118">
        <f t="shared" si="9"/>
        <v>0</v>
      </c>
      <c r="K58" s="119">
        <f t="shared" si="10"/>
        <v>0</v>
      </c>
      <c r="L58" s="119">
        <f t="shared" si="11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5:25">
      <c r="E59" s="6"/>
      <c r="F59" s="7"/>
      <c r="G59" s="6"/>
      <c r="H59" s="11"/>
      <c r="I59" s="11"/>
      <c r="J59" s="118">
        <f t="shared" si="9"/>
        <v>0</v>
      </c>
      <c r="K59" s="119">
        <f t="shared" si="10"/>
        <v>0</v>
      </c>
      <c r="L59" s="119">
        <f t="shared" si="11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5:25">
      <c r="E60" s="6"/>
      <c r="F60" s="7"/>
      <c r="G60" s="6"/>
      <c r="H60" s="11"/>
      <c r="I60" s="11"/>
      <c r="J60" s="118">
        <f t="shared" si="9"/>
        <v>0</v>
      </c>
      <c r="K60" s="119">
        <f t="shared" si="10"/>
        <v>0</v>
      </c>
      <c r="L60" s="119">
        <f t="shared" si="11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5:25">
      <c r="E61" s="6"/>
      <c r="F61" s="7"/>
      <c r="G61" s="6"/>
      <c r="H61" s="11"/>
      <c r="I61" s="11"/>
      <c r="J61" s="118">
        <f t="shared" si="9"/>
        <v>0</v>
      </c>
      <c r="K61" s="119">
        <f t="shared" si="10"/>
        <v>0</v>
      </c>
      <c r="L61" s="119">
        <f t="shared" si="11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5:25">
      <c r="E62" s="6"/>
      <c r="F62" s="7"/>
      <c r="G62" s="6"/>
      <c r="H62" s="12"/>
      <c r="I62" s="12"/>
      <c r="J62" s="118">
        <f t="shared" si="9"/>
        <v>0</v>
      </c>
      <c r="K62" s="119">
        <f t="shared" si="10"/>
        <v>0</v>
      </c>
      <c r="L62" s="119">
        <f t="shared" si="11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5:25">
      <c r="E63" s="6"/>
      <c r="F63" s="7"/>
      <c r="G63" s="6"/>
      <c r="H63" s="12"/>
      <c r="I63" s="12"/>
      <c r="J63" s="118">
        <f t="shared" si="9"/>
        <v>0</v>
      </c>
      <c r="K63" s="119">
        <f t="shared" si="10"/>
        <v>0</v>
      </c>
      <c r="L63" s="119">
        <f t="shared" si="11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5:25">
      <c r="E64" s="6"/>
      <c r="F64" s="7"/>
      <c r="G64" s="6"/>
      <c r="H64" s="12"/>
      <c r="I64" s="12"/>
      <c r="J64" s="118">
        <f t="shared" si="9"/>
        <v>0</v>
      </c>
      <c r="K64" s="119">
        <f t="shared" si="10"/>
        <v>0</v>
      </c>
      <c r="L64" s="119">
        <f t="shared" si="11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5:12">
      <c r="E65" s="13"/>
      <c r="F65" s="7"/>
      <c r="G65" s="6"/>
      <c r="H65" s="12"/>
      <c r="I65" s="12"/>
      <c r="J65" s="118">
        <f t="shared" si="9"/>
        <v>0</v>
      </c>
      <c r="K65" s="119">
        <f t="shared" si="10"/>
        <v>0</v>
      </c>
      <c r="L65" s="119">
        <f t="shared" si="11"/>
        <v>0</v>
      </c>
    </row>
    <row r="66" spans="5:12">
      <c r="E66" s="6"/>
      <c r="F66" s="7"/>
      <c r="G66" s="6"/>
      <c r="H66" s="11"/>
      <c r="I66" s="11"/>
      <c r="J66" s="118">
        <f t="shared" si="9"/>
        <v>0</v>
      </c>
      <c r="K66" s="119">
        <f t="shared" si="10"/>
        <v>0</v>
      </c>
      <c r="L66" s="119">
        <f t="shared" si="11"/>
        <v>0</v>
      </c>
    </row>
    <row r="67" spans="5:12">
      <c r="E67" s="6"/>
      <c r="F67" s="7"/>
      <c r="G67" s="6"/>
      <c r="H67" s="11"/>
      <c r="I67" s="11"/>
      <c r="J67" s="118">
        <f t="shared" si="9"/>
        <v>0</v>
      </c>
      <c r="K67" s="119">
        <f t="shared" si="10"/>
        <v>0</v>
      </c>
      <c r="L67" s="119">
        <f t="shared" si="11"/>
        <v>0</v>
      </c>
    </row>
    <row r="68" spans="5:12">
      <c r="E68" s="6"/>
      <c r="F68" s="7"/>
      <c r="G68" s="6"/>
      <c r="H68" s="11"/>
      <c r="I68" s="11"/>
      <c r="J68" s="118">
        <f t="shared" si="9"/>
        <v>0</v>
      </c>
      <c r="K68" s="119">
        <f t="shared" si="10"/>
        <v>0</v>
      </c>
      <c r="L68" s="119">
        <f t="shared" si="11"/>
        <v>0</v>
      </c>
    </row>
    <row r="69" spans="5:12">
      <c r="E69" s="6"/>
      <c r="F69" s="7"/>
      <c r="G69" s="6"/>
      <c r="H69" s="11"/>
      <c r="I69" s="11"/>
      <c r="J69" s="118">
        <f t="shared" si="9"/>
        <v>0</v>
      </c>
      <c r="K69" s="119">
        <f t="shared" si="10"/>
        <v>0</v>
      </c>
      <c r="L69" s="119">
        <f t="shared" si="11"/>
        <v>0</v>
      </c>
    </row>
    <row r="70" spans="5:12">
      <c r="E70" s="6"/>
      <c r="F70" s="7"/>
      <c r="G70" s="6"/>
      <c r="H70" s="11"/>
      <c r="I70" s="11"/>
      <c r="J70" s="118">
        <f t="shared" si="9"/>
        <v>0</v>
      </c>
      <c r="K70" s="119">
        <f t="shared" si="10"/>
        <v>0</v>
      </c>
      <c r="L70" s="119">
        <f t="shared" si="11"/>
        <v>0</v>
      </c>
    </row>
    <row r="71" spans="5:12">
      <c r="E71" s="13"/>
      <c r="F71" s="7"/>
      <c r="G71" s="6"/>
      <c r="H71" s="11"/>
      <c r="I71" s="11"/>
      <c r="J71" s="118">
        <f t="shared" si="9"/>
        <v>0</v>
      </c>
      <c r="K71" s="119">
        <f t="shared" si="10"/>
        <v>0</v>
      </c>
      <c r="L71" s="119">
        <f t="shared" si="11"/>
        <v>0</v>
      </c>
    </row>
    <row r="72" spans="5:12">
      <c r="E72" s="6"/>
      <c r="F72" s="7"/>
      <c r="G72" s="6"/>
      <c r="H72" s="11"/>
      <c r="I72" s="11"/>
      <c r="J72" s="118">
        <f t="shared" si="9"/>
        <v>0</v>
      </c>
      <c r="K72" s="119">
        <f t="shared" si="10"/>
        <v>0</v>
      </c>
      <c r="L72" s="119">
        <f t="shared" si="11"/>
        <v>0</v>
      </c>
    </row>
    <row r="73" spans="5:12">
      <c r="E73" s="6"/>
      <c r="F73" s="7"/>
      <c r="G73" s="6"/>
      <c r="H73" s="11"/>
      <c r="I73" s="11"/>
      <c r="J73" s="118">
        <f t="shared" si="9"/>
        <v>0</v>
      </c>
      <c r="K73" s="119">
        <f t="shared" si="10"/>
        <v>0</v>
      </c>
      <c r="L73" s="119">
        <f t="shared" si="11"/>
        <v>0</v>
      </c>
    </row>
    <row r="74" spans="5:12">
      <c r="E74" s="6"/>
      <c r="F74" s="7"/>
      <c r="G74" s="6"/>
      <c r="H74" s="11"/>
      <c r="I74" s="11"/>
      <c r="J74" s="118">
        <f t="shared" si="9"/>
        <v>0</v>
      </c>
      <c r="K74" s="119">
        <f t="shared" si="10"/>
        <v>0</v>
      </c>
      <c r="L74" s="119">
        <f t="shared" si="11"/>
        <v>0</v>
      </c>
    </row>
    <row r="75" spans="5:12">
      <c r="E75" s="6"/>
      <c r="F75" s="7"/>
      <c r="G75" s="6"/>
      <c r="H75" s="9"/>
      <c r="I75" s="9"/>
      <c r="J75" s="118">
        <f t="shared" si="9"/>
        <v>0</v>
      </c>
      <c r="K75" s="119">
        <f t="shared" si="10"/>
        <v>0</v>
      </c>
      <c r="L75" s="119">
        <f t="shared" si="11"/>
        <v>0</v>
      </c>
    </row>
    <row r="76" spans="5:12">
      <c r="E76" s="6"/>
      <c r="F76" s="7"/>
      <c r="G76" s="6"/>
      <c r="H76" s="9"/>
      <c r="I76" s="9"/>
      <c r="J76" s="118">
        <f t="shared" si="9"/>
        <v>0</v>
      </c>
      <c r="K76" s="119">
        <f t="shared" si="10"/>
        <v>0</v>
      </c>
      <c r="L76" s="119">
        <f t="shared" si="11"/>
        <v>0</v>
      </c>
    </row>
    <row r="77" spans="5:12">
      <c r="E77" s="6"/>
      <c r="F77" s="7"/>
      <c r="G77" s="6"/>
      <c r="H77" s="10"/>
      <c r="I77" s="10"/>
      <c r="J77" s="118">
        <f t="shared" si="9"/>
        <v>0</v>
      </c>
      <c r="K77" s="119">
        <f t="shared" si="10"/>
        <v>0</v>
      </c>
      <c r="L77" s="119">
        <f t="shared" si="11"/>
        <v>0</v>
      </c>
    </row>
    <row r="78" spans="5:12">
      <c r="E78" s="6"/>
      <c r="F78" s="7"/>
      <c r="G78" s="6"/>
      <c r="H78" s="11"/>
      <c r="I78" s="11"/>
      <c r="J78" s="118">
        <f t="shared" si="9"/>
        <v>0</v>
      </c>
      <c r="K78" s="119">
        <f t="shared" si="10"/>
        <v>0</v>
      </c>
      <c r="L78" s="119">
        <f t="shared" si="11"/>
        <v>0</v>
      </c>
    </row>
    <row r="79" spans="5:12">
      <c r="E79" s="6"/>
      <c r="F79" s="7"/>
      <c r="G79" s="6"/>
      <c r="H79" s="11"/>
      <c r="I79" s="11"/>
      <c r="J79" s="118">
        <f t="shared" si="9"/>
        <v>0</v>
      </c>
      <c r="K79" s="119">
        <f t="shared" si="10"/>
        <v>0</v>
      </c>
      <c r="L79" s="119">
        <f t="shared" si="11"/>
        <v>0</v>
      </c>
    </row>
    <row r="80" spans="5:12">
      <c r="E80" s="6"/>
      <c r="F80" s="7"/>
      <c r="G80" s="6"/>
      <c r="H80" s="11"/>
      <c r="I80" s="11"/>
      <c r="J80" s="118">
        <f t="shared" si="9"/>
        <v>0</v>
      </c>
      <c r="K80" s="119">
        <f t="shared" si="10"/>
        <v>0</v>
      </c>
      <c r="L80" s="119">
        <f t="shared" si="11"/>
        <v>0</v>
      </c>
    </row>
    <row r="81" spans="5:12">
      <c r="E81" s="6"/>
      <c r="F81" s="7"/>
      <c r="G81" s="6"/>
      <c r="H81" s="11"/>
      <c r="I81" s="11"/>
      <c r="J81" s="118">
        <f t="shared" si="9"/>
        <v>0</v>
      </c>
      <c r="K81" s="119">
        <f t="shared" si="10"/>
        <v>0</v>
      </c>
      <c r="L81" s="119">
        <f t="shared" si="11"/>
        <v>0</v>
      </c>
    </row>
    <row r="82" spans="5:12">
      <c r="E82" s="6"/>
      <c r="F82" s="7"/>
      <c r="G82" s="6"/>
      <c r="H82" s="11"/>
      <c r="I82" s="11"/>
      <c r="J82" s="118">
        <f t="shared" si="9"/>
        <v>0</v>
      </c>
      <c r="K82" s="119">
        <f t="shared" si="10"/>
        <v>0</v>
      </c>
      <c r="L82" s="119">
        <f t="shared" si="11"/>
        <v>0</v>
      </c>
    </row>
    <row r="83" spans="5:12">
      <c r="E83" s="6"/>
      <c r="F83" s="7"/>
      <c r="G83" s="6"/>
      <c r="H83" s="11"/>
      <c r="I83" s="11"/>
      <c r="J83" s="118">
        <f t="shared" si="9"/>
        <v>0</v>
      </c>
      <c r="K83" s="119">
        <f t="shared" si="10"/>
        <v>0</v>
      </c>
      <c r="L83" s="119">
        <f t="shared" si="11"/>
        <v>0</v>
      </c>
    </row>
    <row r="84" spans="5:12">
      <c r="E84" s="6"/>
      <c r="F84" s="7"/>
      <c r="G84" s="6"/>
      <c r="H84" s="11"/>
      <c r="I84" s="11"/>
      <c r="J84" s="118">
        <f t="shared" si="9"/>
        <v>0</v>
      </c>
      <c r="K84" s="119">
        <f t="shared" si="10"/>
        <v>0</v>
      </c>
      <c r="L84" s="119">
        <f t="shared" si="11"/>
        <v>0</v>
      </c>
    </row>
    <row r="85" spans="5:12">
      <c r="E85" s="6"/>
      <c r="F85" s="7"/>
      <c r="G85" s="6"/>
      <c r="H85" s="11"/>
      <c r="I85" s="11"/>
      <c r="J85" s="118">
        <f t="shared" si="9"/>
        <v>0</v>
      </c>
      <c r="K85" s="119">
        <f t="shared" si="10"/>
        <v>0</v>
      </c>
      <c r="L85" s="119">
        <f t="shared" si="11"/>
        <v>0</v>
      </c>
    </row>
    <row r="86" spans="5:12">
      <c r="E86" s="6"/>
      <c r="F86" s="7"/>
      <c r="G86" s="6"/>
      <c r="H86" s="11"/>
      <c r="I86" s="11"/>
      <c r="J86" s="118">
        <f t="shared" si="9"/>
        <v>0</v>
      </c>
      <c r="K86" s="119">
        <f t="shared" si="10"/>
        <v>0</v>
      </c>
      <c r="L86" s="119">
        <f t="shared" si="11"/>
        <v>0</v>
      </c>
    </row>
    <row r="87" spans="5:12">
      <c r="E87" s="6"/>
      <c r="F87" s="7"/>
      <c r="G87" s="6"/>
      <c r="H87" s="11"/>
      <c r="I87" s="11"/>
      <c r="J87" s="118">
        <f t="shared" si="9"/>
        <v>0</v>
      </c>
      <c r="K87" s="119">
        <f t="shared" si="10"/>
        <v>0</v>
      </c>
      <c r="L87" s="119">
        <f t="shared" si="11"/>
        <v>0</v>
      </c>
    </row>
    <row r="88" spans="5:12">
      <c r="E88" s="6"/>
      <c r="F88" s="7"/>
      <c r="G88" s="6"/>
      <c r="H88" s="11"/>
      <c r="I88" s="11"/>
      <c r="J88" s="118">
        <f t="shared" si="9"/>
        <v>0</v>
      </c>
      <c r="K88" s="119">
        <f t="shared" si="10"/>
        <v>0</v>
      </c>
      <c r="L88" s="119">
        <f t="shared" si="11"/>
        <v>0</v>
      </c>
    </row>
    <row r="89" spans="5:12">
      <c r="E89" s="6"/>
      <c r="F89" s="7"/>
      <c r="G89" s="6"/>
      <c r="H89" s="11"/>
      <c r="I89" s="11"/>
      <c r="J89" s="118">
        <f t="shared" ref="J89:J152" si="12">+K89+L89</f>
        <v>0</v>
      </c>
      <c r="K89" s="119">
        <f t="shared" ref="K89:K152" si="13">SUM(N89:Y89)</f>
        <v>0</v>
      </c>
      <c r="L89" s="119">
        <f t="shared" ref="L89:L152" si="14">SUM(AA89:AL89)</f>
        <v>0</v>
      </c>
    </row>
    <row r="90" spans="5:12">
      <c r="E90" s="6"/>
      <c r="F90" s="7"/>
      <c r="G90" s="6"/>
      <c r="H90" s="11"/>
      <c r="I90" s="11"/>
      <c r="J90" s="118">
        <f t="shared" si="12"/>
        <v>0</v>
      </c>
      <c r="K90" s="119">
        <f t="shared" si="13"/>
        <v>0</v>
      </c>
      <c r="L90" s="119">
        <f t="shared" si="14"/>
        <v>0</v>
      </c>
    </row>
    <row r="91" spans="5:12">
      <c r="E91" s="6"/>
      <c r="F91" s="7"/>
      <c r="G91" s="6"/>
      <c r="H91" s="12"/>
      <c r="I91" s="12"/>
      <c r="J91" s="118">
        <f t="shared" si="12"/>
        <v>0</v>
      </c>
      <c r="K91" s="119">
        <f t="shared" si="13"/>
        <v>0</v>
      </c>
      <c r="L91" s="119">
        <f t="shared" si="14"/>
        <v>0</v>
      </c>
    </row>
    <row r="92" spans="5:12">
      <c r="E92" s="6"/>
      <c r="F92" s="7"/>
      <c r="G92" s="6"/>
      <c r="H92" s="12"/>
      <c r="I92" s="12"/>
      <c r="J92" s="118">
        <f t="shared" si="12"/>
        <v>0</v>
      </c>
      <c r="K92" s="119">
        <f t="shared" si="13"/>
        <v>0</v>
      </c>
      <c r="L92" s="119">
        <f t="shared" si="14"/>
        <v>0</v>
      </c>
    </row>
    <row r="93" spans="5:12">
      <c r="E93" s="13"/>
      <c r="F93" s="7"/>
      <c r="G93" s="6"/>
      <c r="H93" s="12"/>
      <c r="I93" s="12"/>
      <c r="J93" s="118">
        <f t="shared" si="12"/>
        <v>0</v>
      </c>
      <c r="K93" s="119">
        <f t="shared" si="13"/>
        <v>0</v>
      </c>
      <c r="L93" s="119">
        <f t="shared" si="14"/>
        <v>0</v>
      </c>
    </row>
    <row r="94" spans="5:12">
      <c r="E94" s="6"/>
      <c r="F94" s="7"/>
      <c r="G94" s="6"/>
      <c r="H94" s="9"/>
      <c r="I94" s="9"/>
      <c r="J94" s="118">
        <f t="shared" si="12"/>
        <v>0</v>
      </c>
      <c r="K94" s="119">
        <f t="shared" si="13"/>
        <v>0</v>
      </c>
      <c r="L94" s="119">
        <f t="shared" si="14"/>
        <v>0</v>
      </c>
    </row>
    <row r="95" spans="5:12">
      <c r="E95" s="6"/>
      <c r="F95" s="7"/>
      <c r="G95" s="6"/>
      <c r="H95" s="9"/>
      <c r="I95" s="9"/>
      <c r="J95" s="118">
        <f t="shared" si="12"/>
        <v>0</v>
      </c>
      <c r="K95" s="119">
        <f t="shared" si="13"/>
        <v>0</v>
      </c>
      <c r="L95" s="119">
        <f t="shared" si="14"/>
        <v>0</v>
      </c>
    </row>
    <row r="96" spans="5:12">
      <c r="E96" s="6"/>
      <c r="F96" s="7"/>
      <c r="G96" s="6"/>
      <c r="H96" s="10"/>
      <c r="I96" s="10"/>
      <c r="J96" s="118">
        <f t="shared" si="12"/>
        <v>0</v>
      </c>
      <c r="K96" s="119">
        <f t="shared" si="13"/>
        <v>0</v>
      </c>
      <c r="L96" s="119">
        <f t="shared" si="14"/>
        <v>0</v>
      </c>
    </row>
    <row r="97" spans="5:12">
      <c r="E97" s="6"/>
      <c r="F97" s="7"/>
      <c r="G97" s="6"/>
      <c r="H97" s="11"/>
      <c r="I97" s="11"/>
      <c r="J97" s="118">
        <f t="shared" si="12"/>
        <v>0</v>
      </c>
      <c r="K97" s="119">
        <f t="shared" si="13"/>
        <v>0</v>
      </c>
      <c r="L97" s="119">
        <f t="shared" si="14"/>
        <v>0</v>
      </c>
    </row>
    <row r="98" spans="5:12">
      <c r="E98" s="6"/>
      <c r="F98" s="7"/>
      <c r="G98" s="6"/>
      <c r="H98" s="11"/>
      <c r="I98" s="11"/>
      <c r="J98" s="118">
        <f t="shared" si="12"/>
        <v>0</v>
      </c>
      <c r="K98" s="119">
        <f t="shared" si="13"/>
        <v>0</v>
      </c>
      <c r="L98" s="119">
        <f t="shared" si="14"/>
        <v>0</v>
      </c>
    </row>
    <row r="99" spans="5:12">
      <c r="E99" s="6"/>
      <c r="F99" s="7"/>
      <c r="G99" s="6"/>
      <c r="H99" s="11"/>
      <c r="I99" s="11"/>
      <c r="J99" s="118">
        <f t="shared" si="12"/>
        <v>0</v>
      </c>
      <c r="K99" s="119">
        <f t="shared" si="13"/>
        <v>0</v>
      </c>
      <c r="L99" s="119">
        <f t="shared" si="14"/>
        <v>0</v>
      </c>
    </row>
    <row r="100" spans="5:12">
      <c r="E100" s="6"/>
      <c r="F100" s="7"/>
      <c r="G100" s="6"/>
      <c r="H100" s="11"/>
      <c r="I100" s="11"/>
      <c r="J100" s="118">
        <f t="shared" si="12"/>
        <v>0</v>
      </c>
      <c r="K100" s="119">
        <f t="shared" si="13"/>
        <v>0</v>
      </c>
      <c r="L100" s="119">
        <f t="shared" si="14"/>
        <v>0</v>
      </c>
    </row>
    <row r="101" spans="5:12">
      <c r="E101" s="6"/>
      <c r="F101" s="7"/>
      <c r="G101" s="6"/>
      <c r="H101" s="11"/>
      <c r="I101" s="11"/>
      <c r="J101" s="118">
        <f t="shared" si="12"/>
        <v>0</v>
      </c>
      <c r="K101" s="119">
        <f t="shared" si="13"/>
        <v>0</v>
      </c>
      <c r="L101" s="119">
        <f t="shared" si="14"/>
        <v>0</v>
      </c>
    </row>
    <row r="102" spans="5:12">
      <c r="E102" s="6"/>
      <c r="F102" s="7"/>
      <c r="G102" s="6"/>
      <c r="H102" s="11"/>
      <c r="I102" s="11"/>
      <c r="J102" s="118">
        <f t="shared" si="12"/>
        <v>0</v>
      </c>
      <c r="K102" s="119">
        <f t="shared" si="13"/>
        <v>0</v>
      </c>
      <c r="L102" s="119">
        <f t="shared" si="14"/>
        <v>0</v>
      </c>
    </row>
    <row r="103" spans="5:12">
      <c r="E103" s="6"/>
      <c r="F103" s="7"/>
      <c r="G103" s="6"/>
      <c r="H103" s="11"/>
      <c r="I103" s="11"/>
      <c r="J103" s="118">
        <f t="shared" si="12"/>
        <v>0</v>
      </c>
      <c r="K103" s="119">
        <f t="shared" si="13"/>
        <v>0</v>
      </c>
      <c r="L103" s="119">
        <f t="shared" si="14"/>
        <v>0</v>
      </c>
    </row>
    <row r="104" spans="5:12">
      <c r="E104" s="6"/>
      <c r="F104" s="7"/>
      <c r="G104" s="6"/>
      <c r="H104" s="11"/>
      <c r="I104" s="11"/>
      <c r="J104" s="118">
        <f t="shared" si="12"/>
        <v>0</v>
      </c>
      <c r="K104" s="119">
        <f t="shared" si="13"/>
        <v>0</v>
      </c>
      <c r="L104" s="119">
        <f t="shared" si="14"/>
        <v>0</v>
      </c>
    </row>
    <row r="105" spans="5:12">
      <c r="E105" s="6"/>
      <c r="F105" s="7"/>
      <c r="G105" s="6"/>
      <c r="H105" s="11"/>
      <c r="I105" s="11"/>
      <c r="J105" s="118">
        <f t="shared" si="12"/>
        <v>0</v>
      </c>
      <c r="K105" s="119">
        <f t="shared" si="13"/>
        <v>0</v>
      </c>
      <c r="L105" s="119">
        <f t="shared" si="14"/>
        <v>0</v>
      </c>
    </row>
    <row r="106" spans="5:12">
      <c r="E106" s="6"/>
      <c r="F106" s="7"/>
      <c r="G106" s="6"/>
      <c r="H106" s="11"/>
      <c r="I106" s="11"/>
      <c r="J106" s="118">
        <f t="shared" si="12"/>
        <v>0</v>
      </c>
      <c r="K106" s="119">
        <f t="shared" si="13"/>
        <v>0</v>
      </c>
      <c r="L106" s="119">
        <f t="shared" si="14"/>
        <v>0</v>
      </c>
    </row>
    <row r="107" spans="5:12">
      <c r="E107" s="6"/>
      <c r="F107" s="7"/>
      <c r="G107" s="6"/>
      <c r="H107" s="11"/>
      <c r="I107" s="11"/>
      <c r="J107" s="118">
        <f t="shared" si="12"/>
        <v>0</v>
      </c>
      <c r="K107" s="119">
        <f t="shared" si="13"/>
        <v>0</v>
      </c>
      <c r="L107" s="119">
        <f t="shared" si="14"/>
        <v>0</v>
      </c>
    </row>
    <row r="108" spans="5:12">
      <c r="E108" s="6"/>
      <c r="F108" s="7"/>
      <c r="G108" s="6"/>
      <c r="H108" s="11"/>
      <c r="I108" s="11"/>
      <c r="J108" s="118">
        <f t="shared" si="12"/>
        <v>0</v>
      </c>
      <c r="K108" s="119">
        <f t="shared" si="13"/>
        <v>0</v>
      </c>
      <c r="L108" s="119">
        <f t="shared" si="14"/>
        <v>0</v>
      </c>
    </row>
    <row r="109" spans="5:12">
      <c r="E109" s="6"/>
      <c r="F109" s="7"/>
      <c r="G109" s="6"/>
      <c r="H109" s="11"/>
      <c r="I109" s="11"/>
      <c r="J109" s="118">
        <f t="shared" si="12"/>
        <v>0</v>
      </c>
      <c r="K109" s="119">
        <f t="shared" si="13"/>
        <v>0</v>
      </c>
      <c r="L109" s="119">
        <f t="shared" si="14"/>
        <v>0</v>
      </c>
    </row>
    <row r="110" spans="5:12">
      <c r="E110" s="6"/>
      <c r="F110" s="7"/>
      <c r="G110" s="6"/>
      <c r="H110" s="12"/>
      <c r="I110" s="12"/>
      <c r="J110" s="118">
        <f t="shared" si="12"/>
        <v>0</v>
      </c>
      <c r="K110" s="119">
        <f t="shared" si="13"/>
        <v>0</v>
      </c>
      <c r="L110" s="119">
        <f t="shared" si="14"/>
        <v>0</v>
      </c>
    </row>
    <row r="111" spans="5:12">
      <c r="E111" s="6"/>
      <c r="F111" s="7"/>
      <c r="G111" s="6"/>
      <c r="H111" s="12"/>
      <c r="I111" s="12"/>
      <c r="J111" s="118">
        <f t="shared" si="12"/>
        <v>0</v>
      </c>
      <c r="K111" s="119">
        <f t="shared" si="13"/>
        <v>0</v>
      </c>
      <c r="L111" s="119">
        <f t="shared" si="14"/>
        <v>0</v>
      </c>
    </row>
    <row r="112" spans="5:12">
      <c r="E112" s="13"/>
      <c r="F112" s="7"/>
      <c r="G112" s="6"/>
      <c r="H112" s="12"/>
      <c r="I112" s="12"/>
      <c r="J112" s="118">
        <f t="shared" si="12"/>
        <v>0</v>
      </c>
      <c r="K112" s="119">
        <f t="shared" si="13"/>
        <v>0</v>
      </c>
      <c r="L112" s="119">
        <f t="shared" si="14"/>
        <v>0</v>
      </c>
    </row>
    <row r="113" spans="5:12">
      <c r="E113" s="6"/>
      <c r="F113" s="7"/>
      <c r="G113" s="6"/>
      <c r="H113" s="11"/>
      <c r="I113" s="11"/>
      <c r="J113" s="118">
        <f t="shared" si="12"/>
        <v>0</v>
      </c>
      <c r="K113" s="119">
        <f t="shared" si="13"/>
        <v>0</v>
      </c>
      <c r="L113" s="119">
        <f t="shared" si="14"/>
        <v>0</v>
      </c>
    </row>
    <row r="114" spans="5:12">
      <c r="E114" s="6"/>
      <c r="F114" s="7"/>
      <c r="G114" s="6"/>
      <c r="H114" s="11"/>
      <c r="I114" s="11"/>
      <c r="J114" s="118">
        <f t="shared" si="12"/>
        <v>0</v>
      </c>
      <c r="K114" s="119">
        <f t="shared" si="13"/>
        <v>0</v>
      </c>
      <c r="L114" s="119">
        <f t="shared" si="14"/>
        <v>0</v>
      </c>
    </row>
    <row r="115" spans="5:12">
      <c r="E115" s="6"/>
      <c r="F115" s="7"/>
      <c r="G115" s="6"/>
      <c r="H115" s="11"/>
      <c r="I115" s="11"/>
      <c r="J115" s="118">
        <f t="shared" si="12"/>
        <v>0</v>
      </c>
      <c r="K115" s="119">
        <f t="shared" si="13"/>
        <v>0</v>
      </c>
      <c r="L115" s="119">
        <f t="shared" si="14"/>
        <v>0</v>
      </c>
    </row>
    <row r="116" spans="5:12">
      <c r="E116" s="6"/>
      <c r="F116" s="7"/>
      <c r="G116" s="6"/>
      <c r="H116" s="11"/>
      <c r="I116" s="11"/>
      <c r="J116" s="118">
        <f t="shared" si="12"/>
        <v>0</v>
      </c>
      <c r="K116" s="119">
        <f t="shared" si="13"/>
        <v>0</v>
      </c>
      <c r="L116" s="119">
        <f t="shared" si="14"/>
        <v>0</v>
      </c>
    </row>
    <row r="117" spans="5:12">
      <c r="E117" s="6"/>
      <c r="F117" s="7"/>
      <c r="G117" s="6"/>
      <c r="H117" s="11"/>
      <c r="I117" s="11"/>
      <c r="J117" s="118">
        <f t="shared" si="12"/>
        <v>0</v>
      </c>
      <c r="K117" s="119">
        <f t="shared" si="13"/>
        <v>0</v>
      </c>
      <c r="L117" s="119">
        <f t="shared" si="14"/>
        <v>0</v>
      </c>
    </row>
    <row r="118" spans="5:12">
      <c r="E118" s="13"/>
      <c r="F118" s="7"/>
      <c r="G118" s="6"/>
      <c r="H118" s="11"/>
      <c r="I118" s="11"/>
      <c r="J118" s="118">
        <f t="shared" si="12"/>
        <v>0</v>
      </c>
      <c r="K118" s="119">
        <f t="shared" si="13"/>
        <v>0</v>
      </c>
      <c r="L118" s="119">
        <f t="shared" si="14"/>
        <v>0</v>
      </c>
    </row>
    <row r="119" spans="5:12">
      <c r="E119" s="6"/>
      <c r="F119" s="7"/>
      <c r="G119" s="6"/>
      <c r="H119" s="11"/>
      <c r="I119" s="11"/>
      <c r="J119" s="118">
        <f t="shared" si="12"/>
        <v>0</v>
      </c>
      <c r="K119" s="119">
        <f t="shared" si="13"/>
        <v>0</v>
      </c>
      <c r="L119" s="119">
        <f t="shared" si="14"/>
        <v>0</v>
      </c>
    </row>
    <row r="120" spans="5:12">
      <c r="E120" s="6"/>
      <c r="F120" s="7"/>
      <c r="G120" s="6"/>
      <c r="H120" s="11"/>
      <c r="I120" s="11"/>
      <c r="J120" s="118">
        <f t="shared" si="12"/>
        <v>0</v>
      </c>
      <c r="K120" s="119">
        <f t="shared" si="13"/>
        <v>0</v>
      </c>
      <c r="L120" s="119">
        <f t="shared" si="14"/>
        <v>0</v>
      </c>
    </row>
    <row r="121" spans="5:12">
      <c r="E121" s="6"/>
      <c r="F121" s="7"/>
      <c r="G121" s="6"/>
      <c r="H121" s="11"/>
      <c r="I121" s="11"/>
      <c r="J121" s="118">
        <f t="shared" si="12"/>
        <v>0</v>
      </c>
      <c r="K121" s="119">
        <f t="shared" si="13"/>
        <v>0</v>
      </c>
      <c r="L121" s="119">
        <f t="shared" si="14"/>
        <v>0</v>
      </c>
    </row>
    <row r="122" spans="5:12">
      <c r="E122" s="6"/>
      <c r="F122" s="7"/>
      <c r="G122" s="6"/>
      <c r="H122" s="11"/>
      <c r="I122" s="11"/>
      <c r="J122" s="118">
        <f t="shared" si="12"/>
        <v>0</v>
      </c>
      <c r="K122" s="119">
        <f t="shared" si="13"/>
        <v>0</v>
      </c>
      <c r="L122" s="119">
        <f t="shared" si="14"/>
        <v>0</v>
      </c>
    </row>
    <row r="123" spans="5:12">
      <c r="E123" s="6"/>
      <c r="F123" s="7"/>
      <c r="G123" s="6"/>
      <c r="H123" s="9"/>
      <c r="I123" s="9"/>
      <c r="J123" s="118">
        <f t="shared" si="12"/>
        <v>0</v>
      </c>
      <c r="K123" s="119">
        <f t="shared" si="13"/>
        <v>0</v>
      </c>
      <c r="L123" s="119">
        <f t="shared" si="14"/>
        <v>0</v>
      </c>
    </row>
    <row r="124" spans="5:12">
      <c r="E124" s="6"/>
      <c r="F124" s="7"/>
      <c r="G124" s="6"/>
      <c r="H124" s="9"/>
      <c r="I124" s="9"/>
      <c r="J124" s="118">
        <f t="shared" si="12"/>
        <v>0</v>
      </c>
      <c r="K124" s="119">
        <f t="shared" si="13"/>
        <v>0</v>
      </c>
      <c r="L124" s="119">
        <f t="shared" si="14"/>
        <v>0</v>
      </c>
    </row>
    <row r="125" spans="5:12">
      <c r="E125" s="6"/>
      <c r="F125" s="7"/>
      <c r="G125" s="6"/>
      <c r="H125" s="10"/>
      <c r="I125" s="10"/>
      <c r="J125" s="118">
        <f t="shared" si="12"/>
        <v>0</v>
      </c>
      <c r="K125" s="119">
        <f t="shared" si="13"/>
        <v>0</v>
      </c>
      <c r="L125" s="119">
        <f t="shared" si="14"/>
        <v>0</v>
      </c>
    </row>
    <row r="126" spans="5:12">
      <c r="E126" s="6"/>
      <c r="F126" s="7"/>
      <c r="G126" s="6"/>
      <c r="H126" s="11"/>
      <c r="I126" s="11"/>
      <c r="J126" s="118">
        <f t="shared" si="12"/>
        <v>0</v>
      </c>
      <c r="K126" s="119">
        <f t="shared" si="13"/>
        <v>0</v>
      </c>
      <c r="L126" s="119">
        <f t="shared" si="14"/>
        <v>0</v>
      </c>
    </row>
    <row r="127" spans="5:12">
      <c r="E127" s="6"/>
      <c r="F127" s="7"/>
      <c r="G127" s="6"/>
      <c r="H127" s="11"/>
      <c r="I127" s="11"/>
      <c r="J127" s="118">
        <f t="shared" si="12"/>
        <v>0</v>
      </c>
      <c r="K127" s="119">
        <f t="shared" si="13"/>
        <v>0</v>
      </c>
      <c r="L127" s="119">
        <f t="shared" si="14"/>
        <v>0</v>
      </c>
    </row>
    <row r="128" spans="5:12">
      <c r="E128" s="6"/>
      <c r="F128" s="7"/>
      <c r="G128" s="6"/>
      <c r="H128" s="11"/>
      <c r="I128" s="11"/>
      <c r="J128" s="118">
        <f t="shared" si="12"/>
        <v>0</v>
      </c>
      <c r="K128" s="119">
        <f t="shared" si="13"/>
        <v>0</v>
      </c>
      <c r="L128" s="119">
        <f t="shared" si="14"/>
        <v>0</v>
      </c>
    </row>
    <row r="129" spans="5:12">
      <c r="E129" s="6"/>
      <c r="F129" s="7"/>
      <c r="G129" s="6"/>
      <c r="H129" s="11"/>
      <c r="I129" s="11"/>
      <c r="J129" s="118">
        <f t="shared" si="12"/>
        <v>0</v>
      </c>
      <c r="K129" s="119">
        <f t="shared" si="13"/>
        <v>0</v>
      </c>
      <c r="L129" s="119">
        <f t="shared" si="14"/>
        <v>0</v>
      </c>
    </row>
    <row r="130" spans="5:12">
      <c r="E130" s="6"/>
      <c r="F130" s="7"/>
      <c r="G130" s="6"/>
      <c r="H130" s="11"/>
      <c r="I130" s="11"/>
      <c r="J130" s="118">
        <f t="shared" si="12"/>
        <v>0</v>
      </c>
      <c r="K130" s="119">
        <f t="shared" si="13"/>
        <v>0</v>
      </c>
      <c r="L130" s="119">
        <f t="shared" si="14"/>
        <v>0</v>
      </c>
    </row>
    <row r="131" spans="5:12">
      <c r="E131" s="6"/>
      <c r="F131" s="7"/>
      <c r="G131" s="6"/>
      <c r="H131" s="11"/>
      <c r="I131" s="11"/>
      <c r="J131" s="118">
        <f t="shared" si="12"/>
        <v>0</v>
      </c>
      <c r="K131" s="119">
        <f t="shared" si="13"/>
        <v>0</v>
      </c>
      <c r="L131" s="119">
        <f t="shared" si="14"/>
        <v>0</v>
      </c>
    </row>
    <row r="132" spans="5:12">
      <c r="E132" s="6"/>
      <c r="F132" s="7"/>
      <c r="G132" s="6"/>
      <c r="H132" s="11"/>
      <c r="I132" s="11"/>
      <c r="J132" s="118">
        <f t="shared" si="12"/>
        <v>0</v>
      </c>
      <c r="K132" s="119">
        <f t="shared" si="13"/>
        <v>0</v>
      </c>
      <c r="L132" s="119">
        <f t="shared" si="14"/>
        <v>0</v>
      </c>
    </row>
    <row r="133" spans="5:12">
      <c r="E133" s="6"/>
      <c r="F133" s="7"/>
      <c r="G133" s="6"/>
      <c r="H133" s="11"/>
      <c r="I133" s="11"/>
      <c r="J133" s="118">
        <f t="shared" si="12"/>
        <v>0</v>
      </c>
      <c r="K133" s="119">
        <f t="shared" si="13"/>
        <v>0</v>
      </c>
      <c r="L133" s="119">
        <f t="shared" si="14"/>
        <v>0</v>
      </c>
    </row>
    <row r="134" spans="5:12">
      <c r="E134" s="6"/>
      <c r="F134" s="7"/>
      <c r="G134" s="6"/>
      <c r="H134" s="11"/>
      <c r="I134" s="11"/>
      <c r="J134" s="118">
        <f t="shared" si="12"/>
        <v>0</v>
      </c>
      <c r="K134" s="119">
        <f t="shared" si="13"/>
        <v>0</v>
      </c>
      <c r="L134" s="119">
        <f t="shared" si="14"/>
        <v>0</v>
      </c>
    </row>
    <row r="135" spans="5:12">
      <c r="E135" s="6"/>
      <c r="F135" s="7"/>
      <c r="G135" s="6"/>
      <c r="H135" s="11"/>
      <c r="I135" s="11"/>
      <c r="J135" s="118">
        <f t="shared" si="12"/>
        <v>0</v>
      </c>
      <c r="K135" s="119">
        <f t="shared" si="13"/>
        <v>0</v>
      </c>
      <c r="L135" s="119">
        <f t="shared" si="14"/>
        <v>0</v>
      </c>
    </row>
    <row r="136" spans="5:12">
      <c r="E136" s="6"/>
      <c r="F136" s="7"/>
      <c r="G136" s="6"/>
      <c r="H136" s="11"/>
      <c r="I136" s="11"/>
      <c r="J136" s="118">
        <f t="shared" si="12"/>
        <v>0</v>
      </c>
      <c r="K136" s="119">
        <f t="shared" si="13"/>
        <v>0</v>
      </c>
      <c r="L136" s="119">
        <f t="shared" si="14"/>
        <v>0</v>
      </c>
    </row>
    <row r="137" spans="5:12">
      <c r="E137" s="6"/>
      <c r="F137" s="7"/>
      <c r="G137" s="6"/>
      <c r="H137" s="11"/>
      <c r="I137" s="11"/>
      <c r="J137" s="118">
        <f t="shared" si="12"/>
        <v>0</v>
      </c>
      <c r="K137" s="119">
        <f t="shared" si="13"/>
        <v>0</v>
      </c>
      <c r="L137" s="119">
        <f t="shared" si="14"/>
        <v>0</v>
      </c>
    </row>
    <row r="138" spans="5:12">
      <c r="E138" s="6"/>
      <c r="F138" s="7"/>
      <c r="G138" s="6"/>
      <c r="H138" s="11"/>
      <c r="I138" s="11"/>
      <c r="J138" s="118">
        <f t="shared" si="12"/>
        <v>0</v>
      </c>
      <c r="K138" s="119">
        <f t="shared" si="13"/>
        <v>0</v>
      </c>
      <c r="L138" s="119">
        <f t="shared" si="14"/>
        <v>0</v>
      </c>
    </row>
    <row r="139" spans="5:12">
      <c r="E139" s="6"/>
      <c r="F139" s="7"/>
      <c r="G139" s="6"/>
      <c r="H139" s="12"/>
      <c r="I139" s="12"/>
      <c r="J139" s="118">
        <f t="shared" si="12"/>
        <v>0</v>
      </c>
      <c r="K139" s="119">
        <f t="shared" si="13"/>
        <v>0</v>
      </c>
      <c r="L139" s="119">
        <f t="shared" si="14"/>
        <v>0</v>
      </c>
    </row>
    <row r="140" spans="5:12">
      <c r="E140" s="6"/>
      <c r="F140" s="7"/>
      <c r="G140" s="6"/>
      <c r="H140" s="12"/>
      <c r="I140" s="12"/>
      <c r="J140" s="118">
        <f t="shared" si="12"/>
        <v>0</v>
      </c>
      <c r="K140" s="119">
        <f t="shared" si="13"/>
        <v>0</v>
      </c>
      <c r="L140" s="119">
        <f t="shared" si="14"/>
        <v>0</v>
      </c>
    </row>
    <row r="141" spans="5:12">
      <c r="E141" s="13"/>
      <c r="F141" s="7"/>
      <c r="G141" s="6"/>
      <c r="H141" s="12"/>
      <c r="I141" s="12"/>
      <c r="J141" s="118">
        <f t="shared" si="12"/>
        <v>0</v>
      </c>
      <c r="K141" s="119">
        <f t="shared" si="13"/>
        <v>0</v>
      </c>
      <c r="L141" s="119">
        <f t="shared" si="14"/>
        <v>0</v>
      </c>
    </row>
    <row r="142" spans="5:12">
      <c r="E142" s="6"/>
      <c r="F142" s="7"/>
      <c r="G142" s="6"/>
      <c r="H142" s="9"/>
      <c r="I142" s="9"/>
      <c r="J142" s="118">
        <f t="shared" si="12"/>
        <v>0</v>
      </c>
      <c r="K142" s="119">
        <f t="shared" si="13"/>
        <v>0</v>
      </c>
      <c r="L142" s="119">
        <f t="shared" si="14"/>
        <v>0</v>
      </c>
    </row>
    <row r="143" spans="5:12">
      <c r="E143" s="6"/>
      <c r="F143" s="7"/>
      <c r="G143" s="6"/>
      <c r="H143" s="9"/>
      <c r="I143" s="9"/>
      <c r="J143" s="118">
        <f t="shared" si="12"/>
        <v>0</v>
      </c>
      <c r="K143" s="119">
        <f t="shared" si="13"/>
        <v>0</v>
      </c>
      <c r="L143" s="119">
        <f t="shared" si="14"/>
        <v>0</v>
      </c>
    </row>
    <row r="144" spans="5:12">
      <c r="E144" s="6"/>
      <c r="F144" s="7"/>
      <c r="G144" s="6"/>
      <c r="H144" s="10"/>
      <c r="I144" s="10"/>
      <c r="J144" s="118">
        <f t="shared" si="12"/>
        <v>0</v>
      </c>
      <c r="K144" s="119">
        <f t="shared" si="13"/>
        <v>0</v>
      </c>
      <c r="L144" s="119">
        <f t="shared" si="14"/>
        <v>0</v>
      </c>
    </row>
    <row r="145" spans="5:12">
      <c r="E145" s="6"/>
      <c r="F145" s="7"/>
      <c r="G145" s="6"/>
      <c r="H145" s="11"/>
      <c r="I145" s="11"/>
      <c r="J145" s="118">
        <f t="shared" si="12"/>
        <v>0</v>
      </c>
      <c r="K145" s="119">
        <f t="shared" si="13"/>
        <v>0</v>
      </c>
      <c r="L145" s="119">
        <f t="shared" si="14"/>
        <v>0</v>
      </c>
    </row>
    <row r="146" spans="5:12">
      <c r="E146" s="6"/>
      <c r="F146" s="7"/>
      <c r="G146" s="6"/>
      <c r="H146" s="11"/>
      <c r="I146" s="11"/>
      <c r="J146" s="118">
        <f t="shared" si="12"/>
        <v>0</v>
      </c>
      <c r="K146" s="119">
        <f t="shared" si="13"/>
        <v>0</v>
      </c>
      <c r="L146" s="119">
        <f t="shared" si="14"/>
        <v>0</v>
      </c>
    </row>
    <row r="147" spans="5:12">
      <c r="E147" s="6"/>
      <c r="F147" s="7"/>
      <c r="G147" s="6"/>
      <c r="H147" s="11"/>
      <c r="I147" s="11"/>
      <c r="J147" s="118">
        <f t="shared" si="12"/>
        <v>0</v>
      </c>
      <c r="K147" s="119">
        <f t="shared" si="13"/>
        <v>0</v>
      </c>
      <c r="L147" s="119">
        <f t="shared" si="14"/>
        <v>0</v>
      </c>
    </row>
    <row r="148" spans="5:12">
      <c r="E148" s="6"/>
      <c r="F148" s="7"/>
      <c r="G148" s="6"/>
      <c r="H148" s="11"/>
      <c r="I148" s="11"/>
      <c r="J148" s="118">
        <f t="shared" si="12"/>
        <v>0</v>
      </c>
      <c r="K148" s="119">
        <f t="shared" si="13"/>
        <v>0</v>
      </c>
      <c r="L148" s="119">
        <f t="shared" si="14"/>
        <v>0</v>
      </c>
    </row>
    <row r="149" spans="5:12">
      <c r="E149" s="6"/>
      <c r="F149" s="7"/>
      <c r="G149" s="6"/>
      <c r="H149" s="11"/>
      <c r="I149" s="11"/>
      <c r="J149" s="118">
        <f t="shared" si="12"/>
        <v>0</v>
      </c>
      <c r="K149" s="119">
        <f t="shared" si="13"/>
        <v>0</v>
      </c>
      <c r="L149" s="119">
        <f t="shared" si="14"/>
        <v>0</v>
      </c>
    </row>
    <row r="150" spans="5:12">
      <c r="E150" s="6"/>
      <c r="F150" s="7"/>
      <c r="G150" s="6"/>
      <c r="H150" s="11"/>
      <c r="I150" s="11"/>
      <c r="J150" s="118">
        <f t="shared" si="12"/>
        <v>0</v>
      </c>
      <c r="K150" s="119">
        <f t="shared" si="13"/>
        <v>0</v>
      </c>
      <c r="L150" s="119">
        <f t="shared" si="14"/>
        <v>0</v>
      </c>
    </row>
    <row r="151" spans="5:12">
      <c r="E151" s="6"/>
      <c r="F151" s="7"/>
      <c r="G151" s="6"/>
      <c r="H151" s="11"/>
      <c r="I151" s="11"/>
      <c r="J151" s="118">
        <f t="shared" si="12"/>
        <v>0</v>
      </c>
      <c r="K151" s="119">
        <f t="shared" si="13"/>
        <v>0</v>
      </c>
      <c r="L151" s="119">
        <f t="shared" si="14"/>
        <v>0</v>
      </c>
    </row>
    <row r="152" spans="5:12">
      <c r="E152" s="6"/>
      <c r="F152" s="7"/>
      <c r="G152" s="6"/>
      <c r="H152" s="11"/>
      <c r="I152" s="11"/>
      <c r="J152" s="118">
        <f t="shared" si="12"/>
        <v>0</v>
      </c>
      <c r="K152" s="119">
        <f t="shared" si="13"/>
        <v>0</v>
      </c>
      <c r="L152" s="119">
        <f t="shared" si="14"/>
        <v>0</v>
      </c>
    </row>
    <row r="153" spans="5:12">
      <c r="E153" s="6"/>
      <c r="F153" s="7"/>
      <c r="G153" s="6"/>
      <c r="H153" s="11"/>
      <c r="I153" s="11"/>
      <c r="J153" s="118">
        <f t="shared" ref="J153:J216" si="15">+K153+L153</f>
        <v>0</v>
      </c>
      <c r="K153" s="119">
        <f t="shared" ref="K153:K216" si="16">SUM(N153:Y153)</f>
        <v>0</v>
      </c>
      <c r="L153" s="119">
        <f t="shared" ref="L153:L216" si="17">SUM(AA153:AL153)</f>
        <v>0</v>
      </c>
    </row>
    <row r="154" spans="5:12">
      <c r="E154" s="6"/>
      <c r="F154" s="7"/>
      <c r="G154" s="6"/>
      <c r="H154" s="11"/>
      <c r="I154" s="11"/>
      <c r="J154" s="118">
        <f t="shared" si="15"/>
        <v>0</v>
      </c>
      <c r="K154" s="119">
        <f t="shared" si="16"/>
        <v>0</v>
      </c>
      <c r="L154" s="119">
        <f t="shared" si="17"/>
        <v>0</v>
      </c>
    </row>
    <row r="155" spans="5:12">
      <c r="E155" s="6"/>
      <c r="F155" s="7"/>
      <c r="G155" s="6"/>
      <c r="H155" s="11"/>
      <c r="I155" s="11"/>
      <c r="J155" s="118">
        <f t="shared" si="15"/>
        <v>0</v>
      </c>
      <c r="K155" s="119">
        <f t="shared" si="16"/>
        <v>0</v>
      </c>
      <c r="L155" s="119">
        <f t="shared" si="17"/>
        <v>0</v>
      </c>
    </row>
    <row r="156" spans="5:12">
      <c r="E156" s="6"/>
      <c r="F156" s="7"/>
      <c r="G156" s="6"/>
      <c r="H156" s="11"/>
      <c r="I156" s="11"/>
      <c r="J156" s="118">
        <f t="shared" si="15"/>
        <v>0</v>
      </c>
      <c r="K156" s="119">
        <f t="shared" si="16"/>
        <v>0</v>
      </c>
      <c r="L156" s="119">
        <f t="shared" si="17"/>
        <v>0</v>
      </c>
    </row>
    <row r="157" spans="5:12">
      <c r="E157" s="6"/>
      <c r="F157" s="7"/>
      <c r="G157" s="6"/>
      <c r="H157" s="11"/>
      <c r="I157" s="11"/>
      <c r="J157" s="118">
        <f t="shared" si="15"/>
        <v>0</v>
      </c>
      <c r="K157" s="119">
        <f t="shared" si="16"/>
        <v>0</v>
      </c>
      <c r="L157" s="119">
        <f t="shared" si="17"/>
        <v>0</v>
      </c>
    </row>
    <row r="158" spans="5:12">
      <c r="E158" s="6"/>
      <c r="F158" s="7"/>
      <c r="G158" s="6"/>
      <c r="H158" s="12"/>
      <c r="I158" s="12"/>
      <c r="J158" s="118">
        <f t="shared" si="15"/>
        <v>0</v>
      </c>
      <c r="K158" s="119">
        <f t="shared" si="16"/>
        <v>0</v>
      </c>
      <c r="L158" s="119">
        <f t="shared" si="17"/>
        <v>0</v>
      </c>
    </row>
    <row r="159" spans="5:12">
      <c r="E159" s="6"/>
      <c r="F159" s="7"/>
      <c r="G159" s="6"/>
      <c r="H159" s="12"/>
      <c r="I159" s="12"/>
      <c r="J159" s="118">
        <f t="shared" si="15"/>
        <v>0</v>
      </c>
      <c r="K159" s="119">
        <f t="shared" si="16"/>
        <v>0</v>
      </c>
      <c r="L159" s="119">
        <f t="shared" si="17"/>
        <v>0</v>
      </c>
    </row>
    <row r="160" spans="5:12">
      <c r="E160" s="13"/>
      <c r="F160" s="7"/>
      <c r="G160" s="6"/>
      <c r="H160" s="12"/>
      <c r="I160" s="12"/>
      <c r="J160" s="118">
        <f t="shared" si="15"/>
        <v>0</v>
      </c>
      <c r="K160" s="119">
        <f t="shared" si="16"/>
        <v>0</v>
      </c>
      <c r="L160" s="119">
        <f t="shared" si="17"/>
        <v>0</v>
      </c>
    </row>
    <row r="161" spans="5:12">
      <c r="E161" s="6"/>
      <c r="F161" s="7"/>
      <c r="G161" s="6"/>
      <c r="H161" s="11"/>
      <c r="I161" s="11"/>
      <c r="J161" s="118">
        <f t="shared" si="15"/>
        <v>0</v>
      </c>
      <c r="K161" s="119">
        <f t="shared" si="16"/>
        <v>0</v>
      </c>
      <c r="L161" s="119">
        <f t="shared" si="17"/>
        <v>0</v>
      </c>
    </row>
    <row r="162" spans="5:12">
      <c r="E162" s="6"/>
      <c r="F162" s="7"/>
      <c r="G162" s="6"/>
      <c r="H162" s="11"/>
      <c r="I162" s="11"/>
      <c r="J162" s="118">
        <f t="shared" si="15"/>
        <v>0</v>
      </c>
      <c r="K162" s="119">
        <f t="shared" si="16"/>
        <v>0</v>
      </c>
      <c r="L162" s="119">
        <f t="shared" si="17"/>
        <v>0</v>
      </c>
    </row>
    <row r="163" spans="5:12">
      <c r="E163" s="6"/>
      <c r="F163" s="7"/>
      <c r="G163" s="6"/>
      <c r="H163" s="11"/>
      <c r="I163" s="11"/>
      <c r="J163" s="118">
        <f t="shared" si="15"/>
        <v>0</v>
      </c>
      <c r="K163" s="119">
        <f t="shared" si="16"/>
        <v>0</v>
      </c>
      <c r="L163" s="119">
        <f t="shared" si="17"/>
        <v>0</v>
      </c>
    </row>
    <row r="164" spans="5:12">
      <c r="E164" s="6"/>
      <c r="F164" s="7"/>
      <c r="G164" s="6"/>
      <c r="H164" s="11"/>
      <c r="I164" s="11"/>
      <c r="J164" s="118">
        <f t="shared" si="15"/>
        <v>0</v>
      </c>
      <c r="K164" s="119">
        <f t="shared" si="16"/>
        <v>0</v>
      </c>
      <c r="L164" s="119">
        <f t="shared" si="17"/>
        <v>0</v>
      </c>
    </row>
    <row r="165" spans="5:12">
      <c r="E165" s="6"/>
      <c r="F165" s="7"/>
      <c r="G165" s="6"/>
      <c r="H165" s="11"/>
      <c r="I165" s="11"/>
      <c r="J165" s="118">
        <f t="shared" si="15"/>
        <v>0</v>
      </c>
      <c r="K165" s="119">
        <f t="shared" si="16"/>
        <v>0</v>
      </c>
      <c r="L165" s="119">
        <f t="shared" si="17"/>
        <v>0</v>
      </c>
    </row>
    <row r="166" spans="5:12">
      <c r="E166" s="13"/>
      <c r="F166" s="7"/>
      <c r="G166" s="6"/>
      <c r="H166" s="11"/>
      <c r="I166" s="11"/>
      <c r="J166" s="118">
        <f t="shared" si="15"/>
        <v>0</v>
      </c>
      <c r="K166" s="119">
        <f t="shared" si="16"/>
        <v>0</v>
      </c>
      <c r="L166" s="119">
        <f t="shared" si="17"/>
        <v>0</v>
      </c>
    </row>
    <row r="167" spans="5:12">
      <c r="E167" s="6"/>
      <c r="F167" s="7"/>
      <c r="G167" s="6"/>
      <c r="H167" s="11"/>
      <c r="I167" s="11"/>
      <c r="J167" s="118">
        <f t="shared" si="15"/>
        <v>0</v>
      </c>
      <c r="K167" s="119">
        <f t="shared" si="16"/>
        <v>0</v>
      </c>
      <c r="L167" s="119">
        <f t="shared" si="17"/>
        <v>0</v>
      </c>
    </row>
    <row r="168" spans="5:12">
      <c r="E168" s="6"/>
      <c r="F168" s="7"/>
      <c r="G168" s="6"/>
      <c r="H168" s="11"/>
      <c r="I168" s="11"/>
      <c r="J168" s="118">
        <f t="shared" si="15"/>
        <v>0</v>
      </c>
      <c r="K168" s="119">
        <f t="shared" si="16"/>
        <v>0</v>
      </c>
      <c r="L168" s="119">
        <f t="shared" si="17"/>
        <v>0</v>
      </c>
    </row>
    <row r="169" spans="5:12">
      <c r="E169" s="6"/>
      <c r="F169" s="7"/>
      <c r="G169" s="6"/>
      <c r="H169" s="11"/>
      <c r="I169" s="11"/>
      <c r="J169" s="118">
        <f t="shared" si="15"/>
        <v>0</v>
      </c>
      <c r="K169" s="119">
        <f t="shared" si="16"/>
        <v>0</v>
      </c>
      <c r="L169" s="119">
        <f t="shared" si="17"/>
        <v>0</v>
      </c>
    </row>
    <row r="170" spans="5:12">
      <c r="E170" s="6"/>
      <c r="F170" s="7"/>
      <c r="G170" s="6"/>
      <c r="H170" s="9"/>
      <c r="I170" s="9"/>
      <c r="J170" s="118">
        <f t="shared" si="15"/>
        <v>0</v>
      </c>
      <c r="K170" s="119">
        <f t="shared" si="16"/>
        <v>0</v>
      </c>
      <c r="L170" s="119">
        <f t="shared" si="17"/>
        <v>0</v>
      </c>
    </row>
    <row r="171" spans="5:12">
      <c r="E171" s="6"/>
      <c r="F171" s="7"/>
      <c r="G171" s="6"/>
      <c r="H171" s="9"/>
      <c r="I171" s="9"/>
      <c r="J171" s="118">
        <f t="shared" si="15"/>
        <v>0</v>
      </c>
      <c r="K171" s="119">
        <f t="shared" si="16"/>
        <v>0</v>
      </c>
      <c r="L171" s="119">
        <f t="shared" si="17"/>
        <v>0</v>
      </c>
    </row>
    <row r="172" spans="5:12">
      <c r="E172" s="6"/>
      <c r="F172" s="7"/>
      <c r="G172" s="6"/>
      <c r="H172" s="10"/>
      <c r="I172" s="10"/>
      <c r="J172" s="118">
        <f t="shared" si="15"/>
        <v>0</v>
      </c>
      <c r="K172" s="119">
        <f t="shared" si="16"/>
        <v>0</v>
      </c>
      <c r="L172" s="119">
        <f t="shared" si="17"/>
        <v>0</v>
      </c>
    </row>
    <row r="173" spans="5:12">
      <c r="E173" s="6"/>
      <c r="F173" s="7"/>
      <c r="G173" s="6"/>
      <c r="H173" s="11"/>
      <c r="I173" s="11"/>
      <c r="J173" s="118">
        <f t="shared" si="15"/>
        <v>0</v>
      </c>
      <c r="K173" s="119">
        <f t="shared" si="16"/>
        <v>0</v>
      </c>
      <c r="L173" s="119">
        <f t="shared" si="17"/>
        <v>0</v>
      </c>
    </row>
    <row r="174" spans="5:12">
      <c r="E174" s="6"/>
      <c r="F174" s="7"/>
      <c r="G174" s="6"/>
      <c r="H174" s="11"/>
      <c r="I174" s="11"/>
      <c r="J174" s="118">
        <f t="shared" si="15"/>
        <v>0</v>
      </c>
      <c r="K174" s="119">
        <f t="shared" si="16"/>
        <v>0</v>
      </c>
      <c r="L174" s="119">
        <f t="shared" si="17"/>
        <v>0</v>
      </c>
    </row>
    <row r="175" spans="5:12">
      <c r="E175" s="6"/>
      <c r="F175" s="7"/>
      <c r="G175" s="6"/>
      <c r="H175" s="11"/>
      <c r="I175" s="11"/>
      <c r="J175" s="118">
        <f t="shared" si="15"/>
        <v>0</v>
      </c>
      <c r="K175" s="119">
        <f t="shared" si="16"/>
        <v>0</v>
      </c>
      <c r="L175" s="119">
        <f t="shared" si="17"/>
        <v>0</v>
      </c>
    </row>
    <row r="176" spans="5:12">
      <c r="E176" s="6"/>
      <c r="F176" s="7"/>
      <c r="G176" s="6"/>
      <c r="H176" s="11"/>
      <c r="I176" s="11"/>
      <c r="J176" s="118">
        <f t="shared" si="15"/>
        <v>0</v>
      </c>
      <c r="K176" s="119">
        <f t="shared" si="16"/>
        <v>0</v>
      </c>
      <c r="L176" s="119">
        <f t="shared" si="17"/>
        <v>0</v>
      </c>
    </row>
    <row r="177" spans="5:12">
      <c r="E177" s="6"/>
      <c r="F177" s="7"/>
      <c r="G177" s="6"/>
      <c r="H177" s="11"/>
      <c r="I177" s="11"/>
      <c r="J177" s="118">
        <f t="shared" si="15"/>
        <v>0</v>
      </c>
      <c r="K177" s="119">
        <f t="shared" si="16"/>
        <v>0</v>
      </c>
      <c r="L177" s="119">
        <f t="shared" si="17"/>
        <v>0</v>
      </c>
    </row>
    <row r="178" spans="5:12">
      <c r="E178" s="6"/>
      <c r="F178" s="7"/>
      <c r="G178" s="6"/>
      <c r="H178" s="11"/>
      <c r="I178" s="11"/>
      <c r="J178" s="118">
        <f t="shared" si="15"/>
        <v>0</v>
      </c>
      <c r="K178" s="119">
        <f t="shared" si="16"/>
        <v>0</v>
      </c>
      <c r="L178" s="119">
        <f t="shared" si="17"/>
        <v>0</v>
      </c>
    </row>
    <row r="179" spans="5:12">
      <c r="E179" s="6"/>
      <c r="F179" s="7"/>
      <c r="G179" s="6"/>
      <c r="H179" s="11"/>
      <c r="I179" s="11"/>
      <c r="J179" s="118">
        <f t="shared" si="15"/>
        <v>0</v>
      </c>
      <c r="K179" s="119">
        <f t="shared" si="16"/>
        <v>0</v>
      </c>
      <c r="L179" s="119">
        <f t="shared" si="17"/>
        <v>0</v>
      </c>
    </row>
    <row r="180" spans="5:12">
      <c r="E180" s="6"/>
      <c r="F180" s="7"/>
      <c r="G180" s="6"/>
      <c r="H180" s="11"/>
      <c r="I180" s="11"/>
      <c r="J180" s="118">
        <f t="shared" si="15"/>
        <v>0</v>
      </c>
      <c r="K180" s="119">
        <f t="shared" si="16"/>
        <v>0</v>
      </c>
      <c r="L180" s="119">
        <f t="shared" si="17"/>
        <v>0</v>
      </c>
    </row>
    <row r="181" spans="5:12">
      <c r="E181" s="6"/>
      <c r="F181" s="7"/>
      <c r="G181" s="6"/>
      <c r="H181" s="11"/>
      <c r="I181" s="11"/>
      <c r="J181" s="118">
        <f t="shared" si="15"/>
        <v>0</v>
      </c>
      <c r="K181" s="119">
        <f t="shared" si="16"/>
        <v>0</v>
      </c>
      <c r="L181" s="119">
        <f t="shared" si="17"/>
        <v>0</v>
      </c>
    </row>
    <row r="182" spans="5:12">
      <c r="E182" s="6"/>
      <c r="F182" s="7"/>
      <c r="G182" s="6"/>
      <c r="H182" s="11"/>
      <c r="I182" s="11"/>
      <c r="J182" s="118">
        <f t="shared" si="15"/>
        <v>0</v>
      </c>
      <c r="K182" s="119">
        <f t="shared" si="16"/>
        <v>0</v>
      </c>
      <c r="L182" s="119">
        <f t="shared" si="17"/>
        <v>0</v>
      </c>
    </row>
    <row r="183" spans="5:12">
      <c r="E183" s="6"/>
      <c r="F183" s="7"/>
      <c r="G183" s="6"/>
      <c r="H183" s="11"/>
      <c r="I183" s="11"/>
      <c r="J183" s="118">
        <f t="shared" si="15"/>
        <v>0</v>
      </c>
      <c r="K183" s="119">
        <f t="shared" si="16"/>
        <v>0</v>
      </c>
      <c r="L183" s="119">
        <f t="shared" si="17"/>
        <v>0</v>
      </c>
    </row>
    <row r="184" spans="5:12">
      <c r="E184" s="6"/>
      <c r="F184" s="7"/>
      <c r="G184" s="6"/>
      <c r="H184" s="11"/>
      <c r="I184" s="11"/>
      <c r="J184" s="118">
        <f t="shared" si="15"/>
        <v>0</v>
      </c>
      <c r="K184" s="119">
        <f t="shared" si="16"/>
        <v>0</v>
      </c>
      <c r="L184" s="119">
        <f t="shared" si="17"/>
        <v>0</v>
      </c>
    </row>
    <row r="185" spans="5:12">
      <c r="E185" s="6"/>
      <c r="F185" s="7"/>
      <c r="G185" s="6"/>
      <c r="H185" s="11"/>
      <c r="I185" s="11"/>
      <c r="J185" s="118">
        <f t="shared" si="15"/>
        <v>0</v>
      </c>
      <c r="K185" s="119">
        <f t="shared" si="16"/>
        <v>0</v>
      </c>
      <c r="L185" s="119">
        <f t="shared" si="17"/>
        <v>0</v>
      </c>
    </row>
    <row r="186" spans="5:12">
      <c r="E186" s="6"/>
      <c r="F186" s="7"/>
      <c r="G186" s="6"/>
      <c r="H186" s="12"/>
      <c r="I186" s="12"/>
      <c r="J186" s="118">
        <f t="shared" si="15"/>
        <v>0</v>
      </c>
      <c r="K186" s="119">
        <f t="shared" si="16"/>
        <v>0</v>
      </c>
      <c r="L186" s="119">
        <f t="shared" si="17"/>
        <v>0</v>
      </c>
    </row>
    <row r="187" spans="5:12">
      <c r="E187" s="6"/>
      <c r="F187" s="7"/>
      <c r="G187" s="6"/>
      <c r="H187" s="12"/>
      <c r="I187" s="12"/>
      <c r="J187" s="118">
        <f t="shared" si="15"/>
        <v>0</v>
      </c>
      <c r="K187" s="119">
        <f t="shared" si="16"/>
        <v>0</v>
      </c>
      <c r="L187" s="119">
        <f t="shared" si="17"/>
        <v>0</v>
      </c>
    </row>
    <row r="188" spans="5:12">
      <c r="E188" s="13"/>
      <c r="F188" s="7"/>
      <c r="G188" s="6"/>
      <c r="H188" s="12"/>
      <c r="I188" s="12"/>
      <c r="J188" s="118">
        <f t="shared" si="15"/>
        <v>0</v>
      </c>
      <c r="K188" s="119">
        <f t="shared" si="16"/>
        <v>0</v>
      </c>
      <c r="L188" s="119">
        <f t="shared" si="17"/>
        <v>0</v>
      </c>
    </row>
    <row r="189" spans="5:12">
      <c r="E189" s="6"/>
      <c r="F189" s="7"/>
      <c r="G189" s="6"/>
      <c r="H189" s="9"/>
      <c r="I189" s="9"/>
      <c r="J189" s="118">
        <f t="shared" si="15"/>
        <v>0</v>
      </c>
      <c r="K189" s="119">
        <f t="shared" si="16"/>
        <v>0</v>
      </c>
      <c r="L189" s="119">
        <f t="shared" si="17"/>
        <v>0</v>
      </c>
    </row>
    <row r="190" spans="5:12">
      <c r="E190" s="6"/>
      <c r="F190" s="7"/>
      <c r="G190" s="6"/>
      <c r="H190" s="9"/>
      <c r="I190" s="9"/>
      <c r="J190" s="118">
        <f t="shared" si="15"/>
        <v>0</v>
      </c>
      <c r="K190" s="119">
        <f t="shared" si="16"/>
        <v>0</v>
      </c>
      <c r="L190" s="119">
        <f t="shared" si="17"/>
        <v>0</v>
      </c>
    </row>
    <row r="191" spans="5:12">
      <c r="E191" s="6"/>
      <c r="F191" s="7"/>
      <c r="G191" s="6"/>
      <c r="H191" s="10"/>
      <c r="I191" s="10"/>
      <c r="J191" s="118">
        <f t="shared" si="15"/>
        <v>0</v>
      </c>
      <c r="K191" s="119">
        <f t="shared" si="16"/>
        <v>0</v>
      </c>
      <c r="L191" s="119">
        <f t="shared" si="17"/>
        <v>0</v>
      </c>
    </row>
    <row r="192" spans="5:12">
      <c r="E192" s="6"/>
      <c r="F192" s="7"/>
      <c r="G192" s="6"/>
      <c r="H192" s="11"/>
      <c r="I192" s="11"/>
      <c r="J192" s="118">
        <f t="shared" si="15"/>
        <v>0</v>
      </c>
      <c r="K192" s="119">
        <f t="shared" si="16"/>
        <v>0</v>
      </c>
      <c r="L192" s="119">
        <f t="shared" si="17"/>
        <v>0</v>
      </c>
    </row>
    <row r="193" spans="5:12">
      <c r="E193" s="6"/>
      <c r="F193" s="7"/>
      <c r="G193" s="6"/>
      <c r="H193" s="11"/>
      <c r="I193" s="11"/>
      <c r="J193" s="118">
        <f t="shared" si="15"/>
        <v>0</v>
      </c>
      <c r="K193" s="119">
        <f t="shared" si="16"/>
        <v>0</v>
      </c>
      <c r="L193" s="119">
        <f t="shared" si="17"/>
        <v>0</v>
      </c>
    </row>
    <row r="194" spans="5:12">
      <c r="E194" s="6"/>
      <c r="F194" s="7"/>
      <c r="G194" s="6"/>
      <c r="H194" s="11"/>
      <c r="I194" s="11"/>
      <c r="J194" s="118">
        <f t="shared" si="15"/>
        <v>0</v>
      </c>
      <c r="K194" s="119">
        <f t="shared" si="16"/>
        <v>0</v>
      </c>
      <c r="L194" s="119">
        <f t="shared" si="17"/>
        <v>0</v>
      </c>
    </row>
    <row r="195" spans="5:12">
      <c r="E195" s="6"/>
      <c r="F195" s="7"/>
      <c r="G195" s="6"/>
      <c r="H195" s="11"/>
      <c r="I195" s="11"/>
      <c r="J195" s="118">
        <f t="shared" si="15"/>
        <v>0</v>
      </c>
      <c r="K195" s="119">
        <f t="shared" si="16"/>
        <v>0</v>
      </c>
      <c r="L195" s="119">
        <f t="shared" si="17"/>
        <v>0</v>
      </c>
    </row>
    <row r="196" spans="5:12">
      <c r="E196" s="6"/>
      <c r="F196" s="7"/>
      <c r="G196" s="6"/>
      <c r="H196" s="11"/>
      <c r="I196" s="11"/>
      <c r="J196" s="118">
        <f t="shared" si="15"/>
        <v>0</v>
      </c>
      <c r="K196" s="119">
        <f t="shared" si="16"/>
        <v>0</v>
      </c>
      <c r="L196" s="119">
        <f t="shared" si="17"/>
        <v>0</v>
      </c>
    </row>
    <row r="197" spans="5:12">
      <c r="E197" s="6"/>
      <c r="F197" s="7"/>
      <c r="G197" s="6"/>
      <c r="H197" s="11"/>
      <c r="I197" s="11"/>
      <c r="J197" s="118">
        <f t="shared" si="15"/>
        <v>0</v>
      </c>
      <c r="K197" s="119">
        <f t="shared" si="16"/>
        <v>0</v>
      </c>
      <c r="L197" s="119">
        <f t="shared" si="17"/>
        <v>0</v>
      </c>
    </row>
    <row r="198" spans="5:12">
      <c r="E198" s="6"/>
      <c r="F198" s="7"/>
      <c r="G198" s="6"/>
      <c r="H198" s="11"/>
      <c r="I198" s="11"/>
      <c r="J198" s="118">
        <f t="shared" si="15"/>
        <v>0</v>
      </c>
      <c r="K198" s="119">
        <f t="shared" si="16"/>
        <v>0</v>
      </c>
      <c r="L198" s="119">
        <f t="shared" si="17"/>
        <v>0</v>
      </c>
    </row>
    <row r="199" spans="5:12">
      <c r="E199" s="6"/>
      <c r="F199" s="7"/>
      <c r="G199" s="6"/>
      <c r="H199" s="11"/>
      <c r="I199" s="11"/>
      <c r="J199" s="118">
        <f t="shared" si="15"/>
        <v>0</v>
      </c>
      <c r="K199" s="119">
        <f t="shared" si="16"/>
        <v>0</v>
      </c>
      <c r="L199" s="119">
        <f t="shared" si="17"/>
        <v>0</v>
      </c>
    </row>
    <row r="200" spans="5:12">
      <c r="E200" s="6"/>
      <c r="F200" s="7"/>
      <c r="G200" s="6"/>
      <c r="H200" s="11"/>
      <c r="I200" s="11"/>
      <c r="J200" s="118">
        <f t="shared" si="15"/>
        <v>0</v>
      </c>
      <c r="K200" s="119">
        <f t="shared" si="16"/>
        <v>0</v>
      </c>
      <c r="L200" s="119">
        <f t="shared" si="17"/>
        <v>0</v>
      </c>
    </row>
    <row r="201" spans="5:12">
      <c r="E201" s="6"/>
      <c r="F201" s="7"/>
      <c r="G201" s="6"/>
      <c r="H201" s="11"/>
      <c r="I201" s="11"/>
      <c r="J201" s="118">
        <f t="shared" si="15"/>
        <v>0</v>
      </c>
      <c r="K201" s="119">
        <f t="shared" si="16"/>
        <v>0</v>
      </c>
      <c r="L201" s="119">
        <f t="shared" si="17"/>
        <v>0</v>
      </c>
    </row>
    <row r="202" spans="5:12">
      <c r="E202" s="6"/>
      <c r="F202" s="7"/>
      <c r="G202" s="6"/>
      <c r="H202" s="11"/>
      <c r="I202" s="11"/>
      <c r="J202" s="118">
        <f t="shared" si="15"/>
        <v>0</v>
      </c>
      <c r="K202" s="119">
        <f t="shared" si="16"/>
        <v>0</v>
      </c>
      <c r="L202" s="119">
        <f t="shared" si="17"/>
        <v>0</v>
      </c>
    </row>
    <row r="203" spans="5:12">
      <c r="E203" s="6"/>
      <c r="F203" s="7"/>
      <c r="G203" s="6"/>
      <c r="H203" s="11"/>
      <c r="I203" s="11"/>
      <c r="J203" s="118">
        <f t="shared" si="15"/>
        <v>0</v>
      </c>
      <c r="K203" s="119">
        <f t="shared" si="16"/>
        <v>0</v>
      </c>
      <c r="L203" s="119">
        <f t="shared" si="17"/>
        <v>0</v>
      </c>
    </row>
    <row r="204" spans="5:12">
      <c r="E204" s="6"/>
      <c r="F204" s="7"/>
      <c r="G204" s="6"/>
      <c r="H204" s="11"/>
      <c r="I204" s="11"/>
      <c r="J204" s="118">
        <f t="shared" si="15"/>
        <v>0</v>
      </c>
      <c r="K204" s="119">
        <f t="shared" si="16"/>
        <v>0</v>
      </c>
      <c r="L204" s="119">
        <f t="shared" si="17"/>
        <v>0</v>
      </c>
    </row>
    <row r="205" spans="5:12">
      <c r="E205" s="6"/>
      <c r="F205" s="7"/>
      <c r="G205" s="6"/>
      <c r="H205" s="12"/>
      <c r="I205" s="12"/>
      <c r="J205" s="118">
        <f t="shared" si="15"/>
        <v>0</v>
      </c>
      <c r="K205" s="119">
        <f t="shared" si="16"/>
        <v>0</v>
      </c>
      <c r="L205" s="119">
        <f t="shared" si="17"/>
        <v>0</v>
      </c>
    </row>
    <row r="206" spans="5:12">
      <c r="E206" s="6"/>
      <c r="F206" s="7"/>
      <c r="G206" s="6"/>
      <c r="H206" s="12"/>
      <c r="I206" s="12"/>
      <c r="J206" s="118">
        <f t="shared" si="15"/>
        <v>0</v>
      </c>
      <c r="K206" s="119">
        <f t="shared" si="16"/>
        <v>0</v>
      </c>
      <c r="L206" s="119">
        <f t="shared" si="17"/>
        <v>0</v>
      </c>
    </row>
    <row r="207" spans="5:12">
      <c r="E207" s="13"/>
      <c r="F207" s="7"/>
      <c r="G207" s="6"/>
      <c r="H207" s="12"/>
      <c r="I207" s="12"/>
      <c r="J207" s="118">
        <f t="shared" si="15"/>
        <v>0</v>
      </c>
      <c r="K207" s="119">
        <f t="shared" si="16"/>
        <v>0</v>
      </c>
      <c r="L207" s="119">
        <f t="shared" si="17"/>
        <v>0</v>
      </c>
    </row>
    <row r="208" spans="5:12">
      <c r="E208" s="6"/>
      <c r="F208" s="7"/>
      <c r="G208" s="6"/>
      <c r="H208" s="11"/>
      <c r="I208" s="11"/>
      <c r="J208" s="118">
        <f t="shared" si="15"/>
        <v>0</v>
      </c>
      <c r="K208" s="119">
        <f t="shared" si="16"/>
        <v>0</v>
      </c>
      <c r="L208" s="119">
        <f t="shared" si="17"/>
        <v>0</v>
      </c>
    </row>
    <row r="209" spans="5:12">
      <c r="E209" s="6"/>
      <c r="F209" s="7"/>
      <c r="G209" s="6"/>
      <c r="H209" s="11"/>
      <c r="I209" s="11"/>
      <c r="J209" s="118">
        <f t="shared" si="15"/>
        <v>0</v>
      </c>
      <c r="K209" s="119">
        <f t="shared" si="16"/>
        <v>0</v>
      </c>
      <c r="L209" s="119">
        <f t="shared" si="17"/>
        <v>0</v>
      </c>
    </row>
    <row r="210" spans="5:12">
      <c r="E210" s="6"/>
      <c r="F210" s="7"/>
      <c r="G210" s="6"/>
      <c r="H210" s="11"/>
      <c r="I210" s="11"/>
      <c r="J210" s="118">
        <f t="shared" si="15"/>
        <v>0</v>
      </c>
      <c r="K210" s="119">
        <f t="shared" si="16"/>
        <v>0</v>
      </c>
      <c r="L210" s="119">
        <f t="shared" si="17"/>
        <v>0</v>
      </c>
    </row>
    <row r="211" spans="5:12">
      <c r="E211" s="6"/>
      <c r="F211" s="7"/>
      <c r="G211" s="6"/>
      <c r="H211" s="11"/>
      <c r="I211" s="11"/>
      <c r="J211" s="118">
        <f t="shared" si="15"/>
        <v>0</v>
      </c>
      <c r="K211" s="119">
        <f t="shared" si="16"/>
        <v>0</v>
      </c>
      <c r="L211" s="119">
        <f t="shared" si="17"/>
        <v>0</v>
      </c>
    </row>
    <row r="212" spans="5:12">
      <c r="E212" s="6"/>
      <c r="F212" s="7"/>
      <c r="G212" s="6"/>
      <c r="H212" s="11"/>
      <c r="I212" s="11"/>
      <c r="J212" s="118">
        <f t="shared" si="15"/>
        <v>0</v>
      </c>
      <c r="K212" s="119">
        <f t="shared" si="16"/>
        <v>0</v>
      </c>
      <c r="L212" s="119">
        <f t="shared" si="17"/>
        <v>0</v>
      </c>
    </row>
    <row r="213" spans="5:12">
      <c r="E213" s="13"/>
      <c r="F213" s="7"/>
      <c r="G213" s="6"/>
      <c r="H213" s="11"/>
      <c r="I213" s="11"/>
      <c r="J213" s="118">
        <f t="shared" si="15"/>
        <v>0</v>
      </c>
      <c r="K213" s="119">
        <f t="shared" si="16"/>
        <v>0</v>
      </c>
      <c r="L213" s="119">
        <f t="shared" si="17"/>
        <v>0</v>
      </c>
    </row>
    <row r="214" spans="5:12">
      <c r="E214" s="6"/>
      <c r="F214" s="7"/>
      <c r="G214" s="6"/>
      <c r="H214" s="11"/>
      <c r="I214" s="11"/>
      <c r="J214" s="118">
        <f t="shared" si="15"/>
        <v>0</v>
      </c>
      <c r="K214" s="119">
        <f t="shared" si="16"/>
        <v>0</v>
      </c>
      <c r="L214" s="119">
        <f t="shared" si="17"/>
        <v>0</v>
      </c>
    </row>
    <row r="215" spans="5:12">
      <c r="E215" s="6"/>
      <c r="F215" s="7"/>
      <c r="G215" s="6"/>
      <c r="H215" s="11"/>
      <c r="I215" s="11"/>
      <c r="J215" s="118">
        <f t="shared" si="15"/>
        <v>0</v>
      </c>
      <c r="K215" s="119">
        <f t="shared" si="16"/>
        <v>0</v>
      </c>
      <c r="L215" s="119">
        <f t="shared" si="17"/>
        <v>0</v>
      </c>
    </row>
    <row r="216" spans="5:12">
      <c r="E216" s="6"/>
      <c r="F216" s="7"/>
      <c r="G216" s="6"/>
      <c r="H216" s="11"/>
      <c r="I216" s="11"/>
      <c r="J216" s="118">
        <f t="shared" si="15"/>
        <v>0</v>
      </c>
      <c r="K216" s="119">
        <f t="shared" si="16"/>
        <v>0</v>
      </c>
      <c r="L216" s="119">
        <f t="shared" si="17"/>
        <v>0</v>
      </c>
    </row>
    <row r="217" spans="5:12">
      <c r="E217" s="6"/>
      <c r="F217" s="7"/>
      <c r="G217" s="6"/>
      <c r="H217" s="11"/>
      <c r="I217" s="11"/>
      <c r="J217" s="118">
        <f t="shared" ref="J217:J252" si="18">+K217+L217</f>
        <v>0</v>
      </c>
      <c r="K217" s="119">
        <f t="shared" ref="K217:K252" si="19">SUM(N217:Y217)</f>
        <v>0</v>
      </c>
      <c r="L217" s="119">
        <f t="shared" ref="L217:L252" si="20">SUM(AA217:AL217)</f>
        <v>0</v>
      </c>
    </row>
    <row r="218" spans="5:12">
      <c r="E218" s="6"/>
      <c r="F218" s="7"/>
      <c r="G218" s="6"/>
      <c r="H218" s="9"/>
      <c r="I218" s="9"/>
      <c r="J218" s="118">
        <f t="shared" si="18"/>
        <v>0</v>
      </c>
      <c r="K218" s="119">
        <f t="shared" si="19"/>
        <v>0</v>
      </c>
      <c r="L218" s="119">
        <f t="shared" si="20"/>
        <v>0</v>
      </c>
    </row>
    <row r="219" spans="5:12">
      <c r="E219" s="6"/>
      <c r="F219" s="7"/>
      <c r="G219" s="6"/>
      <c r="H219" s="9"/>
      <c r="I219" s="9"/>
      <c r="J219" s="118">
        <f t="shared" si="18"/>
        <v>0</v>
      </c>
      <c r="K219" s="119">
        <f t="shared" si="19"/>
        <v>0</v>
      </c>
      <c r="L219" s="119">
        <f t="shared" si="20"/>
        <v>0</v>
      </c>
    </row>
    <row r="220" spans="5:12">
      <c r="E220" s="6"/>
      <c r="F220" s="7"/>
      <c r="G220" s="6"/>
      <c r="H220" s="10"/>
      <c r="I220" s="10"/>
      <c r="J220" s="118">
        <f t="shared" si="18"/>
        <v>0</v>
      </c>
      <c r="K220" s="119">
        <f t="shared" si="19"/>
        <v>0</v>
      </c>
      <c r="L220" s="119">
        <f t="shared" si="20"/>
        <v>0</v>
      </c>
    </row>
    <row r="221" spans="5:12">
      <c r="E221" s="6"/>
      <c r="F221" s="7"/>
      <c r="G221" s="6"/>
      <c r="H221" s="11"/>
      <c r="I221" s="11"/>
      <c r="J221" s="118">
        <f t="shared" si="18"/>
        <v>0</v>
      </c>
      <c r="K221" s="119">
        <f t="shared" si="19"/>
        <v>0</v>
      </c>
      <c r="L221" s="119">
        <f t="shared" si="20"/>
        <v>0</v>
      </c>
    </row>
    <row r="222" spans="5:12">
      <c r="E222" s="6"/>
      <c r="F222" s="7"/>
      <c r="G222" s="6"/>
      <c r="H222" s="11"/>
      <c r="I222" s="11"/>
      <c r="J222" s="118">
        <f t="shared" si="18"/>
        <v>0</v>
      </c>
      <c r="K222" s="119">
        <f t="shared" si="19"/>
        <v>0</v>
      </c>
      <c r="L222" s="119">
        <f t="shared" si="20"/>
        <v>0</v>
      </c>
    </row>
    <row r="223" spans="5:12">
      <c r="E223" s="6"/>
      <c r="F223" s="7"/>
      <c r="G223" s="6"/>
      <c r="H223" s="11"/>
      <c r="I223" s="11"/>
      <c r="J223" s="118">
        <f t="shared" si="18"/>
        <v>0</v>
      </c>
      <c r="K223" s="119">
        <f t="shared" si="19"/>
        <v>0</v>
      </c>
      <c r="L223" s="119">
        <f t="shared" si="20"/>
        <v>0</v>
      </c>
    </row>
    <row r="224" spans="5:12">
      <c r="E224" s="6"/>
      <c r="F224" s="7"/>
      <c r="G224" s="6"/>
      <c r="H224" s="11"/>
      <c r="I224" s="11"/>
      <c r="J224" s="118">
        <f t="shared" si="18"/>
        <v>0</v>
      </c>
      <c r="K224" s="119">
        <f t="shared" si="19"/>
        <v>0</v>
      </c>
      <c r="L224" s="119">
        <f t="shared" si="20"/>
        <v>0</v>
      </c>
    </row>
    <row r="225" spans="5:12">
      <c r="E225" s="6"/>
      <c r="F225" s="7"/>
      <c r="G225" s="6"/>
      <c r="H225" s="11"/>
      <c r="I225" s="11"/>
      <c r="J225" s="118">
        <f t="shared" si="18"/>
        <v>0</v>
      </c>
      <c r="K225" s="119">
        <f t="shared" si="19"/>
        <v>0</v>
      </c>
      <c r="L225" s="119">
        <f t="shared" si="20"/>
        <v>0</v>
      </c>
    </row>
    <row r="226" spans="5:12">
      <c r="E226" s="6"/>
      <c r="F226" s="7"/>
      <c r="G226" s="6"/>
      <c r="H226" s="11"/>
      <c r="I226" s="11"/>
      <c r="J226" s="118">
        <f t="shared" si="18"/>
        <v>0</v>
      </c>
      <c r="K226" s="119">
        <f t="shared" si="19"/>
        <v>0</v>
      </c>
      <c r="L226" s="119">
        <f t="shared" si="20"/>
        <v>0</v>
      </c>
    </row>
    <row r="227" spans="5:12">
      <c r="E227" s="6"/>
      <c r="F227" s="7"/>
      <c r="G227" s="6"/>
      <c r="H227" s="11"/>
      <c r="I227" s="11"/>
      <c r="J227" s="118">
        <f t="shared" si="18"/>
        <v>0</v>
      </c>
      <c r="K227" s="119">
        <f t="shared" si="19"/>
        <v>0</v>
      </c>
      <c r="L227" s="119">
        <f t="shared" si="20"/>
        <v>0</v>
      </c>
    </row>
    <row r="228" spans="5:12">
      <c r="E228" s="6"/>
      <c r="F228" s="7"/>
      <c r="G228" s="6"/>
      <c r="H228" s="11"/>
      <c r="I228" s="11"/>
      <c r="J228" s="118">
        <f t="shared" si="18"/>
        <v>0</v>
      </c>
      <c r="K228" s="119">
        <f t="shared" si="19"/>
        <v>0</v>
      </c>
      <c r="L228" s="119">
        <f t="shared" si="20"/>
        <v>0</v>
      </c>
    </row>
    <row r="229" spans="5:12">
      <c r="E229" s="6"/>
      <c r="F229" s="7"/>
      <c r="G229" s="6"/>
      <c r="H229" s="11"/>
      <c r="I229" s="11"/>
      <c r="J229" s="118">
        <f t="shared" si="18"/>
        <v>0</v>
      </c>
      <c r="K229" s="119">
        <f t="shared" si="19"/>
        <v>0</v>
      </c>
      <c r="L229" s="119">
        <f t="shared" si="20"/>
        <v>0</v>
      </c>
    </row>
    <row r="230" spans="5:12">
      <c r="E230" s="6"/>
      <c r="F230" s="7"/>
      <c r="G230" s="6"/>
      <c r="H230" s="11"/>
      <c r="I230" s="11"/>
      <c r="J230" s="118">
        <f t="shared" si="18"/>
        <v>0</v>
      </c>
      <c r="K230" s="119">
        <f t="shared" si="19"/>
        <v>0</v>
      </c>
      <c r="L230" s="119">
        <f t="shared" si="20"/>
        <v>0</v>
      </c>
    </row>
    <row r="231" spans="5:12">
      <c r="E231" s="6"/>
      <c r="F231" s="7"/>
      <c r="G231" s="6"/>
      <c r="H231" s="11"/>
      <c r="I231" s="11"/>
      <c r="J231" s="118">
        <f t="shared" si="18"/>
        <v>0</v>
      </c>
      <c r="K231" s="119">
        <f t="shared" si="19"/>
        <v>0</v>
      </c>
      <c r="L231" s="119">
        <f t="shared" si="20"/>
        <v>0</v>
      </c>
    </row>
    <row r="232" spans="5:12">
      <c r="E232" s="6"/>
      <c r="F232" s="7"/>
      <c r="G232" s="6"/>
      <c r="H232" s="11"/>
      <c r="I232" s="11"/>
      <c r="J232" s="118">
        <f t="shared" si="18"/>
        <v>0</v>
      </c>
      <c r="K232" s="119">
        <f t="shared" si="19"/>
        <v>0</v>
      </c>
      <c r="L232" s="119">
        <f t="shared" si="20"/>
        <v>0</v>
      </c>
    </row>
    <row r="233" spans="5:12">
      <c r="E233" s="6"/>
      <c r="F233" s="7"/>
      <c r="G233" s="6"/>
      <c r="H233" s="11"/>
      <c r="I233" s="11"/>
      <c r="J233" s="118">
        <f t="shared" si="18"/>
        <v>0</v>
      </c>
      <c r="K233" s="119">
        <f t="shared" si="19"/>
        <v>0</v>
      </c>
      <c r="L233" s="119">
        <f t="shared" si="20"/>
        <v>0</v>
      </c>
    </row>
    <row r="234" spans="5:12">
      <c r="E234" s="6"/>
      <c r="F234" s="7"/>
      <c r="G234" s="6"/>
      <c r="H234" s="11"/>
      <c r="I234" s="11"/>
      <c r="J234" s="118">
        <f t="shared" si="18"/>
        <v>0</v>
      </c>
      <c r="K234" s="119">
        <f t="shared" si="19"/>
        <v>0</v>
      </c>
      <c r="L234" s="119">
        <f t="shared" si="20"/>
        <v>0</v>
      </c>
    </row>
    <row r="235" spans="5:12">
      <c r="E235" s="6"/>
      <c r="F235" s="7"/>
      <c r="G235" s="6"/>
      <c r="H235" s="12"/>
      <c r="I235" s="12"/>
      <c r="J235" s="118">
        <f t="shared" si="18"/>
        <v>0</v>
      </c>
      <c r="K235" s="119">
        <f t="shared" si="19"/>
        <v>0</v>
      </c>
      <c r="L235" s="119">
        <f t="shared" si="20"/>
        <v>0</v>
      </c>
    </row>
    <row r="236" spans="5:12">
      <c r="E236" s="6"/>
      <c r="F236" s="7"/>
      <c r="G236" s="6"/>
      <c r="H236" s="12"/>
      <c r="I236" s="12"/>
      <c r="J236" s="118">
        <f t="shared" si="18"/>
        <v>0</v>
      </c>
      <c r="K236" s="119">
        <f t="shared" si="19"/>
        <v>0</v>
      </c>
      <c r="L236" s="119">
        <f t="shared" si="20"/>
        <v>0</v>
      </c>
    </row>
    <row r="237" spans="5:12">
      <c r="E237" s="13"/>
      <c r="F237" s="7"/>
      <c r="G237" s="6"/>
      <c r="H237" s="12"/>
      <c r="I237" s="12"/>
      <c r="J237" s="118">
        <f t="shared" si="18"/>
        <v>0</v>
      </c>
      <c r="K237" s="119">
        <f t="shared" si="19"/>
        <v>0</v>
      </c>
      <c r="L237" s="119">
        <f t="shared" si="20"/>
        <v>0</v>
      </c>
    </row>
    <row r="238" spans="5:12">
      <c r="E238" s="6"/>
      <c r="F238" s="7"/>
      <c r="G238" s="6"/>
      <c r="H238" s="11"/>
      <c r="I238" s="11"/>
      <c r="J238" s="118">
        <f t="shared" si="18"/>
        <v>0</v>
      </c>
      <c r="K238" s="119">
        <f t="shared" si="19"/>
        <v>0</v>
      </c>
      <c r="L238" s="119">
        <f t="shared" si="20"/>
        <v>0</v>
      </c>
    </row>
    <row r="239" spans="5:12">
      <c r="E239" s="6"/>
      <c r="F239" s="7"/>
      <c r="G239" s="6"/>
      <c r="H239" s="11"/>
      <c r="I239" s="11"/>
      <c r="J239" s="118">
        <f t="shared" si="18"/>
        <v>0</v>
      </c>
      <c r="K239" s="119">
        <f t="shared" si="19"/>
        <v>0</v>
      </c>
      <c r="L239" s="119">
        <f t="shared" si="20"/>
        <v>0</v>
      </c>
    </row>
    <row r="240" spans="5:12">
      <c r="E240" s="6"/>
      <c r="F240" s="7"/>
      <c r="G240" s="6"/>
      <c r="H240" s="11"/>
      <c r="I240" s="11"/>
      <c r="J240" s="118">
        <f t="shared" si="18"/>
        <v>0</v>
      </c>
      <c r="K240" s="119">
        <f t="shared" si="19"/>
        <v>0</v>
      </c>
      <c r="L240" s="119">
        <f t="shared" si="20"/>
        <v>0</v>
      </c>
    </row>
    <row r="241" spans="5:13">
      <c r="E241" s="6"/>
      <c r="F241" s="7"/>
      <c r="G241" s="6"/>
      <c r="H241" s="11"/>
      <c r="I241" s="11"/>
      <c r="J241" s="118">
        <f t="shared" si="18"/>
        <v>0</v>
      </c>
      <c r="K241" s="119">
        <f t="shared" si="19"/>
        <v>0</v>
      </c>
      <c r="L241" s="119">
        <f t="shared" si="20"/>
        <v>0</v>
      </c>
    </row>
    <row r="242" spans="5:13">
      <c r="E242" s="6"/>
      <c r="F242" s="7"/>
      <c r="G242" s="6"/>
      <c r="H242" s="11"/>
      <c r="I242" s="11"/>
      <c r="J242" s="118">
        <f t="shared" si="18"/>
        <v>0</v>
      </c>
      <c r="K242" s="119">
        <f t="shared" si="19"/>
        <v>0</v>
      </c>
      <c r="L242" s="119">
        <f t="shared" si="20"/>
        <v>0</v>
      </c>
    </row>
    <row r="243" spans="5:13">
      <c r="E243" s="13"/>
      <c r="F243" s="7"/>
      <c r="G243" s="6"/>
      <c r="H243" s="11"/>
      <c r="I243" s="11"/>
      <c r="J243" s="118">
        <f t="shared" si="18"/>
        <v>0</v>
      </c>
      <c r="K243" s="119">
        <f t="shared" si="19"/>
        <v>0</v>
      </c>
      <c r="L243" s="119">
        <f t="shared" si="20"/>
        <v>0</v>
      </c>
    </row>
    <row r="244" spans="5:13">
      <c r="E244" s="6"/>
      <c r="F244" s="7"/>
      <c r="G244" s="6"/>
      <c r="H244" s="11"/>
      <c r="I244" s="11"/>
      <c r="J244" s="118">
        <f t="shared" si="18"/>
        <v>0</v>
      </c>
      <c r="K244" s="119">
        <f t="shared" si="19"/>
        <v>0</v>
      </c>
      <c r="L244" s="119">
        <f t="shared" si="20"/>
        <v>0</v>
      </c>
    </row>
    <row r="245" spans="5:13">
      <c r="E245" s="6"/>
      <c r="F245" s="7"/>
      <c r="G245" s="6"/>
      <c r="H245" s="11"/>
      <c r="I245" s="11"/>
      <c r="J245" s="118">
        <f t="shared" si="18"/>
        <v>0</v>
      </c>
      <c r="K245" s="119">
        <f t="shared" si="19"/>
        <v>0</v>
      </c>
      <c r="L245" s="119">
        <f t="shared" si="20"/>
        <v>0</v>
      </c>
    </row>
    <row r="246" spans="5:13">
      <c r="E246" s="6"/>
      <c r="F246" s="7"/>
      <c r="G246" s="6"/>
      <c r="H246" s="11"/>
      <c r="I246" s="11"/>
      <c r="J246" s="118">
        <f t="shared" si="18"/>
        <v>0</v>
      </c>
      <c r="K246" s="119">
        <f t="shared" si="19"/>
        <v>0</v>
      </c>
      <c r="L246" s="119">
        <f t="shared" si="20"/>
        <v>0</v>
      </c>
    </row>
    <row r="247" spans="5:13">
      <c r="E247" s="6"/>
      <c r="F247" s="7"/>
      <c r="G247" s="6"/>
      <c r="H247" s="11"/>
      <c r="I247" s="11"/>
      <c r="J247" s="118">
        <f t="shared" si="18"/>
        <v>0</v>
      </c>
      <c r="K247" s="119">
        <f t="shared" si="19"/>
        <v>0</v>
      </c>
      <c r="L247" s="119">
        <f t="shared" si="20"/>
        <v>0</v>
      </c>
    </row>
    <row r="248" spans="5:13">
      <c r="E248" s="14"/>
      <c r="F248" s="7"/>
      <c r="G248" s="6"/>
      <c r="H248" s="11"/>
      <c r="I248" s="11"/>
      <c r="J248" s="118">
        <f t="shared" si="18"/>
        <v>0</v>
      </c>
      <c r="K248" s="119">
        <f t="shared" si="19"/>
        <v>0</v>
      </c>
      <c r="L248" s="119">
        <f t="shared" si="20"/>
        <v>0</v>
      </c>
    </row>
    <row r="249" spans="5:13">
      <c r="E249" s="14"/>
      <c r="F249" s="7"/>
      <c r="G249" s="6"/>
      <c r="H249" s="11"/>
      <c r="I249" s="11"/>
      <c r="J249" s="118">
        <f t="shared" si="18"/>
        <v>0</v>
      </c>
      <c r="K249" s="119">
        <f t="shared" si="19"/>
        <v>0</v>
      </c>
      <c r="L249" s="119">
        <f t="shared" si="20"/>
        <v>0</v>
      </c>
    </row>
    <row r="250" spans="5:13">
      <c r="E250" s="14"/>
      <c r="F250" s="7"/>
      <c r="G250" s="6"/>
      <c r="H250" s="11"/>
      <c r="I250" s="11"/>
      <c r="J250" s="118">
        <f t="shared" si="18"/>
        <v>0</v>
      </c>
      <c r="K250" s="119">
        <f t="shared" si="19"/>
        <v>0</v>
      </c>
      <c r="L250" s="119">
        <f t="shared" si="20"/>
        <v>0</v>
      </c>
    </row>
    <row r="251" spans="5:13">
      <c r="E251" s="14"/>
      <c r="F251" s="7"/>
      <c r="G251" s="6"/>
      <c r="H251" s="11"/>
      <c r="I251" s="11"/>
      <c r="J251" s="118">
        <f t="shared" si="18"/>
        <v>0</v>
      </c>
      <c r="K251" s="119">
        <f t="shared" si="19"/>
        <v>0</v>
      </c>
      <c r="L251" s="119">
        <f t="shared" si="20"/>
        <v>0</v>
      </c>
    </row>
    <row r="252" spans="5:13" s="22" customFormat="1">
      <c r="E252" s="14"/>
      <c r="F252" s="7"/>
      <c r="G252" s="6"/>
      <c r="H252" s="11"/>
      <c r="I252" s="11"/>
      <c r="J252" s="118">
        <f t="shared" si="18"/>
        <v>0</v>
      </c>
      <c r="K252" s="119">
        <f t="shared" si="19"/>
        <v>0</v>
      </c>
      <c r="L252" s="119">
        <f t="shared" si="20"/>
        <v>0</v>
      </c>
    </row>
    <row r="253" spans="5:13" ht="18.600000000000001" customHeight="1">
      <c r="H253" s="291"/>
      <c r="I253" s="291"/>
      <c r="J253" s="291"/>
      <c r="K253" s="292"/>
      <c r="L253" s="292"/>
      <c r="M253" s="292"/>
    </row>
    <row r="254" spans="5:13">
      <c r="H254" s="291"/>
      <c r="I254" s="291"/>
      <c r="J254" s="291"/>
      <c r="K254" s="292"/>
      <c r="L254" s="292"/>
      <c r="M254" s="292"/>
    </row>
    <row r="255" spans="5:13">
      <c r="H255" s="291"/>
      <c r="I255" s="291"/>
      <c r="J255" s="291"/>
      <c r="K255" s="292"/>
      <c r="L255" s="292"/>
      <c r="M255" s="292"/>
    </row>
    <row r="256" spans="5:13">
      <c r="H256" s="291"/>
      <c r="I256" s="291"/>
      <c r="J256" s="291"/>
      <c r="K256" s="292"/>
      <c r="L256" s="292"/>
      <c r="M256" s="292"/>
    </row>
    <row r="257" spans="8:13">
      <c r="H257" s="291"/>
      <c r="I257" s="291"/>
      <c r="J257" s="291"/>
      <c r="K257" s="292"/>
      <c r="L257" s="292"/>
      <c r="M257" s="292"/>
    </row>
    <row r="258" spans="8:13">
      <c r="H258" s="291"/>
      <c r="I258" s="291"/>
      <c r="J258" s="291"/>
      <c r="K258" s="292"/>
      <c r="L258" s="292"/>
      <c r="M258" s="292"/>
    </row>
    <row r="259" spans="8:13">
      <c r="H259" s="291"/>
      <c r="I259" s="291"/>
      <c r="J259" s="291"/>
      <c r="K259" s="292"/>
      <c r="L259" s="292"/>
      <c r="M259" s="292"/>
    </row>
    <row r="260" spans="8:13">
      <c r="H260" s="291"/>
      <c r="I260" s="291"/>
      <c r="J260" s="291"/>
      <c r="K260" s="292"/>
      <c r="L260" s="292"/>
      <c r="M260" s="292"/>
    </row>
    <row r="261" spans="8:13">
      <c r="H261" s="291"/>
      <c r="I261" s="291"/>
      <c r="J261" s="291"/>
      <c r="K261" s="292"/>
      <c r="L261" s="292"/>
      <c r="M261" s="292"/>
    </row>
    <row r="262" spans="8:13">
      <c r="H262" s="291"/>
      <c r="I262" s="291"/>
      <c r="J262" s="291"/>
      <c r="K262" s="292"/>
      <c r="L262" s="292"/>
      <c r="M262" s="292"/>
    </row>
    <row r="263" spans="8:13">
      <c r="H263" s="291"/>
      <c r="I263" s="291"/>
      <c r="J263" s="291"/>
      <c r="K263" s="292"/>
      <c r="L263" s="292"/>
      <c r="M263" s="292"/>
    </row>
    <row r="264" spans="8:13">
      <c r="H264" s="291"/>
      <c r="I264" s="291"/>
      <c r="J264" s="291"/>
      <c r="K264" s="292"/>
      <c r="L264" s="292"/>
      <c r="M264" s="292"/>
    </row>
    <row r="265" spans="8:13">
      <c r="H265" s="291"/>
      <c r="I265" s="291"/>
      <c r="J265" s="291"/>
      <c r="K265" s="292"/>
      <c r="L265" s="292"/>
      <c r="M265" s="292"/>
    </row>
    <row r="266" spans="8:13">
      <c r="H266" s="291"/>
      <c r="I266" s="291"/>
      <c r="J266" s="291"/>
      <c r="K266" s="292"/>
      <c r="L266" s="292"/>
      <c r="M266" s="292"/>
    </row>
    <row r="267" spans="8:13">
      <c r="H267" s="291"/>
      <c r="I267" s="291"/>
      <c r="J267" s="291"/>
      <c r="K267" s="292"/>
      <c r="L267" s="292"/>
      <c r="M267" s="292"/>
    </row>
    <row r="268" spans="8:13">
      <c r="H268" s="291"/>
      <c r="I268" s="291"/>
      <c r="J268" s="291"/>
      <c r="K268" s="292"/>
      <c r="L268" s="292"/>
      <c r="M268" s="292"/>
    </row>
    <row r="269" spans="8:13">
      <c r="H269" s="291"/>
      <c r="I269" s="291"/>
      <c r="J269" s="291"/>
      <c r="K269" s="292"/>
      <c r="L269" s="292"/>
      <c r="M269" s="292"/>
    </row>
    <row r="270" spans="8:13">
      <c r="H270" s="291"/>
      <c r="I270" s="291"/>
      <c r="J270" s="291"/>
      <c r="K270" s="292"/>
      <c r="L270" s="292"/>
      <c r="M270" s="292"/>
    </row>
    <row r="271" spans="8:13">
      <c r="H271" s="291"/>
      <c r="I271" s="291"/>
      <c r="J271" s="291"/>
      <c r="K271" s="292"/>
      <c r="L271" s="292"/>
      <c r="M271" s="292"/>
    </row>
    <row r="272" spans="8:13">
      <c r="H272" s="291"/>
      <c r="I272" s="291"/>
      <c r="J272" s="291"/>
      <c r="K272" s="292"/>
      <c r="L272" s="292"/>
      <c r="M272" s="292"/>
    </row>
    <row r="273" spans="8:13">
      <c r="H273" s="291"/>
      <c r="I273" s="291"/>
      <c r="J273" s="291"/>
      <c r="K273" s="292"/>
      <c r="L273" s="292"/>
      <c r="M273" s="292"/>
    </row>
    <row r="274" spans="8:13">
      <c r="H274" s="291"/>
      <c r="I274" s="291"/>
      <c r="J274" s="291"/>
      <c r="K274" s="292"/>
      <c r="L274" s="292"/>
      <c r="M274" s="292"/>
    </row>
    <row r="275" spans="8:13">
      <c r="H275" s="291"/>
      <c r="I275" s="291"/>
      <c r="J275" s="291"/>
      <c r="K275" s="292"/>
      <c r="L275" s="292"/>
      <c r="M275" s="292"/>
    </row>
    <row r="276" spans="8:13">
      <c r="H276" s="291"/>
      <c r="I276" s="291"/>
      <c r="J276" s="291"/>
      <c r="K276" s="292"/>
      <c r="L276" s="292"/>
      <c r="M276" s="292"/>
    </row>
    <row r="277" spans="8:13">
      <c r="H277" s="291"/>
      <c r="I277" s="291"/>
      <c r="J277" s="291"/>
      <c r="K277" s="292"/>
      <c r="L277" s="292"/>
      <c r="M277" s="292"/>
    </row>
    <row r="278" spans="8:13">
      <c r="H278" s="291"/>
      <c r="I278" s="291"/>
      <c r="J278" s="291"/>
      <c r="K278" s="292"/>
      <c r="L278" s="292"/>
      <c r="M278" s="292"/>
    </row>
    <row r="279" spans="8:13">
      <c r="H279" s="291"/>
      <c r="I279" s="291"/>
      <c r="J279" s="291"/>
      <c r="K279" s="292"/>
      <c r="L279" s="292"/>
      <c r="M279" s="292"/>
    </row>
    <row r="280" spans="8:13">
      <c r="H280" s="291"/>
      <c r="I280" s="291"/>
      <c r="J280" s="291"/>
      <c r="K280" s="292"/>
      <c r="L280" s="292"/>
      <c r="M280" s="292"/>
    </row>
    <row r="281" spans="8:13">
      <c r="H281" s="291"/>
      <c r="I281" s="291"/>
      <c r="J281" s="291"/>
      <c r="K281" s="292"/>
      <c r="L281" s="292"/>
      <c r="M281" s="292"/>
    </row>
    <row r="282" spans="8:13">
      <c r="H282" s="291"/>
      <c r="I282" s="291"/>
      <c r="J282" s="291"/>
      <c r="K282" s="292"/>
      <c r="L282" s="292"/>
      <c r="M282" s="292"/>
    </row>
    <row r="283" spans="8:13">
      <c r="H283" s="291"/>
      <c r="I283" s="291"/>
      <c r="J283" s="291"/>
      <c r="K283" s="292"/>
      <c r="L283" s="292"/>
      <c r="M283" s="292"/>
    </row>
    <row r="284" spans="8:13">
      <c r="H284" s="291"/>
      <c r="I284" s="291"/>
      <c r="J284" s="291"/>
      <c r="K284" s="292"/>
      <c r="L284" s="292"/>
      <c r="M284" s="292"/>
    </row>
    <row r="285" spans="8:13">
      <c r="H285" s="291"/>
      <c r="I285" s="291"/>
      <c r="J285" s="291"/>
      <c r="K285" s="292"/>
      <c r="L285" s="292"/>
      <c r="M285" s="292"/>
    </row>
    <row r="286" spans="8:13">
      <c r="H286" s="291"/>
      <c r="I286" s="291"/>
      <c r="J286" s="291"/>
      <c r="K286" s="292"/>
      <c r="L286" s="292"/>
      <c r="M286" s="292"/>
    </row>
    <row r="287" spans="8:13">
      <c r="H287" s="291"/>
      <c r="I287" s="291"/>
      <c r="J287" s="291"/>
      <c r="K287" s="292"/>
      <c r="L287" s="292"/>
      <c r="M287" s="292"/>
    </row>
    <row r="288" spans="8:13">
      <c r="H288" s="291"/>
      <c r="I288" s="291"/>
      <c r="J288" s="291"/>
      <c r="K288" s="292"/>
      <c r="L288" s="292"/>
      <c r="M288" s="292"/>
    </row>
    <row r="289" spans="8:13">
      <c r="H289" s="291"/>
      <c r="I289" s="291"/>
      <c r="J289" s="291"/>
      <c r="K289" s="292"/>
      <c r="L289" s="292"/>
      <c r="M289" s="292"/>
    </row>
    <row r="290" spans="8:13">
      <c r="H290" s="291"/>
      <c r="I290" s="291"/>
      <c r="J290" s="291"/>
      <c r="K290" s="292"/>
      <c r="L290" s="292"/>
      <c r="M290" s="292"/>
    </row>
    <row r="291" spans="8:13">
      <c r="H291" s="291"/>
      <c r="I291" s="291"/>
      <c r="J291" s="291"/>
      <c r="K291" s="292"/>
      <c r="L291" s="292"/>
      <c r="M291" s="292"/>
    </row>
    <row r="292" spans="8:13">
      <c r="H292" s="291"/>
      <c r="I292" s="291"/>
      <c r="J292" s="291"/>
      <c r="K292" s="292"/>
      <c r="L292" s="292"/>
      <c r="M292" s="292"/>
    </row>
    <row r="293" spans="8:13">
      <c r="H293" s="291"/>
      <c r="I293" s="291"/>
      <c r="J293" s="291"/>
      <c r="K293" s="292"/>
      <c r="L293" s="292"/>
      <c r="M293" s="292"/>
    </row>
    <row r="294" spans="8:13">
      <c r="H294" s="291"/>
      <c r="I294" s="291"/>
      <c r="J294" s="291"/>
      <c r="K294" s="292"/>
      <c r="L294" s="292"/>
      <c r="M294" s="292"/>
    </row>
    <row r="295" spans="8:13">
      <c r="H295" s="291"/>
      <c r="I295" s="291"/>
      <c r="J295" s="291"/>
      <c r="K295" s="292"/>
      <c r="L295" s="292"/>
      <c r="M295" s="292"/>
    </row>
    <row r="296" spans="8:13">
      <c r="H296" s="291"/>
      <c r="I296" s="291"/>
      <c r="J296" s="291"/>
      <c r="K296" s="292"/>
      <c r="L296" s="292"/>
      <c r="M296" s="292"/>
    </row>
    <row r="297" spans="8:13">
      <c r="H297" s="291"/>
      <c r="I297" s="291"/>
      <c r="J297" s="291"/>
      <c r="K297" s="292"/>
      <c r="L297" s="292"/>
      <c r="M297" s="292"/>
    </row>
    <row r="298" spans="8:13">
      <c r="H298" s="291"/>
      <c r="I298" s="291"/>
      <c r="J298" s="291"/>
      <c r="K298" s="292"/>
      <c r="L298" s="292"/>
      <c r="M298" s="292"/>
    </row>
    <row r="299" spans="8:13">
      <c r="H299" s="291"/>
      <c r="I299" s="291"/>
      <c r="J299" s="291"/>
      <c r="K299" s="292"/>
      <c r="L299" s="292"/>
      <c r="M299" s="292"/>
    </row>
    <row r="300" spans="8:13">
      <c r="H300" s="291"/>
      <c r="I300" s="291"/>
      <c r="J300" s="291"/>
      <c r="K300" s="292"/>
      <c r="L300" s="292"/>
      <c r="M300" s="292"/>
    </row>
    <row r="301" spans="8:13">
      <c r="H301" s="291"/>
      <c r="I301" s="291"/>
      <c r="J301" s="291"/>
      <c r="K301" s="292"/>
      <c r="L301" s="292"/>
      <c r="M301" s="292"/>
    </row>
    <row r="302" spans="8:13">
      <c r="H302" s="291"/>
      <c r="I302" s="291"/>
      <c r="J302" s="291"/>
      <c r="K302" s="292"/>
      <c r="L302" s="292"/>
      <c r="M302" s="292"/>
    </row>
    <row r="303" spans="8:13">
      <c r="H303" s="291"/>
      <c r="I303" s="291"/>
      <c r="J303" s="291"/>
      <c r="K303" s="292"/>
      <c r="L303" s="292"/>
      <c r="M303" s="292"/>
    </row>
    <row r="304" spans="8:13">
      <c r="H304" s="291"/>
      <c r="I304" s="291"/>
      <c r="J304" s="291"/>
      <c r="K304" s="292"/>
      <c r="L304" s="292"/>
      <c r="M304" s="292"/>
    </row>
    <row r="305" spans="8:13">
      <c r="H305" s="291"/>
      <c r="I305" s="291"/>
      <c r="J305" s="291"/>
      <c r="K305" s="292"/>
      <c r="L305" s="292"/>
      <c r="M305" s="292"/>
    </row>
    <row r="306" spans="8:13">
      <c r="H306" s="291"/>
      <c r="I306" s="291"/>
      <c r="J306" s="291"/>
      <c r="K306" s="292"/>
      <c r="L306" s="292"/>
      <c r="M306" s="292"/>
    </row>
    <row r="307" spans="8:13">
      <c r="H307" s="291"/>
      <c r="I307" s="291"/>
      <c r="J307" s="291"/>
      <c r="K307" s="292"/>
      <c r="L307" s="292"/>
      <c r="M307" s="292"/>
    </row>
    <row r="308" spans="8:13">
      <c r="H308" s="291"/>
      <c r="I308" s="291"/>
      <c r="J308" s="291"/>
      <c r="K308" s="292"/>
      <c r="L308" s="292"/>
      <c r="M308" s="292"/>
    </row>
    <row r="309" spans="8:13">
      <c r="H309" s="291"/>
      <c r="I309" s="291"/>
      <c r="J309" s="291"/>
      <c r="K309" s="292"/>
      <c r="L309" s="292"/>
      <c r="M309" s="292"/>
    </row>
    <row r="310" spans="8:13">
      <c r="H310" s="291"/>
      <c r="I310" s="291"/>
      <c r="J310" s="291"/>
      <c r="K310" s="292"/>
      <c r="L310" s="292"/>
      <c r="M310" s="292"/>
    </row>
    <row r="311" spans="8:13">
      <c r="H311" s="291"/>
      <c r="I311" s="291"/>
      <c r="J311" s="291"/>
      <c r="K311" s="292"/>
      <c r="L311" s="292"/>
      <c r="M311" s="292"/>
    </row>
    <row r="312" spans="8:13">
      <c r="H312" s="291"/>
      <c r="I312" s="291"/>
      <c r="J312" s="291"/>
      <c r="K312" s="292"/>
      <c r="L312" s="292"/>
      <c r="M312" s="292"/>
    </row>
    <row r="313" spans="8:13">
      <c r="H313" s="291"/>
      <c r="I313" s="291"/>
      <c r="J313" s="291"/>
      <c r="K313" s="292"/>
      <c r="L313" s="292"/>
      <c r="M313" s="292"/>
    </row>
    <row r="314" spans="8:13">
      <c r="H314" s="291"/>
      <c r="I314" s="291"/>
      <c r="J314" s="291"/>
      <c r="K314" s="292"/>
      <c r="L314" s="292"/>
      <c r="M314" s="292"/>
    </row>
    <row r="315" spans="8:13">
      <c r="H315" s="291"/>
      <c r="I315" s="291"/>
      <c r="J315" s="291"/>
      <c r="K315" s="292"/>
      <c r="L315" s="292"/>
      <c r="M315" s="292"/>
    </row>
    <row r="316" spans="8:13">
      <c r="H316" s="291"/>
      <c r="I316" s="291"/>
      <c r="J316" s="291"/>
      <c r="K316" s="292"/>
      <c r="L316" s="292"/>
      <c r="M316" s="292"/>
    </row>
    <row r="317" spans="8:13">
      <c r="H317" s="291"/>
      <c r="I317" s="291"/>
      <c r="J317" s="291"/>
      <c r="K317" s="292"/>
      <c r="L317" s="292"/>
      <c r="M317" s="292"/>
    </row>
    <row r="318" spans="8:13">
      <c r="H318" s="291"/>
      <c r="I318" s="291"/>
      <c r="J318" s="291"/>
      <c r="K318" s="292"/>
      <c r="L318" s="292"/>
      <c r="M318" s="292"/>
    </row>
    <row r="319" spans="8:13">
      <c r="H319" s="291"/>
      <c r="I319" s="291"/>
      <c r="J319" s="291"/>
      <c r="K319" s="292"/>
      <c r="L319" s="292"/>
      <c r="M319" s="292"/>
    </row>
    <row r="320" spans="8:13">
      <c r="H320" s="291"/>
      <c r="I320" s="291"/>
      <c r="J320" s="291"/>
      <c r="K320" s="292"/>
      <c r="L320" s="292"/>
      <c r="M320" s="292"/>
    </row>
    <row r="321" spans="8:13">
      <c r="H321" s="291"/>
      <c r="I321" s="291"/>
      <c r="J321" s="291"/>
      <c r="K321" s="292"/>
      <c r="L321" s="292"/>
      <c r="M321" s="292"/>
    </row>
    <row r="322" spans="8:13">
      <c r="H322" s="291"/>
      <c r="I322" s="291"/>
      <c r="J322" s="291"/>
      <c r="K322" s="292"/>
      <c r="L322" s="292"/>
      <c r="M322" s="292"/>
    </row>
    <row r="323" spans="8:13">
      <c r="H323" s="291"/>
      <c r="I323" s="291"/>
      <c r="J323" s="291"/>
      <c r="K323" s="292"/>
      <c r="L323" s="292"/>
      <c r="M323" s="292"/>
    </row>
    <row r="324" spans="8:13">
      <c r="H324" s="291"/>
      <c r="I324" s="291"/>
      <c r="J324" s="291"/>
      <c r="K324" s="292"/>
      <c r="L324" s="292"/>
      <c r="M324" s="292"/>
    </row>
    <row r="325" spans="8:13">
      <c r="H325" s="291"/>
      <c r="I325" s="291"/>
      <c r="J325" s="291"/>
      <c r="K325" s="292"/>
      <c r="L325" s="292"/>
      <c r="M325" s="292"/>
    </row>
    <row r="326" spans="8:13">
      <c r="H326" s="291"/>
      <c r="I326" s="291"/>
      <c r="J326" s="291"/>
      <c r="K326" s="292"/>
      <c r="L326" s="292"/>
      <c r="M326" s="292"/>
    </row>
    <row r="327" spans="8:13">
      <c r="H327" s="291"/>
      <c r="I327" s="291"/>
      <c r="J327" s="291"/>
      <c r="K327" s="292"/>
      <c r="L327" s="292"/>
      <c r="M327" s="292"/>
    </row>
    <row r="328" spans="8:13">
      <c r="H328" s="291"/>
      <c r="I328" s="291"/>
      <c r="J328" s="291"/>
      <c r="K328" s="292"/>
      <c r="L328" s="292"/>
      <c r="M328" s="292"/>
    </row>
    <row r="329" spans="8:13">
      <c r="H329" s="291"/>
      <c r="I329" s="291"/>
      <c r="J329" s="291"/>
      <c r="K329" s="292"/>
      <c r="L329" s="292"/>
      <c r="M329" s="292"/>
    </row>
    <row r="330" spans="8:13">
      <c r="H330" s="291"/>
      <c r="I330" s="291"/>
      <c r="J330" s="291"/>
      <c r="K330" s="292"/>
      <c r="L330" s="292"/>
      <c r="M330" s="292"/>
    </row>
    <row r="331" spans="8:13">
      <c r="H331" s="291"/>
      <c r="I331" s="291"/>
      <c r="J331" s="291"/>
      <c r="K331" s="292"/>
      <c r="L331" s="292"/>
      <c r="M331" s="292"/>
    </row>
    <row r="332" spans="8:13">
      <c r="H332" s="291"/>
      <c r="I332" s="291"/>
      <c r="J332" s="291"/>
      <c r="K332" s="292"/>
      <c r="L332" s="292"/>
      <c r="M332" s="292"/>
    </row>
    <row r="333" spans="8:13">
      <c r="H333" s="291"/>
      <c r="I333" s="291"/>
      <c r="J333" s="291"/>
      <c r="K333" s="292"/>
      <c r="L333" s="292"/>
      <c r="M333" s="292"/>
    </row>
    <row r="334" spans="8:13">
      <c r="H334" s="291"/>
      <c r="I334" s="291"/>
      <c r="J334" s="291"/>
      <c r="K334" s="292"/>
      <c r="L334" s="292"/>
      <c r="M334" s="292"/>
    </row>
    <row r="335" spans="8:13">
      <c r="H335" s="291"/>
      <c r="I335" s="291"/>
      <c r="J335" s="291"/>
      <c r="K335" s="292"/>
      <c r="L335" s="292"/>
      <c r="M335" s="292"/>
    </row>
    <row r="336" spans="8:13">
      <c r="H336" s="291"/>
      <c r="I336" s="291"/>
      <c r="J336" s="291"/>
      <c r="K336" s="292"/>
      <c r="L336" s="292"/>
      <c r="M336" s="292"/>
    </row>
    <row r="337" spans="8:13">
      <c r="H337" s="291"/>
      <c r="I337" s="291"/>
      <c r="J337" s="291"/>
      <c r="K337" s="292"/>
      <c r="L337" s="292"/>
      <c r="M337" s="292"/>
    </row>
    <row r="338" spans="8:13">
      <c r="H338" s="291"/>
      <c r="I338" s="291"/>
      <c r="J338" s="291"/>
      <c r="K338" s="292"/>
      <c r="L338" s="292"/>
      <c r="M338" s="292"/>
    </row>
    <row r="339" spans="8:13">
      <c r="H339" s="291"/>
      <c r="I339" s="291"/>
      <c r="J339" s="291"/>
      <c r="K339" s="292"/>
      <c r="L339" s="292"/>
      <c r="M339" s="292"/>
    </row>
    <row r="340" spans="8:13">
      <c r="H340" s="291"/>
      <c r="I340" s="291"/>
      <c r="J340" s="291"/>
      <c r="K340" s="292"/>
      <c r="L340" s="292"/>
      <c r="M340" s="292"/>
    </row>
    <row r="341" spans="8:13">
      <c r="H341" s="291"/>
      <c r="I341" s="291"/>
      <c r="J341" s="291"/>
      <c r="K341" s="292"/>
      <c r="L341" s="292"/>
      <c r="M341" s="292"/>
    </row>
    <row r="342" spans="8:13">
      <c r="H342" s="291"/>
      <c r="I342" s="291"/>
      <c r="J342" s="291"/>
      <c r="K342" s="292"/>
      <c r="L342" s="292"/>
      <c r="M342" s="292"/>
    </row>
    <row r="343" spans="8:13">
      <c r="H343" s="291"/>
      <c r="I343" s="291"/>
      <c r="J343" s="291"/>
      <c r="K343" s="292"/>
      <c r="L343" s="292"/>
      <c r="M343" s="292"/>
    </row>
    <row r="344" spans="8:13">
      <c r="H344" s="291"/>
      <c r="I344" s="291"/>
      <c r="J344" s="291"/>
      <c r="K344" s="292"/>
      <c r="L344" s="292"/>
      <c r="M344" s="292"/>
    </row>
    <row r="345" spans="8:13">
      <c r="H345" s="291"/>
      <c r="I345" s="291"/>
      <c r="J345" s="291"/>
      <c r="K345" s="292"/>
      <c r="L345" s="292"/>
      <c r="M345" s="292"/>
    </row>
    <row r="346" spans="8:13">
      <c r="H346" s="291"/>
      <c r="I346" s="291"/>
      <c r="J346" s="291"/>
      <c r="K346" s="292"/>
      <c r="L346" s="292"/>
      <c r="M346" s="292"/>
    </row>
    <row r="347" spans="8:13">
      <c r="H347" s="291"/>
      <c r="I347" s="291"/>
      <c r="J347" s="291"/>
      <c r="K347" s="292"/>
      <c r="L347" s="292"/>
      <c r="M347" s="292"/>
    </row>
    <row r="348" spans="8:13">
      <c r="H348" s="291"/>
      <c r="I348" s="291"/>
      <c r="J348" s="291"/>
      <c r="K348" s="292"/>
      <c r="L348" s="292"/>
      <c r="M348" s="292"/>
    </row>
    <row r="349" spans="8:13">
      <c r="H349" s="291"/>
      <c r="I349" s="291"/>
      <c r="J349" s="291"/>
      <c r="K349" s="292"/>
      <c r="L349" s="292"/>
      <c r="M349" s="292"/>
    </row>
    <row r="350" spans="8:13">
      <c r="H350" s="291"/>
      <c r="I350" s="291"/>
      <c r="J350" s="291"/>
      <c r="K350" s="292"/>
      <c r="L350" s="292"/>
      <c r="M350" s="292"/>
    </row>
    <row r="351" spans="8:13">
      <c r="H351" s="291"/>
      <c r="I351" s="291"/>
      <c r="J351" s="291"/>
      <c r="K351" s="292"/>
      <c r="L351" s="292"/>
      <c r="M351" s="292"/>
    </row>
    <row r="352" spans="8:13">
      <c r="H352" s="291"/>
      <c r="I352" s="291"/>
      <c r="J352" s="291"/>
      <c r="K352" s="292"/>
      <c r="L352" s="292"/>
      <c r="M352" s="292"/>
    </row>
    <row r="353" spans="8:13">
      <c r="H353" s="291"/>
      <c r="I353" s="291"/>
      <c r="J353" s="291"/>
      <c r="K353" s="292"/>
      <c r="L353" s="292"/>
      <c r="M353" s="292"/>
    </row>
    <row r="354" spans="8:13">
      <c r="H354" s="291"/>
      <c r="I354" s="291"/>
      <c r="J354" s="291"/>
      <c r="K354" s="292"/>
      <c r="L354" s="292"/>
      <c r="M354" s="292"/>
    </row>
    <row r="355" spans="8:13">
      <c r="H355" s="291"/>
      <c r="I355" s="291"/>
      <c r="J355" s="291"/>
      <c r="K355" s="292"/>
      <c r="L355" s="292"/>
      <c r="M355" s="292"/>
    </row>
    <row r="356" spans="8:13">
      <c r="H356" s="291"/>
      <c r="I356" s="291"/>
      <c r="J356" s="291"/>
      <c r="K356" s="292"/>
      <c r="L356" s="292"/>
      <c r="M356" s="292"/>
    </row>
    <row r="357" spans="8:13">
      <c r="H357" s="291"/>
      <c r="I357" s="291"/>
      <c r="J357" s="291"/>
      <c r="K357" s="292"/>
      <c r="L357" s="292"/>
      <c r="M357" s="292"/>
    </row>
    <row r="358" spans="8:13">
      <c r="H358" s="291"/>
      <c r="I358" s="291"/>
      <c r="J358" s="291"/>
      <c r="K358" s="292"/>
      <c r="L358" s="292"/>
      <c r="M358" s="292"/>
    </row>
    <row r="359" spans="8:13">
      <c r="H359" s="291"/>
      <c r="I359" s="291"/>
      <c r="J359" s="291"/>
      <c r="K359" s="292"/>
      <c r="L359" s="292"/>
      <c r="M359" s="292"/>
    </row>
    <row r="360" spans="8:13">
      <c r="H360" s="291"/>
      <c r="I360" s="291"/>
      <c r="J360" s="291"/>
      <c r="K360" s="292"/>
      <c r="L360" s="292"/>
      <c r="M360" s="292"/>
    </row>
    <row r="361" spans="8:13">
      <c r="H361" s="291"/>
      <c r="I361" s="291"/>
      <c r="J361" s="291"/>
      <c r="K361" s="292"/>
      <c r="L361" s="292"/>
      <c r="M361" s="292"/>
    </row>
    <row r="362" spans="8:13">
      <c r="H362" s="291"/>
      <c r="I362" s="291"/>
      <c r="J362" s="291"/>
      <c r="K362" s="292"/>
      <c r="L362" s="292"/>
      <c r="M362" s="292"/>
    </row>
    <row r="363" spans="8:13">
      <c r="H363" s="291"/>
      <c r="I363" s="291"/>
      <c r="J363" s="291"/>
      <c r="K363" s="292"/>
      <c r="L363" s="292"/>
      <c r="M363" s="292"/>
    </row>
    <row r="364" spans="8:13">
      <c r="H364" s="291"/>
      <c r="I364" s="291"/>
      <c r="J364" s="291"/>
      <c r="K364" s="292"/>
      <c r="L364" s="292"/>
      <c r="M364" s="292"/>
    </row>
    <row r="365" spans="8:13">
      <c r="H365" s="291"/>
      <c r="I365" s="291"/>
      <c r="J365" s="291"/>
      <c r="K365" s="292"/>
      <c r="L365" s="292"/>
      <c r="M365" s="292"/>
    </row>
    <row r="366" spans="8:13">
      <c r="H366" s="291"/>
      <c r="I366" s="291"/>
      <c r="J366" s="291"/>
      <c r="K366" s="292"/>
      <c r="L366" s="292"/>
      <c r="M366" s="292"/>
    </row>
    <row r="367" spans="8:13">
      <c r="H367" s="291"/>
      <c r="I367" s="291"/>
      <c r="J367" s="291"/>
      <c r="K367" s="292"/>
      <c r="L367" s="292"/>
      <c r="M367" s="292"/>
    </row>
    <row r="368" spans="8:13">
      <c r="H368" s="291"/>
      <c r="I368" s="291"/>
      <c r="J368" s="291"/>
      <c r="K368" s="292"/>
      <c r="L368" s="292"/>
      <c r="M368" s="292"/>
    </row>
    <row r="369" spans="8:13">
      <c r="H369" s="291"/>
      <c r="I369" s="291"/>
      <c r="J369" s="291"/>
      <c r="K369" s="292"/>
      <c r="L369" s="292"/>
      <c r="M369" s="292"/>
    </row>
    <row r="370" spans="8:13">
      <c r="H370" s="291"/>
      <c r="I370" s="291"/>
      <c r="J370" s="291"/>
      <c r="K370" s="292"/>
      <c r="L370" s="292"/>
      <c r="M370" s="292"/>
    </row>
    <row r="371" spans="8:13">
      <c r="H371" s="291"/>
      <c r="I371" s="291"/>
      <c r="J371" s="291"/>
      <c r="K371" s="292"/>
      <c r="L371" s="292"/>
      <c r="M371" s="292"/>
    </row>
    <row r="372" spans="8:13">
      <c r="H372" s="291"/>
      <c r="I372" s="291"/>
      <c r="J372" s="291"/>
      <c r="K372" s="292"/>
      <c r="L372" s="292"/>
      <c r="M372" s="292"/>
    </row>
    <row r="373" spans="8:13">
      <c r="H373" s="291"/>
      <c r="I373" s="291"/>
      <c r="J373" s="291"/>
      <c r="K373" s="292"/>
      <c r="L373" s="292"/>
      <c r="M373" s="292"/>
    </row>
    <row r="374" spans="8:13">
      <c r="H374" s="291"/>
      <c r="I374" s="291"/>
      <c r="J374" s="291"/>
      <c r="K374" s="292"/>
      <c r="L374" s="292"/>
      <c r="M374" s="292"/>
    </row>
    <row r="375" spans="8:13">
      <c r="H375" s="291"/>
      <c r="I375" s="291"/>
      <c r="J375" s="291"/>
      <c r="K375" s="292"/>
      <c r="L375" s="292"/>
      <c r="M375" s="292"/>
    </row>
    <row r="376" spans="8:13">
      <c r="H376" s="291"/>
      <c r="I376" s="291"/>
      <c r="J376" s="291"/>
      <c r="K376" s="292"/>
      <c r="L376" s="292"/>
      <c r="M376" s="292"/>
    </row>
    <row r="377" spans="8:13">
      <c r="H377" s="291"/>
      <c r="I377" s="291"/>
      <c r="J377" s="291"/>
      <c r="K377" s="292"/>
      <c r="L377" s="292"/>
      <c r="M377" s="292"/>
    </row>
    <row r="378" spans="8:13">
      <c r="H378" s="291"/>
      <c r="I378" s="291"/>
      <c r="J378" s="291"/>
      <c r="K378" s="292"/>
      <c r="L378" s="292"/>
      <c r="M378" s="292"/>
    </row>
    <row r="379" spans="8:13">
      <c r="H379" s="291"/>
      <c r="I379" s="291"/>
      <c r="J379" s="291"/>
      <c r="K379" s="292"/>
      <c r="L379" s="292"/>
      <c r="M379" s="292"/>
    </row>
    <row r="380" spans="8:13">
      <c r="H380" s="291"/>
      <c r="I380" s="291"/>
      <c r="J380" s="291"/>
      <c r="K380" s="292"/>
      <c r="L380" s="292"/>
      <c r="M380" s="292"/>
    </row>
    <row r="381" spans="8:13">
      <c r="H381" s="291"/>
      <c r="I381" s="291"/>
      <c r="J381" s="291"/>
      <c r="K381" s="292"/>
      <c r="L381" s="292"/>
      <c r="M381" s="292"/>
    </row>
    <row r="382" spans="8:13">
      <c r="H382" s="291"/>
      <c r="I382" s="291"/>
      <c r="J382" s="291"/>
      <c r="K382" s="292"/>
      <c r="L382" s="292"/>
      <c r="M382" s="292"/>
    </row>
  </sheetData>
  <sheetProtection formatCells="0" formatColumns="0" formatRows="0" insertRows="0" deleteRows="0" autoFilter="0"/>
  <autoFilter ref="E23:AL365" xr:uid="{00000000-0009-0000-0000-000003000000}"/>
  <mergeCells count="1">
    <mergeCell ref="I4:J4"/>
  </mergeCells>
  <phoneticPr fontId="40"/>
  <dataValidations disablePrompts="1" count="2">
    <dataValidation type="list" allowBlank="1" showInputMessage="1" showErrorMessage="1" sqref="G2" xr:uid="{00000000-0002-0000-0300-000000000000}">
      <formula1>SOCIETE</formula1>
    </dataValidation>
    <dataValidation type="list" allowBlank="1" showInputMessage="1" showErrorMessage="1" sqref="F24:F252" xr:uid="{BB143296-B330-45BE-8F77-F061D2793347}">
      <formula1>Liste</formula1>
    </dataValidation>
  </dataValidations>
  <pageMargins left="0.17" right="0.17" top="0.37" bottom="0.23" header="0.31496062992125984" footer="0.16"/>
  <pageSetup paperSize="9" scale="7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theme="3" tint="0.59999389629810485"/>
    <pageSetUpPr fitToPage="1"/>
  </sheetPr>
  <dimension ref="D1:AL287"/>
  <sheetViews>
    <sheetView showGridLines="0" topLeftCell="A2" zoomScale="70" zoomScaleNormal="70" workbookViewId="0">
      <selection activeCell="P10" sqref="P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206" customWidth="1"/>
    <col min="7" max="7" width="21.5703125" style="15" customWidth="1"/>
    <col min="8" max="8" width="22.5703125" style="54" bestFit="1" customWidth="1"/>
    <col min="9" max="9" width="23.425781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F2" s="207"/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29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January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208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93" t="str">
        <f>parameters!D4</f>
        <v>k€</v>
      </c>
      <c r="G8" s="64"/>
      <c r="H8" s="165" t="s">
        <v>220</v>
      </c>
      <c r="I8" s="61"/>
      <c r="J8" s="166" t="str">
        <f>+G6&amp;" Turnover"</f>
        <v>January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206"/>
      <c r="G9" s="61"/>
      <c r="H9" s="160" t="str">
        <f>+"from January 1 until end of "&amp;G4</f>
        <v>from January 1 until end of W2</v>
      </c>
      <c r="I9" s="61"/>
      <c r="J9" s="161" t="str">
        <f>+"from "&amp;G6&amp;" 1 until end of "&amp;G4</f>
        <v>from January 1 until end of W2</v>
      </c>
      <c r="K9" s="79"/>
      <c r="L9" s="167" t="str">
        <f>+G6</f>
        <v>January</v>
      </c>
      <c r="M9" s="80"/>
      <c r="N9" s="80"/>
      <c r="O9" s="172" t="str">
        <f>+G4</f>
        <v>W2</v>
      </c>
      <c r="P9" s="173" t="str">
        <f>+VLOOKUP(G4, parameters!$G$9:$I$61,3,0)</f>
        <v>W1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209"/>
      <c r="G10" s="85"/>
      <c r="H10" s="159">
        <f>J10</f>
        <v>93.43</v>
      </c>
      <c r="I10" s="61"/>
      <c r="J10" s="159">
        <v>93.43</v>
      </c>
      <c r="L10" s="159">
        <f>J10+N17</f>
        <v>541.53461606012047</v>
      </c>
      <c r="N10" s="55"/>
      <c r="O10" s="170">
        <f>+H10+K17</f>
        <v>1178.6083688636772</v>
      </c>
      <c r="P10" s="171" cm="1">
        <f t="array" aca="1" ref="P10" ca="1">INDIRECT(ADDRESS(10,15,,,VLOOKUP($G$4,parameters!$G:$I,3,0)))</f>
        <v>935.63018577300011</v>
      </c>
      <c r="Q10" s="183">
        <f ca="1">O10-P10</f>
        <v>242.97818309067713</v>
      </c>
      <c r="R10" s="86"/>
      <c r="S10" s="15"/>
    </row>
    <row r="11" spans="5:38" ht="20.45" customHeight="1">
      <c r="E11" s="87" t="s">
        <v>224</v>
      </c>
      <c r="F11" s="210"/>
      <c r="G11" s="89"/>
      <c r="H11" s="16">
        <f>J11</f>
        <v>2.39</v>
      </c>
      <c r="I11" s="61"/>
      <c r="J11" s="16">
        <v>2.39</v>
      </c>
      <c r="L11" s="16">
        <f>J11+N18</f>
        <v>5.2762905850999999</v>
      </c>
      <c r="N11" s="55"/>
      <c r="O11" s="152">
        <f>+H11+K18</f>
        <v>12.06643601068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12.06643601068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211"/>
      <c r="G12" s="92"/>
      <c r="H12" s="126">
        <f>SUM(H10:H11)</f>
        <v>95.820000000000007</v>
      </c>
      <c r="I12" s="61"/>
      <c r="J12" s="126">
        <f>SUM(J10:J11)</f>
        <v>95.820000000000007</v>
      </c>
      <c r="K12" s="65"/>
      <c r="L12" s="126">
        <f>SUM(L10:L11)</f>
        <v>546.81090664522048</v>
      </c>
      <c r="M12" s="65"/>
      <c r="N12" s="65"/>
      <c r="O12" s="154">
        <f>SUM(O10:O11)</f>
        <v>1190.6748048743573</v>
      </c>
      <c r="P12" s="155">
        <f ca="1">SUM(P10:P11)</f>
        <v>935.63018577300011</v>
      </c>
      <c r="Q12" s="156">
        <f t="shared" ca="1" si="0"/>
        <v>255.04461910135717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40.9" customHeight="1">
      <c r="E16" s="76" t="s">
        <v>228</v>
      </c>
      <c r="F16" s="93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212"/>
      <c r="G17" s="121"/>
      <c r="H17" s="121"/>
      <c r="I17" s="121"/>
      <c r="J17" s="108">
        <f>+SUMIF($F$24:$F$251,"External",$J$24:$J$251)</f>
        <v>1085.1783688636772</v>
      </c>
      <c r="K17" s="108">
        <f>+SUMIF($F$24:$F$251,"External",$K$24:$K$251)</f>
        <v>1085.1783688636772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448.10461606012046</v>
      </c>
      <c r="O17" s="111">
        <f t="shared" si="1"/>
        <v>388.30573773787188</v>
      </c>
      <c r="P17" s="111">
        <f t="shared" si="1"/>
        <v>39.398118610740006</v>
      </c>
      <c r="Q17" s="111">
        <f t="shared" si="1"/>
        <v>155.89933495494492</v>
      </c>
      <c r="R17" s="111">
        <f t="shared" si="1"/>
        <v>41.482007000000003</v>
      </c>
      <c r="S17" s="111">
        <f t="shared" si="1"/>
        <v>11.988554499999999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213"/>
      <c r="G18" s="123"/>
      <c r="H18" s="123"/>
      <c r="I18" s="123"/>
      <c r="J18" s="113">
        <f>+SUMIF($F$24:$F$251,"Group",$J$24:$J$251)</f>
        <v>9.6764360106799998</v>
      </c>
      <c r="K18" s="113">
        <f>+SUMIF($F$24:$F$251,"Group",$K$24:$K$251)</f>
        <v>9.6764360106799998</v>
      </c>
      <c r="L18" s="114">
        <f>SUMIF($F$24:$F$251,"Group",$L$24:$L$251)</f>
        <v>0</v>
      </c>
      <c r="M18" s="110"/>
      <c r="N18" s="114">
        <f>+SUMIF($F$24:$F$251,"Group",N$24:N$251)</f>
        <v>2.8862905850999994</v>
      </c>
      <c r="O18" s="114">
        <f t="shared" ref="O18:Y18" si="3">+SUMIF($F$24:$F$251,"Group",O$24:O$251)</f>
        <v>0</v>
      </c>
      <c r="P18" s="114">
        <f t="shared" si="3"/>
        <v>6.7901454255799996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214"/>
      <c r="G19" s="125"/>
      <c r="H19" s="125"/>
      <c r="I19" s="125"/>
      <c r="J19" s="115">
        <f>SUM(J17:J18)</f>
        <v>1094.8548048743571</v>
      </c>
      <c r="K19" s="115">
        <f>SUM(K17:K18)</f>
        <v>1094.8548048743571</v>
      </c>
      <c r="L19" s="116">
        <f>SUM(L17:L18)</f>
        <v>0</v>
      </c>
      <c r="M19" s="117"/>
      <c r="N19" s="116">
        <f>SUM(N17:N18)</f>
        <v>450.99090664522043</v>
      </c>
      <c r="O19" s="116">
        <f t="shared" ref="O19:Y19" si="5">SUM(O17:O18)</f>
        <v>388.30573773787188</v>
      </c>
      <c r="P19" s="116">
        <f t="shared" si="5"/>
        <v>46.188264036320007</v>
      </c>
      <c r="Q19" s="116">
        <f t="shared" si="5"/>
        <v>155.89933495494492</v>
      </c>
      <c r="R19" s="116">
        <f t="shared" si="5"/>
        <v>41.482007000000003</v>
      </c>
      <c r="S19" s="116">
        <f t="shared" si="5"/>
        <v>11.988554499999999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215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215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215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273</v>
      </c>
      <c r="H23" s="94" t="s">
        <v>274</v>
      </c>
      <c r="I23" s="94" t="s">
        <v>275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234</v>
      </c>
      <c r="F24" s="187" t="s">
        <v>19</v>
      </c>
      <c r="G24" s="6" t="s">
        <v>235</v>
      </c>
      <c r="H24" s="187" t="s">
        <v>236</v>
      </c>
      <c r="I24" s="187" t="s">
        <v>276</v>
      </c>
      <c r="J24" s="118">
        <f t="shared" ref="J24" si="7">+K24+L24</f>
        <v>7.2617511016949194</v>
      </c>
      <c r="K24" s="119">
        <f t="shared" ref="K24" si="8">SUM(N24:Y24)</f>
        <v>7.2617511016949194</v>
      </c>
      <c r="L24" s="119">
        <f t="shared" ref="L24" si="9">SUM(AA24:AL24)</f>
        <v>0</v>
      </c>
      <c r="M24" s="23"/>
      <c r="N24" s="24"/>
      <c r="O24" s="24"/>
      <c r="P24" s="24"/>
      <c r="Q24" s="24">
        <v>7.2617511016949194</v>
      </c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234</v>
      </c>
      <c r="F25" s="187" t="s">
        <v>19</v>
      </c>
      <c r="G25" s="6" t="s">
        <v>237</v>
      </c>
      <c r="H25" s="188" t="s">
        <v>236</v>
      </c>
      <c r="I25" s="187" t="s">
        <v>277</v>
      </c>
      <c r="J25" s="118">
        <f t="shared" ref="J25:J88" si="10">+K25+L25</f>
        <v>19.087499999999999</v>
      </c>
      <c r="K25" s="119">
        <f t="shared" ref="K25:K88" si="11">SUM(N25:Y25)</f>
        <v>19.087499999999999</v>
      </c>
      <c r="L25" s="119">
        <f t="shared" ref="L25:L88" si="12">SUM(AA25:AL25)</f>
        <v>0</v>
      </c>
      <c r="M25" s="23"/>
      <c r="N25" s="24"/>
      <c r="O25" s="24"/>
      <c r="P25" s="24">
        <v>19.087499999999999</v>
      </c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238</v>
      </c>
      <c r="F26" s="187" t="s">
        <v>19</v>
      </c>
      <c r="G26" s="6" t="s">
        <v>239</v>
      </c>
      <c r="H26" s="6" t="s">
        <v>236</v>
      </c>
      <c r="I26" s="187" t="s">
        <v>278</v>
      </c>
      <c r="J26" s="118">
        <f t="shared" si="10"/>
        <v>17.317858300000001</v>
      </c>
      <c r="K26" s="119">
        <f t="shared" si="11"/>
        <v>17.317858300000001</v>
      </c>
      <c r="L26" s="119">
        <f t="shared" si="12"/>
        <v>0</v>
      </c>
      <c r="M26" s="23"/>
      <c r="N26" s="24">
        <v>5.951595600000001</v>
      </c>
      <c r="O26" s="24">
        <v>11.3662627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240</v>
      </c>
      <c r="F27" s="187" t="s">
        <v>19</v>
      </c>
      <c r="G27" s="6" t="s">
        <v>237</v>
      </c>
      <c r="H27" s="6" t="s">
        <v>236</v>
      </c>
      <c r="I27" s="187" t="s">
        <v>277</v>
      </c>
      <c r="J27" s="118">
        <f t="shared" si="10"/>
        <v>8.0682141107399996</v>
      </c>
      <c r="K27" s="119">
        <f t="shared" si="11"/>
        <v>8.0682141107399996</v>
      </c>
      <c r="L27" s="119">
        <f t="shared" si="12"/>
        <v>0</v>
      </c>
      <c r="M27" s="23"/>
      <c r="N27" s="24"/>
      <c r="O27" s="24"/>
      <c r="P27" s="24">
        <v>8.0682141107399996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241</v>
      </c>
      <c r="F28" s="187" t="s">
        <v>19</v>
      </c>
      <c r="G28" s="6" t="s">
        <v>279</v>
      </c>
      <c r="H28" s="6" t="s">
        <v>243</v>
      </c>
      <c r="I28" s="187" t="s">
        <v>280</v>
      </c>
      <c r="J28" s="118">
        <f t="shared" si="10"/>
        <v>5.9222580000000002</v>
      </c>
      <c r="K28" s="119">
        <f t="shared" si="11"/>
        <v>5.9222580000000002</v>
      </c>
      <c r="L28" s="119">
        <f t="shared" si="12"/>
        <v>0</v>
      </c>
      <c r="M28" s="23"/>
      <c r="N28" s="24">
        <v>5.9222580000000002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187" t="s">
        <v>19</v>
      </c>
      <c r="G29" s="6" t="s">
        <v>282</v>
      </c>
      <c r="H29" s="6" t="s">
        <v>243</v>
      </c>
      <c r="I29" s="187" t="s">
        <v>283</v>
      </c>
      <c r="J29" s="118">
        <f t="shared" si="10"/>
        <v>2.8162104269799997</v>
      </c>
      <c r="K29" s="119">
        <f t="shared" si="11"/>
        <v>2.8162104269799997</v>
      </c>
      <c r="L29" s="119">
        <f t="shared" si="12"/>
        <v>0</v>
      </c>
      <c r="M29" s="23"/>
      <c r="N29" s="24">
        <v>2.8162104269799997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284</v>
      </c>
      <c r="F30" s="187" t="s">
        <v>19</v>
      </c>
      <c r="G30" s="6" t="s">
        <v>285</v>
      </c>
      <c r="H30" s="6" t="s">
        <v>243</v>
      </c>
      <c r="I30" s="187" t="s">
        <v>286</v>
      </c>
      <c r="J30" s="118">
        <f t="shared" si="10"/>
        <v>2.8140266005599996</v>
      </c>
      <c r="K30" s="119">
        <f t="shared" si="11"/>
        <v>2.8140266005599996</v>
      </c>
      <c r="L30" s="119">
        <f t="shared" si="12"/>
        <v>0</v>
      </c>
      <c r="M30" s="23"/>
      <c r="N30" s="24">
        <v>2.8140266005599996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287</v>
      </c>
      <c r="F31" s="187" t="s">
        <v>17</v>
      </c>
      <c r="G31" s="6" t="s">
        <v>285</v>
      </c>
      <c r="H31" s="6" t="s">
        <v>243</v>
      </c>
      <c r="I31" s="187" t="s">
        <v>286</v>
      </c>
      <c r="J31" s="118">
        <f t="shared" si="10"/>
        <v>9.6764360106799998</v>
      </c>
      <c r="K31" s="119">
        <f t="shared" si="11"/>
        <v>9.6764360106799998</v>
      </c>
      <c r="L31" s="119">
        <f t="shared" si="12"/>
        <v>0</v>
      </c>
      <c r="M31" s="23"/>
      <c r="N31" s="24">
        <v>2.8862905850999994</v>
      </c>
      <c r="O31" s="24"/>
      <c r="P31" s="24">
        <v>6.7901454255799996</v>
      </c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244</v>
      </c>
      <c r="F32" s="187" t="s">
        <v>19</v>
      </c>
      <c r="G32" s="6" t="s">
        <v>245</v>
      </c>
      <c r="H32" s="6" t="s">
        <v>236</v>
      </c>
      <c r="I32" s="187" t="s">
        <v>288</v>
      </c>
      <c r="J32" s="118">
        <f t="shared" si="10"/>
        <v>39.996063999999997</v>
      </c>
      <c r="K32" s="119">
        <f t="shared" si="11"/>
        <v>39.996063999999997</v>
      </c>
      <c r="L32" s="119">
        <f t="shared" si="12"/>
        <v>0</v>
      </c>
      <c r="M32" s="15"/>
      <c r="N32" s="24">
        <v>39.996063999999997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246</v>
      </c>
      <c r="F33" s="187" t="s">
        <v>19</v>
      </c>
      <c r="G33" s="6" t="s">
        <v>247</v>
      </c>
      <c r="H33" s="6" t="s">
        <v>236</v>
      </c>
      <c r="I33" s="187" t="s">
        <v>289</v>
      </c>
      <c r="J33" s="118">
        <f t="shared" si="10"/>
        <v>50.077315299999995</v>
      </c>
      <c r="K33" s="119">
        <f t="shared" si="11"/>
        <v>50.077315299999995</v>
      </c>
      <c r="L33" s="119">
        <f t="shared" si="12"/>
        <v>0</v>
      </c>
      <c r="M33" s="15"/>
      <c r="N33" s="24">
        <v>40.735584500000002</v>
      </c>
      <c r="O33" s="24"/>
      <c r="P33" s="24">
        <v>4.6708653999999994</v>
      </c>
      <c r="Q33" s="24"/>
      <c r="R33" s="24"/>
      <c r="S33" s="24">
        <v>4.6708653999999994</v>
      </c>
      <c r="T33" s="24"/>
      <c r="U33" s="24"/>
      <c r="V33" s="24"/>
      <c r="W33" s="24"/>
      <c r="X33" s="24"/>
      <c r="Y33" s="24"/>
    </row>
    <row r="34" spans="5:25">
      <c r="E34" s="6" t="s">
        <v>246</v>
      </c>
      <c r="F34" s="187" t="s">
        <v>19</v>
      </c>
      <c r="G34" s="6" t="s">
        <v>248</v>
      </c>
      <c r="H34" s="6" t="s">
        <v>236</v>
      </c>
      <c r="I34" s="187" t="s">
        <v>290</v>
      </c>
      <c r="J34" s="118">
        <f t="shared" si="10"/>
        <v>3.1881162999999999</v>
      </c>
      <c r="K34" s="119">
        <f t="shared" si="11"/>
        <v>3.1881162999999999</v>
      </c>
      <c r="L34" s="119">
        <f t="shared" si="12"/>
        <v>0</v>
      </c>
      <c r="M34" s="15"/>
      <c r="N34" s="24">
        <v>3.1881162999999999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5:25">
      <c r="E35" s="6" t="s">
        <v>246</v>
      </c>
      <c r="F35" s="187" t="s">
        <v>19</v>
      </c>
      <c r="G35" s="6" t="s">
        <v>249</v>
      </c>
      <c r="H35" s="6" t="s">
        <v>236</v>
      </c>
      <c r="I35" s="187" t="s">
        <v>291</v>
      </c>
      <c r="J35" s="118">
        <f t="shared" si="10"/>
        <v>50.544660200000003</v>
      </c>
      <c r="K35" s="119">
        <f t="shared" si="11"/>
        <v>50.544660200000003</v>
      </c>
      <c r="L35" s="119">
        <f t="shared" si="12"/>
        <v>0</v>
      </c>
      <c r="M35" s="15"/>
      <c r="N35" s="24">
        <v>43.172394800000006</v>
      </c>
      <c r="O35" s="24">
        <v>2.7014</v>
      </c>
      <c r="P35" s="24">
        <v>2.3354326999999997</v>
      </c>
      <c r="Q35" s="24"/>
      <c r="R35" s="24"/>
      <c r="S35" s="24">
        <v>2.3354326999999997</v>
      </c>
      <c r="T35" s="24"/>
      <c r="U35" s="24"/>
      <c r="V35" s="24"/>
      <c r="W35" s="24"/>
      <c r="X35" s="24"/>
      <c r="Y35" s="24"/>
    </row>
    <row r="36" spans="5:25">
      <c r="E36" s="6" t="s">
        <v>246</v>
      </c>
      <c r="F36" s="187" t="s">
        <v>19</v>
      </c>
      <c r="G36" s="6" t="s">
        <v>250</v>
      </c>
      <c r="H36" s="6" t="s">
        <v>236</v>
      </c>
      <c r="I36" s="187" t="s">
        <v>292</v>
      </c>
      <c r="J36" s="118">
        <f t="shared" si="10"/>
        <v>16.992311600000001</v>
      </c>
      <c r="K36" s="119">
        <f t="shared" si="11"/>
        <v>16.992311600000001</v>
      </c>
      <c r="L36" s="119">
        <f t="shared" si="12"/>
        <v>0</v>
      </c>
      <c r="M36" s="15"/>
      <c r="N36" s="24">
        <v>7.9570145999999999</v>
      </c>
      <c r="O36" s="24"/>
      <c r="P36" s="24"/>
      <c r="Q36" s="24"/>
      <c r="R36" s="24">
        <v>9.0352969999999999</v>
      </c>
      <c r="S36" s="24"/>
      <c r="T36" s="24"/>
      <c r="U36" s="24"/>
      <c r="V36" s="24"/>
      <c r="W36" s="24"/>
      <c r="X36" s="24"/>
      <c r="Y36" s="24"/>
    </row>
    <row r="37" spans="5:25">
      <c r="E37" s="6" t="s">
        <v>246</v>
      </c>
      <c r="F37" s="187" t="s">
        <v>19</v>
      </c>
      <c r="G37" s="6" t="s">
        <v>293</v>
      </c>
      <c r="H37" s="6" t="s">
        <v>236</v>
      </c>
      <c r="I37" s="187" t="s">
        <v>294</v>
      </c>
      <c r="J37" s="118">
        <f t="shared" si="10"/>
        <v>3.2735576000000002</v>
      </c>
      <c r="K37" s="119">
        <f t="shared" si="11"/>
        <v>3.2735576000000002</v>
      </c>
      <c r="L37" s="119">
        <f t="shared" si="12"/>
        <v>0</v>
      </c>
      <c r="M37" s="15"/>
      <c r="N37" s="24"/>
      <c r="O37" s="24"/>
      <c r="P37" s="24">
        <v>1.6367788000000001</v>
      </c>
      <c r="Q37" s="24"/>
      <c r="R37" s="24"/>
      <c r="S37" s="24">
        <v>1.6367788000000001</v>
      </c>
      <c r="T37" s="24"/>
      <c r="U37" s="24"/>
      <c r="V37" s="24"/>
      <c r="W37" s="24"/>
      <c r="X37" s="24"/>
      <c r="Y37" s="24"/>
    </row>
    <row r="38" spans="5:25">
      <c r="E38" s="6" t="s">
        <v>246</v>
      </c>
      <c r="F38" s="187" t="s">
        <v>19</v>
      </c>
      <c r="G38" s="6" t="s">
        <v>251</v>
      </c>
      <c r="H38" s="6" t="s">
        <v>236</v>
      </c>
      <c r="I38" s="187" t="s">
        <v>290</v>
      </c>
      <c r="J38" s="118">
        <f t="shared" si="10"/>
        <v>18.166286500000002</v>
      </c>
      <c r="K38" s="119">
        <f t="shared" si="11"/>
        <v>18.166286500000002</v>
      </c>
      <c r="L38" s="119">
        <f t="shared" si="12"/>
        <v>0</v>
      </c>
      <c r="M38" s="15"/>
      <c r="N38" s="24">
        <v>15.1522465</v>
      </c>
      <c r="O38" s="24"/>
      <c r="P38" s="24">
        <v>1.50702</v>
      </c>
      <c r="Q38" s="24"/>
      <c r="R38" s="24"/>
      <c r="S38" s="24">
        <v>1.50702</v>
      </c>
      <c r="T38" s="24"/>
      <c r="U38" s="24"/>
      <c r="V38" s="24"/>
      <c r="W38" s="24"/>
      <c r="X38" s="24"/>
      <c r="Y38" s="24"/>
    </row>
    <row r="39" spans="5:25">
      <c r="E39" s="6" t="s">
        <v>246</v>
      </c>
      <c r="F39" s="187" t="s">
        <v>19</v>
      </c>
      <c r="G39" s="6" t="s">
        <v>252</v>
      </c>
      <c r="H39" s="6" t="s">
        <v>236</v>
      </c>
      <c r="I39" s="187" t="s">
        <v>295</v>
      </c>
      <c r="J39" s="118">
        <f t="shared" si="10"/>
        <v>26.053006599999996</v>
      </c>
      <c r="K39" s="119">
        <f t="shared" si="11"/>
        <v>26.053006599999996</v>
      </c>
      <c r="L39" s="119">
        <f t="shared" si="12"/>
        <v>0</v>
      </c>
      <c r="M39" s="15"/>
      <c r="N39" s="24">
        <v>24.496051399999999</v>
      </c>
      <c r="O39" s="24"/>
      <c r="P39" s="24">
        <v>0.77847759999999999</v>
      </c>
      <c r="Q39" s="24"/>
      <c r="R39" s="24"/>
      <c r="S39" s="24">
        <v>0.77847759999999999</v>
      </c>
      <c r="T39" s="24"/>
      <c r="U39" s="24"/>
      <c r="V39" s="24"/>
      <c r="W39" s="24"/>
      <c r="X39" s="24"/>
      <c r="Y39" s="24"/>
    </row>
    <row r="40" spans="5:25">
      <c r="E40" s="6" t="s">
        <v>246</v>
      </c>
      <c r="F40" s="187" t="s">
        <v>19</v>
      </c>
      <c r="G40" s="6" t="s">
        <v>245</v>
      </c>
      <c r="H40" s="6" t="s">
        <v>236</v>
      </c>
      <c r="I40" s="187" t="s">
        <v>288</v>
      </c>
      <c r="J40" s="118">
        <f t="shared" si="10"/>
        <v>157.21710074945997</v>
      </c>
      <c r="K40" s="119">
        <f t="shared" si="11"/>
        <v>157.21710074945997</v>
      </c>
      <c r="L40" s="119">
        <f t="shared" si="12"/>
        <v>0</v>
      </c>
      <c r="M40" s="15"/>
      <c r="N40" s="24"/>
      <c r="O40" s="24">
        <v>155.09714074945998</v>
      </c>
      <c r="P40" s="24">
        <v>1.0599799999999999</v>
      </c>
      <c r="Q40" s="24"/>
      <c r="R40" s="24"/>
      <c r="S40" s="24">
        <v>1.0599799999999999</v>
      </c>
      <c r="T40" s="24"/>
      <c r="U40" s="24"/>
      <c r="V40" s="24"/>
      <c r="W40" s="24"/>
      <c r="X40" s="24"/>
      <c r="Y40" s="24"/>
    </row>
    <row r="41" spans="5:25">
      <c r="E41" s="6" t="s">
        <v>253</v>
      </c>
      <c r="F41" s="187" t="s">
        <v>19</v>
      </c>
      <c r="G41" s="6" t="s">
        <v>254</v>
      </c>
      <c r="H41" s="6" t="s">
        <v>236</v>
      </c>
      <c r="I41" s="187" t="s">
        <v>296</v>
      </c>
      <c r="J41" s="118">
        <f t="shared" si="10"/>
        <v>0.27841520000000003</v>
      </c>
      <c r="K41" s="119">
        <f t="shared" si="11"/>
        <v>0.27841520000000003</v>
      </c>
      <c r="L41" s="119">
        <f t="shared" si="12"/>
        <v>0</v>
      </c>
      <c r="M41" s="15"/>
      <c r="N41" s="24">
        <v>0.27841520000000003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5:25">
      <c r="E42" s="6" t="s">
        <v>297</v>
      </c>
      <c r="F42" s="187" t="s">
        <v>19</v>
      </c>
      <c r="G42" s="6" t="s">
        <v>298</v>
      </c>
      <c r="H42" s="6" t="s">
        <v>236</v>
      </c>
      <c r="I42" s="187" t="s">
        <v>299</v>
      </c>
      <c r="J42" s="118">
        <f t="shared" si="10"/>
        <v>9.0120764711799985</v>
      </c>
      <c r="K42" s="119">
        <f t="shared" si="11"/>
        <v>9.0120764711799985</v>
      </c>
      <c r="L42" s="119">
        <f t="shared" si="12"/>
        <v>0</v>
      </c>
      <c r="M42" s="15"/>
      <c r="N42" s="24">
        <v>9.0120764711799985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5:25">
      <c r="E43" s="6" t="s">
        <v>300</v>
      </c>
      <c r="F43" s="187" t="s">
        <v>19</v>
      </c>
      <c r="G43" s="6" t="s">
        <v>301</v>
      </c>
      <c r="H43" s="6" t="s">
        <v>236</v>
      </c>
      <c r="I43" s="187" t="s">
        <v>302</v>
      </c>
      <c r="J43" s="118">
        <f t="shared" si="10"/>
        <v>53.752460854500001</v>
      </c>
      <c r="K43" s="119">
        <f t="shared" si="11"/>
        <v>53.752460854500001</v>
      </c>
      <c r="L43" s="119">
        <f t="shared" si="12"/>
        <v>0</v>
      </c>
      <c r="M43" s="15"/>
      <c r="N43" s="24"/>
      <c r="O43" s="24">
        <v>53.752460854500001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5:25">
      <c r="E44" s="6" t="s">
        <v>255</v>
      </c>
      <c r="F44" s="187" t="s">
        <v>19</v>
      </c>
      <c r="G44" s="6" t="s">
        <v>282</v>
      </c>
      <c r="H44" s="6" t="s">
        <v>243</v>
      </c>
      <c r="I44" s="187" t="s">
        <v>283</v>
      </c>
      <c r="J44" s="118">
        <f t="shared" si="10"/>
        <v>3.0947403000000002</v>
      </c>
      <c r="K44" s="119">
        <f t="shared" si="11"/>
        <v>3.0947403000000002</v>
      </c>
      <c r="L44" s="119">
        <f t="shared" si="12"/>
        <v>0</v>
      </c>
      <c r="M44" s="15"/>
      <c r="N44" s="24">
        <v>3.0947403000000002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5:25">
      <c r="E45" s="6" t="s">
        <v>255</v>
      </c>
      <c r="F45" s="187" t="s">
        <v>19</v>
      </c>
      <c r="G45" s="6" t="s">
        <v>256</v>
      </c>
      <c r="H45" s="6" t="s">
        <v>236</v>
      </c>
      <c r="I45" s="187" t="s">
        <v>303</v>
      </c>
      <c r="J45" s="118">
        <f t="shared" si="10"/>
        <v>112.31055000000001</v>
      </c>
      <c r="K45" s="119">
        <f t="shared" si="11"/>
        <v>112.31055000000001</v>
      </c>
      <c r="L45" s="119">
        <f t="shared" si="12"/>
        <v>0</v>
      </c>
      <c r="M45" s="15"/>
      <c r="N45" s="24">
        <v>0.84614999999999996</v>
      </c>
      <c r="O45" s="24">
        <v>46.310969999999998</v>
      </c>
      <c r="P45" s="24">
        <v>0.25385000000000002</v>
      </c>
      <c r="Q45" s="24">
        <v>32.452870000000004</v>
      </c>
      <c r="R45" s="24">
        <v>32.446710000000003</v>
      </c>
      <c r="S45" s="24"/>
      <c r="T45" s="24"/>
      <c r="U45" s="24"/>
      <c r="V45" s="24"/>
      <c r="W45" s="24"/>
      <c r="X45" s="24"/>
      <c r="Y45" s="24"/>
    </row>
    <row r="46" spans="5:25">
      <c r="E46" s="6" t="s">
        <v>255</v>
      </c>
      <c r="F46" s="187" t="s">
        <v>19</v>
      </c>
      <c r="G46" s="6" t="s">
        <v>304</v>
      </c>
      <c r="H46" s="6" t="s">
        <v>243</v>
      </c>
      <c r="I46" s="187" t="s">
        <v>305</v>
      </c>
      <c r="J46" s="118">
        <f t="shared" si="10"/>
        <v>23.230650000000001</v>
      </c>
      <c r="K46" s="119">
        <f t="shared" si="11"/>
        <v>23.230650000000001</v>
      </c>
      <c r="L46" s="119">
        <f t="shared" si="12"/>
        <v>0</v>
      </c>
      <c r="M46" s="15"/>
      <c r="N46" s="24">
        <v>23.230650000000001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5:25">
      <c r="E47" s="6" t="s">
        <v>257</v>
      </c>
      <c r="F47" s="187" t="s">
        <v>19</v>
      </c>
      <c r="G47" s="6" t="s">
        <v>258</v>
      </c>
      <c r="H47" s="6" t="s">
        <v>236</v>
      </c>
      <c r="I47" s="187" t="s">
        <v>306</v>
      </c>
      <c r="J47" s="118">
        <f t="shared" si="10"/>
        <v>10.12327</v>
      </c>
      <c r="K47" s="119">
        <f t="shared" si="11"/>
        <v>10.12327</v>
      </c>
      <c r="L47" s="119">
        <f t="shared" si="12"/>
        <v>0</v>
      </c>
      <c r="M47" s="15"/>
      <c r="N47" s="24">
        <v>10.12327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5:25">
      <c r="E48" s="6" t="s">
        <v>259</v>
      </c>
      <c r="F48" s="187" t="s">
        <v>19</v>
      </c>
      <c r="G48" s="6" t="s">
        <v>258</v>
      </c>
      <c r="H48" s="6" t="s">
        <v>236</v>
      </c>
      <c r="I48" s="187" t="s">
        <v>306</v>
      </c>
      <c r="J48" s="118">
        <f t="shared" si="10"/>
        <v>17.257266706472329</v>
      </c>
      <c r="K48" s="119">
        <f t="shared" si="11"/>
        <v>17.257266706472329</v>
      </c>
      <c r="L48" s="119">
        <f t="shared" si="12"/>
        <v>0</v>
      </c>
      <c r="M48" s="15"/>
      <c r="N48" s="24">
        <v>5.9646117120604627</v>
      </c>
      <c r="O48" s="24">
        <v>11.292654994411867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5:25">
      <c r="E49" s="6" t="s">
        <v>260</v>
      </c>
      <c r="F49" s="187" t="s">
        <v>19</v>
      </c>
      <c r="G49" s="6" t="s">
        <v>261</v>
      </c>
      <c r="H49" s="6" t="s">
        <v>236</v>
      </c>
      <c r="I49" s="187" t="s">
        <v>307</v>
      </c>
      <c r="J49" s="118">
        <f t="shared" si="10"/>
        <v>32.380148599999998</v>
      </c>
      <c r="K49" s="119">
        <f t="shared" si="11"/>
        <v>32.380148599999998</v>
      </c>
      <c r="L49" s="119">
        <f t="shared" si="12"/>
        <v>0</v>
      </c>
      <c r="M49" s="15"/>
      <c r="N49" s="24">
        <v>26.343351999999996</v>
      </c>
      <c r="O49" s="24">
        <v>6.0367966000000006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5:25">
      <c r="E50" s="6" t="s">
        <v>260</v>
      </c>
      <c r="F50" s="187" t="s">
        <v>19</v>
      </c>
      <c r="G50" s="6" t="s">
        <v>261</v>
      </c>
      <c r="H50" s="6" t="s">
        <v>243</v>
      </c>
      <c r="I50" s="187" t="s">
        <v>307</v>
      </c>
      <c r="J50" s="118">
        <f t="shared" si="10"/>
        <v>10.1026182</v>
      </c>
      <c r="K50" s="119">
        <f t="shared" si="11"/>
        <v>10.1026182</v>
      </c>
      <c r="L50" s="119">
        <f t="shared" si="12"/>
        <v>0</v>
      </c>
      <c r="M50" s="15"/>
      <c r="N50" s="24">
        <v>10.1026182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5:25">
      <c r="E51" s="6" t="s">
        <v>260</v>
      </c>
      <c r="F51" s="187" t="s">
        <v>19</v>
      </c>
      <c r="G51" s="6" t="s">
        <v>262</v>
      </c>
      <c r="H51" s="6" t="s">
        <v>243</v>
      </c>
      <c r="I51" s="187" t="s">
        <v>308</v>
      </c>
      <c r="J51" s="118">
        <f t="shared" si="10"/>
        <v>59.012949899999995</v>
      </c>
      <c r="K51" s="119">
        <f t="shared" si="11"/>
        <v>59.012949899999995</v>
      </c>
      <c r="L51" s="119">
        <f t="shared" si="12"/>
        <v>0</v>
      </c>
      <c r="M51" s="15"/>
      <c r="N51" s="24">
        <v>59.012949899999995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5:25">
      <c r="E52" s="6" t="s">
        <v>309</v>
      </c>
      <c r="F52" s="187" t="s">
        <v>19</v>
      </c>
      <c r="G52" s="6" t="s">
        <v>264</v>
      </c>
      <c r="H52" s="6" t="s">
        <v>243</v>
      </c>
      <c r="I52" s="187" t="s">
        <v>310</v>
      </c>
      <c r="J52" s="118">
        <f t="shared" si="10"/>
        <v>33.203858496850003</v>
      </c>
      <c r="K52" s="119">
        <f t="shared" si="11"/>
        <v>33.203858496850003</v>
      </c>
      <c r="L52" s="119">
        <f t="shared" si="12"/>
        <v>0</v>
      </c>
      <c r="M52" s="15"/>
      <c r="N52" s="24"/>
      <c r="O52" s="24">
        <v>2.0697758772000001</v>
      </c>
      <c r="P52" s="24"/>
      <c r="Q52" s="24">
        <v>31.134082619650002</v>
      </c>
      <c r="R52" s="24"/>
      <c r="S52" s="24"/>
      <c r="T52" s="24"/>
      <c r="U52" s="24"/>
      <c r="V52" s="24"/>
      <c r="W52" s="24"/>
      <c r="X52" s="24"/>
      <c r="Y52" s="24"/>
    </row>
    <row r="53" spans="5:25">
      <c r="E53" s="6" t="s">
        <v>309</v>
      </c>
      <c r="F53" s="187" t="s">
        <v>19</v>
      </c>
      <c r="G53" s="6" t="s">
        <v>261</v>
      </c>
      <c r="H53" s="190" t="s">
        <v>243</v>
      </c>
      <c r="I53" s="187" t="s">
        <v>307</v>
      </c>
      <c r="J53" s="118">
        <f t="shared" si="10"/>
        <v>16.502557662100003</v>
      </c>
      <c r="K53" s="119">
        <f t="shared" si="11"/>
        <v>16.502557662100003</v>
      </c>
      <c r="L53" s="119">
        <f t="shared" si="12"/>
        <v>0</v>
      </c>
      <c r="M53" s="15"/>
      <c r="N53" s="24"/>
      <c r="O53" s="24"/>
      <c r="P53" s="24"/>
      <c r="Q53" s="24">
        <v>16.502557662100003</v>
      </c>
      <c r="R53" s="24"/>
      <c r="S53" s="24"/>
      <c r="T53" s="24"/>
      <c r="U53" s="24"/>
      <c r="V53" s="24"/>
      <c r="W53" s="24"/>
      <c r="X53" s="24"/>
      <c r="Y53" s="24"/>
    </row>
    <row r="54" spans="5:25">
      <c r="E54" s="6" t="s">
        <v>309</v>
      </c>
      <c r="F54" s="187" t="s">
        <v>19</v>
      </c>
      <c r="G54" s="6" t="s">
        <v>265</v>
      </c>
      <c r="H54" s="190" t="s">
        <v>243</v>
      </c>
      <c r="I54" s="187" t="s">
        <v>311</v>
      </c>
      <c r="J54" s="118">
        <f t="shared" si="10"/>
        <v>8.9014259218999996</v>
      </c>
      <c r="K54" s="119">
        <f t="shared" si="11"/>
        <v>8.9014259218999996</v>
      </c>
      <c r="L54" s="119">
        <f t="shared" si="12"/>
        <v>0</v>
      </c>
      <c r="M54" s="15"/>
      <c r="N54" s="24"/>
      <c r="O54" s="24">
        <v>8.9014259218999996</v>
      </c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5:25">
      <c r="E55" s="6" t="s">
        <v>309</v>
      </c>
      <c r="F55" s="187" t="s">
        <v>19</v>
      </c>
      <c r="G55" s="6" t="s">
        <v>266</v>
      </c>
      <c r="H55" s="190" t="s">
        <v>243</v>
      </c>
      <c r="I55" s="187" t="s">
        <v>305</v>
      </c>
      <c r="J55" s="118">
        <f t="shared" si="10"/>
        <v>59.741114278500007</v>
      </c>
      <c r="K55" s="119">
        <f t="shared" si="11"/>
        <v>59.741114278500007</v>
      </c>
      <c r="L55" s="119">
        <f t="shared" si="12"/>
        <v>0</v>
      </c>
      <c r="M55" s="15"/>
      <c r="N55" s="24"/>
      <c r="O55" s="24"/>
      <c r="P55" s="24"/>
      <c r="Q55" s="24">
        <v>59.741114278500007</v>
      </c>
      <c r="R55" s="24"/>
      <c r="S55" s="24"/>
      <c r="T55" s="24"/>
      <c r="U55" s="24"/>
      <c r="V55" s="24"/>
      <c r="W55" s="24"/>
      <c r="X55" s="24"/>
      <c r="Y55" s="24"/>
    </row>
    <row r="56" spans="5:25">
      <c r="E56" s="6" t="s">
        <v>309</v>
      </c>
      <c r="F56" s="187" t="s">
        <v>19</v>
      </c>
      <c r="G56" s="6" t="s">
        <v>267</v>
      </c>
      <c r="H56" s="190" t="s">
        <v>243</v>
      </c>
      <c r="I56" s="187" t="s">
        <v>305</v>
      </c>
      <c r="J56" s="118">
        <f t="shared" si="10"/>
        <v>8.8069592930000002</v>
      </c>
      <c r="K56" s="119">
        <f t="shared" si="11"/>
        <v>8.8069592930000002</v>
      </c>
      <c r="L56" s="119">
        <f t="shared" si="12"/>
        <v>0</v>
      </c>
      <c r="M56" s="15"/>
      <c r="N56" s="24"/>
      <c r="O56" s="24"/>
      <c r="P56" s="24"/>
      <c r="Q56" s="24">
        <v>8.8069592930000002</v>
      </c>
      <c r="R56" s="24"/>
      <c r="S56" s="24"/>
      <c r="T56" s="24"/>
      <c r="U56" s="24"/>
      <c r="V56" s="24"/>
      <c r="W56" s="24"/>
      <c r="X56" s="24"/>
      <c r="Y56" s="24"/>
    </row>
    <row r="57" spans="5:25">
      <c r="E57" s="6" t="s">
        <v>309</v>
      </c>
      <c r="F57" s="187" t="s">
        <v>19</v>
      </c>
      <c r="G57" s="6" t="s">
        <v>312</v>
      </c>
      <c r="H57" s="190" t="s">
        <v>243</v>
      </c>
      <c r="I57" s="187" t="s">
        <v>313</v>
      </c>
      <c r="J57" s="118">
        <f t="shared" si="10"/>
        <v>1.7512968332000001</v>
      </c>
      <c r="K57" s="119">
        <f t="shared" si="11"/>
        <v>1.7512968332000001</v>
      </c>
      <c r="L57" s="119">
        <f t="shared" si="12"/>
        <v>0</v>
      </c>
      <c r="M57" s="15"/>
      <c r="N57" s="24"/>
      <c r="O57" s="24">
        <v>1.7512968332000001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5:25">
      <c r="E58" s="6" t="s">
        <v>314</v>
      </c>
      <c r="F58" s="187" t="s">
        <v>19</v>
      </c>
      <c r="G58" s="6" t="s">
        <v>315</v>
      </c>
      <c r="H58" s="190" t="s">
        <v>243</v>
      </c>
      <c r="I58" s="187" t="s">
        <v>316</v>
      </c>
      <c r="J58" s="118">
        <f t="shared" si="10"/>
        <v>41.484349999999999</v>
      </c>
      <c r="K58" s="119">
        <f t="shared" si="11"/>
        <v>41.484349999999999</v>
      </c>
      <c r="L58" s="119">
        <f t="shared" si="12"/>
        <v>0</v>
      </c>
      <c r="M58" s="15"/>
      <c r="N58" s="24">
        <v>41.484349999999999</v>
      </c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5:25">
      <c r="E59" s="6" t="s">
        <v>268</v>
      </c>
      <c r="F59" s="187" t="s">
        <v>19</v>
      </c>
      <c r="G59" s="6" t="s">
        <v>269</v>
      </c>
      <c r="H59" s="190" t="s">
        <v>236</v>
      </c>
      <c r="I59" s="187" t="s">
        <v>317</v>
      </c>
      <c r="J59" s="118">
        <f t="shared" si="10"/>
        <v>97.434974556539999</v>
      </c>
      <c r="K59" s="119">
        <f t="shared" si="11"/>
        <v>97.434974556539999</v>
      </c>
      <c r="L59" s="119">
        <f t="shared" si="12"/>
        <v>0</v>
      </c>
      <c r="M59" s="15"/>
      <c r="N59" s="24">
        <v>40.899213449339996</v>
      </c>
      <c r="O59" s="24">
        <v>56.535761107200003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5:25">
      <c r="E60" s="6" t="s">
        <v>270</v>
      </c>
      <c r="F60" s="187" t="s">
        <v>19</v>
      </c>
      <c r="G60" s="6" t="s">
        <v>269</v>
      </c>
      <c r="H60" s="190" t="s">
        <v>236</v>
      </c>
      <c r="I60" s="187" t="s">
        <v>317</v>
      </c>
      <c r="J60" s="118">
        <f t="shared" si="10"/>
        <v>15.972842100000001</v>
      </c>
      <c r="K60" s="119">
        <f t="shared" si="11"/>
        <v>15.972842100000001</v>
      </c>
      <c r="L60" s="119">
        <f t="shared" si="12"/>
        <v>0</v>
      </c>
      <c r="M60" s="15"/>
      <c r="N60" s="24"/>
      <c r="O60" s="24">
        <v>15.972842100000001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5:25">
      <c r="E61" s="6" t="s">
        <v>271</v>
      </c>
      <c r="F61" s="187" t="s">
        <v>19</v>
      </c>
      <c r="G61" s="6" t="s">
        <v>247</v>
      </c>
      <c r="H61" s="190" t="s">
        <v>236</v>
      </c>
      <c r="I61" s="187" t="s">
        <v>289</v>
      </c>
      <c r="J61" s="118">
        <f t="shared" si="10"/>
        <v>3.3210000000000002</v>
      </c>
      <c r="K61" s="119">
        <f t="shared" si="11"/>
        <v>3.3210000000000002</v>
      </c>
      <c r="L61" s="119">
        <f t="shared" si="12"/>
        <v>0</v>
      </c>
      <c r="M61" s="15"/>
      <c r="N61" s="24"/>
      <c r="O61" s="24">
        <v>3.3210000000000002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5:25">
      <c r="E62" s="6" t="s">
        <v>271</v>
      </c>
      <c r="F62" s="187" t="s">
        <v>19</v>
      </c>
      <c r="G62" s="6" t="s">
        <v>318</v>
      </c>
      <c r="H62" s="190" t="s">
        <v>236</v>
      </c>
      <c r="I62" s="187" t="s">
        <v>319</v>
      </c>
      <c r="J62" s="118">
        <f t="shared" si="10"/>
        <v>25.510656100000002</v>
      </c>
      <c r="K62" s="119">
        <f t="shared" si="11"/>
        <v>25.510656100000002</v>
      </c>
      <c r="L62" s="119">
        <f t="shared" si="12"/>
        <v>0</v>
      </c>
      <c r="M62" s="15"/>
      <c r="N62" s="24">
        <v>25.510656100000002</v>
      </c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5:25">
      <c r="E63" s="6" t="s">
        <v>271</v>
      </c>
      <c r="F63" s="187" t="s">
        <v>19</v>
      </c>
      <c r="G63" s="6" t="s">
        <v>252</v>
      </c>
      <c r="H63" s="190" t="s">
        <v>243</v>
      </c>
      <c r="I63" s="187" t="s">
        <v>295</v>
      </c>
      <c r="J63" s="118">
        <f t="shared" si="10"/>
        <v>13.19595</v>
      </c>
      <c r="K63" s="119">
        <f t="shared" si="11"/>
        <v>13.19595</v>
      </c>
      <c r="L63" s="119">
        <f t="shared" si="12"/>
        <v>0</v>
      </c>
      <c r="M63" s="15"/>
      <c r="N63" s="24"/>
      <c r="O63" s="24">
        <v>13.19595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5:25">
      <c r="E64" s="13"/>
      <c r="F64" s="187"/>
      <c r="G64" s="6"/>
      <c r="H64" s="190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5:12">
      <c r="E65" s="6"/>
      <c r="F65" s="18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18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18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18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18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18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18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18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18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18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18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18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18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18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18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18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18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18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18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18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18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18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18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18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18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18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18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18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18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18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18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18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18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18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18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 hidden="1">
      <c r="E100" s="6"/>
      <c r="F100" s="18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 hidden="1">
      <c r="E101" s="6"/>
      <c r="F101" s="18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 hidden="1">
      <c r="E102" s="6"/>
      <c r="F102" s="18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 hidden="1">
      <c r="E103" s="6"/>
      <c r="F103" s="18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 hidden="1">
      <c r="E104" s="6"/>
      <c r="F104" s="18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 hidden="1">
      <c r="E105" s="6"/>
      <c r="F105" s="18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 hidden="1">
      <c r="E106" s="6"/>
      <c r="F106" s="18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 hidden="1">
      <c r="E107" s="6"/>
      <c r="F107" s="18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 hidden="1">
      <c r="E108" s="6"/>
      <c r="F108" s="18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 hidden="1">
      <c r="E109" s="6"/>
      <c r="F109" s="18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 hidden="1">
      <c r="E110" s="6"/>
      <c r="F110" s="18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 hidden="1">
      <c r="E111" s="13"/>
      <c r="F111" s="18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 hidden="1">
      <c r="E112" s="6"/>
      <c r="F112" s="18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 hidden="1">
      <c r="E113" s="6"/>
      <c r="F113" s="18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 hidden="1">
      <c r="E114" s="6"/>
      <c r="F114" s="18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 hidden="1">
      <c r="E115" s="6"/>
      <c r="F115" s="18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 hidden="1">
      <c r="E116" s="6"/>
      <c r="F116" s="18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 hidden="1">
      <c r="E117" s="13"/>
      <c r="F117" s="18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 hidden="1">
      <c r="E118" s="6"/>
      <c r="F118" s="18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 hidden="1">
      <c r="E119" s="6"/>
      <c r="F119" s="18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 hidden="1">
      <c r="E120" s="6"/>
      <c r="F120" s="18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 hidden="1">
      <c r="E121" s="6"/>
      <c r="F121" s="18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 hidden="1">
      <c r="E122" s="6"/>
      <c r="F122" s="18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 hidden="1">
      <c r="E123" s="6"/>
      <c r="F123" s="18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 hidden="1">
      <c r="E124" s="6"/>
      <c r="F124" s="18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 hidden="1">
      <c r="E125" s="6"/>
      <c r="F125" s="18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 hidden="1">
      <c r="E126" s="6"/>
      <c r="F126" s="18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 hidden="1">
      <c r="E127" s="6"/>
      <c r="F127" s="18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 hidden="1">
      <c r="E128" s="6"/>
      <c r="F128" s="18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 hidden="1">
      <c r="E129" s="6"/>
      <c r="F129" s="18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 hidden="1">
      <c r="E130" s="6"/>
      <c r="F130" s="18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 hidden="1">
      <c r="E131" s="6"/>
      <c r="F131" s="18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 hidden="1">
      <c r="E132" s="6"/>
      <c r="F132" s="18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 hidden="1">
      <c r="E133" s="6"/>
      <c r="F133" s="18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 hidden="1">
      <c r="E134" s="6"/>
      <c r="F134" s="18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 hidden="1">
      <c r="E135" s="6"/>
      <c r="F135" s="18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 hidden="1">
      <c r="E136" s="6"/>
      <c r="F136" s="18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 hidden="1">
      <c r="E137" s="6"/>
      <c r="F137" s="18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 hidden="1">
      <c r="E138" s="6"/>
      <c r="F138" s="18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 hidden="1">
      <c r="E139" s="6"/>
      <c r="F139" s="18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 hidden="1">
      <c r="E140" s="13"/>
      <c r="F140" s="18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 hidden="1">
      <c r="E141" s="6"/>
      <c r="F141" s="18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 hidden="1">
      <c r="E142" s="6"/>
      <c r="F142" s="18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 hidden="1">
      <c r="E143" s="6"/>
      <c r="F143" s="18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 hidden="1">
      <c r="E144" s="6"/>
      <c r="F144" s="18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 hidden="1">
      <c r="E145" s="6"/>
      <c r="F145" s="18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 hidden="1">
      <c r="E146" s="6"/>
      <c r="F146" s="18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 hidden="1">
      <c r="E147" s="6"/>
      <c r="F147" s="18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 hidden="1">
      <c r="E148" s="6"/>
      <c r="F148" s="18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 hidden="1">
      <c r="E149" s="6"/>
      <c r="F149" s="18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 hidden="1">
      <c r="E150" s="6"/>
      <c r="F150" s="18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 hidden="1">
      <c r="E151" s="6"/>
      <c r="F151" s="18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 hidden="1">
      <c r="E152" s="6"/>
      <c r="F152" s="18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 hidden="1">
      <c r="E153" s="6"/>
      <c r="F153" s="18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 hidden="1">
      <c r="E154" s="6"/>
      <c r="F154" s="18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 hidden="1">
      <c r="E155" s="6"/>
      <c r="F155" s="18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 hidden="1">
      <c r="E156" s="6"/>
      <c r="F156" s="18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 hidden="1">
      <c r="E157" s="6"/>
      <c r="F157" s="18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 hidden="1">
      <c r="E158" s="6"/>
      <c r="F158" s="18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 hidden="1">
      <c r="E159" s="13"/>
      <c r="F159" s="18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 hidden="1">
      <c r="E160" s="6"/>
      <c r="F160" s="18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 hidden="1">
      <c r="E161" s="6"/>
      <c r="F161" s="18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 hidden="1">
      <c r="E162" s="6"/>
      <c r="F162" s="18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 hidden="1">
      <c r="E163" s="6"/>
      <c r="F163" s="18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 hidden="1">
      <c r="E164" s="6"/>
      <c r="F164" s="18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 hidden="1">
      <c r="E165" s="13"/>
      <c r="F165" s="18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 hidden="1">
      <c r="E166" s="6"/>
      <c r="F166" s="18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 hidden="1">
      <c r="E167" s="6"/>
      <c r="F167" s="18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 hidden="1">
      <c r="E168" s="6"/>
      <c r="F168" s="18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 hidden="1">
      <c r="E169" s="6"/>
      <c r="F169" s="18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 hidden="1">
      <c r="E170" s="6"/>
      <c r="F170" s="18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 hidden="1">
      <c r="E171" s="6"/>
      <c r="F171" s="18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 hidden="1">
      <c r="E172" s="6"/>
      <c r="F172" s="18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 hidden="1">
      <c r="E173" s="6"/>
      <c r="F173" s="18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 hidden="1">
      <c r="E174" s="6"/>
      <c r="F174" s="18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 hidden="1">
      <c r="E175" s="6"/>
      <c r="F175" s="18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 hidden="1">
      <c r="E176" s="6"/>
      <c r="F176" s="18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 hidden="1">
      <c r="E177" s="6"/>
      <c r="F177" s="18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 hidden="1">
      <c r="E178" s="6"/>
      <c r="F178" s="18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 hidden="1">
      <c r="E179" s="6"/>
      <c r="F179" s="18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 hidden="1">
      <c r="E180" s="6"/>
      <c r="F180" s="18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 hidden="1">
      <c r="E181" s="6"/>
      <c r="F181" s="18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 hidden="1">
      <c r="E182" s="6"/>
      <c r="F182" s="18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 hidden="1">
      <c r="E183" s="6"/>
      <c r="F183" s="18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 hidden="1">
      <c r="E184" s="6"/>
      <c r="F184" s="18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 hidden="1">
      <c r="E185" s="6"/>
      <c r="F185" s="18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 hidden="1">
      <c r="E186" s="6"/>
      <c r="F186" s="18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 hidden="1">
      <c r="E187" s="13"/>
      <c r="F187" s="18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 hidden="1">
      <c r="E188" s="6"/>
      <c r="F188" s="18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 hidden="1">
      <c r="E189" s="6"/>
      <c r="F189" s="18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 hidden="1">
      <c r="E190" s="6"/>
      <c r="F190" s="18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 hidden="1">
      <c r="E191" s="6"/>
      <c r="F191" s="18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 hidden="1">
      <c r="E192" s="6"/>
      <c r="F192" s="18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 hidden="1">
      <c r="E193" s="6"/>
      <c r="F193" s="18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 hidden="1">
      <c r="E194" s="6"/>
      <c r="F194" s="18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 hidden="1">
      <c r="E195" s="6"/>
      <c r="F195" s="18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 hidden="1">
      <c r="E196" s="6"/>
      <c r="F196" s="18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 hidden="1">
      <c r="E197" s="6"/>
      <c r="F197" s="18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 hidden="1">
      <c r="E198" s="6"/>
      <c r="F198" s="18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 hidden="1">
      <c r="E199" s="6"/>
      <c r="F199" s="18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 hidden="1">
      <c r="E200" s="6"/>
      <c r="F200" s="18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 hidden="1">
      <c r="E201" s="6"/>
      <c r="F201" s="18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 hidden="1">
      <c r="E202" s="6"/>
      <c r="F202" s="18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 hidden="1">
      <c r="E203" s="6"/>
      <c r="F203" s="18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 hidden="1">
      <c r="E204" s="6"/>
      <c r="F204" s="18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 hidden="1">
      <c r="E205" s="6"/>
      <c r="F205" s="18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 hidden="1">
      <c r="E206" s="13"/>
      <c r="F206" s="18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 hidden="1">
      <c r="E207" s="6"/>
      <c r="F207" s="18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 hidden="1">
      <c r="E208" s="6"/>
      <c r="F208" s="18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 hidden="1">
      <c r="E209" s="6"/>
      <c r="F209" s="18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 hidden="1">
      <c r="E210" s="6"/>
      <c r="F210" s="18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 hidden="1">
      <c r="E211" s="6"/>
      <c r="F211" s="18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 hidden="1">
      <c r="E212" s="13"/>
      <c r="F212" s="18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 hidden="1">
      <c r="E213" s="6"/>
      <c r="F213" s="18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 hidden="1">
      <c r="E214" s="6"/>
      <c r="F214" s="18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 hidden="1">
      <c r="E215" s="6"/>
      <c r="F215" s="18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 hidden="1">
      <c r="E216" s="6"/>
      <c r="F216" s="18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 hidden="1">
      <c r="E217" s="6"/>
      <c r="F217" s="18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 hidden="1">
      <c r="E218" s="6"/>
      <c r="F218" s="18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 hidden="1">
      <c r="E219" s="6"/>
      <c r="F219" s="18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 hidden="1">
      <c r="E220" s="6"/>
      <c r="F220" s="18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 hidden="1">
      <c r="E221" s="6"/>
      <c r="F221" s="18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 hidden="1">
      <c r="E222" s="6"/>
      <c r="F222" s="18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 hidden="1">
      <c r="E223" s="6"/>
      <c r="F223" s="18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 hidden="1">
      <c r="E224" s="6"/>
      <c r="F224" s="18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 hidden="1">
      <c r="E225" s="6"/>
      <c r="F225" s="18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 hidden="1">
      <c r="E226" s="6"/>
      <c r="F226" s="18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 hidden="1">
      <c r="E227" s="6"/>
      <c r="F227" s="18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 hidden="1">
      <c r="E228" s="6"/>
      <c r="F228" s="18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 hidden="1">
      <c r="E229" s="6"/>
      <c r="F229" s="18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 hidden="1">
      <c r="E230" s="6"/>
      <c r="F230" s="18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 hidden="1">
      <c r="E231" s="6"/>
      <c r="F231" s="18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 hidden="1">
      <c r="E232" s="6"/>
      <c r="F232" s="18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 hidden="1">
      <c r="E233" s="6"/>
      <c r="F233" s="18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 hidden="1">
      <c r="E234" s="6"/>
      <c r="F234" s="18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 hidden="1">
      <c r="E235" s="6"/>
      <c r="F235" s="18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 hidden="1">
      <c r="E236" s="13"/>
      <c r="F236" s="18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 hidden="1">
      <c r="E237" s="6"/>
      <c r="F237" s="18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 hidden="1">
      <c r="E238" s="6"/>
      <c r="F238" s="18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 hidden="1">
      <c r="E239" s="6"/>
      <c r="F239" s="18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 hidden="1">
      <c r="E240" s="6"/>
      <c r="F240" s="18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 hidden="1">
      <c r="E241" s="6"/>
      <c r="F241" s="18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 hidden="1">
      <c r="E242" s="13"/>
      <c r="F242" s="18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 hidden="1">
      <c r="E243" s="6"/>
      <c r="F243" s="18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 hidden="1">
      <c r="E244" s="6"/>
      <c r="F244" s="18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 hidden="1">
      <c r="E245" s="6"/>
      <c r="F245" s="18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 hidden="1">
      <c r="E246" s="6"/>
      <c r="F246" s="18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 hidden="1">
      <c r="E247" s="14"/>
      <c r="F247" s="18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 hidden="1">
      <c r="E248" s="14"/>
      <c r="F248" s="18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 hidden="1">
      <c r="E249" s="14"/>
      <c r="F249" s="18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 hidden="1">
      <c r="E250" s="14"/>
      <c r="F250" s="18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 hidden="1">
      <c r="E251" s="14"/>
      <c r="F251" s="18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  <row r="255" spans="5:12" ht="15.75">
      <c r="E255" s="191" t="s">
        <v>320</v>
      </c>
      <c r="F255" s="216">
        <v>45992</v>
      </c>
      <c r="G255" s="192">
        <v>271.35000000000002</v>
      </c>
      <c r="H255" s="193" t="s">
        <v>321</v>
      </c>
      <c r="I255" s="194"/>
    </row>
    <row r="256" spans="5:12">
      <c r="E256" s="195" t="s">
        <v>322</v>
      </c>
      <c r="F256" s="217"/>
      <c r="G256" s="196">
        <v>138.52000000000001</v>
      </c>
      <c r="H256" s="193" t="s">
        <v>321</v>
      </c>
      <c r="I256" s="197"/>
    </row>
    <row r="257" spans="5:8">
      <c r="E257" s="195" t="s">
        <v>323</v>
      </c>
      <c r="F257" s="217"/>
      <c r="G257" s="196">
        <v>192.25</v>
      </c>
      <c r="H257" s="193" t="s">
        <v>321</v>
      </c>
    </row>
    <row r="258" spans="5:8">
      <c r="E258" s="191" t="s">
        <v>320</v>
      </c>
      <c r="F258" s="216">
        <v>46022</v>
      </c>
      <c r="G258" s="192">
        <f>G255+G256-G257</f>
        <v>217.62</v>
      </c>
      <c r="H258" s="193" t="s">
        <v>321</v>
      </c>
    </row>
    <row r="259" spans="5:8">
      <c r="E259" s="198"/>
      <c r="F259" s="218"/>
      <c r="G259" s="199"/>
      <c r="H259" s="200"/>
    </row>
    <row r="260" spans="5:8">
      <c r="E260" s="202" t="s">
        <v>324</v>
      </c>
      <c r="F260" s="219"/>
      <c r="G260" s="202"/>
      <c r="H260" s="203" t="s">
        <v>325</v>
      </c>
    </row>
    <row r="261" spans="5:8">
      <c r="E261" s="201" t="s">
        <v>326</v>
      </c>
      <c r="F261" s="220"/>
      <c r="G261" s="201"/>
      <c r="H261" s="222">
        <v>2.0697758772000001</v>
      </c>
    </row>
    <row r="262" spans="5:8">
      <c r="E262" s="201" t="s">
        <v>258</v>
      </c>
      <c r="F262" s="220"/>
      <c r="G262" s="201"/>
      <c r="H262" s="222">
        <v>29.209132799999999</v>
      </c>
    </row>
    <row r="263" spans="5:8">
      <c r="E263" s="201" t="s">
        <v>327</v>
      </c>
      <c r="F263" s="220"/>
      <c r="G263" s="201"/>
      <c r="H263" s="222">
        <v>41.484349999999999</v>
      </c>
    </row>
    <row r="264" spans="5:8">
      <c r="E264" s="201" t="s">
        <v>282</v>
      </c>
      <c r="F264" s="220"/>
      <c r="G264" s="201"/>
      <c r="H264" s="222">
        <v>5.9109507269800003</v>
      </c>
    </row>
    <row r="265" spans="5:8">
      <c r="E265" s="201" t="s">
        <v>247</v>
      </c>
      <c r="F265" s="220"/>
      <c r="G265" s="201"/>
      <c r="H265" s="222">
        <v>9.9668237000000008</v>
      </c>
    </row>
    <row r="266" spans="5:8">
      <c r="E266" s="201" t="s">
        <v>284</v>
      </c>
      <c r="F266" s="220"/>
      <c r="G266" s="201"/>
      <c r="H266" s="222">
        <v>12.218724506459999</v>
      </c>
    </row>
    <row r="267" spans="5:8">
      <c r="E267" s="201" t="s">
        <v>249</v>
      </c>
      <c r="F267" s="220"/>
      <c r="G267" s="201"/>
      <c r="H267" s="222">
        <v>9.2338769999999997</v>
      </c>
    </row>
    <row r="268" spans="5:8">
      <c r="E268" s="201" t="s">
        <v>328</v>
      </c>
      <c r="F268" s="220"/>
      <c r="G268" s="201"/>
      <c r="H268" s="222">
        <v>10.634785318400001</v>
      </c>
    </row>
    <row r="269" spans="5:8">
      <c r="E269" s="201" t="s">
        <v>301</v>
      </c>
      <c r="F269" s="220"/>
      <c r="G269" s="201"/>
      <c r="H269" s="222">
        <v>53.752460854500001</v>
      </c>
    </row>
    <row r="270" spans="5:8">
      <c r="E270" s="201" t="s">
        <v>239</v>
      </c>
      <c r="F270" s="220"/>
      <c r="G270" s="201"/>
      <c r="H270" s="222">
        <v>11.3662627</v>
      </c>
    </row>
    <row r="271" spans="5:8">
      <c r="E271" s="201" t="s">
        <v>329</v>
      </c>
      <c r="F271" s="220"/>
      <c r="G271" s="201"/>
      <c r="H271" s="222">
        <v>7.7886000000000006</v>
      </c>
    </row>
    <row r="272" spans="5:8">
      <c r="E272" s="201" t="s">
        <v>304</v>
      </c>
      <c r="F272" s="220"/>
      <c r="G272" s="201"/>
      <c r="H272" s="222">
        <v>23.230650000000001</v>
      </c>
    </row>
    <row r="273" spans="5:9">
      <c r="E273" s="201" t="s">
        <v>312</v>
      </c>
      <c r="F273" s="220"/>
      <c r="G273" s="201"/>
      <c r="H273" s="222">
        <v>1.7512968332000001</v>
      </c>
      <c r="I273" s="204"/>
    </row>
    <row r="274" spans="5:9">
      <c r="E274" s="201" t="s">
        <v>269</v>
      </c>
      <c r="F274" s="220"/>
      <c r="G274" s="201"/>
      <c r="H274" s="222">
        <v>4.97427129E-2</v>
      </c>
      <c r="I274" s="204"/>
    </row>
    <row r="275" spans="5:9">
      <c r="E275" s="201" t="s">
        <v>293</v>
      </c>
      <c r="F275" s="220"/>
      <c r="G275" s="201"/>
      <c r="H275" s="222">
        <v>3.2735576000000002</v>
      </c>
      <c r="I275" s="204"/>
    </row>
    <row r="276" spans="5:9">
      <c r="E276" s="201" t="s">
        <v>251</v>
      </c>
      <c r="F276" s="220"/>
      <c r="G276" s="201"/>
      <c r="H276" s="222">
        <v>3.0333709</v>
      </c>
      <c r="I276" s="204"/>
    </row>
    <row r="277" spans="5:9">
      <c r="E277" s="201" t="s">
        <v>252</v>
      </c>
      <c r="F277" s="220"/>
      <c r="G277" s="201"/>
      <c r="H277" s="222">
        <v>1.5569552</v>
      </c>
      <c r="I277" s="204"/>
    </row>
    <row r="278" spans="5:9">
      <c r="E278" s="201" t="s">
        <v>245</v>
      </c>
      <c r="F278" s="220"/>
      <c r="G278" s="201"/>
      <c r="H278" s="222">
        <v>2.1199599999999998</v>
      </c>
      <c r="I278" s="204"/>
    </row>
    <row r="279" spans="5:9">
      <c r="E279" s="205"/>
      <c r="F279" s="221"/>
      <c r="G279" s="205"/>
    </row>
    <row r="280" spans="5:9">
      <c r="E280" s="205"/>
      <c r="F280" s="221"/>
      <c r="G280" s="205"/>
    </row>
    <row r="281" spans="5:9" s="227" customFormat="1">
      <c r="E281" s="223" t="s">
        <v>330</v>
      </c>
      <c r="F281" s="224"/>
      <c r="G281" s="223"/>
      <c r="H281" s="225">
        <f>'W1'!K19</f>
        <v>925.49592577300007</v>
      </c>
      <c r="I281" s="226"/>
    </row>
    <row r="282" spans="5:9" s="227" customFormat="1">
      <c r="E282" s="223" t="s">
        <v>331</v>
      </c>
      <c r="F282" s="224"/>
      <c r="G282" s="223"/>
      <c r="H282" s="225" t="e">
        <f>#REF!</f>
        <v>#REF!</v>
      </c>
      <c r="I282" s="226"/>
    </row>
    <row r="283" spans="5:9" s="227" customFormat="1">
      <c r="E283" s="223" t="s">
        <v>332</v>
      </c>
      <c r="F283" s="224"/>
      <c r="G283" s="223"/>
      <c r="H283" s="225">
        <f>J12-'W1'!J12</f>
        <v>85.68574000000001</v>
      </c>
      <c r="I283" s="226"/>
    </row>
    <row r="284" spans="5:9" s="227" customFormat="1">
      <c r="E284" s="223" t="s">
        <v>333</v>
      </c>
      <c r="F284" s="224"/>
      <c r="G284" s="223"/>
      <c r="H284" s="225" t="e">
        <f>H281+H282-H283</f>
        <v>#REF!</v>
      </c>
      <c r="I284" s="226"/>
    </row>
    <row r="285" spans="5:9" s="227" customFormat="1">
      <c r="E285" s="223" t="s">
        <v>334</v>
      </c>
      <c r="F285" s="224"/>
      <c r="G285" s="223"/>
      <c r="H285" s="228">
        <f>K19</f>
        <v>1094.8548048743571</v>
      </c>
      <c r="I285" s="226"/>
    </row>
    <row r="286" spans="5:9" s="227" customFormat="1">
      <c r="E286" s="223" t="s">
        <v>335</v>
      </c>
      <c r="F286" s="224"/>
      <c r="G286" s="223"/>
      <c r="H286" s="229" t="e">
        <f>H284-H285</f>
        <v>#REF!</v>
      </c>
      <c r="I286" s="230" t="s">
        <v>336</v>
      </c>
    </row>
    <row r="287" spans="5:9" s="227" customFormat="1">
      <c r="E287" s="223"/>
      <c r="F287" s="224"/>
      <c r="G287" s="223"/>
      <c r="H287" s="225"/>
      <c r="I287" s="226" t="s">
        <v>337</v>
      </c>
    </row>
  </sheetData>
  <sheetProtection formatCells="0" formatColumns="0" formatRows="0" insertRows="0" deleteRows="0" autoFilter="0"/>
  <autoFilter ref="E23:AL391" xr:uid="{00000000-0009-0000-0000-000004000000}"/>
  <mergeCells count="1">
    <mergeCell ref="I4:J4"/>
  </mergeCells>
  <phoneticPr fontId="40"/>
  <dataValidations count="2">
    <dataValidation type="list" allowBlank="1" showInputMessage="1" showErrorMessage="1" sqref="G2" xr:uid="{00000000-0002-0000-0400-000000000000}">
      <formula1>SOCIETE</formula1>
    </dataValidation>
    <dataValidation type="list" allowBlank="1" showInputMessage="1" showErrorMessage="1" sqref="F24:F251" xr:uid="{72F86F11-6707-4D43-BC28-BE0AE41C6C55}">
      <formula1>Liste</formula1>
    </dataValidation>
  </dataValidations>
  <pageMargins left="0.17" right="0.17" top="0.37" bottom="0.23" header="0.31496062992125984" footer="0.16"/>
  <pageSetup paperSize="9" scale="4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theme="3" tint="0.59999389629810485"/>
    <pageSetUpPr fitToPage="1"/>
  </sheetPr>
  <dimension ref="D1:AL280"/>
  <sheetViews>
    <sheetView showGridLines="0" topLeftCell="E1" zoomScale="70" zoomScaleNormal="70" workbookViewId="0">
      <selection activeCell="P10" sqref="P10"/>
    </sheetView>
  </sheetViews>
  <sheetFormatPr defaultColWidth="8" defaultRowHeight="15"/>
  <cols>
    <col min="1" max="4" width="4" style="15" customWidth="1"/>
    <col min="5" max="5" width="30.710937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235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206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231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206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33</v>
      </c>
      <c r="H4" s="61"/>
      <c r="I4" s="451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207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January</v>
      </c>
      <c r="H6" s="61"/>
      <c r="I6" s="206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206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206"/>
      <c r="J8" s="166" t="str">
        <f>+G6&amp;" Turnover"</f>
        <v>January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</v>
      </c>
      <c r="I9" s="206"/>
      <c r="J9" s="161" t="str">
        <f>+"from "&amp;G6&amp;" 1 until end of "&amp;G4</f>
        <v>from January 1 until end of W3</v>
      </c>
      <c r="K9" s="79"/>
      <c r="L9" s="167" t="str">
        <f>+G6</f>
        <v>January</v>
      </c>
      <c r="M9" s="80"/>
      <c r="N9" s="80"/>
      <c r="O9" s="172" t="str">
        <f>+G4</f>
        <v>W3</v>
      </c>
      <c r="P9" s="173" t="str">
        <f>+VLOOKUP(G4, parameters!$G$9:$I$61,3,0)</f>
        <v>W2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v>228</v>
      </c>
      <c r="I10" s="206"/>
      <c r="J10" s="159">
        <v>228</v>
      </c>
      <c r="L10" s="159">
        <f>J10+N17</f>
        <v>659.92080932848046</v>
      </c>
      <c r="N10" s="55"/>
      <c r="O10" s="170">
        <f>+H10+K17</f>
        <v>1474.7034710320374</v>
      </c>
      <c r="P10" s="171" cm="1">
        <f t="array" aca="1" ref="P10" ca="1">INDIRECT(ADDRESS(10,15,,,VLOOKUP($G$4,parameters!$G:$I,3,0)))</f>
        <v>1178.6083688636772</v>
      </c>
      <c r="Q10" s="183">
        <f ca="1">O10-P10</f>
        <v>296.0951021683602</v>
      </c>
      <c r="R10" s="86"/>
    </row>
    <row r="11" spans="5:38" ht="20.45" customHeight="1">
      <c r="E11" s="87" t="s">
        <v>224</v>
      </c>
      <c r="F11" s="88"/>
      <c r="G11" s="89"/>
      <c r="H11" s="16">
        <v>2.3895599999999999</v>
      </c>
      <c r="I11" s="206"/>
      <c r="J11" s="16">
        <v>2.3895599999999999</v>
      </c>
      <c r="L11" s="16">
        <f>J11+N18</f>
        <v>11.074108885259999</v>
      </c>
      <c r="N11" s="55"/>
      <c r="O11" s="152">
        <f>+H11+K18</f>
        <v>17.86425431084</v>
      </c>
      <c r="P11" s="153" cm="1">
        <f t="array" aca="1" ref="P11" ca="1">INDIRECT(ADDRESS(11,15,,,VLOOKUP($G$4,parameters!$G:$I,3,0)))</f>
        <v>12.06643601068</v>
      </c>
      <c r="Q11" s="184">
        <f t="shared" ref="Q11:Q12" ca="1" si="0">O11-P11</f>
        <v>5.7978183001599994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230.38955999999999</v>
      </c>
      <c r="I12" s="206"/>
      <c r="J12" s="126">
        <f>SUM(J10:J11)</f>
        <v>230.38955999999999</v>
      </c>
      <c r="K12" s="65"/>
      <c r="L12" s="126">
        <f>SUM(L10:L11)</f>
        <v>670.99491821374045</v>
      </c>
      <c r="M12" s="65"/>
      <c r="N12" s="65"/>
      <c r="O12" s="154">
        <f>SUM(O10:O11)</f>
        <v>1492.5677253428773</v>
      </c>
      <c r="P12" s="155">
        <f ca="1">SUM(P10:P11)</f>
        <v>1190.6748048743573</v>
      </c>
      <c r="Q12" s="156">
        <f t="shared" ca="1" si="0"/>
        <v>301.89292046852006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206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206"/>
      <c r="J14" s="61"/>
      <c r="N14" s="55"/>
      <c r="W14" s="60"/>
      <c r="X14" s="60"/>
    </row>
    <row r="15" spans="5:38" ht="3.6" customHeight="1">
      <c r="G15" s="61"/>
      <c r="H15" s="61"/>
      <c r="I15" s="206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206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212"/>
      <c r="J17" s="108">
        <f>+SUMIF($F$24:$F$251,"External",$J$24:$J$251)</f>
        <v>1246.7034710320374</v>
      </c>
      <c r="K17" s="108">
        <f>+SUMIF($F$24:$F$251,"External",$K$24:$K$251)</f>
        <v>1246.7034710320374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431.92080932848046</v>
      </c>
      <c r="O17" s="111">
        <f t="shared" si="1"/>
        <v>467.13681054066598</v>
      </c>
      <c r="P17" s="111">
        <f t="shared" si="1"/>
        <v>164.10562270794591</v>
      </c>
      <c r="Q17" s="111">
        <f t="shared" si="1"/>
        <v>123.44646495494493</v>
      </c>
      <c r="R17" s="111">
        <f t="shared" si="1"/>
        <v>9.0352969999999999</v>
      </c>
      <c r="S17" s="111">
        <f t="shared" si="1"/>
        <v>39.069911999999995</v>
      </c>
      <c r="T17" s="111">
        <f t="shared" si="1"/>
        <v>11.988554499999999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213"/>
      <c r="J18" s="113">
        <f>+SUMIF($F$24:$F$251,"Group",$J$24:$J$251)</f>
        <v>15.47469431084</v>
      </c>
      <c r="K18" s="113">
        <f>+SUMIF($F$24:$F$251,"Group",$K$24:$K$251)</f>
        <v>15.47469431084</v>
      </c>
      <c r="L18" s="114">
        <f>SUMIF($F$24:$F$251,"Group",$L$24:$L$251)</f>
        <v>0</v>
      </c>
      <c r="M18" s="110"/>
      <c r="N18" s="114">
        <f t="shared" ref="N18:Y18" si="3">+SUMIF($F$24:$F$251,"Group",N$24:N$251)</f>
        <v>8.6845488852599999</v>
      </c>
      <c r="O18" s="114">
        <f t="shared" si="3"/>
        <v>0</v>
      </c>
      <c r="P18" s="114">
        <f t="shared" si="3"/>
        <v>6.7901454255799996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214"/>
      <c r="J19" s="115">
        <f>SUM(J17:J18)</f>
        <v>1262.1781653428775</v>
      </c>
      <c r="K19" s="115">
        <f>SUM(K17:K18)</f>
        <v>1262.1781653428775</v>
      </c>
      <c r="L19" s="116">
        <f>SUM(L17:L18)</f>
        <v>0</v>
      </c>
      <c r="M19" s="117"/>
      <c r="N19" s="116">
        <f>SUM(N17:N18)</f>
        <v>440.60535821374049</v>
      </c>
      <c r="O19" s="116">
        <f t="shared" ref="O19:Y19" si="5">SUM(O17:O18)</f>
        <v>467.13681054066598</v>
      </c>
      <c r="P19" s="116">
        <f t="shared" si="5"/>
        <v>170.89576813352591</v>
      </c>
      <c r="Q19" s="116">
        <f t="shared" si="5"/>
        <v>123.44646495494493</v>
      </c>
      <c r="R19" s="116">
        <f t="shared" si="5"/>
        <v>9.0352969999999999</v>
      </c>
      <c r="S19" s="116">
        <f t="shared" si="5"/>
        <v>39.069911999999995</v>
      </c>
      <c r="T19" s="116">
        <f t="shared" si="5"/>
        <v>11.988554499999999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215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215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215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274</v>
      </c>
      <c r="I23" s="232" t="s">
        <v>275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338</v>
      </c>
      <c r="F24" s="7" t="s">
        <v>19</v>
      </c>
      <c r="G24" s="6" t="s">
        <v>234</v>
      </c>
      <c r="H24" s="187" t="s">
        <v>243</v>
      </c>
      <c r="I24" s="8" t="s">
        <v>339</v>
      </c>
      <c r="J24" s="118">
        <f t="shared" ref="J24" si="7">+K24+L24</f>
        <v>1.5283800000000001</v>
      </c>
      <c r="K24" s="119">
        <f t="shared" ref="K24" si="8">SUM(N24:Y24)</f>
        <v>1.5283800000000001</v>
      </c>
      <c r="L24" s="119">
        <f t="shared" ref="L24" si="9">SUM(AA24:AL24)</f>
        <v>0</v>
      </c>
      <c r="M24" s="23"/>
      <c r="N24" s="24">
        <v>1.5283800000000001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235</v>
      </c>
      <c r="F25" s="7" t="s">
        <v>19</v>
      </c>
      <c r="G25" s="6" t="s">
        <v>234</v>
      </c>
      <c r="H25" s="188" t="s">
        <v>236</v>
      </c>
      <c r="I25" s="8" t="s">
        <v>276</v>
      </c>
      <c r="J25" s="118">
        <f t="shared" ref="J25:J88" si="10">+K25+L25</f>
        <v>7.2617511016949194</v>
      </c>
      <c r="K25" s="119">
        <f t="shared" ref="K25:K88" si="11">SUM(N25:Y25)</f>
        <v>7.2617511016949194</v>
      </c>
      <c r="L25" s="119">
        <f t="shared" ref="L25:L88" si="12">SUM(AA25:AL25)</f>
        <v>0</v>
      </c>
      <c r="M25" s="23"/>
      <c r="N25" s="24"/>
      <c r="O25" s="24"/>
      <c r="P25" s="24"/>
      <c r="Q25" s="24">
        <v>7.2617511016949194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237</v>
      </c>
      <c r="F26" s="7" t="s">
        <v>19</v>
      </c>
      <c r="G26" s="6" t="s">
        <v>234</v>
      </c>
      <c r="H26" s="188" t="s">
        <v>236</v>
      </c>
      <c r="I26" s="8" t="s">
        <v>277</v>
      </c>
      <c r="J26" s="118">
        <f t="shared" si="10"/>
        <v>19.087499999999999</v>
      </c>
      <c r="K26" s="119">
        <f t="shared" si="11"/>
        <v>19.087499999999999</v>
      </c>
      <c r="L26" s="119">
        <f t="shared" si="12"/>
        <v>0</v>
      </c>
      <c r="M26" s="23"/>
      <c r="N26" s="24"/>
      <c r="O26" s="24"/>
      <c r="P26" s="24">
        <v>19.087499999999999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239</v>
      </c>
      <c r="F27" s="7" t="s">
        <v>19</v>
      </c>
      <c r="G27" s="6" t="s">
        <v>238</v>
      </c>
      <c r="H27" s="188" t="s">
        <v>236</v>
      </c>
      <c r="I27" s="8" t="s">
        <v>278</v>
      </c>
      <c r="J27" s="118">
        <f t="shared" si="10"/>
        <v>29.542426300000002</v>
      </c>
      <c r="K27" s="119">
        <f t="shared" si="11"/>
        <v>29.542426300000002</v>
      </c>
      <c r="L27" s="119">
        <f t="shared" si="12"/>
        <v>0</v>
      </c>
      <c r="M27" s="23"/>
      <c r="N27" s="24">
        <v>18.176163600000002</v>
      </c>
      <c r="O27" s="24">
        <v>11.3662627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237</v>
      </c>
      <c r="F28" s="7" t="s">
        <v>19</v>
      </c>
      <c r="G28" s="6" t="s">
        <v>240</v>
      </c>
      <c r="H28" s="188" t="s">
        <v>236</v>
      </c>
      <c r="I28" s="8" t="s">
        <v>277</v>
      </c>
      <c r="J28" s="118">
        <f t="shared" si="10"/>
        <v>8.0682141107399996</v>
      </c>
      <c r="K28" s="119">
        <f t="shared" si="11"/>
        <v>8.0682141107399996</v>
      </c>
      <c r="L28" s="119">
        <f t="shared" si="12"/>
        <v>0</v>
      </c>
      <c r="M28" s="23"/>
      <c r="N28" s="24"/>
      <c r="O28" s="24"/>
      <c r="P28" s="24">
        <v>8.0682141107399996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242</v>
      </c>
      <c r="F29" s="7" t="s">
        <v>19</v>
      </c>
      <c r="G29" s="6" t="s">
        <v>241</v>
      </c>
      <c r="H29" s="189" t="s">
        <v>243</v>
      </c>
      <c r="I29" s="8" t="s">
        <v>280</v>
      </c>
      <c r="J29" s="118">
        <f t="shared" si="10"/>
        <v>5.9222580000000002</v>
      </c>
      <c r="K29" s="119">
        <f t="shared" si="11"/>
        <v>5.9222580000000002</v>
      </c>
      <c r="L29" s="119">
        <f t="shared" si="12"/>
        <v>0</v>
      </c>
      <c r="M29" s="23"/>
      <c r="N29" s="24">
        <v>5.9222580000000002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282</v>
      </c>
      <c r="F30" s="7" t="s">
        <v>19</v>
      </c>
      <c r="G30" s="6" t="s">
        <v>281</v>
      </c>
      <c r="H30" s="190" t="s">
        <v>243</v>
      </c>
      <c r="I30" s="8" t="s">
        <v>283</v>
      </c>
      <c r="J30" s="118">
        <f t="shared" si="10"/>
        <v>2.8162104269799997</v>
      </c>
      <c r="K30" s="119">
        <f t="shared" si="11"/>
        <v>2.8162104269799997</v>
      </c>
      <c r="L30" s="119">
        <f t="shared" si="12"/>
        <v>0</v>
      </c>
      <c r="M30" s="23"/>
      <c r="N30" s="24">
        <v>2.8162104269799997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340</v>
      </c>
      <c r="F31" s="7" t="s">
        <v>19</v>
      </c>
      <c r="G31" s="6" t="s">
        <v>341</v>
      </c>
      <c r="H31" s="190" t="s">
        <v>243</v>
      </c>
      <c r="I31" s="187" t="s">
        <v>311</v>
      </c>
      <c r="J31" s="118">
        <f t="shared" si="10"/>
        <v>0.85840460000000007</v>
      </c>
      <c r="K31" s="119">
        <f t="shared" si="11"/>
        <v>0.85840460000000007</v>
      </c>
      <c r="L31" s="119">
        <f t="shared" si="12"/>
        <v>0</v>
      </c>
      <c r="M31" s="23"/>
      <c r="N31" s="24"/>
      <c r="O31" s="24"/>
      <c r="P31" s="24">
        <v>0.85840460000000007</v>
      </c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284</v>
      </c>
      <c r="F32" s="7" t="s">
        <v>19</v>
      </c>
      <c r="G32" s="6" t="s">
        <v>284</v>
      </c>
      <c r="H32" s="190" t="s">
        <v>243</v>
      </c>
      <c r="I32" s="8" t="s">
        <v>339</v>
      </c>
      <c r="J32" s="118">
        <f t="shared" si="10"/>
        <v>2.7684358539399998</v>
      </c>
      <c r="K32" s="119">
        <f t="shared" si="11"/>
        <v>2.7684358539399998</v>
      </c>
      <c r="L32" s="119">
        <f t="shared" si="12"/>
        <v>0</v>
      </c>
      <c r="M32" s="15"/>
      <c r="N32" s="24">
        <v>2.7684358539399998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284</v>
      </c>
      <c r="F33" s="7" t="s">
        <v>17</v>
      </c>
      <c r="G33" s="6" t="s">
        <v>287</v>
      </c>
      <c r="H33" s="190" t="s">
        <v>243</v>
      </c>
      <c r="I33" s="8" t="s">
        <v>339</v>
      </c>
      <c r="J33" s="118">
        <f t="shared" si="10"/>
        <v>8.3150404178399988</v>
      </c>
      <c r="K33" s="119">
        <f t="shared" si="11"/>
        <v>8.3150404178399988</v>
      </c>
      <c r="L33" s="119">
        <f t="shared" si="12"/>
        <v>0</v>
      </c>
      <c r="M33" s="15"/>
      <c r="N33" s="24">
        <v>1.5248949922599997</v>
      </c>
      <c r="O33" s="24"/>
      <c r="P33" s="24">
        <v>6.7901454255799996</v>
      </c>
      <c r="Q33" s="24"/>
      <c r="R33" s="24"/>
      <c r="S33" s="24"/>
      <c r="T33" s="24"/>
      <c r="U33" s="24"/>
      <c r="V33" s="24"/>
      <c r="W33" s="24"/>
      <c r="X33" s="24"/>
      <c r="Y33" s="24"/>
    </row>
    <row r="34" spans="5:25">
      <c r="E34" s="6" t="s">
        <v>328</v>
      </c>
      <c r="F34" s="7" t="s">
        <v>17</v>
      </c>
      <c r="G34" s="6" t="s">
        <v>342</v>
      </c>
      <c r="H34" s="190" t="s">
        <v>236</v>
      </c>
      <c r="I34" s="187" t="s">
        <v>299</v>
      </c>
      <c r="J34" s="118">
        <f t="shared" si="10"/>
        <v>7.1596538930000007</v>
      </c>
      <c r="K34" s="119">
        <f t="shared" si="11"/>
        <v>7.1596538930000007</v>
      </c>
      <c r="L34" s="119">
        <f t="shared" si="12"/>
        <v>0</v>
      </c>
      <c r="M34" s="15"/>
      <c r="N34" s="24">
        <v>7.1596538930000007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5:25">
      <c r="E35" s="6" t="s">
        <v>245</v>
      </c>
      <c r="F35" s="7" t="s">
        <v>19</v>
      </c>
      <c r="G35" s="6" t="s">
        <v>244</v>
      </c>
      <c r="H35" s="190" t="s">
        <v>236</v>
      </c>
      <c r="I35" s="8" t="s">
        <v>288</v>
      </c>
      <c r="J35" s="118">
        <f t="shared" si="10"/>
        <v>39.069911999999995</v>
      </c>
      <c r="K35" s="119">
        <f t="shared" si="11"/>
        <v>39.069911999999995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>
        <v>39.069911999999995</v>
      </c>
      <c r="T35" s="24"/>
      <c r="U35" s="24"/>
      <c r="V35" s="24"/>
      <c r="W35" s="24"/>
      <c r="X35" s="24"/>
      <c r="Y35" s="24"/>
    </row>
    <row r="36" spans="5:25">
      <c r="E36" s="6" t="s">
        <v>247</v>
      </c>
      <c r="F36" s="7" t="s">
        <v>19</v>
      </c>
      <c r="G36" s="6" t="s">
        <v>246</v>
      </c>
      <c r="H36" s="190" t="s">
        <v>236</v>
      </c>
      <c r="I36" s="8" t="s">
        <v>289</v>
      </c>
      <c r="J36" s="118">
        <f t="shared" si="10"/>
        <v>59.043613199999996</v>
      </c>
      <c r="K36" s="119">
        <f t="shared" si="11"/>
        <v>59.043613199999996</v>
      </c>
      <c r="L36" s="119">
        <f t="shared" si="12"/>
        <v>0</v>
      </c>
      <c r="M36" s="15"/>
      <c r="N36" s="24">
        <v>54.372747799999999</v>
      </c>
      <c r="O36" s="24"/>
      <c r="P36" s="24">
        <v>2.3354326999999997</v>
      </c>
      <c r="Q36" s="24"/>
      <c r="R36" s="24"/>
      <c r="S36" s="24"/>
      <c r="T36" s="24">
        <v>2.3354326999999997</v>
      </c>
      <c r="U36" s="24"/>
      <c r="V36" s="24"/>
      <c r="W36" s="24"/>
      <c r="X36" s="24"/>
      <c r="Y36" s="24"/>
    </row>
    <row r="37" spans="5:25">
      <c r="E37" s="6" t="s">
        <v>248</v>
      </c>
      <c r="F37" s="7" t="s">
        <v>19</v>
      </c>
      <c r="G37" s="6" t="s">
        <v>246</v>
      </c>
      <c r="H37" s="190" t="s">
        <v>236</v>
      </c>
      <c r="I37" s="8" t="s">
        <v>290</v>
      </c>
      <c r="J37" s="118">
        <f t="shared" si="10"/>
        <v>3.1881162999999999</v>
      </c>
      <c r="K37" s="119">
        <f t="shared" si="11"/>
        <v>3.1881162999999999</v>
      </c>
      <c r="L37" s="119">
        <f t="shared" si="12"/>
        <v>0</v>
      </c>
      <c r="M37" s="15"/>
      <c r="N37" s="24"/>
      <c r="O37" s="24"/>
      <c r="P37" s="24">
        <v>3.1881162999999999</v>
      </c>
      <c r="Q37" s="24"/>
      <c r="R37" s="24"/>
      <c r="S37" s="24"/>
      <c r="T37" s="24"/>
      <c r="U37" s="24"/>
      <c r="V37" s="24"/>
      <c r="W37" s="24"/>
      <c r="X37" s="24"/>
      <c r="Y37" s="24"/>
    </row>
    <row r="38" spans="5:25">
      <c r="E38" s="6" t="s">
        <v>249</v>
      </c>
      <c r="F38" s="7" t="s">
        <v>19</v>
      </c>
      <c r="G38" s="6" t="s">
        <v>246</v>
      </c>
      <c r="H38" s="190" t="s">
        <v>236</v>
      </c>
      <c r="I38" s="8" t="s">
        <v>291</v>
      </c>
      <c r="J38" s="118">
        <f t="shared" si="10"/>
        <v>170.93034410000001</v>
      </c>
      <c r="K38" s="119">
        <f t="shared" si="11"/>
        <v>170.93034410000001</v>
      </c>
      <c r="L38" s="119">
        <f t="shared" si="12"/>
        <v>0</v>
      </c>
      <c r="M38" s="15"/>
      <c r="N38" s="24">
        <v>77.954743499999992</v>
      </c>
      <c r="O38" s="24">
        <v>88.30473520000001</v>
      </c>
      <c r="P38" s="24">
        <v>2.3354326999999997</v>
      </c>
      <c r="Q38" s="24"/>
      <c r="R38" s="24"/>
      <c r="S38" s="24"/>
      <c r="T38" s="24">
        <v>2.3354326999999997</v>
      </c>
      <c r="U38" s="24"/>
      <c r="V38" s="24"/>
      <c r="W38" s="24"/>
      <c r="X38" s="24"/>
      <c r="Y38" s="24"/>
    </row>
    <row r="39" spans="5:25">
      <c r="E39" s="6" t="s">
        <v>250</v>
      </c>
      <c r="F39" s="7" t="s">
        <v>19</v>
      </c>
      <c r="G39" s="6" t="s">
        <v>246</v>
      </c>
      <c r="H39" s="190" t="s">
        <v>236</v>
      </c>
      <c r="I39" s="8" t="s">
        <v>292</v>
      </c>
      <c r="J39" s="118">
        <f t="shared" si="10"/>
        <v>13.7061644</v>
      </c>
      <c r="K39" s="119">
        <f t="shared" si="11"/>
        <v>13.7061644</v>
      </c>
      <c r="L39" s="119">
        <f t="shared" si="12"/>
        <v>0</v>
      </c>
      <c r="M39" s="15"/>
      <c r="N39" s="24">
        <v>2.0000000006984921E-6</v>
      </c>
      <c r="O39" s="24"/>
      <c r="P39" s="24">
        <v>2.3354326999999997</v>
      </c>
      <c r="Q39" s="24"/>
      <c r="R39" s="24">
        <v>9.0352969999999999</v>
      </c>
      <c r="S39" s="24"/>
      <c r="T39" s="24">
        <v>2.3354326999999997</v>
      </c>
      <c r="U39" s="24"/>
      <c r="V39" s="24"/>
      <c r="W39" s="24"/>
      <c r="X39" s="24"/>
      <c r="Y39" s="24"/>
    </row>
    <row r="40" spans="5:25">
      <c r="E40" s="6" t="s">
        <v>293</v>
      </c>
      <c r="F40" s="7" t="s">
        <v>19</v>
      </c>
      <c r="G40" s="6" t="s">
        <v>246</v>
      </c>
      <c r="H40" s="190" t="s">
        <v>236</v>
      </c>
      <c r="I40" s="8" t="s">
        <v>294</v>
      </c>
      <c r="J40" s="118">
        <f t="shared" si="10"/>
        <v>3.2735576000000002</v>
      </c>
      <c r="K40" s="119">
        <f t="shared" si="11"/>
        <v>3.2735576000000002</v>
      </c>
      <c r="L40" s="119">
        <f t="shared" si="12"/>
        <v>0</v>
      </c>
      <c r="M40" s="15"/>
      <c r="N40" s="24"/>
      <c r="O40" s="24"/>
      <c r="P40" s="24">
        <v>1.6367788000000001</v>
      </c>
      <c r="Q40" s="24"/>
      <c r="R40" s="24"/>
      <c r="S40" s="24"/>
      <c r="T40" s="24">
        <v>1.6367788000000001</v>
      </c>
      <c r="U40" s="24"/>
      <c r="V40" s="24"/>
      <c r="W40" s="24"/>
      <c r="X40" s="24"/>
      <c r="Y40" s="24"/>
    </row>
    <row r="41" spans="5:25">
      <c r="E41" s="6" t="s">
        <v>251</v>
      </c>
      <c r="F41" s="7" t="s">
        <v>19</v>
      </c>
      <c r="G41" s="6" t="s">
        <v>246</v>
      </c>
      <c r="H41" s="190" t="s">
        <v>236</v>
      </c>
      <c r="I41" s="8" t="s">
        <v>290</v>
      </c>
      <c r="J41" s="118">
        <f t="shared" si="10"/>
        <v>14.566856100000003</v>
      </c>
      <c r="K41" s="119">
        <f t="shared" si="11"/>
        <v>14.566856100000003</v>
      </c>
      <c r="L41" s="119">
        <f t="shared" si="12"/>
        <v>0</v>
      </c>
      <c r="M41" s="15"/>
      <c r="N41" s="24">
        <v>3.8661799999999996E-2</v>
      </c>
      <c r="O41" s="24"/>
      <c r="P41" s="24">
        <v>13.021174300000002</v>
      </c>
      <c r="Q41" s="24"/>
      <c r="R41" s="24"/>
      <c r="S41" s="24"/>
      <c r="T41" s="24">
        <v>1.50702</v>
      </c>
      <c r="U41" s="24"/>
      <c r="V41" s="24"/>
      <c r="W41" s="24"/>
      <c r="X41" s="24"/>
      <c r="Y41" s="24"/>
    </row>
    <row r="42" spans="5:25">
      <c r="E42" s="6" t="s">
        <v>252</v>
      </c>
      <c r="F42" s="7" t="s">
        <v>19</v>
      </c>
      <c r="G42" s="6" t="s">
        <v>246</v>
      </c>
      <c r="H42" s="190" t="s">
        <v>236</v>
      </c>
      <c r="I42" s="8" t="s">
        <v>295</v>
      </c>
      <c r="J42" s="118">
        <f t="shared" si="10"/>
        <v>26.053006599999996</v>
      </c>
      <c r="K42" s="119">
        <f t="shared" si="11"/>
        <v>26.053006599999996</v>
      </c>
      <c r="L42" s="119">
        <f t="shared" si="12"/>
        <v>0</v>
      </c>
      <c r="M42" s="15"/>
      <c r="N42" s="24"/>
      <c r="O42" s="24"/>
      <c r="P42" s="24">
        <v>25.274528999999998</v>
      </c>
      <c r="Q42" s="24"/>
      <c r="R42" s="24"/>
      <c r="S42" s="24"/>
      <c r="T42" s="24">
        <v>0.77847759999999999</v>
      </c>
      <c r="U42" s="24"/>
      <c r="V42" s="24"/>
      <c r="W42" s="24"/>
      <c r="X42" s="24"/>
      <c r="Y42" s="24"/>
    </row>
    <row r="43" spans="5:25">
      <c r="E43" s="6" t="s">
        <v>245</v>
      </c>
      <c r="F43" s="7" t="s">
        <v>19</v>
      </c>
      <c r="G43" s="6" t="s">
        <v>246</v>
      </c>
      <c r="H43" s="190" t="s">
        <v>236</v>
      </c>
      <c r="I43" s="8" t="s">
        <v>288</v>
      </c>
      <c r="J43" s="118">
        <f t="shared" si="10"/>
        <v>157.21710074945997</v>
      </c>
      <c r="K43" s="119">
        <f t="shared" si="11"/>
        <v>157.21710074945997</v>
      </c>
      <c r="L43" s="119">
        <f t="shared" si="12"/>
        <v>0</v>
      </c>
      <c r="M43" s="15"/>
      <c r="N43" s="24"/>
      <c r="O43" s="24">
        <v>155.09714074945998</v>
      </c>
      <c r="P43" s="24">
        <v>1.0599799999999999</v>
      </c>
      <c r="Q43" s="24"/>
      <c r="R43" s="24"/>
      <c r="S43" s="24"/>
      <c r="T43" s="24">
        <v>1.0599799999999999</v>
      </c>
      <c r="U43" s="24"/>
      <c r="V43" s="24"/>
      <c r="W43" s="24"/>
      <c r="X43" s="24"/>
      <c r="Y43" s="24"/>
    </row>
    <row r="44" spans="5:25">
      <c r="E44" s="6" t="s">
        <v>254</v>
      </c>
      <c r="F44" s="7" t="s">
        <v>19</v>
      </c>
      <c r="G44" s="6" t="s">
        <v>253</v>
      </c>
      <c r="H44" s="190" t="s">
        <v>236</v>
      </c>
      <c r="I44" s="8" t="s">
        <v>296</v>
      </c>
      <c r="J44" s="118">
        <f t="shared" si="10"/>
        <v>0.27841520000000003</v>
      </c>
      <c r="K44" s="119">
        <f t="shared" si="11"/>
        <v>0.27841520000000003</v>
      </c>
      <c r="L44" s="119">
        <f t="shared" si="12"/>
        <v>0</v>
      </c>
      <c r="M44" s="15"/>
      <c r="N44" s="24">
        <v>0.27841520000000003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5:25">
      <c r="E45" s="6" t="s">
        <v>328</v>
      </c>
      <c r="F45" s="7" t="s">
        <v>19</v>
      </c>
      <c r="G45" s="6" t="s">
        <v>297</v>
      </c>
      <c r="H45" s="190" t="s">
        <v>236</v>
      </c>
      <c r="I45" s="187" t="s">
        <v>299</v>
      </c>
      <c r="J45" s="118">
        <f t="shared" si="10"/>
        <v>66.905009309420009</v>
      </c>
      <c r="K45" s="119">
        <f t="shared" si="11"/>
        <v>66.905009309420009</v>
      </c>
      <c r="L45" s="119">
        <f t="shared" si="12"/>
        <v>0</v>
      </c>
      <c r="M45" s="15"/>
      <c r="N45" s="24">
        <v>66.905009309420009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5:25">
      <c r="E46" s="6" t="s">
        <v>301</v>
      </c>
      <c r="F46" s="7" t="s">
        <v>19</v>
      </c>
      <c r="G46" s="6" t="s">
        <v>300</v>
      </c>
      <c r="H46" s="188" t="s">
        <v>236</v>
      </c>
      <c r="I46" s="8" t="s">
        <v>302</v>
      </c>
      <c r="J46" s="118">
        <f t="shared" si="10"/>
        <v>53.752460854500001</v>
      </c>
      <c r="K46" s="119">
        <f t="shared" si="11"/>
        <v>53.752460854500001</v>
      </c>
      <c r="L46" s="119">
        <f t="shared" si="12"/>
        <v>0</v>
      </c>
      <c r="M46" s="15"/>
      <c r="N46" s="24"/>
      <c r="O46" s="24">
        <v>53.752460854500001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5:25">
      <c r="E47" s="6" t="s">
        <v>282</v>
      </c>
      <c r="F47" s="7" t="s">
        <v>19</v>
      </c>
      <c r="G47" s="6" t="s">
        <v>255</v>
      </c>
      <c r="H47" s="188" t="s">
        <v>243</v>
      </c>
      <c r="I47" s="8" t="s">
        <v>283</v>
      </c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>
        <v>0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5:25">
      <c r="E48" s="6" t="s">
        <v>256</v>
      </c>
      <c r="F48" s="7" t="s">
        <v>19</v>
      </c>
      <c r="G48" s="6" t="s">
        <v>255</v>
      </c>
      <c r="H48" s="189" t="s">
        <v>236</v>
      </c>
      <c r="I48" s="8" t="s">
        <v>303</v>
      </c>
      <c r="J48" s="118">
        <f t="shared" si="10"/>
        <v>111.46439620000001</v>
      </c>
      <c r="K48" s="119">
        <f t="shared" si="11"/>
        <v>111.46439620000001</v>
      </c>
      <c r="L48" s="119">
        <f t="shared" si="12"/>
        <v>0</v>
      </c>
      <c r="M48" s="15"/>
      <c r="N48" s="24">
        <v>-3.8000000000465661E-6</v>
      </c>
      <c r="O48" s="24">
        <v>32.206099999999999</v>
      </c>
      <c r="P48" s="24">
        <v>79.258300000000006</v>
      </c>
      <c r="Q48" s="24"/>
      <c r="R48" s="24"/>
      <c r="S48" s="24"/>
      <c r="T48" s="24"/>
      <c r="U48" s="24"/>
      <c r="V48" s="24"/>
      <c r="W48" s="24"/>
      <c r="X48" s="24"/>
      <c r="Y48" s="24"/>
    </row>
    <row r="49" spans="5:25">
      <c r="E49" s="6" t="s">
        <v>304</v>
      </c>
      <c r="F49" s="7" t="s">
        <v>19</v>
      </c>
      <c r="G49" s="6" t="s">
        <v>255</v>
      </c>
      <c r="H49" s="190" t="s">
        <v>243</v>
      </c>
      <c r="I49" s="8" t="s">
        <v>305</v>
      </c>
      <c r="J49" s="118">
        <f t="shared" si="10"/>
        <v>0.79343069999999827</v>
      </c>
      <c r="K49" s="119">
        <f t="shared" si="11"/>
        <v>0.79343069999999827</v>
      </c>
      <c r="L49" s="119">
        <f t="shared" si="12"/>
        <v>0</v>
      </c>
      <c r="M49" s="15"/>
      <c r="N49" s="24">
        <v>0.79343069999999827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5:25">
      <c r="E50" s="6" t="s">
        <v>258</v>
      </c>
      <c r="F50" s="7" t="s">
        <v>19</v>
      </c>
      <c r="G50" s="6" t="s">
        <v>257</v>
      </c>
      <c r="H50" s="190" t="s">
        <v>236</v>
      </c>
      <c r="I50" s="8" t="s">
        <v>306</v>
      </c>
      <c r="J50" s="118">
        <f t="shared" si="10"/>
        <v>10.12327</v>
      </c>
      <c r="K50" s="119">
        <f t="shared" si="11"/>
        <v>10.12327</v>
      </c>
      <c r="L50" s="119">
        <f t="shared" si="12"/>
        <v>0</v>
      </c>
      <c r="M50" s="15"/>
      <c r="N50" s="24">
        <v>10.12327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5:25">
      <c r="E51" s="6" t="s">
        <v>258</v>
      </c>
      <c r="F51" s="7" t="s">
        <v>19</v>
      </c>
      <c r="G51" s="6" t="s">
        <v>259</v>
      </c>
      <c r="H51" s="190" t="s">
        <v>236</v>
      </c>
      <c r="I51" s="8" t="s">
        <v>306</v>
      </c>
      <c r="J51" s="118">
        <f t="shared" si="10"/>
        <v>17.257266706472329</v>
      </c>
      <c r="K51" s="119">
        <f t="shared" si="11"/>
        <v>17.257266706472329</v>
      </c>
      <c r="L51" s="119">
        <f t="shared" si="12"/>
        <v>0</v>
      </c>
      <c r="M51" s="15"/>
      <c r="N51" s="24">
        <v>5.9646117120604627</v>
      </c>
      <c r="O51" s="24">
        <v>5.6463274972059336</v>
      </c>
      <c r="P51" s="24">
        <v>5.6463274972059336</v>
      </c>
      <c r="Q51" s="24"/>
      <c r="R51" s="24"/>
      <c r="S51" s="24"/>
      <c r="T51" s="24"/>
      <c r="U51" s="24"/>
      <c r="V51" s="24"/>
      <c r="W51" s="24"/>
      <c r="X51" s="24"/>
      <c r="Y51" s="24"/>
    </row>
    <row r="52" spans="5:25">
      <c r="E52" s="6" t="s">
        <v>261</v>
      </c>
      <c r="F52" s="7" t="s">
        <v>19</v>
      </c>
      <c r="G52" s="6" t="s">
        <v>260</v>
      </c>
      <c r="H52" s="190" t="s">
        <v>236</v>
      </c>
      <c r="I52" s="8" t="s">
        <v>307</v>
      </c>
      <c r="J52" s="118">
        <f t="shared" si="10"/>
        <v>14.834826199999998</v>
      </c>
      <c r="K52" s="119">
        <f t="shared" si="11"/>
        <v>14.834826199999998</v>
      </c>
      <c r="L52" s="119">
        <f t="shared" si="12"/>
        <v>0</v>
      </c>
      <c r="M52" s="15"/>
      <c r="N52" s="24">
        <v>7.1145314999999991</v>
      </c>
      <c r="O52" s="24">
        <v>7.7202947000000002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5:25">
      <c r="E53" s="6" t="s">
        <v>261</v>
      </c>
      <c r="F53" s="7" t="s">
        <v>19</v>
      </c>
      <c r="G53" s="6" t="s">
        <v>260</v>
      </c>
      <c r="H53" s="190" t="s">
        <v>243</v>
      </c>
      <c r="I53" s="8" t="s">
        <v>307</v>
      </c>
      <c r="J53" s="118">
        <f t="shared" si="10"/>
        <v>10.1026182</v>
      </c>
      <c r="K53" s="119">
        <f t="shared" si="11"/>
        <v>10.1026182</v>
      </c>
      <c r="L53" s="119">
        <f t="shared" si="12"/>
        <v>0</v>
      </c>
      <c r="M53" s="15"/>
      <c r="N53" s="24"/>
      <c r="O53" s="24">
        <v>10.1026182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5:25">
      <c r="E54" s="6" t="s">
        <v>329</v>
      </c>
      <c r="F54" s="7" t="s">
        <v>19</v>
      </c>
      <c r="G54" s="6" t="s">
        <v>260</v>
      </c>
      <c r="H54" s="190" t="s">
        <v>236</v>
      </c>
      <c r="I54" s="187" t="s">
        <v>307</v>
      </c>
      <c r="J54" s="118">
        <f t="shared" si="10"/>
        <v>6.6643160999999997</v>
      </c>
      <c r="K54" s="119">
        <f t="shared" si="11"/>
        <v>6.6643160999999997</v>
      </c>
      <c r="L54" s="119">
        <f t="shared" si="12"/>
        <v>0</v>
      </c>
      <c r="M54" s="15"/>
      <c r="N54" s="24">
        <v>6.6643160999999997</v>
      </c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5:25">
      <c r="E55" s="6" t="s">
        <v>262</v>
      </c>
      <c r="F55" s="7" t="s">
        <v>19</v>
      </c>
      <c r="G55" s="6" t="s">
        <v>260</v>
      </c>
      <c r="H55" s="190" t="s">
        <v>243</v>
      </c>
      <c r="I55" s="8" t="s">
        <v>308</v>
      </c>
      <c r="J55" s="118">
        <f t="shared" si="10"/>
        <v>64.308334399999993</v>
      </c>
      <c r="K55" s="119">
        <f t="shared" si="11"/>
        <v>64.308334399999993</v>
      </c>
      <c r="L55" s="119">
        <f t="shared" si="12"/>
        <v>0</v>
      </c>
      <c r="M55" s="15"/>
      <c r="N55" s="24">
        <v>63.115515599999995</v>
      </c>
      <c r="O55" s="24">
        <v>1.1928188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5:25">
      <c r="E56" s="6" t="s">
        <v>264</v>
      </c>
      <c r="F56" s="7" t="s">
        <v>19</v>
      </c>
      <c r="G56" s="6" t="s">
        <v>309</v>
      </c>
      <c r="H56" s="190" t="s">
        <v>243</v>
      </c>
      <c r="I56" s="8" t="s">
        <v>310</v>
      </c>
      <c r="J56" s="118">
        <f t="shared" si="10"/>
        <v>31.134082619650002</v>
      </c>
      <c r="K56" s="119">
        <f t="shared" si="11"/>
        <v>31.134082619650002</v>
      </c>
      <c r="L56" s="119">
        <f t="shared" si="12"/>
        <v>0</v>
      </c>
      <c r="M56" s="15"/>
      <c r="N56" s="24"/>
      <c r="O56" s="24"/>
      <c r="P56" s="24"/>
      <c r="Q56" s="24">
        <v>31.134082619650002</v>
      </c>
      <c r="R56" s="24"/>
      <c r="S56" s="24"/>
      <c r="T56" s="24"/>
      <c r="U56" s="24"/>
      <c r="V56" s="24"/>
      <c r="W56" s="24"/>
      <c r="X56" s="24"/>
      <c r="Y56" s="24"/>
    </row>
    <row r="57" spans="5:25">
      <c r="E57" s="6" t="s">
        <v>326</v>
      </c>
      <c r="F57" s="7" t="s">
        <v>19</v>
      </c>
      <c r="G57" s="6" t="s">
        <v>309</v>
      </c>
      <c r="H57" s="190" t="s">
        <v>243</v>
      </c>
      <c r="I57" s="187" t="s">
        <v>305</v>
      </c>
      <c r="J57" s="118">
        <f t="shared" si="10"/>
        <v>2.0697758772000001</v>
      </c>
      <c r="K57" s="119">
        <f t="shared" si="11"/>
        <v>2.0697758772000001</v>
      </c>
      <c r="L57" s="119">
        <f t="shared" si="12"/>
        <v>0</v>
      </c>
      <c r="M57" s="15"/>
      <c r="N57" s="24"/>
      <c r="O57" s="24">
        <v>2.0697758772000001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5:25">
      <c r="E58" s="6" t="s">
        <v>261</v>
      </c>
      <c r="F58" s="7" t="s">
        <v>19</v>
      </c>
      <c r="G58" s="6" t="s">
        <v>309</v>
      </c>
      <c r="H58" s="190" t="s">
        <v>243</v>
      </c>
      <c r="I58" s="8" t="s">
        <v>307</v>
      </c>
      <c r="J58" s="118">
        <f t="shared" si="10"/>
        <v>16.502557662100003</v>
      </c>
      <c r="K58" s="119">
        <f t="shared" si="11"/>
        <v>16.502557662100003</v>
      </c>
      <c r="L58" s="119">
        <f t="shared" si="12"/>
        <v>0</v>
      </c>
      <c r="M58" s="15"/>
      <c r="N58" s="24"/>
      <c r="O58" s="24"/>
      <c r="P58" s="24"/>
      <c r="Q58" s="24">
        <v>16.502557662100003</v>
      </c>
      <c r="R58" s="24"/>
      <c r="S58" s="24"/>
      <c r="T58" s="24"/>
      <c r="U58" s="24"/>
      <c r="V58" s="24"/>
      <c r="W58" s="24"/>
      <c r="X58" s="24"/>
      <c r="Y58" s="24"/>
    </row>
    <row r="59" spans="5:25">
      <c r="E59" s="6" t="s">
        <v>265</v>
      </c>
      <c r="F59" s="7" t="s">
        <v>19</v>
      </c>
      <c r="G59" s="6" t="s">
        <v>309</v>
      </c>
      <c r="H59" s="190" t="s">
        <v>243</v>
      </c>
      <c r="I59" s="8" t="s">
        <v>311</v>
      </c>
      <c r="J59" s="118">
        <f t="shared" si="10"/>
        <v>8.9014259218999996</v>
      </c>
      <c r="K59" s="119">
        <f t="shared" si="11"/>
        <v>8.9014259218999996</v>
      </c>
      <c r="L59" s="119">
        <f t="shared" si="12"/>
        <v>0</v>
      </c>
      <c r="M59" s="15"/>
      <c r="N59" s="24"/>
      <c r="O59" s="24">
        <v>8.9014259218999996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5:25">
      <c r="E60" s="6" t="s">
        <v>266</v>
      </c>
      <c r="F60" s="7" t="s">
        <v>19</v>
      </c>
      <c r="G60" s="6" t="s">
        <v>309</v>
      </c>
      <c r="H60" s="190" t="s">
        <v>243</v>
      </c>
      <c r="I60" s="8" t="s">
        <v>305</v>
      </c>
      <c r="J60" s="118">
        <f t="shared" si="10"/>
        <v>59.741114278500007</v>
      </c>
      <c r="K60" s="119">
        <f t="shared" si="11"/>
        <v>59.741114278500007</v>
      </c>
      <c r="L60" s="119">
        <f t="shared" si="12"/>
        <v>0</v>
      </c>
      <c r="M60" s="15"/>
      <c r="N60" s="24"/>
      <c r="O60" s="24"/>
      <c r="P60" s="24"/>
      <c r="Q60" s="24">
        <v>59.741114278500007</v>
      </c>
      <c r="R60" s="24"/>
      <c r="S60" s="24"/>
      <c r="T60" s="24"/>
      <c r="U60" s="24"/>
      <c r="V60" s="24"/>
      <c r="W60" s="24"/>
      <c r="X60" s="24"/>
      <c r="Y60" s="24"/>
    </row>
    <row r="61" spans="5:25">
      <c r="E61" s="6" t="s">
        <v>267</v>
      </c>
      <c r="F61" s="7" t="s">
        <v>19</v>
      </c>
      <c r="G61" s="6" t="s">
        <v>309</v>
      </c>
      <c r="H61" s="190" t="s">
        <v>243</v>
      </c>
      <c r="I61" s="8" t="s">
        <v>305</v>
      </c>
      <c r="J61" s="118">
        <f t="shared" si="10"/>
        <v>8.8069592930000002</v>
      </c>
      <c r="K61" s="119">
        <f t="shared" si="11"/>
        <v>8.8069592930000002</v>
      </c>
      <c r="L61" s="119">
        <f t="shared" si="12"/>
        <v>0</v>
      </c>
      <c r="M61" s="15"/>
      <c r="N61" s="24"/>
      <c r="O61" s="24"/>
      <c r="P61" s="24"/>
      <c r="Q61" s="24">
        <v>8.8069592930000002</v>
      </c>
      <c r="R61" s="24"/>
      <c r="S61" s="24"/>
      <c r="T61" s="24"/>
      <c r="U61" s="24"/>
      <c r="V61" s="24"/>
      <c r="W61" s="24"/>
      <c r="X61" s="24"/>
      <c r="Y61" s="24"/>
    </row>
    <row r="62" spans="5:25">
      <c r="E62" s="6" t="s">
        <v>312</v>
      </c>
      <c r="F62" s="7" t="s">
        <v>19</v>
      </c>
      <c r="G62" s="6" t="s">
        <v>309</v>
      </c>
      <c r="H62" s="190" t="s">
        <v>243</v>
      </c>
      <c r="I62" s="8" t="s">
        <v>313</v>
      </c>
      <c r="J62" s="118">
        <f t="shared" si="10"/>
        <v>1.7512968332000001</v>
      </c>
      <c r="K62" s="119">
        <f t="shared" si="11"/>
        <v>1.7512968332000001</v>
      </c>
      <c r="L62" s="119">
        <f t="shared" si="12"/>
        <v>0</v>
      </c>
      <c r="M62" s="15"/>
      <c r="N62" s="24"/>
      <c r="O62" s="24">
        <v>1.7512968332000001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5:25">
      <c r="E63" s="6" t="s">
        <v>327</v>
      </c>
      <c r="F63" s="7" t="s">
        <v>19</v>
      </c>
      <c r="G63" s="6" t="s">
        <v>314</v>
      </c>
      <c r="H63" s="190" t="s">
        <v>243</v>
      </c>
      <c r="I63" s="8" t="s">
        <v>343</v>
      </c>
      <c r="J63" s="118">
        <f t="shared" si="10"/>
        <v>41.484349999999999</v>
      </c>
      <c r="K63" s="119">
        <f t="shared" si="11"/>
        <v>41.484349999999999</v>
      </c>
      <c r="L63" s="119">
        <f t="shared" si="12"/>
        <v>0</v>
      </c>
      <c r="M63" s="15"/>
      <c r="N63" s="24">
        <v>41.484349999999999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5:25">
      <c r="E64" s="6" t="s">
        <v>269</v>
      </c>
      <c r="F64" s="7" t="s">
        <v>19</v>
      </c>
      <c r="G64" s="6" t="s">
        <v>268</v>
      </c>
      <c r="H64" s="190" t="s">
        <v>236</v>
      </c>
      <c r="I64" s="8" t="s">
        <v>317</v>
      </c>
      <c r="J64" s="118">
        <f t="shared" si="10"/>
        <v>95.832342533280013</v>
      </c>
      <c r="K64" s="119">
        <f t="shared" si="11"/>
        <v>95.832342533280013</v>
      </c>
      <c r="L64" s="119">
        <f t="shared" si="12"/>
        <v>0</v>
      </c>
      <c r="M64" s="15"/>
      <c r="N64" s="24">
        <v>39.296581426080003</v>
      </c>
      <c r="O64" s="24">
        <v>56.535761107200003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5:25">
      <c r="E65" s="6" t="s">
        <v>269</v>
      </c>
      <c r="F65" s="7" t="s">
        <v>19</v>
      </c>
      <c r="G65" s="6" t="s">
        <v>270</v>
      </c>
      <c r="H65" s="190" t="s">
        <v>236</v>
      </c>
      <c r="I65" s="8" t="s">
        <v>317</v>
      </c>
      <c r="J65" s="118">
        <f t="shared" si="10"/>
        <v>15.972842100000001</v>
      </c>
      <c r="K65" s="119">
        <f t="shared" si="11"/>
        <v>15.972842100000001</v>
      </c>
      <c r="L65" s="119">
        <f t="shared" si="12"/>
        <v>0</v>
      </c>
      <c r="M65" s="15"/>
      <c r="N65" s="24"/>
      <c r="O65" s="24">
        <v>15.972842100000001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5:25">
      <c r="E66" s="6" t="s">
        <v>247</v>
      </c>
      <c r="F66" s="7" t="s">
        <v>19</v>
      </c>
      <c r="G66" s="6" t="s">
        <v>271</v>
      </c>
      <c r="H66" s="190" t="s">
        <v>236</v>
      </c>
      <c r="I66" s="8" t="s">
        <v>289</v>
      </c>
      <c r="J66" s="118">
        <f t="shared" si="10"/>
        <v>3.3210000000000002</v>
      </c>
      <c r="K66" s="119">
        <f t="shared" si="11"/>
        <v>3.3210000000000002</v>
      </c>
      <c r="L66" s="119">
        <f t="shared" si="12"/>
        <v>0</v>
      </c>
      <c r="M66" s="15"/>
      <c r="N66" s="24"/>
      <c r="O66" s="24">
        <v>3.3210000000000002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5:25">
      <c r="E67" s="6" t="s">
        <v>272</v>
      </c>
      <c r="F67" s="7" t="s">
        <v>19</v>
      </c>
      <c r="G67" s="6" t="s">
        <v>271</v>
      </c>
      <c r="H67" s="190" t="s">
        <v>236</v>
      </c>
      <c r="I67" s="187" t="s">
        <v>290</v>
      </c>
      <c r="J67" s="118">
        <f t="shared" si="10"/>
        <v>25.510656100000002</v>
      </c>
      <c r="K67" s="119">
        <f t="shared" si="11"/>
        <v>25.510656100000002</v>
      </c>
      <c r="L67" s="119">
        <f t="shared" si="12"/>
        <v>0</v>
      </c>
      <c r="M67" s="15"/>
      <c r="N67" s="24">
        <v>25.510656100000002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5:25">
      <c r="E68" s="6" t="s">
        <v>252</v>
      </c>
      <c r="F68" s="7" t="s">
        <v>19</v>
      </c>
      <c r="G68" s="6" t="s">
        <v>271</v>
      </c>
      <c r="H68" s="190" t="s">
        <v>243</v>
      </c>
      <c r="I68" s="8" t="s">
        <v>295</v>
      </c>
      <c r="J68" s="118">
        <f t="shared" si="10"/>
        <v>14.288472499999999</v>
      </c>
      <c r="K68" s="119">
        <f t="shared" si="11"/>
        <v>14.288472499999999</v>
      </c>
      <c r="L68" s="119">
        <f t="shared" si="12"/>
        <v>0</v>
      </c>
      <c r="M68" s="15"/>
      <c r="N68" s="24">
        <v>1.0925225000000001</v>
      </c>
      <c r="O68" s="24">
        <v>13.19595</v>
      </c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5:25">
      <c r="E69" s="6"/>
      <c r="F69" s="7"/>
      <c r="G69" s="6"/>
      <c r="H69" s="11"/>
      <c r="I69" s="233"/>
      <c r="J69" s="118">
        <f t="shared" si="10"/>
        <v>0</v>
      </c>
      <c r="K69" s="119">
        <f t="shared" si="11"/>
        <v>0</v>
      </c>
      <c r="L69" s="119">
        <f t="shared" si="12"/>
        <v>0</v>
      </c>
      <c r="M69" s="1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5:25">
      <c r="E70" s="13"/>
      <c r="F70" s="7"/>
      <c r="G70" s="6"/>
      <c r="H70" s="11"/>
      <c r="I70" s="233"/>
      <c r="J70" s="118">
        <f t="shared" si="10"/>
        <v>0</v>
      </c>
      <c r="K70" s="119">
        <f t="shared" si="11"/>
        <v>0</v>
      </c>
      <c r="L70" s="119">
        <f t="shared" si="12"/>
        <v>0</v>
      </c>
      <c r="M70" s="15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5:25">
      <c r="E71" s="6"/>
      <c r="F71" s="7"/>
      <c r="G71" s="6"/>
      <c r="H71" s="11"/>
      <c r="I71" s="233"/>
      <c r="J71" s="118">
        <f t="shared" si="10"/>
        <v>0</v>
      </c>
      <c r="K71" s="119">
        <f t="shared" si="11"/>
        <v>0</v>
      </c>
      <c r="L71" s="119">
        <f t="shared" si="12"/>
        <v>0</v>
      </c>
      <c r="M71" s="15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5:25" hidden="1">
      <c r="E72" s="6"/>
      <c r="F72" s="7"/>
      <c r="G72" s="6"/>
      <c r="H72" s="11"/>
      <c r="I72" s="233"/>
      <c r="J72" s="118">
        <f t="shared" si="10"/>
        <v>0</v>
      </c>
      <c r="K72" s="119">
        <f t="shared" si="11"/>
        <v>0</v>
      </c>
      <c r="L72" s="119">
        <f t="shared" si="12"/>
        <v>0</v>
      </c>
      <c r="M72" s="15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5:25" hidden="1">
      <c r="E73" s="6"/>
      <c r="F73" s="7"/>
      <c r="G73" s="6"/>
      <c r="H73" s="11"/>
      <c r="I73" s="233"/>
      <c r="J73" s="118">
        <f t="shared" si="10"/>
        <v>0</v>
      </c>
      <c r="K73" s="119">
        <f t="shared" si="11"/>
        <v>0</v>
      </c>
      <c r="L73" s="119">
        <f t="shared" si="12"/>
        <v>0</v>
      </c>
      <c r="M73" s="15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5:25" hidden="1">
      <c r="E74" s="6"/>
      <c r="F74" s="7"/>
      <c r="G74" s="6"/>
      <c r="H74" s="9"/>
      <c r="I74" s="188"/>
      <c r="J74" s="118">
        <f t="shared" si="10"/>
        <v>0</v>
      </c>
      <c r="K74" s="119">
        <f t="shared" si="11"/>
        <v>0</v>
      </c>
      <c r="L74" s="119">
        <f t="shared" si="12"/>
        <v>0</v>
      </c>
      <c r="M74" s="15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5:25" hidden="1">
      <c r="E75" s="6"/>
      <c r="F75" s="7"/>
      <c r="G75" s="6"/>
      <c r="H75" s="9"/>
      <c r="I75" s="188"/>
      <c r="J75" s="118">
        <f t="shared" si="10"/>
        <v>0</v>
      </c>
      <c r="K75" s="119">
        <f t="shared" si="11"/>
        <v>0</v>
      </c>
      <c r="L75" s="119">
        <f t="shared" si="12"/>
        <v>0</v>
      </c>
      <c r="M75" s="15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5:25" hidden="1">
      <c r="E76" s="6"/>
      <c r="F76" s="7"/>
      <c r="G76" s="6"/>
      <c r="H76" s="10"/>
      <c r="I76" s="189"/>
      <c r="J76" s="118">
        <f t="shared" si="10"/>
        <v>0</v>
      </c>
      <c r="K76" s="119">
        <f t="shared" si="11"/>
        <v>0</v>
      </c>
      <c r="L76" s="119">
        <f t="shared" si="12"/>
        <v>0</v>
      </c>
      <c r="M76" s="15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5:25" hidden="1">
      <c r="E77" s="6"/>
      <c r="F77" s="7"/>
      <c r="G77" s="6"/>
      <c r="H77" s="11"/>
      <c r="I77" s="233"/>
      <c r="J77" s="118">
        <f t="shared" si="10"/>
        <v>0</v>
      </c>
      <c r="K77" s="119">
        <f t="shared" si="11"/>
        <v>0</v>
      </c>
      <c r="L77" s="119">
        <f t="shared" si="12"/>
        <v>0</v>
      </c>
      <c r="M77" s="15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5:25" hidden="1">
      <c r="E78" s="6"/>
      <c r="F78" s="7"/>
      <c r="G78" s="6"/>
      <c r="H78" s="11"/>
      <c r="I78" s="233"/>
      <c r="J78" s="118">
        <f t="shared" si="10"/>
        <v>0</v>
      </c>
      <c r="K78" s="119">
        <f t="shared" si="11"/>
        <v>0</v>
      </c>
      <c r="L78" s="119">
        <f t="shared" si="12"/>
        <v>0</v>
      </c>
      <c r="M78" s="15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5:25" hidden="1">
      <c r="E79" s="6"/>
      <c r="F79" s="7"/>
      <c r="G79" s="6"/>
      <c r="H79" s="11"/>
      <c r="I79" s="233"/>
      <c r="J79" s="118">
        <f t="shared" si="10"/>
        <v>0</v>
      </c>
      <c r="K79" s="119">
        <f t="shared" si="11"/>
        <v>0</v>
      </c>
      <c r="L79" s="119">
        <f t="shared" si="12"/>
        <v>0</v>
      </c>
      <c r="M79" s="15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5:25" hidden="1">
      <c r="E80" s="6"/>
      <c r="F80" s="7"/>
      <c r="G80" s="6"/>
      <c r="H80" s="11"/>
      <c r="I80" s="233"/>
      <c r="J80" s="118">
        <f t="shared" si="10"/>
        <v>0</v>
      </c>
      <c r="K80" s="119">
        <f t="shared" si="11"/>
        <v>0</v>
      </c>
      <c r="L80" s="119">
        <f t="shared" si="12"/>
        <v>0</v>
      </c>
      <c r="M80" s="15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5:12" hidden="1">
      <c r="E81" s="6"/>
      <c r="F81" s="7"/>
      <c r="G81" s="6"/>
      <c r="H81" s="11"/>
      <c r="I81" s="233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 hidden="1">
      <c r="E82" s="6"/>
      <c r="F82" s="7"/>
      <c r="G82" s="6"/>
      <c r="H82" s="11"/>
      <c r="I82" s="233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 hidden="1">
      <c r="E83" s="6"/>
      <c r="F83" s="7"/>
      <c r="G83" s="6"/>
      <c r="H83" s="11"/>
      <c r="I83" s="233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 hidden="1">
      <c r="E84" s="6"/>
      <c r="F84" s="7"/>
      <c r="G84" s="6"/>
      <c r="H84" s="11"/>
      <c r="I84" s="233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 hidden="1">
      <c r="E85" s="6"/>
      <c r="F85" s="7"/>
      <c r="G85" s="6"/>
      <c r="H85" s="11"/>
      <c r="I85" s="233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 hidden="1">
      <c r="E86" s="6"/>
      <c r="F86" s="7"/>
      <c r="G86" s="6"/>
      <c r="H86" s="11"/>
      <c r="I86" s="233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 hidden="1">
      <c r="E87" s="6"/>
      <c r="F87" s="7"/>
      <c r="G87" s="6"/>
      <c r="H87" s="11"/>
      <c r="I87" s="233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 hidden="1">
      <c r="E88" s="6"/>
      <c r="F88" s="7"/>
      <c r="G88" s="6"/>
      <c r="H88" s="11"/>
      <c r="I88" s="233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 hidden="1">
      <c r="E89" s="6"/>
      <c r="F89" s="7"/>
      <c r="G89" s="6"/>
      <c r="H89" s="11"/>
      <c r="I89" s="233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 hidden="1">
      <c r="E90" s="6"/>
      <c r="F90" s="7"/>
      <c r="G90" s="6"/>
      <c r="H90" s="12"/>
      <c r="I90" s="234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 hidden="1">
      <c r="E91" s="6"/>
      <c r="F91" s="7"/>
      <c r="G91" s="6"/>
      <c r="H91" s="12"/>
      <c r="I91" s="234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 hidden="1">
      <c r="E92" s="13"/>
      <c r="F92" s="7"/>
      <c r="G92" s="6"/>
      <c r="H92" s="12"/>
      <c r="I92" s="234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 hidden="1">
      <c r="E93" s="6"/>
      <c r="F93" s="7"/>
      <c r="G93" s="6"/>
      <c r="H93" s="9"/>
      <c r="I93" s="188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 hidden="1">
      <c r="E94" s="6"/>
      <c r="F94" s="7"/>
      <c r="G94" s="6"/>
      <c r="H94" s="9"/>
      <c r="I94" s="188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 hidden="1">
      <c r="E95" s="6"/>
      <c r="F95" s="7"/>
      <c r="G95" s="6"/>
      <c r="H95" s="10"/>
      <c r="I95" s="189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 hidden="1">
      <c r="E96" s="6"/>
      <c r="F96" s="7"/>
      <c r="G96" s="6"/>
      <c r="H96" s="11"/>
      <c r="I96" s="233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 hidden="1">
      <c r="E97" s="6"/>
      <c r="F97" s="7"/>
      <c r="G97" s="6"/>
      <c r="H97" s="11"/>
      <c r="I97" s="233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 hidden="1">
      <c r="E98" s="6"/>
      <c r="F98" s="7"/>
      <c r="G98" s="6"/>
      <c r="H98" s="11"/>
      <c r="I98" s="233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 hidden="1">
      <c r="E99" s="6"/>
      <c r="F99" s="7"/>
      <c r="G99" s="6"/>
      <c r="H99" s="11"/>
      <c r="I99" s="233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 hidden="1">
      <c r="E100" s="6"/>
      <c r="F100" s="7"/>
      <c r="G100" s="6"/>
      <c r="H100" s="11"/>
      <c r="I100" s="233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 hidden="1">
      <c r="E101" s="6"/>
      <c r="F101" s="7"/>
      <c r="G101" s="6"/>
      <c r="H101" s="11"/>
      <c r="I101" s="233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 hidden="1">
      <c r="E102" s="6"/>
      <c r="F102" s="7"/>
      <c r="G102" s="6"/>
      <c r="H102" s="11"/>
      <c r="I102" s="233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 hidden="1">
      <c r="E103" s="6"/>
      <c r="F103" s="7"/>
      <c r="G103" s="6"/>
      <c r="H103" s="11"/>
      <c r="I103" s="233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 hidden="1">
      <c r="E104" s="6"/>
      <c r="F104" s="7"/>
      <c r="G104" s="6"/>
      <c r="H104" s="11"/>
      <c r="I104" s="233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 hidden="1">
      <c r="E105" s="6"/>
      <c r="F105" s="7"/>
      <c r="G105" s="6"/>
      <c r="H105" s="11"/>
      <c r="I105" s="233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 hidden="1">
      <c r="E106" s="6"/>
      <c r="F106" s="7"/>
      <c r="G106" s="6"/>
      <c r="H106" s="11"/>
      <c r="I106" s="233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 hidden="1">
      <c r="E107" s="6"/>
      <c r="F107" s="7"/>
      <c r="G107" s="6"/>
      <c r="H107" s="11"/>
      <c r="I107" s="233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 hidden="1">
      <c r="E108" s="6"/>
      <c r="F108" s="7"/>
      <c r="G108" s="6"/>
      <c r="H108" s="11"/>
      <c r="I108" s="233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 hidden="1">
      <c r="E109" s="6"/>
      <c r="F109" s="7"/>
      <c r="G109" s="6"/>
      <c r="H109" s="12"/>
      <c r="I109" s="234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 hidden="1">
      <c r="E110" s="6"/>
      <c r="F110" s="7"/>
      <c r="G110" s="6"/>
      <c r="H110" s="12"/>
      <c r="I110" s="234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 hidden="1">
      <c r="E111" s="13"/>
      <c r="F111" s="7"/>
      <c r="G111" s="6"/>
      <c r="H111" s="12"/>
      <c r="I111" s="234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 hidden="1">
      <c r="E112" s="6"/>
      <c r="F112" s="7"/>
      <c r="G112" s="6"/>
      <c r="H112" s="11"/>
      <c r="I112" s="233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 hidden="1">
      <c r="E113" s="6"/>
      <c r="F113" s="7"/>
      <c r="G113" s="6"/>
      <c r="H113" s="11"/>
      <c r="I113" s="233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 hidden="1">
      <c r="E114" s="6"/>
      <c r="F114" s="7"/>
      <c r="G114" s="6"/>
      <c r="H114" s="11"/>
      <c r="I114" s="233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 hidden="1">
      <c r="E115" s="6"/>
      <c r="F115" s="7"/>
      <c r="G115" s="6"/>
      <c r="H115" s="11"/>
      <c r="I115" s="233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 hidden="1">
      <c r="E116" s="6"/>
      <c r="F116" s="7"/>
      <c r="G116" s="6"/>
      <c r="H116" s="11"/>
      <c r="I116" s="233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 hidden="1">
      <c r="E117" s="13"/>
      <c r="F117" s="7"/>
      <c r="G117" s="6"/>
      <c r="H117" s="11"/>
      <c r="I117" s="233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 hidden="1">
      <c r="E118" s="6"/>
      <c r="F118" s="7"/>
      <c r="G118" s="6"/>
      <c r="H118" s="11"/>
      <c r="I118" s="233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 hidden="1">
      <c r="E119" s="6"/>
      <c r="F119" s="7"/>
      <c r="G119" s="6"/>
      <c r="H119" s="11"/>
      <c r="I119" s="233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 hidden="1">
      <c r="E120" s="6"/>
      <c r="F120" s="7"/>
      <c r="G120" s="6"/>
      <c r="H120" s="11"/>
      <c r="I120" s="233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 hidden="1">
      <c r="E121" s="6"/>
      <c r="F121" s="7"/>
      <c r="G121" s="6"/>
      <c r="H121" s="11"/>
      <c r="I121" s="233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 hidden="1">
      <c r="E122" s="6"/>
      <c r="F122" s="7"/>
      <c r="G122" s="6"/>
      <c r="H122" s="9"/>
      <c r="I122" s="188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 hidden="1">
      <c r="E123" s="6"/>
      <c r="F123" s="7"/>
      <c r="G123" s="6"/>
      <c r="H123" s="9"/>
      <c r="I123" s="188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 hidden="1">
      <c r="E124" s="6"/>
      <c r="F124" s="7"/>
      <c r="G124" s="6"/>
      <c r="H124" s="10"/>
      <c r="I124" s="189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 hidden="1">
      <c r="E125" s="6"/>
      <c r="F125" s="7"/>
      <c r="G125" s="6"/>
      <c r="H125" s="11"/>
      <c r="I125" s="233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 hidden="1">
      <c r="E126" s="6"/>
      <c r="F126" s="7"/>
      <c r="G126" s="6"/>
      <c r="H126" s="11"/>
      <c r="I126" s="233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 hidden="1">
      <c r="E127" s="6"/>
      <c r="F127" s="7"/>
      <c r="G127" s="6"/>
      <c r="H127" s="11"/>
      <c r="I127" s="233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 hidden="1">
      <c r="E128" s="6"/>
      <c r="F128" s="7"/>
      <c r="G128" s="6"/>
      <c r="H128" s="11"/>
      <c r="I128" s="233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 hidden="1">
      <c r="E129" s="6"/>
      <c r="F129" s="7"/>
      <c r="G129" s="6"/>
      <c r="H129" s="11"/>
      <c r="I129" s="233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 hidden="1">
      <c r="E130" s="6"/>
      <c r="F130" s="7"/>
      <c r="G130" s="6"/>
      <c r="H130" s="11"/>
      <c r="I130" s="233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 hidden="1">
      <c r="E131" s="6"/>
      <c r="F131" s="7"/>
      <c r="G131" s="6"/>
      <c r="H131" s="11"/>
      <c r="I131" s="233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 hidden="1">
      <c r="E132" s="6"/>
      <c r="F132" s="7"/>
      <c r="G132" s="6"/>
      <c r="H132" s="11"/>
      <c r="I132" s="233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 hidden="1">
      <c r="E133" s="6"/>
      <c r="F133" s="7"/>
      <c r="G133" s="6"/>
      <c r="H133" s="11"/>
      <c r="I133" s="233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 hidden="1">
      <c r="E134" s="6"/>
      <c r="F134" s="7"/>
      <c r="G134" s="6"/>
      <c r="H134" s="11"/>
      <c r="I134" s="233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 hidden="1">
      <c r="E135" s="6"/>
      <c r="F135" s="7"/>
      <c r="G135" s="6"/>
      <c r="H135" s="11"/>
      <c r="I135" s="233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 hidden="1">
      <c r="E136" s="6"/>
      <c r="F136" s="7"/>
      <c r="G136" s="6"/>
      <c r="H136" s="11"/>
      <c r="I136" s="233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 hidden="1">
      <c r="E137" s="6"/>
      <c r="F137" s="7"/>
      <c r="G137" s="6"/>
      <c r="H137" s="11"/>
      <c r="I137" s="233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 hidden="1">
      <c r="E138" s="6"/>
      <c r="F138" s="7"/>
      <c r="G138" s="6"/>
      <c r="H138" s="12"/>
      <c r="I138" s="234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 hidden="1">
      <c r="E139" s="6"/>
      <c r="F139" s="7"/>
      <c r="G139" s="6"/>
      <c r="H139" s="12"/>
      <c r="I139" s="234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 hidden="1">
      <c r="E140" s="13"/>
      <c r="F140" s="7"/>
      <c r="G140" s="6"/>
      <c r="H140" s="12"/>
      <c r="I140" s="234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 hidden="1">
      <c r="E141" s="6"/>
      <c r="F141" s="7"/>
      <c r="G141" s="6"/>
      <c r="H141" s="9"/>
      <c r="I141" s="188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 hidden="1">
      <c r="E142" s="6"/>
      <c r="F142" s="7"/>
      <c r="G142" s="6"/>
      <c r="H142" s="9"/>
      <c r="I142" s="188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 hidden="1">
      <c r="E143" s="6"/>
      <c r="F143" s="7"/>
      <c r="G143" s="6"/>
      <c r="H143" s="10"/>
      <c r="I143" s="189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 hidden="1">
      <c r="E144" s="6"/>
      <c r="F144" s="7"/>
      <c r="G144" s="6"/>
      <c r="H144" s="11"/>
      <c r="I144" s="233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 hidden="1">
      <c r="E145" s="6"/>
      <c r="F145" s="7"/>
      <c r="G145" s="6"/>
      <c r="H145" s="11"/>
      <c r="I145" s="233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 hidden="1">
      <c r="E146" s="6"/>
      <c r="F146" s="7"/>
      <c r="G146" s="6"/>
      <c r="H146" s="11"/>
      <c r="I146" s="233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 hidden="1">
      <c r="E147" s="6"/>
      <c r="F147" s="7"/>
      <c r="G147" s="6"/>
      <c r="H147" s="11"/>
      <c r="I147" s="233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 hidden="1">
      <c r="E148" s="6"/>
      <c r="F148" s="7"/>
      <c r="G148" s="6"/>
      <c r="H148" s="11"/>
      <c r="I148" s="233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 hidden="1">
      <c r="E149" s="6"/>
      <c r="F149" s="7"/>
      <c r="G149" s="6"/>
      <c r="H149" s="11"/>
      <c r="I149" s="233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 hidden="1">
      <c r="E150" s="6"/>
      <c r="F150" s="7"/>
      <c r="G150" s="6"/>
      <c r="H150" s="11"/>
      <c r="I150" s="233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 hidden="1">
      <c r="E151" s="6"/>
      <c r="F151" s="7"/>
      <c r="G151" s="6"/>
      <c r="H151" s="11"/>
      <c r="I151" s="233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 hidden="1">
      <c r="E152" s="6"/>
      <c r="F152" s="7"/>
      <c r="G152" s="6"/>
      <c r="H152" s="11"/>
      <c r="I152" s="233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 hidden="1">
      <c r="E153" s="6"/>
      <c r="F153" s="7"/>
      <c r="G153" s="6"/>
      <c r="H153" s="11"/>
      <c r="I153" s="233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 hidden="1">
      <c r="E154" s="6"/>
      <c r="F154" s="7"/>
      <c r="G154" s="6"/>
      <c r="H154" s="11"/>
      <c r="I154" s="233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 hidden="1">
      <c r="E155" s="6"/>
      <c r="F155" s="7"/>
      <c r="G155" s="6"/>
      <c r="H155" s="11"/>
      <c r="I155" s="233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 hidden="1">
      <c r="E156" s="6"/>
      <c r="F156" s="7"/>
      <c r="G156" s="6"/>
      <c r="H156" s="11"/>
      <c r="I156" s="233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 hidden="1">
      <c r="E157" s="6"/>
      <c r="F157" s="7"/>
      <c r="G157" s="6"/>
      <c r="H157" s="12"/>
      <c r="I157" s="234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 hidden="1">
      <c r="E158" s="6"/>
      <c r="F158" s="7"/>
      <c r="G158" s="6"/>
      <c r="H158" s="12"/>
      <c r="I158" s="234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 hidden="1">
      <c r="E159" s="13"/>
      <c r="F159" s="7"/>
      <c r="G159" s="6"/>
      <c r="H159" s="12"/>
      <c r="I159" s="234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 hidden="1">
      <c r="E160" s="6"/>
      <c r="F160" s="7"/>
      <c r="G160" s="6"/>
      <c r="H160" s="11"/>
      <c r="I160" s="233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 hidden="1">
      <c r="E161" s="6"/>
      <c r="F161" s="7"/>
      <c r="G161" s="6"/>
      <c r="H161" s="11"/>
      <c r="I161" s="233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 hidden="1">
      <c r="E162" s="6"/>
      <c r="F162" s="7"/>
      <c r="G162" s="6"/>
      <c r="H162" s="11"/>
      <c r="I162" s="233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 hidden="1">
      <c r="E163" s="6"/>
      <c r="F163" s="7"/>
      <c r="G163" s="6"/>
      <c r="H163" s="11"/>
      <c r="I163" s="233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 hidden="1">
      <c r="E164" s="6"/>
      <c r="F164" s="7"/>
      <c r="G164" s="6"/>
      <c r="H164" s="11"/>
      <c r="I164" s="233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 hidden="1">
      <c r="E165" s="13"/>
      <c r="F165" s="7"/>
      <c r="G165" s="6"/>
      <c r="H165" s="11"/>
      <c r="I165" s="233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 hidden="1">
      <c r="E166" s="6"/>
      <c r="F166" s="7"/>
      <c r="G166" s="6"/>
      <c r="H166" s="11"/>
      <c r="I166" s="233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 hidden="1">
      <c r="E167" s="6"/>
      <c r="F167" s="7"/>
      <c r="G167" s="6"/>
      <c r="H167" s="11"/>
      <c r="I167" s="233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 hidden="1">
      <c r="E168" s="6"/>
      <c r="F168" s="7"/>
      <c r="G168" s="6"/>
      <c r="H168" s="11"/>
      <c r="I168" s="233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 hidden="1">
      <c r="E169" s="6"/>
      <c r="F169" s="7"/>
      <c r="G169" s="6"/>
      <c r="H169" s="9"/>
      <c r="I169" s="188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 hidden="1">
      <c r="E170" s="6"/>
      <c r="F170" s="7"/>
      <c r="G170" s="6"/>
      <c r="H170" s="9"/>
      <c r="I170" s="188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 hidden="1">
      <c r="E171" s="6"/>
      <c r="F171" s="7"/>
      <c r="G171" s="6"/>
      <c r="H171" s="10"/>
      <c r="I171" s="189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 hidden="1">
      <c r="E172" s="6"/>
      <c r="F172" s="7"/>
      <c r="G172" s="6"/>
      <c r="H172" s="11"/>
      <c r="I172" s="233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 hidden="1">
      <c r="E173" s="6"/>
      <c r="F173" s="7"/>
      <c r="G173" s="6"/>
      <c r="H173" s="11"/>
      <c r="I173" s="233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 hidden="1">
      <c r="E174" s="6"/>
      <c r="F174" s="7"/>
      <c r="G174" s="6"/>
      <c r="H174" s="11"/>
      <c r="I174" s="233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 hidden="1">
      <c r="E175" s="6"/>
      <c r="F175" s="7"/>
      <c r="G175" s="6"/>
      <c r="H175" s="11"/>
      <c r="I175" s="233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 hidden="1">
      <c r="E176" s="6"/>
      <c r="F176" s="7"/>
      <c r="G176" s="6"/>
      <c r="H176" s="11"/>
      <c r="I176" s="233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 hidden="1">
      <c r="E177" s="6"/>
      <c r="F177" s="7"/>
      <c r="G177" s="6"/>
      <c r="H177" s="11"/>
      <c r="I177" s="233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 hidden="1">
      <c r="E178" s="6"/>
      <c r="F178" s="7"/>
      <c r="G178" s="6"/>
      <c r="H178" s="11"/>
      <c r="I178" s="233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 hidden="1">
      <c r="E179" s="6"/>
      <c r="F179" s="7"/>
      <c r="G179" s="6"/>
      <c r="H179" s="11"/>
      <c r="I179" s="233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 hidden="1">
      <c r="E180" s="6"/>
      <c r="F180" s="7"/>
      <c r="G180" s="6"/>
      <c r="H180" s="11"/>
      <c r="I180" s="233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 hidden="1">
      <c r="E181" s="6"/>
      <c r="F181" s="7"/>
      <c r="G181" s="6"/>
      <c r="H181" s="11"/>
      <c r="I181" s="233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 hidden="1">
      <c r="E182" s="6"/>
      <c r="F182" s="7"/>
      <c r="G182" s="6"/>
      <c r="H182" s="11"/>
      <c r="I182" s="233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 hidden="1">
      <c r="E183" s="6"/>
      <c r="F183" s="7"/>
      <c r="G183" s="6"/>
      <c r="H183" s="11"/>
      <c r="I183" s="233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 hidden="1">
      <c r="E184" s="6"/>
      <c r="F184" s="7"/>
      <c r="G184" s="6"/>
      <c r="H184" s="11"/>
      <c r="I184" s="233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 hidden="1">
      <c r="E185" s="6"/>
      <c r="F185" s="7"/>
      <c r="G185" s="6"/>
      <c r="H185" s="12"/>
      <c r="I185" s="234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 hidden="1">
      <c r="E186" s="6"/>
      <c r="F186" s="7"/>
      <c r="G186" s="6"/>
      <c r="H186" s="12"/>
      <c r="I186" s="234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 hidden="1">
      <c r="E187" s="13"/>
      <c r="F187" s="7"/>
      <c r="G187" s="6"/>
      <c r="H187" s="12"/>
      <c r="I187" s="234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 hidden="1">
      <c r="E188" s="6"/>
      <c r="F188" s="7"/>
      <c r="G188" s="6"/>
      <c r="H188" s="9"/>
      <c r="I188" s="188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 hidden="1">
      <c r="E189" s="6"/>
      <c r="F189" s="7"/>
      <c r="G189" s="6"/>
      <c r="H189" s="9"/>
      <c r="I189" s="188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 hidden="1">
      <c r="E190" s="6"/>
      <c r="F190" s="7"/>
      <c r="G190" s="6"/>
      <c r="H190" s="10"/>
      <c r="I190" s="189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 hidden="1">
      <c r="E191" s="6"/>
      <c r="F191" s="7"/>
      <c r="G191" s="6"/>
      <c r="H191" s="11"/>
      <c r="I191" s="233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 hidden="1">
      <c r="E192" s="6"/>
      <c r="F192" s="7"/>
      <c r="G192" s="6"/>
      <c r="H192" s="11"/>
      <c r="I192" s="233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 hidden="1">
      <c r="E193" s="6"/>
      <c r="F193" s="7"/>
      <c r="G193" s="6"/>
      <c r="H193" s="11"/>
      <c r="I193" s="233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 hidden="1">
      <c r="E194" s="6"/>
      <c r="F194" s="7"/>
      <c r="G194" s="6"/>
      <c r="H194" s="11"/>
      <c r="I194" s="233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 hidden="1">
      <c r="E195" s="6"/>
      <c r="F195" s="7"/>
      <c r="G195" s="6"/>
      <c r="H195" s="11"/>
      <c r="I195" s="233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 hidden="1">
      <c r="E196" s="6"/>
      <c r="F196" s="7"/>
      <c r="G196" s="6"/>
      <c r="H196" s="11"/>
      <c r="I196" s="233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 hidden="1">
      <c r="E197" s="6"/>
      <c r="F197" s="7"/>
      <c r="G197" s="6"/>
      <c r="H197" s="11"/>
      <c r="I197" s="233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 hidden="1">
      <c r="E198" s="6"/>
      <c r="F198" s="7"/>
      <c r="G198" s="6"/>
      <c r="H198" s="11"/>
      <c r="I198" s="233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 hidden="1">
      <c r="E199" s="6"/>
      <c r="F199" s="7"/>
      <c r="G199" s="6"/>
      <c r="H199" s="11"/>
      <c r="I199" s="233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 hidden="1">
      <c r="E200" s="6"/>
      <c r="F200" s="7"/>
      <c r="G200" s="6"/>
      <c r="H200" s="11"/>
      <c r="I200" s="233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 hidden="1">
      <c r="E201" s="6"/>
      <c r="F201" s="7"/>
      <c r="G201" s="6"/>
      <c r="H201" s="11"/>
      <c r="I201" s="233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 hidden="1">
      <c r="E202" s="6"/>
      <c r="F202" s="7"/>
      <c r="G202" s="6"/>
      <c r="H202" s="11"/>
      <c r="I202" s="233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 hidden="1">
      <c r="E203" s="6"/>
      <c r="F203" s="7"/>
      <c r="G203" s="6"/>
      <c r="H203" s="11"/>
      <c r="I203" s="233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 hidden="1">
      <c r="E204" s="6"/>
      <c r="F204" s="7"/>
      <c r="G204" s="6"/>
      <c r="H204" s="12"/>
      <c r="I204" s="234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 hidden="1">
      <c r="E205" s="6"/>
      <c r="F205" s="7"/>
      <c r="G205" s="6"/>
      <c r="H205" s="12"/>
      <c r="I205" s="234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 hidden="1">
      <c r="E206" s="13"/>
      <c r="F206" s="7"/>
      <c r="G206" s="6"/>
      <c r="H206" s="12"/>
      <c r="I206" s="234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 hidden="1">
      <c r="E207" s="6"/>
      <c r="F207" s="7"/>
      <c r="G207" s="6"/>
      <c r="H207" s="11"/>
      <c r="I207" s="233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 hidden="1">
      <c r="E208" s="6"/>
      <c r="F208" s="7"/>
      <c r="G208" s="6"/>
      <c r="H208" s="11"/>
      <c r="I208" s="233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 hidden="1">
      <c r="E209" s="6"/>
      <c r="F209" s="7"/>
      <c r="G209" s="6"/>
      <c r="H209" s="11"/>
      <c r="I209" s="233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 hidden="1">
      <c r="E210" s="6"/>
      <c r="F210" s="7"/>
      <c r="G210" s="6"/>
      <c r="H210" s="11"/>
      <c r="I210" s="233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 hidden="1">
      <c r="E211" s="6"/>
      <c r="F211" s="7"/>
      <c r="G211" s="6"/>
      <c r="H211" s="11"/>
      <c r="I211" s="233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 hidden="1">
      <c r="E212" s="13"/>
      <c r="F212" s="7"/>
      <c r="G212" s="6"/>
      <c r="H212" s="11"/>
      <c r="I212" s="233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 hidden="1">
      <c r="E213" s="6"/>
      <c r="F213" s="7"/>
      <c r="G213" s="6"/>
      <c r="H213" s="11"/>
      <c r="I213" s="233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 hidden="1">
      <c r="E214" s="6"/>
      <c r="F214" s="7"/>
      <c r="G214" s="6"/>
      <c r="H214" s="11"/>
      <c r="I214" s="233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 hidden="1">
      <c r="E215" s="6"/>
      <c r="F215" s="7"/>
      <c r="G215" s="6"/>
      <c r="H215" s="11"/>
      <c r="I215" s="233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 hidden="1">
      <c r="E216" s="6"/>
      <c r="F216" s="7"/>
      <c r="G216" s="6"/>
      <c r="H216" s="11"/>
      <c r="I216" s="233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 hidden="1">
      <c r="E217" s="6"/>
      <c r="F217" s="7"/>
      <c r="G217" s="6"/>
      <c r="H217" s="9"/>
      <c r="I217" s="188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 hidden="1">
      <c r="E218" s="6"/>
      <c r="F218" s="7"/>
      <c r="G218" s="6"/>
      <c r="H218" s="9"/>
      <c r="I218" s="188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 hidden="1">
      <c r="E219" s="6"/>
      <c r="F219" s="7"/>
      <c r="G219" s="6"/>
      <c r="H219" s="10"/>
      <c r="I219" s="189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 hidden="1">
      <c r="E220" s="6"/>
      <c r="F220" s="7"/>
      <c r="G220" s="6"/>
      <c r="H220" s="11"/>
      <c r="I220" s="233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 hidden="1">
      <c r="E221" s="6"/>
      <c r="F221" s="7"/>
      <c r="G221" s="6"/>
      <c r="H221" s="11"/>
      <c r="I221" s="233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 hidden="1">
      <c r="E222" s="6"/>
      <c r="F222" s="7"/>
      <c r="G222" s="6"/>
      <c r="H222" s="11"/>
      <c r="I222" s="233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 hidden="1">
      <c r="E223" s="6"/>
      <c r="F223" s="7"/>
      <c r="G223" s="6"/>
      <c r="H223" s="11"/>
      <c r="I223" s="233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 hidden="1">
      <c r="E224" s="6"/>
      <c r="F224" s="7"/>
      <c r="G224" s="6"/>
      <c r="H224" s="11"/>
      <c r="I224" s="233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 hidden="1">
      <c r="E225" s="6"/>
      <c r="F225" s="7"/>
      <c r="G225" s="6"/>
      <c r="H225" s="11"/>
      <c r="I225" s="233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 hidden="1">
      <c r="E226" s="6"/>
      <c r="F226" s="7"/>
      <c r="G226" s="6"/>
      <c r="H226" s="11"/>
      <c r="I226" s="233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 hidden="1">
      <c r="E227" s="6"/>
      <c r="F227" s="7"/>
      <c r="G227" s="6"/>
      <c r="H227" s="11"/>
      <c r="I227" s="233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 hidden="1">
      <c r="E228" s="6"/>
      <c r="F228" s="7"/>
      <c r="G228" s="6"/>
      <c r="H228" s="11"/>
      <c r="I228" s="233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 hidden="1">
      <c r="E229" s="6"/>
      <c r="F229" s="7"/>
      <c r="G229" s="6"/>
      <c r="H229" s="11"/>
      <c r="I229" s="233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 hidden="1">
      <c r="E230" s="6"/>
      <c r="F230" s="7"/>
      <c r="G230" s="6"/>
      <c r="H230" s="11"/>
      <c r="I230" s="233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 hidden="1">
      <c r="E231" s="6"/>
      <c r="F231" s="7"/>
      <c r="G231" s="6"/>
      <c r="H231" s="11"/>
      <c r="I231" s="233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 hidden="1">
      <c r="E232" s="6"/>
      <c r="F232" s="7"/>
      <c r="G232" s="6"/>
      <c r="H232" s="11"/>
      <c r="I232" s="233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 hidden="1">
      <c r="E233" s="6"/>
      <c r="F233" s="7"/>
      <c r="G233" s="6"/>
      <c r="H233" s="11"/>
      <c r="I233" s="233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 hidden="1">
      <c r="E234" s="6"/>
      <c r="F234" s="7"/>
      <c r="G234" s="6"/>
      <c r="H234" s="12"/>
      <c r="I234" s="234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 hidden="1">
      <c r="E235" s="6"/>
      <c r="F235" s="7"/>
      <c r="G235" s="6"/>
      <c r="H235" s="12"/>
      <c r="I235" s="234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 hidden="1">
      <c r="E236" s="13"/>
      <c r="F236" s="7"/>
      <c r="G236" s="6"/>
      <c r="H236" s="12"/>
      <c r="I236" s="234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 hidden="1">
      <c r="E237" s="6"/>
      <c r="F237" s="7"/>
      <c r="G237" s="6"/>
      <c r="H237" s="11"/>
      <c r="I237" s="233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 hidden="1">
      <c r="E238" s="6"/>
      <c r="F238" s="7"/>
      <c r="G238" s="6"/>
      <c r="H238" s="11"/>
      <c r="I238" s="233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 hidden="1">
      <c r="E239" s="6"/>
      <c r="F239" s="7"/>
      <c r="G239" s="6"/>
      <c r="H239" s="11"/>
      <c r="I239" s="233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 hidden="1">
      <c r="E240" s="6"/>
      <c r="F240" s="7"/>
      <c r="G240" s="6"/>
      <c r="H240" s="11"/>
      <c r="I240" s="233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 hidden="1">
      <c r="E241" s="6"/>
      <c r="F241" s="7"/>
      <c r="G241" s="6"/>
      <c r="H241" s="11"/>
      <c r="I241" s="233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 hidden="1">
      <c r="E242" s="13"/>
      <c r="F242" s="7"/>
      <c r="G242" s="6"/>
      <c r="H242" s="11"/>
      <c r="I242" s="233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 hidden="1">
      <c r="E243" s="6"/>
      <c r="F243" s="7"/>
      <c r="G243" s="6"/>
      <c r="H243" s="11"/>
      <c r="I243" s="233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 hidden="1">
      <c r="E244" s="6"/>
      <c r="F244" s="7"/>
      <c r="G244" s="6"/>
      <c r="H244" s="11"/>
      <c r="I244" s="233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 hidden="1">
      <c r="E245" s="6"/>
      <c r="F245" s="7"/>
      <c r="G245" s="6"/>
      <c r="H245" s="11"/>
      <c r="I245" s="233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 hidden="1">
      <c r="E246" s="6"/>
      <c r="F246" s="7"/>
      <c r="G246" s="6"/>
      <c r="H246" s="11"/>
      <c r="I246" s="233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 hidden="1">
      <c r="E247" s="14"/>
      <c r="F247" s="7"/>
      <c r="G247" s="6"/>
      <c r="H247" s="11"/>
      <c r="I247" s="233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 hidden="1">
      <c r="E248" s="14"/>
      <c r="F248" s="7"/>
      <c r="G248" s="6"/>
      <c r="H248" s="11"/>
      <c r="I248" s="233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 hidden="1">
      <c r="E249" s="14"/>
      <c r="F249" s="7"/>
      <c r="G249" s="6"/>
      <c r="H249" s="11"/>
      <c r="I249" s="233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 hidden="1">
      <c r="E250" s="14"/>
      <c r="F250" s="7"/>
      <c r="G250" s="6"/>
      <c r="H250" s="11"/>
      <c r="I250" s="233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 hidden="1">
      <c r="E251" s="14"/>
      <c r="F251" s="7"/>
      <c r="G251" s="6"/>
      <c r="H251" s="11"/>
      <c r="I251" s="233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  <row r="255" spans="5:12" ht="15.75">
      <c r="E255" s="191" t="s">
        <v>320</v>
      </c>
      <c r="F255" s="216">
        <v>45992</v>
      </c>
      <c r="G255" s="192">
        <v>271.35000000000002</v>
      </c>
      <c r="H255" s="193" t="s">
        <v>321</v>
      </c>
      <c r="I255" s="194"/>
    </row>
    <row r="256" spans="5:12">
      <c r="E256" s="195" t="s">
        <v>322</v>
      </c>
      <c r="F256" s="217"/>
      <c r="G256" s="196">
        <v>138.52000000000001</v>
      </c>
      <c r="H256" s="193" t="s">
        <v>321</v>
      </c>
      <c r="I256" s="197"/>
    </row>
    <row r="257" spans="5:8">
      <c r="E257" s="195" t="s">
        <v>323</v>
      </c>
      <c r="F257" s="217"/>
      <c r="G257" s="196">
        <v>192.25</v>
      </c>
      <c r="H257" s="193" t="s">
        <v>321</v>
      </c>
    </row>
    <row r="258" spans="5:8">
      <c r="E258" s="191" t="s">
        <v>320</v>
      </c>
      <c r="F258" s="216">
        <v>46022</v>
      </c>
      <c r="G258" s="192">
        <f>G255+G256-G257</f>
        <v>217.62</v>
      </c>
      <c r="H258" s="193" t="s">
        <v>321</v>
      </c>
    </row>
    <row r="259" spans="5:8">
      <c r="E259" s="198"/>
      <c r="F259" s="218"/>
      <c r="G259" s="199"/>
      <c r="H259" s="200"/>
    </row>
    <row r="260" spans="5:8">
      <c r="E260" s="202" t="s">
        <v>324</v>
      </c>
      <c r="F260" s="219"/>
      <c r="G260" s="202"/>
      <c r="H260" s="203" t="s">
        <v>325</v>
      </c>
    </row>
    <row r="261" spans="5:8">
      <c r="E261" s="201" t="s">
        <v>247</v>
      </c>
      <c r="F261" s="220"/>
      <c r="G261" s="201"/>
      <c r="H261" s="222">
        <v>26.500180499999999</v>
      </c>
    </row>
    <row r="262" spans="5:8">
      <c r="E262" s="201" t="s">
        <v>249</v>
      </c>
      <c r="F262" s="220"/>
      <c r="G262" s="201"/>
      <c r="H262" s="222">
        <v>141.17576320000001</v>
      </c>
    </row>
    <row r="263" spans="5:8">
      <c r="E263" s="201" t="s">
        <v>328</v>
      </c>
      <c r="F263" s="220"/>
      <c r="G263" s="201"/>
      <c r="H263" s="222">
        <v>65.052586731239998</v>
      </c>
    </row>
    <row r="264" spans="5:8">
      <c r="E264" s="201" t="s">
        <v>239</v>
      </c>
      <c r="F264" s="220"/>
      <c r="G264" s="201"/>
      <c r="H264" s="222">
        <v>12.224568</v>
      </c>
    </row>
    <row r="265" spans="5:8">
      <c r="E265" s="201" t="s">
        <v>329</v>
      </c>
      <c r="F265" s="220"/>
      <c r="G265" s="201"/>
      <c r="H265" s="222">
        <v>2.34</v>
      </c>
    </row>
    <row r="266" spans="5:8">
      <c r="E266" s="201" t="s">
        <v>340</v>
      </c>
      <c r="F266" s="220"/>
      <c r="G266" s="201"/>
      <c r="H266" s="222">
        <v>0.85840460000000007</v>
      </c>
    </row>
    <row r="267" spans="5:8">
      <c r="E267" s="201" t="s">
        <v>250</v>
      </c>
      <c r="F267" s="220"/>
      <c r="G267" s="201"/>
      <c r="H267" s="222">
        <v>2.0000000006984921E-6</v>
      </c>
    </row>
    <row r="268" spans="5:8">
      <c r="E268" s="201" t="s">
        <v>304</v>
      </c>
      <c r="F268" s="220"/>
      <c r="G268" s="201"/>
      <c r="H268" s="222">
        <v>0.79342999999999997</v>
      </c>
    </row>
    <row r="269" spans="5:8">
      <c r="E269" s="201" t="s">
        <v>251</v>
      </c>
      <c r="F269" s="220"/>
      <c r="G269" s="201"/>
      <c r="H269" s="222">
        <v>1.9330899999999998E-2</v>
      </c>
    </row>
    <row r="270" spans="5:8">
      <c r="E270" s="201" t="s">
        <v>262</v>
      </c>
      <c r="F270" s="220"/>
      <c r="G270" s="201"/>
      <c r="H270" s="222">
        <v>5.2953844999999999</v>
      </c>
    </row>
    <row r="271" spans="5:8">
      <c r="E271" s="201" t="s">
        <v>344</v>
      </c>
      <c r="F271" s="220"/>
      <c r="G271" s="201"/>
      <c r="H271" s="222">
        <f>SUM(H261:H270)</f>
        <v>254.25965043124003</v>
      </c>
    </row>
    <row r="274" spans="5:9" s="227" customFormat="1" hidden="1">
      <c r="E274" s="223" t="s">
        <v>330</v>
      </c>
      <c r="F274" s="224"/>
      <c r="G274" s="223"/>
      <c r="H274" s="225">
        <f>'W2'!J19</f>
        <v>1094.8548048743571</v>
      </c>
      <c r="I274" s="226"/>
    </row>
    <row r="275" spans="5:9" s="227" customFormat="1" hidden="1">
      <c r="E275" s="223" t="s">
        <v>331</v>
      </c>
      <c r="F275" s="224"/>
      <c r="G275" s="223"/>
      <c r="H275" s="225">
        <f>H271</f>
        <v>254.25965043124003</v>
      </c>
      <c r="I275" s="226"/>
    </row>
    <row r="276" spans="5:9" s="227" customFormat="1" hidden="1">
      <c r="E276" s="223" t="s">
        <v>332</v>
      </c>
      <c r="F276" s="224"/>
      <c r="G276" s="223"/>
      <c r="H276" s="225">
        <f>J12-'W2'!J12</f>
        <v>134.56955999999997</v>
      </c>
      <c r="I276" s="226"/>
    </row>
    <row r="277" spans="5:9" s="227" customFormat="1" hidden="1">
      <c r="E277" s="223" t="s">
        <v>333</v>
      </c>
      <c r="F277" s="224"/>
      <c r="G277" s="223"/>
      <c r="H277" s="225">
        <f>H274+H275-H276</f>
        <v>1214.5448953055973</v>
      </c>
      <c r="I277" s="226"/>
    </row>
    <row r="278" spans="5:9" s="227" customFormat="1" hidden="1">
      <c r="E278" s="223" t="s">
        <v>334</v>
      </c>
      <c r="F278" s="224"/>
      <c r="G278" s="223"/>
      <c r="H278" s="228">
        <f>J19</f>
        <v>1262.1781653428775</v>
      </c>
      <c r="I278" s="226"/>
    </row>
    <row r="279" spans="5:9" s="227" customFormat="1" hidden="1">
      <c r="E279" s="223" t="s">
        <v>335</v>
      </c>
      <c r="F279" s="224"/>
      <c r="G279" s="223"/>
      <c r="H279" s="229">
        <f>H277-H278</f>
        <v>-47.633270037280226</v>
      </c>
      <c r="I279" s="230" t="s">
        <v>336</v>
      </c>
    </row>
    <row r="280" spans="5:9" s="227" customFormat="1" hidden="1">
      <c r="E280" s="223"/>
      <c r="F280" s="224"/>
      <c r="G280" s="223"/>
      <c r="H280" s="225"/>
      <c r="I280" s="226" t="s">
        <v>337</v>
      </c>
    </row>
  </sheetData>
  <sheetProtection formatCells="0" formatColumns="0" formatRows="0" insertRows="0" deleteRows="0" autoFilter="0"/>
  <autoFilter ref="E23:AL390" xr:uid="{00000000-0009-0000-0000-000005000000}"/>
  <mergeCells count="1">
    <mergeCell ref="I4:J4"/>
  </mergeCells>
  <phoneticPr fontId="40"/>
  <dataValidations count="2">
    <dataValidation type="list" allowBlank="1" showInputMessage="1" showErrorMessage="1" sqref="G2" xr:uid="{00000000-0002-0000-0500-000000000000}">
      <formula1>SOCIETE</formula1>
    </dataValidation>
    <dataValidation type="list" allowBlank="1" showInputMessage="1" showErrorMessage="1" sqref="F24:F251" xr:uid="{ED78ABA5-00B3-4E0E-BC1A-B88116EB3BEE}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theme="3" tint="0.59999389629810485"/>
    <pageSetUpPr fitToPage="1"/>
  </sheetPr>
  <dimension ref="D1:AL400"/>
  <sheetViews>
    <sheetView showGridLines="0" topLeftCell="A2" zoomScale="70" zoomScaleNormal="70" workbookViewId="0">
      <selection activeCell="J17" sqref="J17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26.57031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37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January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January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</v>
      </c>
      <c r="I9" s="61"/>
      <c r="J9" s="161" t="str">
        <f>+"from "&amp;G6&amp;" 1 until end of "&amp;G4</f>
        <v>from January 1 until end of W4</v>
      </c>
      <c r="K9" s="79"/>
      <c r="L9" s="167" t="str">
        <f>+G6</f>
        <v>January</v>
      </c>
      <c r="M9" s="80"/>
      <c r="N9" s="80"/>
      <c r="O9" s="172" t="str">
        <f>+G4</f>
        <v>W4</v>
      </c>
      <c r="P9" s="173" t="str">
        <f>+VLOOKUP(G4, parameters!$G$9:$I$61,3,0)</f>
        <v>W3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352.2488195-H11</f>
        <v>349.12008400000002</v>
      </c>
      <c r="I10" s="61"/>
      <c r="J10" s="159">
        <f>352.2488195-J11</f>
        <v>349.12008400000002</v>
      </c>
      <c r="L10" s="159">
        <f>J10+N17</f>
        <v>598.56008399999996</v>
      </c>
      <c r="N10" s="55"/>
      <c r="O10" s="170">
        <f>+H10+K17</f>
        <v>1605.7700840000002</v>
      </c>
      <c r="P10" s="171" cm="1">
        <f t="array" aca="1" ref="P10" ca="1">INDIRECT(ADDRESS(10,15,,,VLOOKUP($G$4,parameters!$G:$I,3,0)))</f>
        <v>1474.7034710320374</v>
      </c>
      <c r="Q10" s="183">
        <f ca="1">O10-P10</f>
        <v>131.06661296796278</v>
      </c>
      <c r="R10" s="86"/>
    </row>
    <row r="11" spans="5:38" ht="20.45" customHeight="1">
      <c r="E11" s="87" t="s">
        <v>224</v>
      </c>
      <c r="F11" s="88"/>
      <c r="G11" s="89"/>
      <c r="H11" s="16">
        <v>3.1287354999999999</v>
      </c>
      <c r="I11" s="61"/>
      <c r="J11" s="16">
        <v>3.1287354999999999</v>
      </c>
      <c r="L11" s="159">
        <f>J11+N18</f>
        <v>10.2887355</v>
      </c>
      <c r="N11" s="55"/>
      <c r="O11" s="152">
        <f>+H11+K18</f>
        <v>10.2887355</v>
      </c>
      <c r="P11" s="153" cm="1">
        <f t="array" aca="1" ref="P11" ca="1">INDIRECT(ADDRESS(11,15,,,VLOOKUP($G$4,parameters!$G:$I,3,0)))</f>
        <v>17.86425431084</v>
      </c>
      <c r="Q11" s="184">
        <f t="shared" ref="Q11:Q12" ca="1" si="0">O11-P11</f>
        <v>-7.5755188108400002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352.24881950000002</v>
      </c>
      <c r="I12" s="61"/>
      <c r="J12" s="126">
        <f>SUM(J10:J11)</f>
        <v>352.24881950000002</v>
      </c>
      <c r="K12" s="65"/>
      <c r="L12" s="126">
        <f>SUM(L10:L11)</f>
        <v>608.84881949999999</v>
      </c>
      <c r="M12" s="65"/>
      <c r="N12" s="65"/>
      <c r="O12" s="154">
        <f>SUM(O10:O11)</f>
        <v>1616.0588195000003</v>
      </c>
      <c r="P12" s="155">
        <f ca="1">SUM(P10:P11)</f>
        <v>1492.5677253428773</v>
      </c>
      <c r="Q12" s="156">
        <f t="shared" ca="1" si="0"/>
        <v>123.49109415712292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1256.6500000000001</v>
      </c>
      <c r="K17" s="108">
        <f>+SUMIF($F$24:$F$251,"External",$K$24:$K$251)</f>
        <v>1256.6500000000001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249.43999999999997</v>
      </c>
      <c r="O17" s="111">
        <f t="shared" si="1"/>
        <v>636.02999999999986</v>
      </c>
      <c r="P17" s="111">
        <f t="shared" si="1"/>
        <v>180.82000000000002</v>
      </c>
      <c r="Q17" s="111">
        <f t="shared" si="1"/>
        <v>130.22999999999999</v>
      </c>
      <c r="R17" s="111">
        <f t="shared" si="1"/>
        <v>9.0500000000000007</v>
      </c>
      <c r="S17" s="111">
        <f t="shared" si="1"/>
        <v>39.07</v>
      </c>
      <c r="T17" s="111">
        <f t="shared" si="1"/>
        <v>12.010000000000002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7.16</v>
      </c>
      <c r="K18" s="113">
        <f>+SUMIF($F$24:$F$251,"Group",$K$24:$K$251)</f>
        <v>7.16</v>
      </c>
      <c r="L18" s="114">
        <f>SUMIF($F$24:$F$251,"Group",$L$24:$L$251)</f>
        <v>0</v>
      </c>
      <c r="M18" s="110"/>
      <c r="N18" s="114">
        <f t="shared" ref="N18:Y18" si="3">+SUMIF($F$24:$F$251,"Group",N$24:N$251)</f>
        <v>7.16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1263.8100000000002</v>
      </c>
      <c r="K19" s="115">
        <f>SUM(K17:K18)</f>
        <v>1263.8100000000002</v>
      </c>
      <c r="L19" s="116">
        <f>SUM(L17:L18)</f>
        <v>0</v>
      </c>
      <c r="M19" s="117"/>
      <c r="N19" s="116">
        <f>SUM(N17:N18)</f>
        <v>256.59999999999997</v>
      </c>
      <c r="O19" s="116">
        <f t="shared" ref="O19:Y19" si="5">SUM(O17:O18)</f>
        <v>636.02999999999986</v>
      </c>
      <c r="P19" s="116">
        <f t="shared" si="5"/>
        <v>180.82000000000002</v>
      </c>
      <c r="Q19" s="116">
        <f t="shared" si="5"/>
        <v>130.22999999999999</v>
      </c>
      <c r="R19" s="116">
        <f t="shared" si="5"/>
        <v>9.0500000000000007</v>
      </c>
      <c r="S19" s="116">
        <f t="shared" si="5"/>
        <v>39.07</v>
      </c>
      <c r="T19" s="116">
        <f t="shared" si="5"/>
        <v>12.010000000000002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324</v>
      </c>
      <c r="F23" s="107" t="s">
        <v>17</v>
      </c>
      <c r="G23" s="94" t="s">
        <v>345</v>
      </c>
      <c r="H23" s="94" t="s">
        <v>274</v>
      </c>
      <c r="I23" s="94" t="s">
        <v>275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237</v>
      </c>
      <c r="F24" s="7" t="s">
        <v>19</v>
      </c>
      <c r="G24" s="6" t="s">
        <v>346</v>
      </c>
      <c r="H24" s="243" t="s">
        <v>236</v>
      </c>
      <c r="I24" s="240" t="s">
        <v>277</v>
      </c>
      <c r="J24" s="118">
        <f t="shared" ref="J24" si="7">+K24+L24</f>
        <v>19.09</v>
      </c>
      <c r="K24" s="119">
        <f t="shared" ref="K24" si="8">SUM(N24:Y24)</f>
        <v>19.09</v>
      </c>
      <c r="L24" s="119">
        <f t="shared" ref="L24" si="9">SUM(AA24:AL24)</f>
        <v>0</v>
      </c>
      <c r="M24" s="23"/>
      <c r="N24" s="24"/>
      <c r="O24" s="24"/>
      <c r="P24" s="24">
        <v>19.09</v>
      </c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235</v>
      </c>
      <c r="F25" s="7" t="s">
        <v>19</v>
      </c>
      <c r="G25" s="6" t="s">
        <v>346</v>
      </c>
      <c r="H25" s="243" t="s">
        <v>236</v>
      </c>
      <c r="I25" s="241" t="s">
        <v>276</v>
      </c>
      <c r="J25" s="118">
        <f t="shared" ref="J25:J88" si="10">+K25+L25</f>
        <v>7.26</v>
      </c>
      <c r="K25" s="119">
        <f t="shared" ref="K25:K88" si="11">SUM(N25:Y25)</f>
        <v>7.26</v>
      </c>
      <c r="L25" s="119">
        <f t="shared" ref="L25:L88" si="12">SUM(AA25:AL25)</f>
        <v>0</v>
      </c>
      <c r="M25" s="23"/>
      <c r="N25" s="24"/>
      <c r="O25" s="24"/>
      <c r="P25" s="24"/>
      <c r="Q25" s="24">
        <v>7.26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338</v>
      </c>
      <c r="F26" s="7" t="s">
        <v>19</v>
      </c>
      <c r="G26" s="6" t="s">
        <v>346</v>
      </c>
      <c r="H26" s="244" t="s">
        <v>347</v>
      </c>
      <c r="I26" s="241" t="s">
        <v>339</v>
      </c>
      <c r="J26" s="118">
        <f t="shared" si="10"/>
        <v>1.53</v>
      </c>
      <c r="K26" s="119">
        <f t="shared" si="11"/>
        <v>1.53</v>
      </c>
      <c r="L26" s="119">
        <f t="shared" si="12"/>
        <v>0</v>
      </c>
      <c r="M26" s="23"/>
      <c r="N26" s="24">
        <v>1.53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239</v>
      </c>
      <c r="F27" s="7" t="s">
        <v>19</v>
      </c>
      <c r="G27" s="6" t="s">
        <v>348</v>
      </c>
      <c r="H27" s="243" t="s">
        <v>236</v>
      </c>
      <c r="I27" s="241" t="s">
        <v>278</v>
      </c>
      <c r="J27" s="118">
        <f t="shared" si="10"/>
        <v>27.759999999999998</v>
      </c>
      <c r="K27" s="119">
        <f t="shared" si="11"/>
        <v>27.759999999999998</v>
      </c>
      <c r="L27" s="119">
        <f t="shared" si="12"/>
        <v>0</v>
      </c>
      <c r="M27" s="23"/>
      <c r="N27" s="24">
        <v>16.39</v>
      </c>
      <c r="O27" s="24">
        <v>11.37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237</v>
      </c>
      <c r="F28" s="7" t="s">
        <v>19</v>
      </c>
      <c r="G28" s="6" t="s">
        <v>349</v>
      </c>
      <c r="H28" s="243" t="s">
        <v>236</v>
      </c>
      <c r="I28" s="241" t="s">
        <v>277</v>
      </c>
      <c r="J28" s="118">
        <f t="shared" si="10"/>
        <v>8.07</v>
      </c>
      <c r="K28" s="119">
        <f t="shared" si="11"/>
        <v>8.07</v>
      </c>
      <c r="L28" s="119">
        <f t="shared" si="12"/>
        <v>0</v>
      </c>
      <c r="M28" s="23"/>
      <c r="N28" s="24"/>
      <c r="O28" s="24"/>
      <c r="P28" s="24">
        <v>8.07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279</v>
      </c>
      <c r="F29" s="7" t="s">
        <v>19</v>
      </c>
      <c r="G29" s="6" t="s">
        <v>350</v>
      </c>
      <c r="H29" s="244" t="s">
        <v>347</v>
      </c>
      <c r="I29" s="242" t="s">
        <v>280</v>
      </c>
      <c r="J29" s="118">
        <f t="shared" si="10"/>
        <v>5.89</v>
      </c>
      <c r="K29" s="119">
        <f t="shared" si="11"/>
        <v>5.89</v>
      </c>
      <c r="L29" s="119">
        <f t="shared" si="12"/>
        <v>0</v>
      </c>
      <c r="M29" s="23"/>
      <c r="N29" s="24">
        <v>0</v>
      </c>
      <c r="O29" s="24">
        <v>5.89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282</v>
      </c>
      <c r="F30" s="7" t="s">
        <v>19</v>
      </c>
      <c r="G30" s="6" t="s">
        <v>351</v>
      </c>
      <c r="H30" s="244" t="s">
        <v>347</v>
      </c>
      <c r="I30" s="190" t="s">
        <v>283</v>
      </c>
      <c r="J30" s="118">
        <f t="shared" si="10"/>
        <v>0.43</v>
      </c>
      <c r="K30" s="119">
        <f t="shared" si="11"/>
        <v>0.43</v>
      </c>
      <c r="L30" s="119">
        <f t="shared" si="12"/>
        <v>0</v>
      </c>
      <c r="M30" s="23"/>
      <c r="N30" s="24">
        <v>0.43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340</v>
      </c>
      <c r="F31" s="7" t="s">
        <v>19</v>
      </c>
      <c r="G31" s="6" t="s">
        <v>352</v>
      </c>
      <c r="H31" s="244" t="s">
        <v>347</v>
      </c>
      <c r="I31" s="190" t="s">
        <v>319</v>
      </c>
      <c r="J31" s="118">
        <f t="shared" si="10"/>
        <v>0.86</v>
      </c>
      <c r="K31" s="119">
        <f t="shared" si="11"/>
        <v>0.86</v>
      </c>
      <c r="L31" s="119">
        <f t="shared" si="12"/>
        <v>0</v>
      </c>
      <c r="M31" s="23"/>
      <c r="N31" s="24"/>
      <c r="O31" s="24"/>
      <c r="P31" s="24">
        <v>0.86</v>
      </c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285</v>
      </c>
      <c r="F32" s="7" t="s">
        <v>19</v>
      </c>
      <c r="G32" s="6" t="s">
        <v>353</v>
      </c>
      <c r="H32" s="244" t="s">
        <v>347</v>
      </c>
      <c r="I32" s="190" t="s">
        <v>286</v>
      </c>
      <c r="J32" s="118">
        <f t="shared" si="10"/>
        <v>2.2999999999999998</v>
      </c>
      <c r="K32" s="119">
        <f t="shared" si="11"/>
        <v>2.2999999999999998</v>
      </c>
      <c r="L32" s="119">
        <f t="shared" si="12"/>
        <v>0</v>
      </c>
      <c r="M32" s="15"/>
      <c r="N32" s="24">
        <v>2.2999999999999998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354</v>
      </c>
      <c r="F33" s="7" t="s">
        <v>19</v>
      </c>
      <c r="G33" s="6" t="s">
        <v>353</v>
      </c>
      <c r="H33" s="244" t="s">
        <v>347</v>
      </c>
      <c r="I33" s="190" t="s">
        <v>355</v>
      </c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>
        <v>0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 t="s">
        <v>285</v>
      </c>
      <c r="F34" s="7" t="s">
        <v>19</v>
      </c>
      <c r="G34" s="6" t="s">
        <v>356</v>
      </c>
      <c r="H34" s="244" t="s">
        <v>347</v>
      </c>
      <c r="I34" s="190" t="s">
        <v>286</v>
      </c>
      <c r="J34" s="118">
        <f t="shared" si="10"/>
        <v>8.31</v>
      </c>
      <c r="K34" s="119">
        <f t="shared" si="11"/>
        <v>8.31</v>
      </c>
      <c r="L34" s="119">
        <f t="shared" si="12"/>
        <v>0</v>
      </c>
      <c r="M34" s="15"/>
      <c r="N34" s="24">
        <v>1.52</v>
      </c>
      <c r="O34" s="24"/>
      <c r="P34" s="24"/>
      <c r="Q34" s="24">
        <v>6.79</v>
      </c>
      <c r="R34" s="24"/>
      <c r="S34" s="24"/>
      <c r="T34" s="24"/>
      <c r="U34" s="24"/>
      <c r="V34" s="24"/>
      <c r="W34" s="24"/>
      <c r="X34" s="24"/>
    </row>
    <row r="35" spans="5:24">
      <c r="E35" s="6" t="s">
        <v>357</v>
      </c>
      <c r="F35" s="7" t="s">
        <v>17</v>
      </c>
      <c r="G35" s="6" t="s">
        <v>358</v>
      </c>
      <c r="H35" s="243" t="s">
        <v>236</v>
      </c>
      <c r="I35" s="190" t="s">
        <v>299</v>
      </c>
      <c r="J35" s="118">
        <f t="shared" si="10"/>
        <v>7.16</v>
      </c>
      <c r="K35" s="119">
        <f t="shared" si="11"/>
        <v>7.16</v>
      </c>
      <c r="L35" s="119">
        <f t="shared" si="12"/>
        <v>0</v>
      </c>
      <c r="M35" s="15"/>
      <c r="N35" s="24">
        <v>7.16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 t="s">
        <v>359</v>
      </c>
      <c r="F36" s="7" t="s">
        <v>19</v>
      </c>
      <c r="G36" s="6" t="s">
        <v>360</v>
      </c>
      <c r="H36" s="243" t="s">
        <v>236</v>
      </c>
      <c r="I36" s="190" t="s">
        <v>296</v>
      </c>
      <c r="J36" s="118">
        <f t="shared" si="10"/>
        <v>0.27</v>
      </c>
      <c r="K36" s="119">
        <f t="shared" si="11"/>
        <v>0.27</v>
      </c>
      <c r="L36" s="119">
        <f t="shared" si="12"/>
        <v>0</v>
      </c>
      <c r="M36" s="15"/>
      <c r="N36" s="24">
        <v>0.27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 t="s">
        <v>245</v>
      </c>
      <c r="F37" s="7" t="s">
        <v>19</v>
      </c>
      <c r="G37" s="6" t="s">
        <v>361</v>
      </c>
      <c r="H37" s="243" t="s">
        <v>236</v>
      </c>
      <c r="I37" s="190" t="s">
        <v>288</v>
      </c>
      <c r="J37" s="118">
        <f t="shared" si="10"/>
        <v>155.09000000000003</v>
      </c>
      <c r="K37" s="119">
        <f t="shared" si="11"/>
        <v>155.09000000000003</v>
      </c>
      <c r="L37" s="119">
        <f t="shared" si="12"/>
        <v>0</v>
      </c>
      <c r="M37" s="15"/>
      <c r="N37" s="24"/>
      <c r="O37" s="24">
        <v>155.09000000000003</v>
      </c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 t="s">
        <v>247</v>
      </c>
      <c r="F38" s="7" t="s">
        <v>19</v>
      </c>
      <c r="G38" s="6" t="s">
        <v>362</v>
      </c>
      <c r="H38" s="243" t="s">
        <v>236</v>
      </c>
      <c r="I38" s="190" t="s">
        <v>289</v>
      </c>
      <c r="J38" s="118">
        <f t="shared" si="10"/>
        <v>3.55</v>
      </c>
      <c r="K38" s="119">
        <f t="shared" si="11"/>
        <v>3.55</v>
      </c>
      <c r="L38" s="119">
        <f t="shared" si="12"/>
        <v>0</v>
      </c>
      <c r="M38" s="15"/>
      <c r="N38" s="24"/>
      <c r="O38" s="24">
        <v>3.55</v>
      </c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 t="s">
        <v>357</v>
      </c>
      <c r="F39" s="7" t="s">
        <v>19</v>
      </c>
      <c r="G39" s="6" t="s">
        <v>363</v>
      </c>
      <c r="H39" s="243" t="s">
        <v>236</v>
      </c>
      <c r="I39" s="190" t="s">
        <v>299</v>
      </c>
      <c r="J39" s="118">
        <f t="shared" si="10"/>
        <v>66.91</v>
      </c>
      <c r="K39" s="119">
        <f t="shared" si="11"/>
        <v>66.91</v>
      </c>
      <c r="L39" s="119">
        <f t="shared" si="12"/>
        <v>0</v>
      </c>
      <c r="M39" s="15"/>
      <c r="N39" s="24">
        <v>66.91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 t="s">
        <v>301</v>
      </c>
      <c r="F40" s="7" t="s">
        <v>19</v>
      </c>
      <c r="G40" s="6" t="s">
        <v>364</v>
      </c>
      <c r="H40" s="243" t="s">
        <v>236</v>
      </c>
      <c r="I40" s="190" t="s">
        <v>302</v>
      </c>
      <c r="J40" s="118">
        <f t="shared" si="10"/>
        <v>55.18</v>
      </c>
      <c r="K40" s="119">
        <f t="shared" si="11"/>
        <v>55.18</v>
      </c>
      <c r="L40" s="119">
        <f t="shared" si="12"/>
        <v>0</v>
      </c>
      <c r="M40" s="15"/>
      <c r="N40" s="24">
        <v>0.99</v>
      </c>
      <c r="O40" s="24">
        <v>54.19</v>
      </c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 t="s">
        <v>256</v>
      </c>
      <c r="F41" s="7" t="s">
        <v>19</v>
      </c>
      <c r="G41" s="6" t="s">
        <v>365</v>
      </c>
      <c r="H41" s="243" t="s">
        <v>236</v>
      </c>
      <c r="I41" s="190" t="s">
        <v>303</v>
      </c>
      <c r="J41" s="118">
        <f t="shared" si="10"/>
        <v>111.48</v>
      </c>
      <c r="K41" s="119">
        <f t="shared" si="11"/>
        <v>111.48</v>
      </c>
      <c r="L41" s="119">
        <f t="shared" si="12"/>
        <v>0</v>
      </c>
      <c r="M41" s="15"/>
      <c r="N41" s="24">
        <v>0</v>
      </c>
      <c r="O41" s="24">
        <v>32.209999999999994</v>
      </c>
      <c r="P41" s="24">
        <v>79.27000000000001</v>
      </c>
      <c r="Q41" s="24"/>
      <c r="R41" s="24"/>
      <c r="S41" s="24"/>
      <c r="T41" s="24"/>
      <c r="U41" s="24"/>
      <c r="V41" s="24"/>
      <c r="W41" s="24"/>
      <c r="X41" s="24"/>
    </row>
    <row r="42" spans="5:24">
      <c r="E42" s="6" t="s">
        <v>366</v>
      </c>
      <c r="F42" s="7" t="s">
        <v>19</v>
      </c>
      <c r="G42" s="6" t="s">
        <v>365</v>
      </c>
      <c r="H42" s="244" t="s">
        <v>347</v>
      </c>
      <c r="I42" s="190" t="s">
        <v>319</v>
      </c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>
        <v>0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 t="s">
        <v>304</v>
      </c>
      <c r="F43" s="7" t="s">
        <v>19</v>
      </c>
      <c r="G43" s="6" t="s">
        <v>365</v>
      </c>
      <c r="H43" s="244" t="s">
        <v>347</v>
      </c>
      <c r="I43" s="190" t="s">
        <v>319</v>
      </c>
      <c r="J43" s="118">
        <f t="shared" si="10"/>
        <v>17.790000000000003</v>
      </c>
      <c r="K43" s="119">
        <f t="shared" si="11"/>
        <v>17.790000000000003</v>
      </c>
      <c r="L43" s="119">
        <f t="shared" si="12"/>
        <v>0</v>
      </c>
      <c r="M43" s="15"/>
      <c r="N43" s="24">
        <v>1.1200000000000001</v>
      </c>
      <c r="O43" s="24"/>
      <c r="P43" s="24">
        <v>16.670000000000002</v>
      </c>
      <c r="Q43" s="24"/>
      <c r="R43" s="24"/>
      <c r="S43" s="24"/>
      <c r="T43" s="24"/>
      <c r="U43" s="24"/>
      <c r="V43" s="24"/>
      <c r="W43" s="24"/>
      <c r="X43" s="24"/>
    </row>
    <row r="44" spans="5:24">
      <c r="E44" s="6" t="s">
        <v>282</v>
      </c>
      <c r="F44" s="7" t="s">
        <v>19</v>
      </c>
      <c r="G44" s="6" t="s">
        <v>365</v>
      </c>
      <c r="H44" s="244" t="s">
        <v>347</v>
      </c>
      <c r="I44" s="190" t="s">
        <v>283</v>
      </c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>
        <v>0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6" t="s">
        <v>258</v>
      </c>
      <c r="F45" s="7" t="s">
        <v>19</v>
      </c>
      <c r="G45" s="6" t="s">
        <v>367</v>
      </c>
      <c r="H45" s="243" t="s">
        <v>236</v>
      </c>
      <c r="I45" s="190" t="s">
        <v>306</v>
      </c>
      <c r="J45" s="118">
        <f t="shared" si="10"/>
        <v>31.330000000000002</v>
      </c>
      <c r="K45" s="119">
        <f t="shared" si="11"/>
        <v>31.330000000000002</v>
      </c>
      <c r="L45" s="119">
        <f t="shared" si="12"/>
        <v>0</v>
      </c>
      <c r="M45" s="15"/>
      <c r="N45" s="24">
        <v>8</v>
      </c>
      <c r="O45" s="24">
        <v>23.330000000000002</v>
      </c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 t="s">
        <v>258</v>
      </c>
      <c r="F46" s="7" t="s">
        <v>19</v>
      </c>
      <c r="G46" s="6" t="s">
        <v>368</v>
      </c>
      <c r="H46" s="243" t="s">
        <v>236</v>
      </c>
      <c r="I46" s="241" t="s">
        <v>306</v>
      </c>
      <c r="J46" s="118">
        <f t="shared" si="10"/>
        <v>17.259999999999998</v>
      </c>
      <c r="K46" s="119">
        <f t="shared" si="11"/>
        <v>17.259999999999998</v>
      </c>
      <c r="L46" s="119">
        <f t="shared" si="12"/>
        <v>0</v>
      </c>
      <c r="M46" s="15"/>
      <c r="N46" s="24">
        <v>5.96</v>
      </c>
      <c r="O46" s="24">
        <v>5.65</v>
      </c>
      <c r="P46" s="24">
        <v>5.65</v>
      </c>
      <c r="Q46" s="24"/>
      <c r="R46" s="24"/>
      <c r="S46" s="24"/>
      <c r="T46" s="24"/>
      <c r="U46" s="24"/>
      <c r="V46" s="24"/>
      <c r="W46" s="24"/>
      <c r="X46" s="24"/>
    </row>
    <row r="47" spans="5:24">
      <c r="E47" s="6" t="s">
        <v>261</v>
      </c>
      <c r="F47" s="7" t="s">
        <v>19</v>
      </c>
      <c r="G47" s="6" t="s">
        <v>369</v>
      </c>
      <c r="H47" s="244" t="s">
        <v>347</v>
      </c>
      <c r="I47" s="241" t="s">
        <v>307</v>
      </c>
      <c r="J47" s="118">
        <f t="shared" si="10"/>
        <v>10.1</v>
      </c>
      <c r="K47" s="119">
        <f t="shared" si="11"/>
        <v>10.1</v>
      </c>
      <c r="L47" s="119">
        <f t="shared" si="12"/>
        <v>0</v>
      </c>
      <c r="M47" s="15"/>
      <c r="N47" s="24"/>
      <c r="O47" s="24">
        <v>10.1</v>
      </c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 t="s">
        <v>261</v>
      </c>
      <c r="F48" s="7" t="s">
        <v>19</v>
      </c>
      <c r="G48" s="6" t="s">
        <v>369</v>
      </c>
      <c r="H48" s="243" t="s">
        <v>236</v>
      </c>
      <c r="I48" s="242" t="s">
        <v>307</v>
      </c>
      <c r="J48" s="118">
        <f t="shared" si="10"/>
        <v>19.48</v>
      </c>
      <c r="K48" s="119">
        <f t="shared" si="11"/>
        <v>19.48</v>
      </c>
      <c r="L48" s="119">
        <f t="shared" si="12"/>
        <v>0</v>
      </c>
      <c r="M48" s="15"/>
      <c r="N48" s="24">
        <v>11.25</v>
      </c>
      <c r="O48" s="24">
        <v>8.23</v>
      </c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 t="s">
        <v>370</v>
      </c>
      <c r="F49" s="7" t="s">
        <v>19</v>
      </c>
      <c r="G49" s="6" t="s">
        <v>369</v>
      </c>
      <c r="H49" s="244" t="s">
        <v>347</v>
      </c>
      <c r="I49" s="190" t="s">
        <v>308</v>
      </c>
      <c r="J49" s="118">
        <f t="shared" si="10"/>
        <v>64.309999999999988</v>
      </c>
      <c r="K49" s="119">
        <f t="shared" si="11"/>
        <v>64.309999999999988</v>
      </c>
      <c r="L49" s="119">
        <f t="shared" si="12"/>
        <v>0</v>
      </c>
      <c r="M49" s="15"/>
      <c r="N49" s="24">
        <v>63.11999999999999</v>
      </c>
      <c r="O49" s="24">
        <v>1.19</v>
      </c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 t="s">
        <v>261</v>
      </c>
      <c r="F50" s="7" t="s">
        <v>19</v>
      </c>
      <c r="G50" s="6" t="s">
        <v>371</v>
      </c>
      <c r="H50" s="244" t="s">
        <v>347</v>
      </c>
      <c r="I50" s="190" t="s">
        <v>307</v>
      </c>
      <c r="J50" s="118">
        <f t="shared" si="10"/>
        <v>16.5</v>
      </c>
      <c r="K50" s="119">
        <f t="shared" si="11"/>
        <v>16.5</v>
      </c>
      <c r="L50" s="119">
        <f t="shared" si="12"/>
        <v>0</v>
      </c>
      <c r="M50" s="15"/>
      <c r="N50" s="24"/>
      <c r="O50" s="24"/>
      <c r="P50" s="24"/>
      <c r="Q50" s="24">
        <v>16.5</v>
      </c>
      <c r="R50" s="24"/>
      <c r="S50" s="24"/>
      <c r="T50" s="24"/>
      <c r="U50" s="24"/>
      <c r="V50" s="24"/>
      <c r="W50" s="24"/>
      <c r="X50" s="24"/>
    </row>
    <row r="51" spans="5:24">
      <c r="E51" s="6" t="s">
        <v>370</v>
      </c>
      <c r="F51" s="7" t="s">
        <v>19</v>
      </c>
      <c r="G51" s="6" t="s">
        <v>371</v>
      </c>
      <c r="H51" s="244" t="s">
        <v>347</v>
      </c>
      <c r="I51" s="190" t="s">
        <v>308</v>
      </c>
      <c r="J51" s="118">
        <f t="shared" si="10"/>
        <v>6.08</v>
      </c>
      <c r="K51" s="119">
        <f t="shared" si="11"/>
        <v>6.08</v>
      </c>
      <c r="L51" s="119">
        <f t="shared" si="12"/>
        <v>0</v>
      </c>
      <c r="M51" s="15"/>
      <c r="N51" s="24">
        <v>6.08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 t="s">
        <v>266</v>
      </c>
      <c r="F52" s="7" t="s">
        <v>19</v>
      </c>
      <c r="G52" s="6" t="s">
        <v>371</v>
      </c>
      <c r="H52" s="244" t="s">
        <v>347</v>
      </c>
      <c r="I52" s="190" t="s">
        <v>305</v>
      </c>
      <c r="J52" s="118">
        <f t="shared" si="10"/>
        <v>59.74</v>
      </c>
      <c r="K52" s="119">
        <f t="shared" si="11"/>
        <v>59.74</v>
      </c>
      <c r="L52" s="119">
        <f t="shared" si="12"/>
        <v>0</v>
      </c>
      <c r="M52" s="15"/>
      <c r="N52" s="24"/>
      <c r="O52" s="24"/>
      <c r="P52" s="24"/>
      <c r="Q52" s="24">
        <v>59.74</v>
      </c>
      <c r="R52" s="24"/>
      <c r="S52" s="24"/>
      <c r="T52" s="24"/>
      <c r="U52" s="24"/>
      <c r="V52" s="24"/>
      <c r="W52" s="24"/>
      <c r="X52" s="24"/>
    </row>
    <row r="53" spans="5:24">
      <c r="E53" s="6" t="s">
        <v>372</v>
      </c>
      <c r="F53" s="7" t="s">
        <v>19</v>
      </c>
      <c r="G53" s="6" t="s">
        <v>371</v>
      </c>
      <c r="H53" s="244" t="s">
        <v>347</v>
      </c>
      <c r="I53" s="190" t="s">
        <v>305</v>
      </c>
      <c r="J53" s="118">
        <f t="shared" si="10"/>
        <v>8.9</v>
      </c>
      <c r="K53" s="119">
        <f t="shared" si="11"/>
        <v>8.9</v>
      </c>
      <c r="L53" s="119">
        <f t="shared" si="12"/>
        <v>0</v>
      </c>
      <c r="M53" s="15"/>
      <c r="N53" s="24"/>
      <c r="O53" s="24">
        <v>8.9</v>
      </c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 t="s">
        <v>264</v>
      </c>
      <c r="F54" s="7" t="s">
        <v>19</v>
      </c>
      <c r="G54" s="6" t="s">
        <v>371</v>
      </c>
      <c r="H54" s="244" t="s">
        <v>347</v>
      </c>
      <c r="I54" s="190" t="s">
        <v>310</v>
      </c>
      <c r="J54" s="118">
        <f t="shared" si="10"/>
        <v>33.199999999999996</v>
      </c>
      <c r="K54" s="119">
        <f t="shared" si="11"/>
        <v>33.199999999999996</v>
      </c>
      <c r="L54" s="119">
        <f t="shared" si="12"/>
        <v>0</v>
      </c>
      <c r="M54" s="15"/>
      <c r="N54" s="24"/>
      <c r="O54" s="24">
        <v>2.0699999999999998</v>
      </c>
      <c r="P54" s="24"/>
      <c r="Q54" s="24">
        <v>31.13</v>
      </c>
      <c r="R54" s="24"/>
      <c r="S54" s="24"/>
      <c r="T54" s="24"/>
      <c r="U54" s="24"/>
      <c r="V54" s="24"/>
      <c r="W54" s="24"/>
      <c r="X54" s="24"/>
    </row>
    <row r="55" spans="5:24">
      <c r="E55" s="6" t="s">
        <v>267</v>
      </c>
      <c r="F55" s="7" t="s">
        <v>19</v>
      </c>
      <c r="G55" s="6" t="s">
        <v>371</v>
      </c>
      <c r="H55" s="244" t="s">
        <v>347</v>
      </c>
      <c r="I55" s="190" t="s">
        <v>305</v>
      </c>
      <c r="J55" s="118">
        <f t="shared" si="10"/>
        <v>8.81</v>
      </c>
      <c r="K55" s="119">
        <f t="shared" si="11"/>
        <v>8.81</v>
      </c>
      <c r="L55" s="119">
        <f t="shared" si="12"/>
        <v>0</v>
      </c>
      <c r="M55" s="15"/>
      <c r="N55" s="24"/>
      <c r="O55" s="24"/>
      <c r="P55" s="24"/>
      <c r="Q55" s="24">
        <v>8.81</v>
      </c>
      <c r="R55" s="24"/>
      <c r="S55" s="24"/>
      <c r="T55" s="24"/>
      <c r="U55" s="24"/>
      <c r="V55" s="24"/>
      <c r="W55" s="24"/>
      <c r="X55" s="24"/>
    </row>
    <row r="56" spans="5:24">
      <c r="E56" s="6" t="s">
        <v>312</v>
      </c>
      <c r="F56" s="7" t="s">
        <v>19</v>
      </c>
      <c r="G56" s="6" t="s">
        <v>371</v>
      </c>
      <c r="H56" s="244" t="s">
        <v>347</v>
      </c>
      <c r="I56" s="190" t="s">
        <v>313</v>
      </c>
      <c r="J56" s="118">
        <f t="shared" si="10"/>
        <v>1.75</v>
      </c>
      <c r="K56" s="119">
        <f t="shared" si="11"/>
        <v>1.75</v>
      </c>
      <c r="L56" s="119">
        <f t="shared" si="12"/>
        <v>0</v>
      </c>
      <c r="M56" s="15"/>
      <c r="N56" s="24"/>
      <c r="O56" s="24">
        <v>1.75</v>
      </c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 t="s">
        <v>315</v>
      </c>
      <c r="F57" s="7" t="s">
        <v>19</v>
      </c>
      <c r="G57" s="6" t="s">
        <v>373</v>
      </c>
      <c r="H57" s="244" t="s">
        <v>347</v>
      </c>
      <c r="I57" s="190" t="s">
        <v>316</v>
      </c>
      <c r="J57" s="118">
        <f t="shared" si="10"/>
        <v>41.48</v>
      </c>
      <c r="K57" s="119">
        <f t="shared" si="11"/>
        <v>41.48</v>
      </c>
      <c r="L57" s="119">
        <f t="shared" si="12"/>
        <v>0</v>
      </c>
      <c r="M57" s="15"/>
      <c r="N57" s="24">
        <v>26.63</v>
      </c>
      <c r="O57" s="24">
        <v>14.85</v>
      </c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 t="s">
        <v>374</v>
      </c>
      <c r="F58" s="7" t="s">
        <v>19</v>
      </c>
      <c r="G58" s="6" t="s">
        <v>375</v>
      </c>
      <c r="H58" s="243" t="s">
        <v>236</v>
      </c>
      <c r="I58" s="190" t="s">
        <v>317</v>
      </c>
      <c r="J58" s="118">
        <f t="shared" si="10"/>
        <v>57.11</v>
      </c>
      <c r="K58" s="119">
        <f t="shared" si="11"/>
        <v>57.11</v>
      </c>
      <c r="L58" s="119">
        <f t="shared" si="12"/>
        <v>0</v>
      </c>
      <c r="M58" s="15"/>
      <c r="N58" s="24">
        <v>0.57000000000000006</v>
      </c>
      <c r="O58" s="24">
        <v>56.54</v>
      </c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 t="s">
        <v>374</v>
      </c>
      <c r="F59" s="7" t="s">
        <v>19</v>
      </c>
      <c r="G59" s="6" t="s">
        <v>376</v>
      </c>
      <c r="H59" s="243" t="s">
        <v>236</v>
      </c>
      <c r="I59" s="190" t="s">
        <v>317</v>
      </c>
      <c r="J59" s="118">
        <f t="shared" si="10"/>
        <v>42.929999999999986</v>
      </c>
      <c r="K59" s="119">
        <f t="shared" si="11"/>
        <v>42.929999999999986</v>
      </c>
      <c r="L59" s="119">
        <f t="shared" si="12"/>
        <v>0</v>
      </c>
      <c r="M59" s="15"/>
      <c r="N59" s="24"/>
      <c r="O59" s="24">
        <v>42.929999999999986</v>
      </c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 t="s">
        <v>247</v>
      </c>
      <c r="F60" s="7" t="s">
        <v>19</v>
      </c>
      <c r="G60" s="6" t="s">
        <v>377</v>
      </c>
      <c r="H60" s="243" t="s">
        <v>236</v>
      </c>
      <c r="I60" s="190" t="s">
        <v>289</v>
      </c>
      <c r="J60" s="118">
        <f t="shared" si="10"/>
        <v>3.32</v>
      </c>
      <c r="K60" s="119">
        <f t="shared" si="11"/>
        <v>3.32</v>
      </c>
      <c r="L60" s="119">
        <f t="shared" si="12"/>
        <v>0</v>
      </c>
      <c r="M60" s="15"/>
      <c r="N60" s="24"/>
      <c r="O60" s="24">
        <v>3.32</v>
      </c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 t="s">
        <v>252</v>
      </c>
      <c r="F61" s="7" t="s">
        <v>19</v>
      </c>
      <c r="G61" s="6" t="s">
        <v>377</v>
      </c>
      <c r="H61" s="244" t="s">
        <v>243</v>
      </c>
      <c r="I61" s="190" t="s">
        <v>295</v>
      </c>
      <c r="J61" s="118">
        <f t="shared" si="10"/>
        <v>14.29</v>
      </c>
      <c r="K61" s="119">
        <f t="shared" si="11"/>
        <v>14.29</v>
      </c>
      <c r="L61" s="119">
        <f t="shared" si="12"/>
        <v>0</v>
      </c>
      <c r="M61" s="15"/>
      <c r="N61" s="24">
        <v>1.0900000000000001</v>
      </c>
      <c r="O61" s="24">
        <v>13.2</v>
      </c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 t="s">
        <v>378</v>
      </c>
      <c r="F62" s="7" t="s">
        <v>19</v>
      </c>
      <c r="G62" s="6" t="s">
        <v>377</v>
      </c>
      <c r="H62" s="243" t="s">
        <v>236</v>
      </c>
      <c r="I62" s="190" t="s">
        <v>290</v>
      </c>
      <c r="J62" s="118">
        <f t="shared" si="10"/>
        <v>25.51</v>
      </c>
      <c r="K62" s="119">
        <f t="shared" si="11"/>
        <v>25.51</v>
      </c>
      <c r="L62" s="119">
        <f t="shared" si="12"/>
        <v>0</v>
      </c>
      <c r="M62" s="15"/>
      <c r="N62" s="24">
        <v>25.51</v>
      </c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 t="s">
        <v>247</v>
      </c>
      <c r="F63" s="7" t="s">
        <v>19</v>
      </c>
      <c r="G63" s="6" t="s">
        <v>246</v>
      </c>
      <c r="H63" s="243" t="s">
        <v>236</v>
      </c>
      <c r="I63" s="190" t="s">
        <v>289</v>
      </c>
      <c r="J63" s="118">
        <f t="shared" si="10"/>
        <v>62.980000000000004</v>
      </c>
      <c r="K63" s="119">
        <f t="shared" si="11"/>
        <v>62.980000000000004</v>
      </c>
      <c r="L63" s="119">
        <f t="shared" si="12"/>
        <v>0</v>
      </c>
      <c r="M63" s="15"/>
      <c r="N63" s="24">
        <v>0.49</v>
      </c>
      <c r="O63" s="24">
        <v>57.809999999999995</v>
      </c>
      <c r="P63" s="24">
        <v>2.34</v>
      </c>
      <c r="Q63" s="24"/>
      <c r="R63" s="24"/>
      <c r="S63" s="24"/>
      <c r="T63" s="24">
        <v>2.34</v>
      </c>
      <c r="U63" s="24"/>
      <c r="V63" s="24"/>
      <c r="W63" s="24"/>
      <c r="X63" s="24"/>
    </row>
    <row r="64" spans="5:24">
      <c r="E64" s="6" t="s">
        <v>379</v>
      </c>
      <c r="F64" s="7" t="s">
        <v>19</v>
      </c>
      <c r="G64" s="6" t="s">
        <v>246</v>
      </c>
      <c r="H64" s="243" t="s">
        <v>236</v>
      </c>
      <c r="I64" s="190" t="s">
        <v>291</v>
      </c>
      <c r="J64" s="118">
        <f t="shared" si="10"/>
        <v>127.28</v>
      </c>
      <c r="K64" s="119">
        <f t="shared" si="11"/>
        <v>127.28</v>
      </c>
      <c r="L64" s="119">
        <f t="shared" si="12"/>
        <v>0</v>
      </c>
      <c r="M64" s="15"/>
      <c r="N64" s="24">
        <v>8.6999999999999993</v>
      </c>
      <c r="O64" s="24">
        <v>113.89999999999999</v>
      </c>
      <c r="P64" s="24">
        <v>2.34</v>
      </c>
      <c r="Q64" s="24"/>
      <c r="R64" s="24"/>
      <c r="S64" s="24"/>
      <c r="T64" s="24">
        <v>2.34</v>
      </c>
      <c r="U64" s="24"/>
      <c r="V64" s="24"/>
      <c r="W64" s="24"/>
      <c r="X64" s="24"/>
    </row>
    <row r="65" spans="5:24">
      <c r="E65" s="6" t="s">
        <v>250</v>
      </c>
      <c r="F65" s="7" t="s">
        <v>19</v>
      </c>
      <c r="G65" s="6" t="s">
        <v>246</v>
      </c>
      <c r="H65" s="243" t="s">
        <v>236</v>
      </c>
      <c r="I65" s="190" t="s">
        <v>292</v>
      </c>
      <c r="J65" s="118">
        <f t="shared" si="10"/>
        <v>22.05</v>
      </c>
      <c r="K65" s="119">
        <f t="shared" si="11"/>
        <v>22.05</v>
      </c>
      <c r="L65" s="119">
        <f t="shared" si="12"/>
        <v>0</v>
      </c>
      <c r="N65" s="24">
        <v>0.18</v>
      </c>
      <c r="O65" s="24">
        <v>8.14</v>
      </c>
      <c r="P65" s="24">
        <v>2.34</v>
      </c>
      <c r="Q65" s="24"/>
      <c r="R65" s="24">
        <v>9.0500000000000007</v>
      </c>
      <c r="S65" s="24"/>
      <c r="T65" s="24">
        <v>2.34</v>
      </c>
      <c r="U65" s="24"/>
      <c r="V65" s="24"/>
      <c r="W65" s="24"/>
      <c r="X65" s="24"/>
    </row>
    <row r="66" spans="5:24">
      <c r="E66" s="6" t="s">
        <v>252</v>
      </c>
      <c r="F66" s="7" t="s">
        <v>19</v>
      </c>
      <c r="G66" s="6" t="s">
        <v>246</v>
      </c>
      <c r="H66" s="243" t="s">
        <v>236</v>
      </c>
      <c r="I66" s="190" t="s">
        <v>295</v>
      </c>
      <c r="J66" s="118">
        <f t="shared" si="10"/>
        <v>27.450000000000006</v>
      </c>
      <c r="K66" s="119">
        <f t="shared" si="11"/>
        <v>27.450000000000006</v>
      </c>
      <c r="L66" s="119">
        <f t="shared" si="12"/>
        <v>0</v>
      </c>
      <c r="N66" s="24">
        <v>0.38</v>
      </c>
      <c r="O66" s="24">
        <v>1.01</v>
      </c>
      <c r="P66" s="24">
        <v>25.280000000000005</v>
      </c>
      <c r="Q66" s="24"/>
      <c r="R66" s="24"/>
      <c r="S66" s="24"/>
      <c r="T66" s="24">
        <v>0.78</v>
      </c>
      <c r="U66" s="24"/>
      <c r="V66" s="24"/>
      <c r="W66" s="24"/>
      <c r="X66" s="24"/>
    </row>
    <row r="67" spans="5:24">
      <c r="E67" s="6" t="s">
        <v>248</v>
      </c>
      <c r="F67" s="7" t="s">
        <v>19</v>
      </c>
      <c r="G67" s="6" t="s">
        <v>246</v>
      </c>
      <c r="H67" s="243" t="s">
        <v>236</v>
      </c>
      <c r="I67" s="190" t="s">
        <v>290</v>
      </c>
      <c r="J67" s="118">
        <f t="shared" si="10"/>
        <v>3.19</v>
      </c>
      <c r="K67" s="119">
        <f t="shared" si="11"/>
        <v>3.19</v>
      </c>
      <c r="L67" s="119">
        <f t="shared" si="12"/>
        <v>0</v>
      </c>
      <c r="N67" s="24"/>
      <c r="O67" s="24"/>
      <c r="P67" s="24">
        <v>3.19</v>
      </c>
      <c r="Q67" s="24"/>
      <c r="R67" s="24"/>
      <c r="S67" s="24"/>
      <c r="T67" s="24"/>
      <c r="U67" s="24"/>
      <c r="V67" s="24"/>
      <c r="W67" s="24"/>
      <c r="X67" s="24"/>
    </row>
    <row r="68" spans="5:24">
      <c r="E68" s="6" t="s">
        <v>251</v>
      </c>
      <c r="F68" s="7" t="s">
        <v>19</v>
      </c>
      <c r="G68" s="6" t="s">
        <v>246</v>
      </c>
      <c r="H68" s="243" t="s">
        <v>236</v>
      </c>
      <c r="I68" s="190" t="s">
        <v>290</v>
      </c>
      <c r="J68" s="118">
        <f t="shared" si="10"/>
        <v>15.36</v>
      </c>
      <c r="K68" s="119">
        <f t="shared" si="11"/>
        <v>15.36</v>
      </c>
      <c r="L68" s="119">
        <f t="shared" si="12"/>
        <v>0</v>
      </c>
      <c r="N68" s="24">
        <v>0.02</v>
      </c>
      <c r="O68" s="24">
        <v>0.81</v>
      </c>
      <c r="P68" s="24">
        <v>13.02</v>
      </c>
      <c r="Q68" s="24"/>
      <c r="R68" s="24"/>
      <c r="S68" s="24"/>
      <c r="T68" s="24">
        <v>1.51</v>
      </c>
      <c r="U68" s="24"/>
      <c r="V68" s="24"/>
      <c r="W68" s="24"/>
      <c r="X68" s="24"/>
    </row>
    <row r="69" spans="5:24">
      <c r="E69" s="6" t="s">
        <v>245</v>
      </c>
      <c r="F69" s="7" t="s">
        <v>19</v>
      </c>
      <c r="G69" s="6" t="s">
        <v>246</v>
      </c>
      <c r="H69" s="243" t="s">
        <v>236</v>
      </c>
      <c r="I69" s="190" t="s">
        <v>288</v>
      </c>
      <c r="J69" s="118">
        <f t="shared" si="10"/>
        <v>41.190000000000005</v>
      </c>
      <c r="K69" s="119">
        <f t="shared" si="11"/>
        <v>41.190000000000005</v>
      </c>
      <c r="L69" s="119">
        <f t="shared" si="12"/>
        <v>0</v>
      </c>
      <c r="N69" s="24"/>
      <c r="O69" s="24"/>
      <c r="P69" s="24">
        <v>1.06</v>
      </c>
      <c r="Q69" s="24"/>
      <c r="R69" s="24"/>
      <c r="S69" s="24">
        <v>39.07</v>
      </c>
      <c r="T69" s="24">
        <v>1.06</v>
      </c>
      <c r="U69" s="24"/>
      <c r="V69" s="24"/>
      <c r="W69" s="24"/>
      <c r="X69" s="24"/>
    </row>
    <row r="70" spans="5:24">
      <c r="E70" s="6" t="s">
        <v>293</v>
      </c>
      <c r="F70" s="7" t="s">
        <v>19</v>
      </c>
      <c r="G70" s="6" t="s">
        <v>246</v>
      </c>
      <c r="H70" s="243" t="s">
        <v>236</v>
      </c>
      <c r="I70" s="190" t="s">
        <v>294</v>
      </c>
      <c r="J70" s="118">
        <f t="shared" si="10"/>
        <v>3.28</v>
      </c>
      <c r="K70" s="119">
        <f t="shared" si="11"/>
        <v>3.28</v>
      </c>
      <c r="L70" s="119">
        <f t="shared" si="12"/>
        <v>0</v>
      </c>
      <c r="N70" s="24">
        <v>0</v>
      </c>
      <c r="O70" s="24"/>
      <c r="P70" s="24">
        <v>1.64</v>
      </c>
      <c r="Q70" s="24"/>
      <c r="R70" s="24"/>
      <c r="S70" s="24"/>
      <c r="T70" s="24">
        <v>1.64</v>
      </c>
      <c r="U70" s="24"/>
      <c r="V70" s="24"/>
      <c r="W70" s="24"/>
      <c r="X70" s="24"/>
    </row>
    <row r="71" spans="5:24">
      <c r="E71" s="6"/>
      <c r="F71" s="7"/>
      <c r="G71" s="6"/>
      <c r="H71" s="245"/>
      <c r="I71" s="236"/>
      <c r="J71" s="118">
        <f t="shared" si="10"/>
        <v>0</v>
      </c>
      <c r="K71" s="119">
        <f t="shared" si="11"/>
        <v>0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5:24">
      <c r="E72" s="6"/>
      <c r="F72" s="7"/>
      <c r="G72" s="6"/>
      <c r="H72" s="245"/>
      <c r="I72" s="236"/>
      <c r="J72" s="118">
        <f t="shared" si="10"/>
        <v>0</v>
      </c>
      <c r="K72" s="119">
        <f t="shared" si="11"/>
        <v>0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5:24">
      <c r="E73" s="6"/>
      <c r="F73" s="7"/>
      <c r="G73" s="6"/>
      <c r="H73" s="245"/>
      <c r="I73" s="236"/>
      <c r="J73" s="118">
        <f t="shared" si="10"/>
        <v>0</v>
      </c>
      <c r="K73" s="119">
        <f t="shared" si="11"/>
        <v>0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5:24" hidden="1">
      <c r="E74" s="6"/>
      <c r="F74" s="7"/>
      <c r="G74" s="6"/>
      <c r="H74" s="246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24" hidden="1">
      <c r="E75" s="6"/>
      <c r="F75" s="7"/>
      <c r="G75" s="6"/>
      <c r="H75" s="246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24" hidden="1">
      <c r="E76" s="6"/>
      <c r="F76" s="7"/>
      <c r="G76" s="6"/>
      <c r="H76" s="247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24" hidden="1">
      <c r="E77" s="6"/>
      <c r="F77" s="7"/>
      <c r="G77" s="6"/>
      <c r="H77" s="248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24" hidden="1">
      <c r="E78" s="6"/>
      <c r="F78" s="7"/>
      <c r="G78" s="6"/>
      <c r="H78" s="248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24" hidden="1">
      <c r="E79" s="6"/>
      <c r="F79" s="7"/>
      <c r="G79" s="6"/>
      <c r="H79" s="248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24" hidden="1">
      <c r="E80" s="6"/>
      <c r="F80" s="7"/>
      <c r="G80" s="6"/>
      <c r="H80" s="248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 hidden="1">
      <c r="E81" s="6"/>
      <c r="F81" s="7"/>
      <c r="G81" s="6"/>
      <c r="H81" s="248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 hidden="1">
      <c r="E82" s="6"/>
      <c r="F82" s="7"/>
      <c r="G82" s="6"/>
      <c r="H82" s="248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 hidden="1">
      <c r="E83" s="6"/>
      <c r="F83" s="7"/>
      <c r="G83" s="6"/>
      <c r="H83" s="248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 hidden="1">
      <c r="E84" s="6"/>
      <c r="F84" s="7"/>
      <c r="G84" s="6"/>
      <c r="H84" s="248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 hidden="1">
      <c r="E85" s="6"/>
      <c r="F85" s="7"/>
      <c r="G85" s="6"/>
      <c r="H85" s="248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 hidden="1">
      <c r="E86" s="6"/>
      <c r="F86" s="7"/>
      <c r="G86" s="6"/>
      <c r="H86" s="248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 hidden="1">
      <c r="E87" s="6"/>
      <c r="F87" s="7"/>
      <c r="G87" s="6"/>
      <c r="H87" s="248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 hidden="1">
      <c r="E88" s="6"/>
      <c r="F88" s="7"/>
      <c r="G88" s="6"/>
      <c r="H88" s="248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 hidden="1">
      <c r="E89" s="6"/>
      <c r="F89" s="7"/>
      <c r="G89" s="6"/>
      <c r="H89" s="248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 hidden="1">
      <c r="E90" s="6"/>
      <c r="F90" s="7"/>
      <c r="G90" s="6"/>
      <c r="H90" s="249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 hidden="1">
      <c r="E91" s="6"/>
      <c r="F91" s="7"/>
      <c r="G91" s="6"/>
      <c r="H91" s="249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 hidden="1">
      <c r="E92" s="13"/>
      <c r="F92" s="7"/>
      <c r="G92" s="6"/>
      <c r="H92" s="249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 hidden="1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 hidden="1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 hidden="1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 hidden="1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 hidden="1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 hidden="1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 hidden="1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 hidden="1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 hidden="1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 hidden="1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 hidden="1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 hidden="1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 hidden="1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 hidden="1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 hidden="1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 hidden="1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 hidden="1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 hidden="1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 hidden="1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 hidden="1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 hidden="1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 hidden="1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 hidden="1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 hidden="1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 hidden="1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 hidden="1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 hidden="1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 hidden="1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 hidden="1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 hidden="1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 hidden="1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 hidden="1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 hidden="1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 hidden="1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 hidden="1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 hidden="1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 hidden="1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 hidden="1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 hidden="1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 hidden="1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 hidden="1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 hidden="1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 hidden="1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 hidden="1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 hidden="1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 hidden="1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 hidden="1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 hidden="1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 hidden="1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 hidden="1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 hidden="1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 hidden="1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 hidden="1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 hidden="1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 hidden="1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 hidden="1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 hidden="1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 hidden="1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 hidden="1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 hidden="1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 hidden="1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 hidden="1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 hidden="1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 hidden="1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 hidden="1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 hidden="1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 hidden="1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 hidden="1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 hidden="1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 hidden="1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 hidden="1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 hidden="1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 hidden="1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 hidden="1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 hidden="1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 hidden="1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 hidden="1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 hidden="1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 hidden="1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 hidden="1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 hidden="1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 hidden="1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 hidden="1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 hidden="1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 hidden="1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 hidden="1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 hidden="1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 hidden="1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 hidden="1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 hidden="1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 hidden="1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 hidden="1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 hidden="1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 hidden="1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 hidden="1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 hidden="1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 hidden="1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 hidden="1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 hidden="1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 hidden="1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 hidden="1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 hidden="1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 hidden="1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 hidden="1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 hidden="1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 hidden="1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 hidden="1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 hidden="1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 hidden="1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 hidden="1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 hidden="1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 hidden="1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 hidden="1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 hidden="1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 hidden="1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 hidden="1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 hidden="1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 hidden="1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 hidden="1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 hidden="1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 hidden="1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 hidden="1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 hidden="1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 hidden="1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 hidden="1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 hidden="1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 hidden="1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 hidden="1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 hidden="1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 hidden="1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 hidden="1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 hidden="1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 hidden="1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 hidden="1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 hidden="1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 hidden="1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 hidden="1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 hidden="1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 hidden="1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 hidden="1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 hidden="1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 hidden="1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 hidden="1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 hidden="1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 hidden="1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 hidden="1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 hidden="1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 hidden="1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 hidden="1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 hidden="1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 hidden="1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 hidden="1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 hidden="1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 hidden="1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 hidden="1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 hidden="1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 hidden="1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 hidden="1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 hidden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  <row r="255" spans="5:12" ht="15.75">
      <c r="E255" s="191" t="s">
        <v>320</v>
      </c>
      <c r="F255" s="216">
        <v>45992</v>
      </c>
      <c r="G255" s="192">
        <v>271.35000000000002</v>
      </c>
      <c r="H255" s="193" t="s">
        <v>321</v>
      </c>
      <c r="I255" s="266"/>
    </row>
    <row r="256" spans="5:12">
      <c r="E256" s="195" t="s">
        <v>322</v>
      </c>
      <c r="F256" s="217"/>
      <c r="G256" s="196">
        <v>138.52000000000001</v>
      </c>
      <c r="H256" s="193" t="s">
        <v>321</v>
      </c>
      <c r="I256" s="267"/>
    </row>
    <row r="257" spans="5:9">
      <c r="E257" s="195" t="s">
        <v>323</v>
      </c>
      <c r="F257" s="217"/>
      <c r="G257" s="196">
        <v>192.25</v>
      </c>
      <c r="H257" s="193" t="s">
        <v>321</v>
      </c>
      <c r="I257" s="235"/>
    </row>
    <row r="258" spans="5:9">
      <c r="E258" s="191" t="s">
        <v>320</v>
      </c>
      <c r="F258" s="216">
        <v>46022</v>
      </c>
      <c r="G258" s="192">
        <f>G255+G256-G257</f>
        <v>217.62</v>
      </c>
      <c r="H258" s="193" t="s">
        <v>321</v>
      </c>
      <c r="I258" s="235"/>
    </row>
    <row r="259" spans="5:9">
      <c r="E259" s="198"/>
      <c r="F259" s="218"/>
      <c r="G259" s="199"/>
      <c r="H259" s="200"/>
      <c r="I259" s="235"/>
    </row>
    <row r="260" spans="5:9">
      <c r="E260" s="202" t="s">
        <v>324</v>
      </c>
      <c r="F260" s="219"/>
      <c r="G260" s="202"/>
      <c r="H260" s="203" t="s">
        <v>325</v>
      </c>
      <c r="I260" s="235"/>
    </row>
    <row r="261" spans="5:9">
      <c r="E261" s="201" t="s">
        <v>247</v>
      </c>
      <c r="F261" s="220"/>
      <c r="G261" s="201"/>
      <c r="H261" s="222">
        <v>16.090000000000003</v>
      </c>
      <c r="I261" s="235"/>
    </row>
    <row r="262" spans="5:9">
      <c r="E262" s="201" t="s">
        <v>284</v>
      </c>
      <c r="F262" s="220"/>
      <c r="G262" s="201"/>
      <c r="H262" s="222">
        <v>2.2999999999999998</v>
      </c>
      <c r="I262" s="235"/>
    </row>
    <row r="263" spans="5:9">
      <c r="E263" s="201" t="s">
        <v>249</v>
      </c>
      <c r="F263" s="220"/>
      <c r="G263" s="201"/>
      <c r="H263" s="222">
        <v>5.44</v>
      </c>
      <c r="I263" s="235"/>
    </row>
    <row r="264" spans="5:9">
      <c r="E264" s="201" t="s">
        <v>301</v>
      </c>
      <c r="F264" s="220"/>
      <c r="G264" s="201"/>
      <c r="H264" s="222">
        <v>0.99</v>
      </c>
      <c r="I264" s="235"/>
    </row>
    <row r="265" spans="5:9">
      <c r="E265" s="201" t="s">
        <v>338</v>
      </c>
      <c r="F265" s="220"/>
      <c r="G265" s="201"/>
      <c r="H265" s="222">
        <v>1.53</v>
      </c>
      <c r="I265" s="235"/>
    </row>
    <row r="266" spans="5:9">
      <c r="E266" s="201" t="s">
        <v>250</v>
      </c>
      <c r="F266" s="220"/>
      <c r="G266" s="201"/>
      <c r="H266" s="222">
        <v>8.32</v>
      </c>
      <c r="I266" s="235"/>
    </row>
    <row r="267" spans="5:9">
      <c r="E267" s="201" t="s">
        <v>304</v>
      </c>
      <c r="F267" s="220"/>
      <c r="G267" s="201"/>
      <c r="H267" s="222">
        <v>17</v>
      </c>
      <c r="I267" s="235"/>
    </row>
    <row r="268" spans="5:9">
      <c r="E268" s="201" t="s">
        <v>269</v>
      </c>
      <c r="F268" s="220"/>
      <c r="G268" s="201"/>
      <c r="H268" s="222">
        <v>26.95999999999999</v>
      </c>
      <c r="I268" s="235"/>
    </row>
    <row r="269" spans="5:9">
      <c r="E269" s="201" t="s">
        <v>251</v>
      </c>
      <c r="F269" s="220"/>
      <c r="G269" s="201"/>
      <c r="H269" s="222">
        <v>0.81</v>
      </c>
      <c r="I269" s="235"/>
    </row>
    <row r="270" spans="5:9">
      <c r="E270" s="201" t="s">
        <v>252</v>
      </c>
      <c r="F270" s="220"/>
      <c r="G270" s="201"/>
      <c r="H270" s="222">
        <v>1.3900000000000001</v>
      </c>
      <c r="I270" s="235"/>
    </row>
    <row r="271" spans="5:9">
      <c r="E271" s="201" t="s">
        <v>370</v>
      </c>
      <c r="F271" s="220"/>
      <c r="G271" s="201"/>
      <c r="H271" s="222">
        <v>6.08</v>
      </c>
      <c r="I271" s="235"/>
    </row>
    <row r="272" spans="5:9">
      <c r="E272" s="263" t="s">
        <v>344</v>
      </c>
      <c r="F272" s="264"/>
      <c r="G272" s="263"/>
      <c r="H272" s="265">
        <f>SUM(H261:H271)</f>
        <v>86.91</v>
      </c>
      <c r="I272" s="235"/>
    </row>
    <row r="273" spans="5:25">
      <c r="I273" s="235"/>
    </row>
    <row r="274" spans="5:25" s="205" customFormat="1">
      <c r="F274" s="237"/>
      <c r="H274" s="54"/>
      <c r="I274" s="235"/>
      <c r="J274" s="54"/>
      <c r="K274" s="55"/>
      <c r="L274" s="55"/>
      <c r="M274" s="55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9"/>
    </row>
    <row r="275" spans="5:25" s="151" customFormat="1">
      <c r="E275" s="250" t="s">
        <v>330</v>
      </c>
      <c r="F275" s="251"/>
      <c r="G275" s="250"/>
      <c r="H275" s="252">
        <f>'W3'!J19</f>
        <v>1262.1781653428775</v>
      </c>
      <c r="I275" s="253"/>
    </row>
    <row r="276" spans="5:25" s="151" customFormat="1">
      <c r="E276" s="250" t="s">
        <v>331</v>
      </c>
      <c r="F276" s="251"/>
      <c r="G276" s="250"/>
      <c r="H276" s="252">
        <f>H272</f>
        <v>86.91</v>
      </c>
      <c r="I276" s="253"/>
    </row>
    <row r="277" spans="5:25" s="151" customFormat="1">
      <c r="E277" s="250" t="s">
        <v>332</v>
      </c>
      <c r="F277" s="251"/>
      <c r="G277" s="250"/>
      <c r="H277" s="252">
        <f>J12-'W3'!J12</f>
        <v>121.85925950000004</v>
      </c>
      <c r="I277" s="253"/>
    </row>
    <row r="278" spans="5:25" s="151" customFormat="1">
      <c r="E278" s="250" t="s">
        <v>333</v>
      </c>
      <c r="F278" s="251"/>
      <c r="G278" s="250"/>
      <c r="H278" s="252">
        <f>H275+H276-H277</f>
        <v>1227.2289058428776</v>
      </c>
      <c r="I278" s="253"/>
    </row>
    <row r="279" spans="5:25" s="151" customFormat="1">
      <c r="E279" s="250" t="s">
        <v>334</v>
      </c>
      <c r="F279" s="251"/>
      <c r="G279" s="250"/>
      <c r="H279" s="254">
        <f>J19</f>
        <v>1263.8100000000002</v>
      </c>
      <c r="I279" s="253"/>
    </row>
    <row r="280" spans="5:25" s="151" customFormat="1">
      <c r="E280" s="250" t="s">
        <v>335</v>
      </c>
      <c r="F280" s="251"/>
      <c r="G280" s="250"/>
      <c r="H280" s="255">
        <f>H278-H279</f>
        <v>-36.581094157122607</v>
      </c>
      <c r="I280" s="256" t="s">
        <v>336</v>
      </c>
    </row>
    <row r="281" spans="5:25" s="151" customFormat="1">
      <c r="E281" s="250"/>
      <c r="F281" s="251"/>
      <c r="G281" s="250"/>
      <c r="H281" s="252"/>
      <c r="I281" s="253" t="s">
        <v>337</v>
      </c>
    </row>
    <row r="282" spans="5:25" s="151" customFormat="1">
      <c r="F282" s="257"/>
      <c r="H282" s="258"/>
      <c r="I282" s="259"/>
      <c r="J282" s="258"/>
      <c r="K282" s="260"/>
      <c r="L282" s="260"/>
      <c r="M282" s="260"/>
      <c r="N282" s="261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2"/>
    </row>
    <row r="283" spans="5:25" s="205" customFormat="1">
      <c r="F283" s="237"/>
      <c r="H283" s="54"/>
      <c r="I283" s="235"/>
      <c r="J283" s="54"/>
      <c r="K283" s="55"/>
      <c r="L283" s="55"/>
      <c r="M283" s="55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9"/>
    </row>
    <row r="284" spans="5:25" s="205" customFormat="1">
      <c r="F284" s="237"/>
      <c r="H284" s="54"/>
      <c r="I284" s="235"/>
      <c r="J284" s="54"/>
      <c r="K284" s="55"/>
      <c r="L284" s="55"/>
      <c r="M284" s="55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9"/>
    </row>
    <row r="285" spans="5:25" s="205" customFormat="1">
      <c r="F285" s="237"/>
      <c r="H285" s="54"/>
      <c r="I285" s="235"/>
      <c r="J285" s="54"/>
      <c r="K285" s="55"/>
      <c r="L285" s="55"/>
      <c r="M285" s="55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9"/>
    </row>
    <row r="286" spans="5:25" s="205" customFormat="1">
      <c r="F286" s="237"/>
      <c r="H286" s="54"/>
      <c r="I286" s="235"/>
      <c r="J286" s="54"/>
      <c r="K286" s="55"/>
      <c r="L286" s="55"/>
      <c r="M286" s="55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9"/>
    </row>
    <row r="287" spans="5:25" s="205" customFormat="1">
      <c r="F287" s="237"/>
      <c r="H287" s="54"/>
      <c r="I287" s="235"/>
      <c r="J287" s="54"/>
      <c r="K287" s="55"/>
      <c r="L287" s="55"/>
      <c r="M287" s="55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9"/>
    </row>
    <row r="288" spans="5:25" s="205" customFormat="1">
      <c r="F288" s="237"/>
      <c r="H288" s="54"/>
      <c r="I288" s="235"/>
      <c r="J288" s="54"/>
      <c r="K288" s="55"/>
      <c r="L288" s="55"/>
      <c r="M288" s="55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9"/>
    </row>
    <row r="289" spans="6:25" s="205" customFormat="1">
      <c r="F289" s="237"/>
      <c r="H289" s="54"/>
      <c r="I289" s="235"/>
      <c r="J289" s="54"/>
      <c r="K289" s="55"/>
      <c r="L289" s="55"/>
      <c r="M289" s="55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9"/>
    </row>
    <row r="290" spans="6:25" s="205" customFormat="1">
      <c r="F290" s="237"/>
      <c r="H290" s="54"/>
      <c r="I290" s="235"/>
      <c r="J290" s="54"/>
      <c r="K290" s="55"/>
      <c r="L290" s="55"/>
      <c r="M290" s="55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9"/>
    </row>
    <row r="291" spans="6:25" s="205" customFormat="1">
      <c r="F291" s="237"/>
      <c r="H291" s="54"/>
      <c r="I291" s="235"/>
      <c r="J291" s="54"/>
      <c r="K291" s="55"/>
      <c r="L291" s="55"/>
      <c r="M291" s="55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9"/>
    </row>
    <row r="292" spans="6:25" s="205" customFormat="1">
      <c r="F292" s="237"/>
      <c r="H292" s="54"/>
      <c r="I292" s="235"/>
      <c r="J292" s="54"/>
      <c r="K292" s="55"/>
      <c r="L292" s="55"/>
      <c r="M292" s="55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9"/>
    </row>
    <row r="293" spans="6:25" s="205" customFormat="1">
      <c r="F293" s="237"/>
      <c r="H293" s="54"/>
      <c r="I293" s="235"/>
      <c r="J293" s="54"/>
      <c r="K293" s="55"/>
      <c r="L293" s="55"/>
      <c r="M293" s="55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9"/>
    </row>
    <row r="294" spans="6:25" s="205" customFormat="1">
      <c r="F294" s="237"/>
      <c r="H294" s="54"/>
      <c r="I294" s="235"/>
      <c r="J294" s="54"/>
      <c r="K294" s="55"/>
      <c r="L294" s="55"/>
      <c r="M294" s="55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9"/>
    </row>
    <row r="295" spans="6:25" s="205" customFormat="1">
      <c r="F295" s="237"/>
      <c r="H295" s="54"/>
      <c r="I295" s="235"/>
      <c r="J295" s="54"/>
      <c r="K295" s="55"/>
      <c r="L295" s="55"/>
      <c r="M295" s="55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9"/>
    </row>
    <row r="296" spans="6:25">
      <c r="I296" s="235"/>
    </row>
    <row r="297" spans="6:25">
      <c r="I297" s="235"/>
    </row>
    <row r="298" spans="6:25">
      <c r="I298" s="235"/>
    </row>
    <row r="299" spans="6:25">
      <c r="I299" s="235"/>
    </row>
    <row r="300" spans="6:25">
      <c r="I300" s="235"/>
    </row>
    <row r="301" spans="6:25">
      <c r="I301" s="235"/>
    </row>
    <row r="302" spans="6:25">
      <c r="I302" s="235"/>
    </row>
    <row r="303" spans="6:25">
      <c r="I303" s="235"/>
    </row>
    <row r="304" spans="6:25">
      <c r="I304" s="235"/>
    </row>
    <row r="305" spans="9:9">
      <c r="I305" s="235"/>
    </row>
    <row r="306" spans="9:9">
      <c r="I306" s="235"/>
    </row>
    <row r="307" spans="9:9">
      <c r="I307" s="235"/>
    </row>
    <row r="308" spans="9:9">
      <c r="I308" s="235"/>
    </row>
    <row r="309" spans="9:9">
      <c r="I309" s="235"/>
    </row>
    <row r="310" spans="9:9">
      <c r="I310" s="235"/>
    </row>
    <row r="311" spans="9:9">
      <c r="I311" s="235"/>
    </row>
    <row r="312" spans="9:9">
      <c r="I312" s="235"/>
    </row>
    <row r="313" spans="9:9">
      <c r="I313" s="235"/>
    </row>
    <row r="314" spans="9:9">
      <c r="I314" s="235"/>
    </row>
    <row r="315" spans="9:9">
      <c r="I315" s="235"/>
    </row>
    <row r="316" spans="9:9">
      <c r="I316" s="235"/>
    </row>
    <row r="317" spans="9:9">
      <c r="I317" s="235"/>
    </row>
    <row r="318" spans="9:9">
      <c r="I318" s="235"/>
    </row>
    <row r="319" spans="9:9">
      <c r="I319" s="235"/>
    </row>
    <row r="320" spans="9:9">
      <c r="I320" s="235"/>
    </row>
    <row r="321" spans="9:9">
      <c r="I321" s="235"/>
    </row>
    <row r="322" spans="9:9">
      <c r="I322" s="235"/>
    </row>
    <row r="323" spans="9:9">
      <c r="I323" s="235"/>
    </row>
    <row r="324" spans="9:9">
      <c r="I324" s="235"/>
    </row>
    <row r="325" spans="9:9">
      <c r="I325" s="235"/>
    </row>
    <row r="326" spans="9:9">
      <c r="I326" s="235"/>
    </row>
    <row r="327" spans="9:9">
      <c r="I327" s="235"/>
    </row>
    <row r="328" spans="9:9">
      <c r="I328" s="235"/>
    </row>
    <row r="329" spans="9:9">
      <c r="I329" s="235"/>
    </row>
    <row r="330" spans="9:9">
      <c r="I330" s="235"/>
    </row>
    <row r="331" spans="9:9">
      <c r="I331" s="235"/>
    </row>
    <row r="332" spans="9:9">
      <c r="I332" s="235"/>
    </row>
    <row r="333" spans="9:9">
      <c r="I333" s="235"/>
    </row>
    <row r="334" spans="9:9">
      <c r="I334" s="235"/>
    </row>
    <row r="335" spans="9:9">
      <c r="I335" s="235"/>
    </row>
    <row r="336" spans="9:9">
      <c r="I336" s="235"/>
    </row>
    <row r="337" spans="9:9">
      <c r="I337" s="235"/>
    </row>
    <row r="338" spans="9:9">
      <c r="I338" s="235"/>
    </row>
    <row r="339" spans="9:9">
      <c r="I339" s="235"/>
    </row>
    <row r="340" spans="9:9">
      <c r="I340" s="235"/>
    </row>
    <row r="341" spans="9:9">
      <c r="I341" s="235"/>
    </row>
    <row r="342" spans="9:9">
      <c r="I342" s="235"/>
    </row>
    <row r="343" spans="9:9">
      <c r="I343" s="235"/>
    </row>
    <row r="344" spans="9:9">
      <c r="I344" s="235"/>
    </row>
    <row r="345" spans="9:9">
      <c r="I345" s="235"/>
    </row>
    <row r="346" spans="9:9">
      <c r="I346" s="235"/>
    </row>
    <row r="400" spans="8:8">
      <c r="H400" s="235"/>
    </row>
  </sheetData>
  <sheetProtection formatCells="0" formatColumns="0" formatRows="0" insertRows="0" deleteRows="0" autoFilter="0"/>
  <autoFilter ref="E23:AL398" xr:uid="{00000000-0009-0000-0000-000006000000}"/>
  <mergeCells count="1">
    <mergeCell ref="I4:J4"/>
  </mergeCells>
  <phoneticPr fontId="40"/>
  <dataValidations disablePrompts="1" count="2">
    <dataValidation type="list" allowBlank="1" showInputMessage="1" showErrorMessage="1" sqref="G2" xr:uid="{00000000-0002-0000-0600-000000000000}">
      <formula1>SOCIETE</formula1>
    </dataValidation>
    <dataValidation type="list" allowBlank="1" showInputMessage="1" showErrorMessage="1" sqref="F24:F251" xr:uid="{E4DD1BE8-D1D7-4B23-A573-482FC7F11320}">
      <formula1>Liste</formula1>
    </dataValidation>
  </dataValidations>
  <pageMargins left="0.17" right="0.17" top="0.37" bottom="0.23" header="0.31496062992125984" footer="0.16"/>
  <pageSetup paperSize="9" scale="50" orientation="landscape" r:id="rId1"/>
  <ignoredErrors>
    <ignoredError sqref="H275:H280" unlocked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theme="3" tint="0.59999389629810485"/>
    <pageSetUpPr fitToPage="1"/>
  </sheetPr>
  <dimension ref="E1:AL150"/>
  <sheetViews>
    <sheetView showGridLines="0" topLeftCell="A7" zoomScale="70" zoomScaleNormal="70" workbookViewId="0">
      <selection activeCell="H10" sqref="H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235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206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207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206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41</v>
      </c>
      <c r="H4" s="206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206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January</v>
      </c>
      <c r="H6" s="206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206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8.75" customHeight="1">
      <c r="E8" s="76" t="s">
        <v>197</v>
      </c>
      <c r="F8" s="178" t="str">
        <f>parameters!D4</f>
        <v>k€</v>
      </c>
      <c r="G8" s="64"/>
      <c r="H8" s="269" t="s">
        <v>220</v>
      </c>
      <c r="I8" s="61"/>
      <c r="J8" s="166" t="str">
        <f>+G6&amp;" Turnover"</f>
        <v>January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270" t="str">
        <f>+"from January 1 until end of "&amp;G4</f>
        <v>from January 1 until end of W5</v>
      </c>
      <c r="I9" s="61"/>
      <c r="J9" s="161" t="str">
        <f>+"from "&amp;G6&amp;" 1 until end of "&amp;G4</f>
        <v>from January 1 until end of W5</v>
      </c>
      <c r="K9" s="79"/>
      <c r="L9" s="167" t="str">
        <f>+G6</f>
        <v>January</v>
      </c>
      <c r="M9" s="80"/>
      <c r="N9" s="80"/>
      <c r="O9" s="172" t="str">
        <f>+G4</f>
        <v>W5</v>
      </c>
      <c r="P9" s="173" t="str">
        <f>+VLOOKUP(G4, parameters!$G$9:$I$61,3,0)</f>
        <v>W4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529.36</f>
        <v>529.36</v>
      </c>
      <c r="I10" s="61"/>
      <c r="J10" s="159">
        <f>529.36</f>
        <v>529.36</v>
      </c>
      <c r="L10" s="159">
        <f>J10+N17</f>
        <v>529.36</v>
      </c>
      <c r="N10" s="55"/>
      <c r="O10" s="170">
        <f>+H10+K17</f>
        <v>1578.2000000000003</v>
      </c>
      <c r="P10" s="171" cm="1">
        <f t="array" aca="1" ref="P10" ca="1">INDIRECT(ADDRESS(10,15,,,VLOOKUP($G$4,parameters!$G:$I,3,0)))</f>
        <v>1605.7700840000002</v>
      </c>
      <c r="Q10" s="183">
        <f ca="1">O10-P10</f>
        <v>-27.570083999999952</v>
      </c>
      <c r="R10" s="86"/>
    </row>
    <row r="11" spans="5:38" ht="20.45" customHeight="1">
      <c r="E11" s="87" t="s">
        <v>224</v>
      </c>
      <c r="F11" s="88"/>
      <c r="G11" s="89"/>
      <c r="H11" s="16">
        <v>13.17</v>
      </c>
      <c r="I11" s="61"/>
      <c r="J11" s="16">
        <v>13.17</v>
      </c>
      <c r="L11" s="159">
        <f>J11+N18</f>
        <v>13.17</v>
      </c>
      <c r="N11" s="55"/>
      <c r="O11" s="152">
        <f>+H11+K18</f>
        <v>19.96</v>
      </c>
      <c r="P11" s="153" cm="1">
        <f t="array" aca="1" ref="P11" ca="1">INDIRECT(ADDRESS(11,15,,,VLOOKUP($G$4,parameters!$G:$I,3,0)))</f>
        <v>10.2887355</v>
      </c>
      <c r="Q11" s="184">
        <f t="shared" ref="Q11:Q12" ca="1" si="0">O11-P11</f>
        <v>9.6712645000000013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276">
        <f>SUM(H10:H11)</f>
        <v>542.53</v>
      </c>
      <c r="I12" s="61"/>
      <c r="J12" s="126">
        <f>SUM(J10:J11)</f>
        <v>542.53</v>
      </c>
      <c r="K12" s="65"/>
      <c r="L12" s="126">
        <f>SUM(L10:L11)</f>
        <v>542.53</v>
      </c>
      <c r="M12" s="65"/>
      <c r="N12" s="65"/>
      <c r="O12" s="154">
        <f>SUM(O10:O11)</f>
        <v>1598.1600000000003</v>
      </c>
      <c r="P12" s="155">
        <f ca="1">SUM(P10:P11)</f>
        <v>1616.0588195000003</v>
      </c>
      <c r="Q12" s="156">
        <f t="shared" ca="1" si="0"/>
        <v>-17.898819499999945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206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206"/>
      <c r="I14" s="61"/>
      <c r="J14" s="61"/>
      <c r="N14" s="55"/>
      <c r="W14" s="60"/>
      <c r="X14" s="60"/>
    </row>
    <row r="15" spans="5:38" ht="3.6" customHeight="1">
      <c r="G15" s="61"/>
      <c r="H15" s="206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206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5:38" ht="14.25">
      <c r="E17" s="120" t="s">
        <v>19</v>
      </c>
      <c r="F17" s="121"/>
      <c r="G17" s="121"/>
      <c r="H17" s="212"/>
      <c r="I17" s="121"/>
      <c r="J17" s="108">
        <f>+SUMIF($F$24:$F$63,"External",$J$24:$J$63)</f>
        <v>1048.8400000000001</v>
      </c>
      <c r="K17" s="108">
        <f>+SUMIF($F$24:$F$63,"External",$K$24:$K$63)</f>
        <v>1048.8400000000001</v>
      </c>
      <c r="L17" s="109">
        <f>+SUMIF($F$24:$F$63,"External",$L$24:$L$63)</f>
        <v>0</v>
      </c>
      <c r="M17" s="110"/>
      <c r="N17" s="111">
        <f t="shared" ref="N17:Y17" si="1">+SUMIF($F$24:$F$63,"External",N$24:N$63)</f>
        <v>0</v>
      </c>
      <c r="O17" s="111">
        <f t="shared" si="1"/>
        <v>459.83000000000004</v>
      </c>
      <c r="P17" s="111">
        <f t="shared" si="1"/>
        <v>355.25000000000006</v>
      </c>
      <c r="Q17" s="111">
        <f t="shared" si="1"/>
        <v>173.63000000000002</v>
      </c>
      <c r="R17" s="111">
        <f t="shared" si="1"/>
        <v>9.0500000000000007</v>
      </c>
      <c r="S17" s="111">
        <f t="shared" si="1"/>
        <v>39.07</v>
      </c>
      <c r="T17" s="111">
        <f t="shared" si="1"/>
        <v>12.01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+SUMIF($F$24:$F$63,"External",AA$24:AA$63)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5:38" ht="14.25">
      <c r="E18" s="122" t="s">
        <v>17</v>
      </c>
      <c r="F18" s="123"/>
      <c r="G18" s="123"/>
      <c r="H18" s="213"/>
      <c r="I18" s="123"/>
      <c r="J18" s="113">
        <f>+SUMIF($F$24:$F$63,"Group",$J$24:$J$63)</f>
        <v>6.79</v>
      </c>
      <c r="K18" s="113">
        <f>+SUMIF($F$24:$F$63,"Group",$K$24:$K$63)</f>
        <v>6.79</v>
      </c>
      <c r="L18" s="114">
        <f>SUMIF($F$24:$F$63,"Group",$L$24:$L$63)</f>
        <v>0</v>
      </c>
      <c r="M18" s="110"/>
      <c r="N18" s="114">
        <f t="shared" ref="N18:Y18" si="3">+SUMIF($F$24:$F$63,"Group",N$24:N$63)</f>
        <v>0</v>
      </c>
      <c r="O18" s="114">
        <f t="shared" si="3"/>
        <v>0</v>
      </c>
      <c r="P18" s="114">
        <f t="shared" si="3"/>
        <v>0</v>
      </c>
      <c r="Q18" s="114">
        <f t="shared" si="3"/>
        <v>6.79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+SUMIF($F$24:$F$63,"Group",AA$24:AA$63)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5:38">
      <c r="E19" s="124" t="s">
        <v>226</v>
      </c>
      <c r="F19" s="125"/>
      <c r="G19" s="125"/>
      <c r="H19" s="214"/>
      <c r="I19" s="125"/>
      <c r="J19" s="115">
        <f>SUM(J17:J18)</f>
        <v>1055.6300000000001</v>
      </c>
      <c r="K19" s="115">
        <f>SUM(K17:K18)</f>
        <v>1055.6300000000001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459.83000000000004</v>
      </c>
      <c r="P19" s="116">
        <f t="shared" si="5"/>
        <v>355.25000000000006</v>
      </c>
      <c r="Q19" s="116">
        <f t="shared" si="5"/>
        <v>180.42000000000002</v>
      </c>
      <c r="R19" s="116">
        <f t="shared" si="5"/>
        <v>9.0500000000000007</v>
      </c>
      <c r="S19" s="116">
        <f t="shared" si="5"/>
        <v>39.07</v>
      </c>
      <c r="T19" s="116">
        <f t="shared" si="5"/>
        <v>12.01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5:38" ht="2.4500000000000002" customHeight="1">
      <c r="E20" s="17"/>
      <c r="F20" s="18"/>
      <c r="G20" s="18"/>
      <c r="H20" s="215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5:38" ht="18">
      <c r="E21" s="17"/>
      <c r="F21" s="18"/>
      <c r="G21" s="18"/>
      <c r="H21" s="215"/>
      <c r="I21" s="18" t="s">
        <v>231</v>
      </c>
      <c r="J21" s="25" t="str">
        <f>IF(SUM(J24:J63)=J19,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5:38" ht="2.4500000000000002" customHeight="1">
      <c r="E22" s="17"/>
      <c r="F22" s="18"/>
      <c r="G22" s="18"/>
      <c r="H22" s="215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5:38" s="105" customFormat="1" ht="40.5" customHeight="1">
      <c r="E23" s="106" t="s">
        <v>232</v>
      </c>
      <c r="F23" s="107" t="s">
        <v>188</v>
      </c>
      <c r="G23" s="94" t="s">
        <v>189</v>
      </c>
      <c r="H23" s="232" t="s">
        <v>274</v>
      </c>
      <c r="I23" s="94" t="s">
        <v>275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5:38">
      <c r="E24" s="6" t="s">
        <v>235</v>
      </c>
      <c r="F24" s="7" t="s">
        <v>19</v>
      </c>
      <c r="G24" s="6" t="s">
        <v>346</v>
      </c>
      <c r="H24" s="188" t="s">
        <v>236</v>
      </c>
      <c r="I24" s="188" t="s">
        <v>276</v>
      </c>
      <c r="J24" s="118">
        <f t="shared" ref="J24:J63" si="7">+K24+L24</f>
        <v>7.26</v>
      </c>
      <c r="K24" s="119">
        <f t="shared" ref="K24:K63" si="8">SUM(N24:Y24)</f>
        <v>7.26</v>
      </c>
      <c r="L24" s="119">
        <f t="shared" ref="L24:L63" si="9">SUM(AA24:AL24)</f>
        <v>0</v>
      </c>
      <c r="M24" s="23"/>
      <c r="N24" s="24"/>
      <c r="O24" s="24"/>
      <c r="P24" s="24"/>
      <c r="Q24" s="24">
        <v>7.26</v>
      </c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5:38" ht="15.75" customHeight="1">
      <c r="E25" s="6" t="s">
        <v>237</v>
      </c>
      <c r="F25" s="7" t="s">
        <v>19</v>
      </c>
      <c r="G25" s="6" t="s">
        <v>346</v>
      </c>
      <c r="H25" s="188" t="s">
        <v>236</v>
      </c>
      <c r="I25" s="188" t="s">
        <v>277</v>
      </c>
      <c r="J25" s="118">
        <f t="shared" si="7"/>
        <v>19.09</v>
      </c>
      <c r="K25" s="119">
        <f t="shared" si="8"/>
        <v>19.09</v>
      </c>
      <c r="L25" s="119">
        <f t="shared" si="9"/>
        <v>0</v>
      </c>
      <c r="M25" s="23"/>
      <c r="N25" s="24"/>
      <c r="O25" s="24"/>
      <c r="P25" s="24">
        <v>19.09</v>
      </c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5:38">
      <c r="E26" s="6" t="s">
        <v>237</v>
      </c>
      <c r="F26" s="7" t="s">
        <v>19</v>
      </c>
      <c r="G26" s="6" t="s">
        <v>349</v>
      </c>
      <c r="H26" s="188" t="s">
        <v>236</v>
      </c>
      <c r="I26" s="188" t="s">
        <v>277</v>
      </c>
      <c r="J26" s="118">
        <f t="shared" si="7"/>
        <v>8.07</v>
      </c>
      <c r="K26" s="119">
        <f t="shared" si="8"/>
        <v>8.07</v>
      </c>
      <c r="L26" s="119">
        <f t="shared" si="9"/>
        <v>0</v>
      </c>
      <c r="M26" s="23"/>
      <c r="N26" s="24"/>
      <c r="O26" s="24"/>
      <c r="P26" s="24">
        <v>8.07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5:38">
      <c r="E27" s="6" t="s">
        <v>279</v>
      </c>
      <c r="F27" s="7" t="s">
        <v>19</v>
      </c>
      <c r="G27" s="6" t="s">
        <v>350</v>
      </c>
      <c r="H27" s="189" t="s">
        <v>380</v>
      </c>
      <c r="I27" s="189" t="s">
        <v>280</v>
      </c>
      <c r="J27" s="118">
        <f t="shared" si="7"/>
        <v>5.89</v>
      </c>
      <c r="K27" s="119">
        <f t="shared" si="8"/>
        <v>5.89</v>
      </c>
      <c r="L27" s="119">
        <f t="shared" si="9"/>
        <v>0</v>
      </c>
      <c r="M27" s="23"/>
      <c r="N27" s="24"/>
      <c r="O27" s="24">
        <v>5.89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5:38">
      <c r="E28" s="6" t="s">
        <v>340</v>
      </c>
      <c r="F28" s="7" t="s">
        <v>19</v>
      </c>
      <c r="G28" s="6" t="s">
        <v>352</v>
      </c>
      <c r="H28" s="268" t="s">
        <v>380</v>
      </c>
      <c r="I28" s="268" t="s">
        <v>319</v>
      </c>
      <c r="J28" s="118">
        <f t="shared" si="7"/>
        <v>0.86</v>
      </c>
      <c r="K28" s="119">
        <f t="shared" si="8"/>
        <v>0.86</v>
      </c>
      <c r="L28" s="119">
        <f t="shared" si="9"/>
        <v>0</v>
      </c>
      <c r="M28" s="23"/>
      <c r="N28" s="24"/>
      <c r="O28" s="24"/>
      <c r="P28" s="24">
        <v>0.86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5:38">
      <c r="E29" s="6" t="s">
        <v>285</v>
      </c>
      <c r="F29" s="7" t="s">
        <v>17</v>
      </c>
      <c r="G29" s="6" t="s">
        <v>356</v>
      </c>
      <c r="H29" s="268" t="s">
        <v>380</v>
      </c>
      <c r="I29" s="268" t="s">
        <v>286</v>
      </c>
      <c r="J29" s="118">
        <f t="shared" si="7"/>
        <v>6.79</v>
      </c>
      <c r="K29" s="119">
        <f t="shared" si="8"/>
        <v>6.79</v>
      </c>
      <c r="L29" s="119">
        <f t="shared" si="9"/>
        <v>0</v>
      </c>
      <c r="M29" s="15"/>
      <c r="N29" s="24"/>
      <c r="O29" s="24"/>
      <c r="P29" s="24"/>
      <c r="Q29" s="24">
        <v>6.79</v>
      </c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5:38">
      <c r="E30" s="6" t="s">
        <v>245</v>
      </c>
      <c r="F30" s="7" t="s">
        <v>19</v>
      </c>
      <c r="G30" s="6" t="s">
        <v>381</v>
      </c>
      <c r="H30" s="268" t="s">
        <v>236</v>
      </c>
      <c r="I30" s="268" t="s">
        <v>288</v>
      </c>
      <c r="J30" s="118">
        <f t="shared" si="7"/>
        <v>39.07</v>
      </c>
      <c r="K30" s="119">
        <f t="shared" si="8"/>
        <v>39.07</v>
      </c>
      <c r="L30" s="119">
        <f t="shared" si="9"/>
        <v>0</v>
      </c>
      <c r="M30" s="15"/>
      <c r="N30" s="24"/>
      <c r="O30" s="24"/>
      <c r="P30" s="24"/>
      <c r="Q30" s="24"/>
      <c r="R30" s="24"/>
      <c r="S30" s="24">
        <v>39.07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5:38">
      <c r="E31" s="6" t="s">
        <v>247</v>
      </c>
      <c r="F31" s="7" t="s">
        <v>19</v>
      </c>
      <c r="G31" s="6" t="s">
        <v>382</v>
      </c>
      <c r="H31" s="268" t="s">
        <v>236</v>
      </c>
      <c r="I31" s="268" t="s">
        <v>289</v>
      </c>
      <c r="J31" s="118">
        <f t="shared" si="7"/>
        <v>43.430000000000007</v>
      </c>
      <c r="K31" s="119">
        <f t="shared" si="8"/>
        <v>43.430000000000007</v>
      </c>
      <c r="L31" s="119">
        <f t="shared" si="9"/>
        <v>0</v>
      </c>
      <c r="M31" s="15"/>
      <c r="N31" s="24"/>
      <c r="O31" s="24">
        <v>38.75</v>
      </c>
      <c r="P31" s="24">
        <v>2.34</v>
      </c>
      <c r="Q31" s="24"/>
      <c r="R31" s="24"/>
      <c r="S31" s="24"/>
      <c r="T31" s="24">
        <v>2.34</v>
      </c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5:38">
      <c r="E32" s="6" t="s">
        <v>248</v>
      </c>
      <c r="F32" s="7" t="s">
        <v>19</v>
      </c>
      <c r="G32" s="6" t="s">
        <v>382</v>
      </c>
      <c r="H32" s="268" t="s">
        <v>236</v>
      </c>
      <c r="I32" s="268" t="s">
        <v>290</v>
      </c>
      <c r="J32" s="118">
        <f t="shared" si="7"/>
        <v>3.19</v>
      </c>
      <c r="K32" s="119">
        <f t="shared" si="8"/>
        <v>3.19</v>
      </c>
      <c r="L32" s="119">
        <f t="shared" si="9"/>
        <v>0</v>
      </c>
      <c r="M32" s="15"/>
      <c r="N32" s="24"/>
      <c r="O32" s="24"/>
      <c r="P32" s="24">
        <v>3.19</v>
      </c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249</v>
      </c>
      <c r="F33" s="7" t="s">
        <v>19</v>
      </c>
      <c r="G33" s="6" t="s">
        <v>382</v>
      </c>
      <c r="H33" s="268" t="s">
        <v>236</v>
      </c>
      <c r="I33" s="268" t="s">
        <v>291</v>
      </c>
      <c r="J33" s="118">
        <f t="shared" si="7"/>
        <v>91.86</v>
      </c>
      <c r="K33" s="119">
        <f t="shared" si="8"/>
        <v>91.86</v>
      </c>
      <c r="L33" s="119">
        <f t="shared" si="9"/>
        <v>0</v>
      </c>
      <c r="M33" s="15"/>
      <c r="N33" s="24"/>
      <c r="O33" s="24">
        <v>87.179999999999993</v>
      </c>
      <c r="P33" s="24">
        <v>2.34</v>
      </c>
      <c r="Q33" s="24"/>
      <c r="R33" s="24"/>
      <c r="S33" s="24"/>
      <c r="T33" s="24">
        <v>2.34</v>
      </c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250</v>
      </c>
      <c r="F34" s="7" t="s">
        <v>19</v>
      </c>
      <c r="G34" s="6" t="s">
        <v>382</v>
      </c>
      <c r="H34" s="268" t="s">
        <v>236</v>
      </c>
      <c r="I34" s="268" t="s">
        <v>292</v>
      </c>
      <c r="J34" s="118">
        <f t="shared" si="7"/>
        <v>22.14</v>
      </c>
      <c r="K34" s="119">
        <f t="shared" si="8"/>
        <v>22.14</v>
      </c>
      <c r="L34" s="119">
        <f t="shared" si="9"/>
        <v>0</v>
      </c>
      <c r="M34" s="15"/>
      <c r="N34" s="24"/>
      <c r="O34" s="24">
        <v>8.41</v>
      </c>
      <c r="P34" s="24">
        <v>2.34</v>
      </c>
      <c r="Q34" s="24"/>
      <c r="R34" s="24">
        <v>9.0500000000000007</v>
      </c>
      <c r="S34" s="24"/>
      <c r="T34" s="24">
        <v>2.34</v>
      </c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293</v>
      </c>
      <c r="F35" s="7" t="s">
        <v>19</v>
      </c>
      <c r="G35" s="6" t="s">
        <v>382</v>
      </c>
      <c r="H35" s="268" t="s">
        <v>236</v>
      </c>
      <c r="I35" s="268" t="s">
        <v>294</v>
      </c>
      <c r="J35" s="118">
        <f t="shared" si="7"/>
        <v>3.37</v>
      </c>
      <c r="K35" s="119">
        <f t="shared" si="8"/>
        <v>3.37</v>
      </c>
      <c r="L35" s="119">
        <f t="shared" si="9"/>
        <v>0</v>
      </c>
      <c r="M35" s="15"/>
      <c r="N35" s="24"/>
      <c r="O35" s="24">
        <v>0.09</v>
      </c>
      <c r="P35" s="24">
        <v>1.64</v>
      </c>
      <c r="Q35" s="24"/>
      <c r="R35" s="24"/>
      <c r="S35" s="24"/>
      <c r="T35" s="24">
        <v>1.64</v>
      </c>
      <c r="U35" s="24"/>
      <c r="V35" s="24"/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251</v>
      </c>
      <c r="F36" s="7" t="s">
        <v>19</v>
      </c>
      <c r="G36" s="6" t="s">
        <v>382</v>
      </c>
      <c r="H36" s="268" t="s">
        <v>236</v>
      </c>
      <c r="I36" s="268" t="s">
        <v>290</v>
      </c>
      <c r="J36" s="118">
        <f t="shared" si="7"/>
        <v>15.43</v>
      </c>
      <c r="K36" s="119">
        <f t="shared" si="8"/>
        <v>15.43</v>
      </c>
      <c r="L36" s="119">
        <f t="shared" si="9"/>
        <v>0</v>
      </c>
      <c r="M36" s="15"/>
      <c r="N36" s="24"/>
      <c r="O36" s="24">
        <v>0.9</v>
      </c>
      <c r="P36" s="24">
        <v>13.02</v>
      </c>
      <c r="Q36" s="24"/>
      <c r="R36" s="24"/>
      <c r="S36" s="24"/>
      <c r="T36" s="24">
        <v>1.51</v>
      </c>
      <c r="U36" s="24"/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252</v>
      </c>
      <c r="F37" s="7" t="s">
        <v>19</v>
      </c>
      <c r="G37" s="6" t="s">
        <v>382</v>
      </c>
      <c r="H37" s="268" t="s">
        <v>236</v>
      </c>
      <c r="I37" s="268" t="s">
        <v>295</v>
      </c>
      <c r="J37" s="118">
        <f t="shared" si="7"/>
        <v>27.070000000000007</v>
      </c>
      <c r="K37" s="119">
        <f t="shared" si="8"/>
        <v>27.070000000000007</v>
      </c>
      <c r="L37" s="119">
        <f t="shared" si="9"/>
        <v>0</v>
      </c>
      <c r="M37" s="15"/>
      <c r="N37" s="24"/>
      <c r="O37" s="24">
        <v>1.01</v>
      </c>
      <c r="P37" s="24">
        <v>25.280000000000005</v>
      </c>
      <c r="Q37" s="24"/>
      <c r="R37" s="24"/>
      <c r="S37" s="24"/>
      <c r="T37" s="24">
        <v>0.78</v>
      </c>
      <c r="U37" s="24"/>
      <c r="V37" s="24"/>
      <c r="W37" s="24"/>
      <c r="X37" s="24"/>
      <c r="Y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245</v>
      </c>
      <c r="F38" s="7" t="s">
        <v>19</v>
      </c>
      <c r="G38" s="6" t="s">
        <v>382</v>
      </c>
      <c r="H38" s="268" t="s">
        <v>236</v>
      </c>
      <c r="I38" s="268" t="s">
        <v>288</v>
      </c>
      <c r="J38" s="118">
        <f t="shared" si="7"/>
        <v>2.12</v>
      </c>
      <c r="K38" s="119">
        <f t="shared" si="8"/>
        <v>2.12</v>
      </c>
      <c r="L38" s="119">
        <f t="shared" si="9"/>
        <v>0</v>
      </c>
      <c r="M38" s="15"/>
      <c r="N38" s="24"/>
      <c r="O38" s="24"/>
      <c r="P38" s="24">
        <v>1.06</v>
      </c>
      <c r="Q38" s="24"/>
      <c r="R38" s="24"/>
      <c r="S38" s="24"/>
      <c r="T38" s="24">
        <v>1.06</v>
      </c>
      <c r="U38" s="24"/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359</v>
      </c>
      <c r="F39" s="7" t="s">
        <v>19</v>
      </c>
      <c r="G39" s="6" t="s">
        <v>360</v>
      </c>
      <c r="H39" s="268" t="s">
        <v>236</v>
      </c>
      <c r="I39" s="268" t="s">
        <v>296</v>
      </c>
      <c r="J39" s="118">
        <f t="shared" si="7"/>
        <v>7.0000000000000007E-2</v>
      </c>
      <c r="K39" s="119">
        <f t="shared" si="8"/>
        <v>7.0000000000000007E-2</v>
      </c>
      <c r="L39" s="119">
        <f t="shared" si="9"/>
        <v>0</v>
      </c>
      <c r="M39" s="15"/>
      <c r="N39" s="24"/>
      <c r="O39" s="24">
        <v>7.0000000000000007E-2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245</v>
      </c>
      <c r="F40" s="7" t="s">
        <v>19</v>
      </c>
      <c r="G40" s="6" t="s">
        <v>361</v>
      </c>
      <c r="H40" s="188" t="s">
        <v>236</v>
      </c>
      <c r="I40" s="188" t="s">
        <v>288</v>
      </c>
      <c r="J40" s="118">
        <f t="shared" si="7"/>
        <v>155.09000000000003</v>
      </c>
      <c r="K40" s="119">
        <f t="shared" si="8"/>
        <v>155.09000000000003</v>
      </c>
      <c r="L40" s="119">
        <f t="shared" si="9"/>
        <v>0</v>
      </c>
      <c r="M40" s="15"/>
      <c r="N40" s="24"/>
      <c r="O40" s="24"/>
      <c r="P40" s="24">
        <v>155.09000000000003</v>
      </c>
      <c r="Q40" s="24"/>
      <c r="R40" s="24"/>
      <c r="S40" s="24"/>
      <c r="T40" s="24"/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247</v>
      </c>
      <c r="F41" s="7" t="s">
        <v>19</v>
      </c>
      <c r="G41" s="6" t="s">
        <v>362</v>
      </c>
      <c r="H41" s="188" t="s">
        <v>236</v>
      </c>
      <c r="I41" s="188" t="s">
        <v>289</v>
      </c>
      <c r="J41" s="118">
        <f t="shared" si="7"/>
        <v>3.55</v>
      </c>
      <c r="K41" s="119">
        <f t="shared" si="8"/>
        <v>3.55</v>
      </c>
      <c r="L41" s="119">
        <f t="shared" si="9"/>
        <v>0</v>
      </c>
      <c r="M41" s="15"/>
      <c r="N41" s="24"/>
      <c r="O41" s="24">
        <v>3.55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301</v>
      </c>
      <c r="F42" s="7" t="s">
        <v>19</v>
      </c>
      <c r="G42" s="6" t="s">
        <v>364</v>
      </c>
      <c r="H42" s="268" t="s">
        <v>236</v>
      </c>
      <c r="I42" s="268" t="s">
        <v>302</v>
      </c>
      <c r="J42" s="118">
        <f t="shared" si="7"/>
        <v>54.19</v>
      </c>
      <c r="K42" s="119">
        <f t="shared" si="8"/>
        <v>54.19</v>
      </c>
      <c r="L42" s="119">
        <f t="shared" si="9"/>
        <v>0</v>
      </c>
      <c r="M42" s="15"/>
      <c r="N42" s="24"/>
      <c r="O42" s="24">
        <v>54.19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256</v>
      </c>
      <c r="F43" s="7" t="s">
        <v>19</v>
      </c>
      <c r="G43" s="6" t="s">
        <v>365</v>
      </c>
      <c r="H43" s="268" t="s">
        <v>236</v>
      </c>
      <c r="I43" s="268" t="s">
        <v>303</v>
      </c>
      <c r="J43" s="118">
        <f t="shared" si="7"/>
        <v>111.48</v>
      </c>
      <c r="K43" s="119">
        <f t="shared" si="8"/>
        <v>111.48</v>
      </c>
      <c r="L43" s="119">
        <f t="shared" si="9"/>
        <v>0</v>
      </c>
      <c r="M43" s="15"/>
      <c r="N43" s="24"/>
      <c r="O43" s="24">
        <v>32.209999999999994</v>
      </c>
      <c r="P43" s="24">
        <v>79.27000000000001</v>
      </c>
      <c r="Q43" s="24"/>
      <c r="R43" s="24"/>
      <c r="S43" s="24"/>
      <c r="T43" s="24"/>
      <c r="U43" s="24"/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304</v>
      </c>
      <c r="F44" s="7" t="s">
        <v>19</v>
      </c>
      <c r="G44" s="6" t="s">
        <v>365</v>
      </c>
      <c r="H44" s="268" t="s">
        <v>380</v>
      </c>
      <c r="I44" s="268" t="s">
        <v>319</v>
      </c>
      <c r="J44" s="118">
        <f t="shared" si="7"/>
        <v>17</v>
      </c>
      <c r="K44" s="119">
        <f t="shared" si="8"/>
        <v>17</v>
      </c>
      <c r="L44" s="119">
        <f t="shared" si="9"/>
        <v>0</v>
      </c>
      <c r="M44" s="15"/>
      <c r="N44" s="24"/>
      <c r="O44" s="24">
        <v>0.33</v>
      </c>
      <c r="P44" s="24">
        <v>16.670000000000002</v>
      </c>
      <c r="Q44" s="24"/>
      <c r="R44" s="24"/>
      <c r="S44" s="24"/>
      <c r="T44" s="24"/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258</v>
      </c>
      <c r="F45" s="7" t="s">
        <v>19</v>
      </c>
      <c r="G45" s="6" t="s">
        <v>367</v>
      </c>
      <c r="H45" s="268" t="s">
        <v>236</v>
      </c>
      <c r="I45" s="268" t="s">
        <v>306</v>
      </c>
      <c r="J45" s="118">
        <f t="shared" si="7"/>
        <v>24.020000000000003</v>
      </c>
      <c r="K45" s="119">
        <f t="shared" si="8"/>
        <v>24.020000000000003</v>
      </c>
      <c r="L45" s="119">
        <f t="shared" si="9"/>
        <v>0</v>
      </c>
      <c r="M45" s="15"/>
      <c r="N45" s="24"/>
      <c r="O45" s="24">
        <v>24.020000000000003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258</v>
      </c>
      <c r="F46" s="7" t="s">
        <v>19</v>
      </c>
      <c r="G46" s="6" t="s">
        <v>368</v>
      </c>
      <c r="H46" s="268" t="s">
        <v>236</v>
      </c>
      <c r="I46" s="268" t="s">
        <v>306</v>
      </c>
      <c r="J46" s="118">
        <f t="shared" si="7"/>
        <v>38.24</v>
      </c>
      <c r="K46" s="119">
        <f t="shared" si="8"/>
        <v>38.24</v>
      </c>
      <c r="L46" s="119">
        <f t="shared" si="9"/>
        <v>0</v>
      </c>
      <c r="M46" s="15"/>
      <c r="N46" s="24"/>
      <c r="O46" s="24">
        <v>5.65</v>
      </c>
      <c r="P46" s="24">
        <v>10.14</v>
      </c>
      <c r="Q46" s="24">
        <v>22.450000000000003</v>
      </c>
      <c r="R46" s="24"/>
      <c r="S46" s="24"/>
      <c r="T46" s="24"/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261</v>
      </c>
      <c r="F47" s="7" t="s">
        <v>19</v>
      </c>
      <c r="G47" s="6" t="s">
        <v>369</v>
      </c>
      <c r="H47" s="268" t="s">
        <v>380</v>
      </c>
      <c r="I47" s="268" t="s">
        <v>307</v>
      </c>
      <c r="J47" s="118">
        <f t="shared" si="7"/>
        <v>10.1</v>
      </c>
      <c r="K47" s="119">
        <f t="shared" si="8"/>
        <v>10.1</v>
      </c>
      <c r="L47" s="119">
        <f t="shared" si="9"/>
        <v>0</v>
      </c>
      <c r="M47" s="15"/>
      <c r="N47" s="24"/>
      <c r="O47" s="24">
        <v>10.1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261</v>
      </c>
      <c r="F48" s="7" t="s">
        <v>19</v>
      </c>
      <c r="G48" s="6" t="s">
        <v>369</v>
      </c>
      <c r="H48" s="268" t="s">
        <v>236</v>
      </c>
      <c r="I48" s="268" t="s">
        <v>307</v>
      </c>
      <c r="J48" s="118">
        <f t="shared" si="7"/>
        <v>19.48</v>
      </c>
      <c r="K48" s="119">
        <f t="shared" si="8"/>
        <v>19.48</v>
      </c>
      <c r="L48" s="119">
        <f t="shared" si="9"/>
        <v>0</v>
      </c>
      <c r="M48" s="15"/>
      <c r="N48" s="24"/>
      <c r="O48" s="24">
        <v>19.48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370</v>
      </c>
      <c r="F49" s="7" t="s">
        <v>19</v>
      </c>
      <c r="G49" s="6" t="s">
        <v>369</v>
      </c>
      <c r="H49" s="268" t="s">
        <v>380</v>
      </c>
      <c r="I49" s="268" t="s">
        <v>308</v>
      </c>
      <c r="J49" s="118">
        <f t="shared" si="7"/>
        <v>1.19</v>
      </c>
      <c r="K49" s="119">
        <f t="shared" si="8"/>
        <v>1.19</v>
      </c>
      <c r="L49" s="119">
        <f t="shared" si="9"/>
        <v>0</v>
      </c>
      <c r="M49" s="15"/>
      <c r="N49" s="24"/>
      <c r="O49" s="24">
        <v>1.19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264</v>
      </c>
      <c r="F50" s="7" t="s">
        <v>19</v>
      </c>
      <c r="G50" s="6" t="s">
        <v>371</v>
      </c>
      <c r="H50" s="268" t="s">
        <v>380</v>
      </c>
      <c r="I50" s="268" t="s">
        <v>310</v>
      </c>
      <c r="J50" s="118">
        <f t="shared" si="7"/>
        <v>33.199999999999996</v>
      </c>
      <c r="K50" s="119">
        <f t="shared" si="8"/>
        <v>33.199999999999996</v>
      </c>
      <c r="L50" s="119">
        <f t="shared" si="9"/>
        <v>0</v>
      </c>
      <c r="M50" s="15"/>
      <c r="N50" s="24"/>
      <c r="O50" s="24">
        <v>2.0699999999999998</v>
      </c>
      <c r="P50" s="24"/>
      <c r="Q50" s="24">
        <v>31.13</v>
      </c>
      <c r="R50" s="24"/>
      <c r="S50" s="24"/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261</v>
      </c>
      <c r="F51" s="7" t="s">
        <v>19</v>
      </c>
      <c r="G51" s="6" t="s">
        <v>371</v>
      </c>
      <c r="H51" s="268" t="s">
        <v>380</v>
      </c>
      <c r="I51" s="268" t="s">
        <v>307</v>
      </c>
      <c r="J51" s="118">
        <f t="shared" si="7"/>
        <v>16.5</v>
      </c>
      <c r="K51" s="119">
        <f t="shared" si="8"/>
        <v>16.5</v>
      </c>
      <c r="L51" s="119">
        <f t="shared" si="9"/>
        <v>0</v>
      </c>
      <c r="M51" s="15"/>
      <c r="N51" s="24"/>
      <c r="O51" s="24"/>
      <c r="P51" s="24"/>
      <c r="Q51" s="24">
        <v>16.5</v>
      </c>
      <c r="R51" s="24"/>
      <c r="S51" s="24"/>
      <c r="T51" s="24"/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372</v>
      </c>
      <c r="F52" s="7" t="s">
        <v>19</v>
      </c>
      <c r="G52" s="6" t="s">
        <v>371</v>
      </c>
      <c r="H52" s="268" t="s">
        <v>380</v>
      </c>
      <c r="I52" s="268" t="s">
        <v>305</v>
      </c>
      <c r="J52" s="118">
        <f t="shared" si="7"/>
        <v>8.9</v>
      </c>
      <c r="K52" s="119">
        <f t="shared" si="8"/>
        <v>8.9</v>
      </c>
      <c r="L52" s="119">
        <f t="shared" si="9"/>
        <v>0</v>
      </c>
      <c r="M52" s="15"/>
      <c r="N52" s="24"/>
      <c r="O52" s="24">
        <v>8.9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266</v>
      </c>
      <c r="F53" s="7" t="s">
        <v>19</v>
      </c>
      <c r="G53" s="6" t="s">
        <v>371</v>
      </c>
      <c r="H53" s="268" t="s">
        <v>380</v>
      </c>
      <c r="I53" s="268" t="s">
        <v>305</v>
      </c>
      <c r="J53" s="118">
        <f t="shared" si="7"/>
        <v>59.74</v>
      </c>
      <c r="K53" s="119">
        <f t="shared" si="8"/>
        <v>59.74</v>
      </c>
      <c r="L53" s="119">
        <f t="shared" si="9"/>
        <v>0</v>
      </c>
      <c r="M53" s="15"/>
      <c r="N53" s="24"/>
      <c r="O53" s="24"/>
      <c r="P53" s="24"/>
      <c r="Q53" s="24">
        <v>59.74</v>
      </c>
      <c r="R53" s="24"/>
      <c r="S53" s="24"/>
      <c r="T53" s="24"/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267</v>
      </c>
      <c r="F54" s="7" t="s">
        <v>19</v>
      </c>
      <c r="G54" s="6" t="s">
        <v>371</v>
      </c>
      <c r="H54" s="268" t="s">
        <v>380</v>
      </c>
      <c r="I54" s="268" t="s">
        <v>305</v>
      </c>
      <c r="J54" s="118">
        <f t="shared" si="7"/>
        <v>8.81</v>
      </c>
      <c r="K54" s="119">
        <f t="shared" si="8"/>
        <v>8.81</v>
      </c>
      <c r="L54" s="119">
        <f t="shared" si="9"/>
        <v>0</v>
      </c>
      <c r="M54" s="15"/>
      <c r="N54" s="24"/>
      <c r="O54" s="24"/>
      <c r="P54" s="24"/>
      <c r="Q54" s="24">
        <v>8.81</v>
      </c>
      <c r="R54" s="24"/>
      <c r="S54" s="24"/>
      <c r="T54" s="24"/>
      <c r="U54" s="24"/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312</v>
      </c>
      <c r="F55" s="7" t="s">
        <v>19</v>
      </c>
      <c r="G55" s="6" t="s">
        <v>371</v>
      </c>
      <c r="H55" s="268" t="s">
        <v>380</v>
      </c>
      <c r="I55" s="268" t="s">
        <v>313</v>
      </c>
      <c r="J55" s="118">
        <f t="shared" si="7"/>
        <v>1.75</v>
      </c>
      <c r="K55" s="119">
        <f t="shared" si="8"/>
        <v>1.75</v>
      </c>
      <c r="L55" s="119">
        <f t="shared" si="9"/>
        <v>0</v>
      </c>
      <c r="M55" s="15"/>
      <c r="N55" s="24"/>
      <c r="O55" s="24">
        <v>1.75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370</v>
      </c>
      <c r="F56" s="7" t="s">
        <v>19</v>
      </c>
      <c r="G56" s="6" t="s">
        <v>371</v>
      </c>
      <c r="H56" s="268" t="s">
        <v>380</v>
      </c>
      <c r="I56" s="268" t="s">
        <v>308</v>
      </c>
      <c r="J56" s="118">
        <f t="shared" si="7"/>
        <v>27.74</v>
      </c>
      <c r="K56" s="119">
        <f t="shared" si="8"/>
        <v>27.74</v>
      </c>
      <c r="L56" s="119">
        <f t="shared" si="9"/>
        <v>0</v>
      </c>
      <c r="N56" s="24"/>
      <c r="O56" s="24"/>
      <c r="P56" s="24"/>
      <c r="Q56" s="24">
        <v>27.74</v>
      </c>
      <c r="R56" s="24"/>
      <c r="S56" s="24"/>
      <c r="T56" s="24"/>
      <c r="U56" s="24"/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315</v>
      </c>
      <c r="F57" s="7" t="s">
        <v>19</v>
      </c>
      <c r="G57" s="6" t="s">
        <v>373</v>
      </c>
      <c r="H57" s="268" t="s">
        <v>380</v>
      </c>
      <c r="I57" s="268" t="s">
        <v>316</v>
      </c>
      <c r="J57" s="118">
        <f t="shared" si="7"/>
        <v>14.85</v>
      </c>
      <c r="K57" s="119">
        <f t="shared" si="8"/>
        <v>14.85</v>
      </c>
      <c r="L57" s="119">
        <f t="shared" si="9"/>
        <v>0</v>
      </c>
      <c r="N57" s="24"/>
      <c r="O57" s="24"/>
      <c r="P57" s="24">
        <v>14.85</v>
      </c>
      <c r="Q57" s="24"/>
      <c r="R57" s="24"/>
      <c r="S57" s="24"/>
      <c r="T57" s="24"/>
      <c r="U57" s="24"/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374</v>
      </c>
      <c r="F58" s="7" t="s">
        <v>19</v>
      </c>
      <c r="G58" s="6" t="s">
        <v>375</v>
      </c>
      <c r="H58" s="268" t="s">
        <v>236</v>
      </c>
      <c r="I58" s="268" t="s">
        <v>317</v>
      </c>
      <c r="J58" s="118">
        <f t="shared" si="7"/>
        <v>57.11</v>
      </c>
      <c r="K58" s="119">
        <f t="shared" si="8"/>
        <v>57.11</v>
      </c>
      <c r="L58" s="119">
        <f t="shared" si="9"/>
        <v>0</v>
      </c>
      <c r="N58" s="24"/>
      <c r="O58" s="24">
        <v>57.11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374</v>
      </c>
      <c r="F59" s="7" t="s">
        <v>19</v>
      </c>
      <c r="G59" s="6" t="s">
        <v>376</v>
      </c>
      <c r="H59" s="268" t="s">
        <v>236</v>
      </c>
      <c r="I59" s="268" t="s">
        <v>317</v>
      </c>
      <c r="J59" s="118">
        <f t="shared" si="7"/>
        <v>42.929999999999986</v>
      </c>
      <c r="K59" s="119">
        <f t="shared" si="8"/>
        <v>42.929999999999986</v>
      </c>
      <c r="L59" s="119">
        <f t="shared" si="9"/>
        <v>0</v>
      </c>
      <c r="N59" s="24"/>
      <c r="O59" s="24">
        <v>42.929999999999986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247</v>
      </c>
      <c r="F60" s="7" t="s">
        <v>19</v>
      </c>
      <c r="G60" s="6" t="s">
        <v>377</v>
      </c>
      <c r="H60" s="268" t="s">
        <v>236</v>
      </c>
      <c r="I60" s="268" t="s">
        <v>289</v>
      </c>
      <c r="J60" s="118">
        <f t="shared" si="7"/>
        <v>3.32</v>
      </c>
      <c r="K60" s="119">
        <f t="shared" si="8"/>
        <v>3.32</v>
      </c>
      <c r="L60" s="119">
        <f t="shared" si="9"/>
        <v>0</v>
      </c>
      <c r="N60" s="24"/>
      <c r="O60" s="24">
        <v>3.32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252</v>
      </c>
      <c r="F61" s="7" t="s">
        <v>19</v>
      </c>
      <c r="G61" s="6" t="s">
        <v>377</v>
      </c>
      <c r="H61" s="268" t="s">
        <v>380</v>
      </c>
      <c r="I61" s="268" t="s">
        <v>295</v>
      </c>
      <c r="J61" s="118">
        <f t="shared" si="7"/>
        <v>22.86</v>
      </c>
      <c r="K61" s="119">
        <f t="shared" si="8"/>
        <v>22.86</v>
      </c>
      <c r="L61" s="119">
        <f t="shared" si="9"/>
        <v>0</v>
      </c>
      <c r="N61" s="24"/>
      <c r="O61" s="24">
        <v>22.86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247</v>
      </c>
      <c r="F62" s="7" t="s">
        <v>19</v>
      </c>
      <c r="G62" s="6" t="s">
        <v>246</v>
      </c>
      <c r="H62" s="268" t="s">
        <v>236</v>
      </c>
      <c r="I62" s="268" t="s">
        <v>289</v>
      </c>
      <c r="J62" s="118">
        <f t="shared" si="7"/>
        <v>27.87</v>
      </c>
      <c r="K62" s="119">
        <f t="shared" si="8"/>
        <v>27.87</v>
      </c>
      <c r="L62" s="119">
        <f t="shared" si="9"/>
        <v>0</v>
      </c>
      <c r="N62" s="24"/>
      <c r="O62" s="24">
        <v>27.87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/>
      <c r="F63" s="7"/>
      <c r="G63" s="6"/>
      <c r="H63" s="233"/>
      <c r="I63" s="11"/>
      <c r="J63" s="118">
        <f t="shared" si="7"/>
        <v>0</v>
      </c>
      <c r="K63" s="119">
        <f t="shared" si="8"/>
        <v>0</v>
      </c>
      <c r="L63" s="119">
        <f t="shared" si="9"/>
        <v>0</v>
      </c>
    </row>
    <row r="65" spans="5:25" ht="15.75">
      <c r="E65" s="191" t="s">
        <v>320</v>
      </c>
      <c r="F65" s="216">
        <v>45992</v>
      </c>
      <c r="G65" s="192">
        <v>271.35000000000002</v>
      </c>
      <c r="H65" s="271" t="s">
        <v>321</v>
      </c>
      <c r="I65" s="266"/>
    </row>
    <row r="66" spans="5:25">
      <c r="E66" s="195" t="s">
        <v>322</v>
      </c>
      <c r="F66" s="217"/>
      <c r="G66" s="196">
        <v>138.52000000000001</v>
      </c>
      <c r="H66" s="271" t="s">
        <v>321</v>
      </c>
      <c r="I66" s="267"/>
    </row>
    <row r="67" spans="5:25">
      <c r="E67" s="195" t="s">
        <v>323</v>
      </c>
      <c r="F67" s="217"/>
      <c r="G67" s="196">
        <v>192.25</v>
      </c>
      <c r="H67" s="271" t="s">
        <v>321</v>
      </c>
      <c r="I67" s="235"/>
    </row>
    <row r="68" spans="5:25">
      <c r="E68" s="191" t="s">
        <v>320</v>
      </c>
      <c r="F68" s="216">
        <v>46022</v>
      </c>
      <c r="G68" s="192">
        <f>G65+G66-G67</f>
        <v>217.62</v>
      </c>
      <c r="H68" s="271" t="s">
        <v>321</v>
      </c>
      <c r="I68" s="235"/>
    </row>
    <row r="69" spans="5:25">
      <c r="E69" s="198"/>
      <c r="F69" s="218"/>
      <c r="G69" s="199"/>
      <c r="H69" s="272"/>
      <c r="I69" s="235"/>
    </row>
    <row r="70" spans="5:25">
      <c r="E70" s="202" t="s">
        <v>324</v>
      </c>
      <c r="F70" s="219"/>
      <c r="G70" s="202"/>
      <c r="H70" s="273" t="s">
        <v>325</v>
      </c>
      <c r="I70" s="235"/>
    </row>
    <row r="71" spans="5:25">
      <c r="E71" s="201" t="s">
        <v>258</v>
      </c>
      <c r="F71" s="220"/>
      <c r="G71" s="201"/>
      <c r="H71" s="274">
        <v>27.630000000000003</v>
      </c>
      <c r="I71" s="235"/>
    </row>
    <row r="72" spans="5:25">
      <c r="E72" s="201" t="s">
        <v>256</v>
      </c>
      <c r="F72" s="220"/>
      <c r="G72" s="201"/>
      <c r="H72" s="274">
        <v>13.959999999999999</v>
      </c>
      <c r="I72" s="235"/>
    </row>
    <row r="73" spans="5:25">
      <c r="E73" s="201" t="s">
        <v>252</v>
      </c>
      <c r="F73" s="220"/>
      <c r="G73" s="201"/>
      <c r="H73" s="274">
        <v>9.66</v>
      </c>
      <c r="I73" s="235"/>
    </row>
    <row r="74" spans="5:25">
      <c r="E74" s="201" t="s">
        <v>370</v>
      </c>
      <c r="F74" s="220"/>
      <c r="G74" s="201"/>
      <c r="H74" s="274">
        <v>27.74</v>
      </c>
      <c r="I74" s="235"/>
    </row>
    <row r="75" spans="5:25">
      <c r="E75" s="201"/>
      <c r="F75" s="220"/>
      <c r="G75" s="201"/>
      <c r="H75" s="274"/>
      <c r="I75" s="235"/>
    </row>
    <row r="76" spans="5:25">
      <c r="E76" s="263" t="s">
        <v>344</v>
      </c>
      <c r="F76" s="264"/>
      <c r="G76" s="263"/>
      <c r="H76" s="275">
        <f>SUM(H71:H75)</f>
        <v>78.989999999999995</v>
      </c>
      <c r="I76" s="235"/>
    </row>
    <row r="77" spans="5:25">
      <c r="I77" s="235"/>
    </row>
    <row r="78" spans="5:25" s="227" customFormat="1">
      <c r="F78" s="278"/>
      <c r="H78" s="279"/>
      <c r="I78" s="279"/>
      <c r="J78" s="280"/>
      <c r="K78" s="281"/>
      <c r="L78" s="281"/>
      <c r="M78" s="281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282"/>
    </row>
    <row r="79" spans="5:25" s="227" customFormat="1">
      <c r="E79" s="151" t="s">
        <v>330</v>
      </c>
      <c r="F79" s="277"/>
      <c r="G79" s="151"/>
      <c r="H79" s="283">
        <f>'W4'!J19</f>
        <v>1263.8100000000002</v>
      </c>
      <c r="I79" s="258"/>
    </row>
    <row r="80" spans="5:25" s="227" customFormat="1">
      <c r="E80" s="151" t="s">
        <v>331</v>
      </c>
      <c r="F80" s="277"/>
      <c r="G80" s="151"/>
      <c r="H80" s="283">
        <f>H76</f>
        <v>78.989999999999995</v>
      </c>
      <c r="I80" s="258"/>
    </row>
    <row r="81" spans="5:25" s="227" customFormat="1">
      <c r="E81" s="151" t="s">
        <v>332</v>
      </c>
      <c r="F81" s="277"/>
      <c r="G81" s="151"/>
      <c r="H81" s="283">
        <f>J12-'W4'!J12</f>
        <v>190.28118049999995</v>
      </c>
      <c r="I81" s="258"/>
    </row>
    <row r="82" spans="5:25" s="227" customFormat="1">
      <c r="E82" s="151" t="s">
        <v>333</v>
      </c>
      <c r="F82" s="277"/>
      <c r="G82" s="151"/>
      <c r="H82" s="283">
        <f>H79+H80-H81</f>
        <v>1152.5188195000003</v>
      </c>
      <c r="I82" s="258"/>
    </row>
    <row r="83" spans="5:25" s="227" customFormat="1">
      <c r="E83" s="151" t="s">
        <v>334</v>
      </c>
      <c r="F83" s="277"/>
      <c r="G83" s="151"/>
      <c r="H83" s="283">
        <f>J19</f>
        <v>1055.6300000000001</v>
      </c>
      <c r="I83" s="258"/>
    </row>
    <row r="84" spans="5:25" s="227" customFormat="1">
      <c r="E84" s="151" t="s">
        <v>335</v>
      </c>
      <c r="F84" s="277"/>
      <c r="G84" s="151"/>
      <c r="H84" s="284">
        <f>H82-H83</f>
        <v>96.888819500000182</v>
      </c>
      <c r="I84" s="259" t="s">
        <v>336</v>
      </c>
    </row>
    <row r="85" spans="5:25" s="227" customFormat="1">
      <c r="E85" s="151"/>
      <c r="F85" s="277"/>
      <c r="G85" s="151"/>
      <c r="H85" s="283"/>
      <c r="I85" s="258" t="s">
        <v>337</v>
      </c>
    </row>
    <row r="86" spans="5:25" s="227" customFormat="1">
      <c r="E86" s="151"/>
      <c r="F86" s="257"/>
      <c r="G86" s="151"/>
      <c r="H86" s="259"/>
      <c r="I86" s="259"/>
      <c r="J86" s="280"/>
      <c r="K86" s="281"/>
      <c r="L86" s="281"/>
      <c r="M86" s="281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282"/>
    </row>
    <row r="87" spans="5:25" s="227" customFormat="1">
      <c r="F87" s="278"/>
      <c r="H87" s="279"/>
      <c r="I87" s="279"/>
      <c r="J87" s="280"/>
      <c r="K87" s="281"/>
      <c r="L87" s="281"/>
      <c r="M87" s="281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282"/>
    </row>
    <row r="88" spans="5:25" s="227" customFormat="1">
      <c r="F88" s="278"/>
      <c r="H88" s="279"/>
      <c r="I88" s="279"/>
      <c r="J88" s="280"/>
      <c r="K88" s="281"/>
      <c r="L88" s="281"/>
      <c r="M88" s="281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282"/>
    </row>
    <row r="89" spans="5:25" s="227" customFormat="1">
      <c r="F89" s="278"/>
      <c r="H89" s="279"/>
      <c r="I89" s="279"/>
      <c r="J89" s="280"/>
      <c r="K89" s="281"/>
      <c r="L89" s="281"/>
      <c r="M89" s="281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282"/>
    </row>
    <row r="90" spans="5:25" s="227" customFormat="1">
      <c r="F90" s="278"/>
      <c r="H90" s="279"/>
      <c r="I90" s="279"/>
      <c r="J90" s="280"/>
      <c r="K90" s="281"/>
      <c r="L90" s="281"/>
      <c r="M90" s="281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282"/>
    </row>
    <row r="91" spans="5:25" s="227" customFormat="1">
      <c r="F91" s="278"/>
      <c r="H91" s="279"/>
      <c r="I91" s="279"/>
      <c r="J91" s="280"/>
      <c r="K91" s="281"/>
      <c r="L91" s="281"/>
      <c r="M91" s="281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282"/>
    </row>
    <row r="92" spans="5:25" s="227" customFormat="1">
      <c r="F92" s="278"/>
      <c r="H92" s="279"/>
      <c r="I92" s="279"/>
      <c r="J92" s="280"/>
      <c r="K92" s="281"/>
      <c r="L92" s="281"/>
      <c r="M92" s="281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282"/>
    </row>
    <row r="93" spans="5:25" s="227" customFormat="1">
      <c r="F93" s="278"/>
      <c r="H93" s="279"/>
      <c r="I93" s="279"/>
      <c r="J93" s="280"/>
      <c r="K93" s="281"/>
      <c r="L93" s="281"/>
      <c r="M93" s="281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282"/>
    </row>
    <row r="94" spans="5:25" s="227" customFormat="1">
      <c r="F94" s="278"/>
      <c r="H94" s="279"/>
      <c r="I94" s="279"/>
      <c r="J94" s="280"/>
      <c r="K94" s="281"/>
      <c r="L94" s="281"/>
      <c r="M94" s="281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282"/>
    </row>
    <row r="95" spans="5:25" s="227" customFormat="1">
      <c r="E95" s="151" t="s">
        <v>331</v>
      </c>
      <c r="F95" s="278"/>
      <c r="H95" s="279"/>
      <c r="I95" s="279"/>
      <c r="J95" s="280"/>
      <c r="K95" s="281"/>
      <c r="L95" s="281"/>
      <c r="M95" s="281"/>
      <c r="N95" s="73"/>
      <c r="O95" s="73"/>
      <c r="P95" s="73"/>
      <c r="Q95" s="73"/>
      <c r="R95" s="73">
        <v>10</v>
      </c>
      <c r="S95" s="73"/>
      <c r="T95" s="73"/>
      <c r="U95" s="73"/>
      <c r="V95" s="73"/>
      <c r="W95" s="73"/>
      <c r="X95" s="73"/>
      <c r="Y95" s="282"/>
    </row>
    <row r="96" spans="5:25" s="227" customFormat="1">
      <c r="F96" s="278"/>
      <c r="H96" s="279"/>
      <c r="I96" s="279"/>
      <c r="J96" s="280"/>
      <c r="K96" s="281"/>
      <c r="L96" s="281"/>
      <c r="M96" s="281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282"/>
    </row>
    <row r="97" spans="6:25" s="227" customFormat="1">
      <c r="F97" s="278"/>
      <c r="H97" s="279"/>
      <c r="I97" s="279"/>
      <c r="J97" s="280"/>
      <c r="K97" s="281"/>
      <c r="L97" s="281"/>
      <c r="M97" s="281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282"/>
    </row>
    <row r="98" spans="6:25" s="227" customFormat="1">
      <c r="F98" s="278"/>
      <c r="H98" s="279"/>
      <c r="I98" s="279"/>
      <c r="J98" s="280"/>
      <c r="K98" s="281"/>
      <c r="L98" s="281"/>
      <c r="M98" s="281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282"/>
    </row>
    <row r="99" spans="6:25" s="227" customFormat="1">
      <c r="F99" s="278"/>
      <c r="H99" s="279"/>
      <c r="I99" s="279"/>
      <c r="J99" s="280"/>
      <c r="K99" s="281"/>
      <c r="L99" s="281"/>
      <c r="M99" s="281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282"/>
    </row>
    <row r="100" spans="6:25" s="227" customFormat="1">
      <c r="F100" s="278"/>
      <c r="H100" s="279"/>
      <c r="I100" s="279"/>
      <c r="J100" s="280"/>
      <c r="K100" s="281"/>
      <c r="L100" s="281"/>
      <c r="M100" s="281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282"/>
    </row>
    <row r="101" spans="6:25" s="227" customFormat="1">
      <c r="F101" s="278"/>
      <c r="H101" s="279"/>
      <c r="I101" s="279"/>
      <c r="J101" s="280"/>
      <c r="K101" s="281"/>
      <c r="L101" s="281"/>
      <c r="M101" s="281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282"/>
    </row>
    <row r="102" spans="6:25" s="227" customFormat="1">
      <c r="F102" s="278"/>
      <c r="H102" s="279"/>
      <c r="I102" s="279"/>
      <c r="J102" s="280"/>
      <c r="K102" s="281"/>
      <c r="L102" s="281"/>
      <c r="M102" s="281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282"/>
    </row>
    <row r="103" spans="6:25" s="227" customFormat="1">
      <c r="F103" s="278"/>
      <c r="H103" s="279"/>
      <c r="I103" s="279"/>
      <c r="J103" s="280"/>
      <c r="K103" s="281"/>
      <c r="L103" s="281"/>
      <c r="M103" s="281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282"/>
    </row>
    <row r="104" spans="6:25" s="227" customFormat="1">
      <c r="F104" s="278"/>
      <c r="H104" s="279"/>
      <c r="I104" s="279"/>
      <c r="J104" s="280"/>
      <c r="K104" s="281"/>
      <c r="L104" s="281"/>
      <c r="M104" s="281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282"/>
    </row>
    <row r="105" spans="6:25" s="227" customFormat="1">
      <c r="F105" s="278"/>
      <c r="H105" s="279"/>
      <c r="I105" s="279"/>
      <c r="J105" s="280"/>
      <c r="K105" s="281"/>
      <c r="L105" s="281"/>
      <c r="M105" s="281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282"/>
    </row>
    <row r="106" spans="6:25" s="227" customFormat="1">
      <c r="F106" s="278"/>
      <c r="H106" s="279"/>
      <c r="I106" s="279"/>
      <c r="J106" s="280"/>
      <c r="K106" s="281"/>
      <c r="L106" s="281"/>
      <c r="M106" s="281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282"/>
    </row>
    <row r="107" spans="6:25" s="227" customFormat="1">
      <c r="F107" s="278"/>
      <c r="H107" s="279"/>
      <c r="I107" s="279"/>
      <c r="J107" s="280"/>
      <c r="K107" s="281"/>
      <c r="L107" s="281"/>
      <c r="M107" s="281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282"/>
    </row>
    <row r="108" spans="6:25" s="227" customFormat="1">
      <c r="F108" s="278"/>
      <c r="H108" s="279"/>
      <c r="I108" s="279"/>
      <c r="J108" s="280"/>
      <c r="K108" s="281"/>
      <c r="L108" s="281"/>
      <c r="M108" s="281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282"/>
    </row>
    <row r="109" spans="6:25" s="227" customFormat="1">
      <c r="F109" s="278"/>
      <c r="H109" s="279"/>
      <c r="I109" s="279"/>
      <c r="J109" s="280"/>
      <c r="K109" s="281"/>
      <c r="L109" s="281"/>
      <c r="M109" s="281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282"/>
    </row>
    <row r="110" spans="6:25" s="227" customFormat="1">
      <c r="F110" s="278"/>
      <c r="H110" s="279"/>
      <c r="I110" s="279"/>
      <c r="J110" s="280"/>
      <c r="K110" s="281"/>
      <c r="L110" s="281"/>
      <c r="M110" s="281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282"/>
    </row>
    <row r="111" spans="6:25" s="227" customFormat="1">
      <c r="F111" s="278"/>
      <c r="H111" s="279"/>
      <c r="I111" s="279"/>
      <c r="J111" s="280"/>
      <c r="K111" s="281"/>
      <c r="L111" s="281"/>
      <c r="M111" s="281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282"/>
    </row>
    <row r="112" spans="6:25" s="227" customFormat="1">
      <c r="F112" s="278"/>
      <c r="H112" s="279"/>
      <c r="I112" s="279"/>
      <c r="J112" s="280"/>
      <c r="K112" s="281"/>
      <c r="L112" s="281"/>
      <c r="M112" s="281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282"/>
    </row>
    <row r="113" spans="6:25" s="227" customFormat="1">
      <c r="F113" s="278"/>
      <c r="H113" s="279"/>
      <c r="I113" s="279"/>
      <c r="J113" s="280"/>
      <c r="K113" s="281"/>
      <c r="L113" s="281"/>
      <c r="M113" s="281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282"/>
    </row>
    <row r="114" spans="6:25" s="227" customFormat="1">
      <c r="F114" s="278"/>
      <c r="H114" s="279"/>
      <c r="I114" s="279"/>
      <c r="J114" s="280"/>
      <c r="K114" s="281"/>
      <c r="L114" s="281"/>
      <c r="M114" s="281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282"/>
    </row>
    <row r="115" spans="6:25" s="227" customFormat="1">
      <c r="F115" s="278"/>
      <c r="H115" s="279"/>
      <c r="I115" s="279"/>
      <c r="J115" s="280"/>
      <c r="K115" s="281"/>
      <c r="L115" s="281"/>
      <c r="M115" s="281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282"/>
    </row>
    <row r="116" spans="6:25" s="227" customFormat="1">
      <c r="F116" s="278"/>
      <c r="H116" s="279"/>
      <c r="I116" s="279"/>
      <c r="J116" s="280"/>
      <c r="K116" s="281"/>
      <c r="L116" s="281"/>
      <c r="M116" s="281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282"/>
    </row>
    <row r="117" spans="6:25" s="227" customFormat="1">
      <c r="F117" s="278"/>
      <c r="H117" s="279"/>
      <c r="I117" s="279"/>
      <c r="J117" s="280"/>
      <c r="K117" s="281"/>
      <c r="L117" s="281"/>
      <c r="M117" s="281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282"/>
    </row>
    <row r="118" spans="6:25" s="227" customFormat="1">
      <c r="F118" s="278"/>
      <c r="H118" s="279"/>
      <c r="I118" s="279"/>
      <c r="J118" s="280"/>
      <c r="K118" s="281"/>
      <c r="L118" s="281"/>
      <c r="M118" s="281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282"/>
    </row>
    <row r="119" spans="6:25" s="227" customFormat="1">
      <c r="F119" s="278"/>
      <c r="H119" s="279"/>
      <c r="I119" s="279"/>
      <c r="J119" s="280"/>
      <c r="K119" s="281"/>
      <c r="L119" s="281"/>
      <c r="M119" s="281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282"/>
    </row>
    <row r="120" spans="6:25" s="227" customFormat="1">
      <c r="F120" s="278"/>
      <c r="H120" s="279"/>
      <c r="I120" s="279"/>
      <c r="J120" s="280"/>
      <c r="K120" s="281"/>
      <c r="L120" s="281"/>
      <c r="M120" s="281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282"/>
    </row>
    <row r="121" spans="6:25" s="227" customFormat="1">
      <c r="F121" s="278"/>
      <c r="H121" s="279"/>
      <c r="I121" s="279"/>
      <c r="J121" s="280"/>
      <c r="K121" s="281"/>
      <c r="L121" s="281"/>
      <c r="M121" s="281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282"/>
    </row>
    <row r="122" spans="6:25" s="227" customFormat="1">
      <c r="F122" s="278"/>
      <c r="H122" s="279"/>
      <c r="I122" s="279"/>
      <c r="J122" s="280"/>
      <c r="K122" s="281"/>
      <c r="L122" s="281"/>
      <c r="M122" s="281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282"/>
    </row>
    <row r="123" spans="6:25" s="227" customFormat="1">
      <c r="F123" s="278"/>
      <c r="H123" s="279"/>
      <c r="I123" s="279"/>
      <c r="J123" s="280"/>
      <c r="K123" s="281"/>
      <c r="L123" s="281"/>
      <c r="M123" s="281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282"/>
    </row>
    <row r="124" spans="6:25" s="227" customFormat="1">
      <c r="F124" s="278"/>
      <c r="H124" s="279"/>
      <c r="I124" s="279"/>
      <c r="J124" s="280"/>
      <c r="K124" s="281"/>
      <c r="L124" s="281"/>
      <c r="M124" s="281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282"/>
    </row>
    <row r="125" spans="6:25" s="227" customFormat="1">
      <c r="F125" s="278"/>
      <c r="H125" s="279"/>
      <c r="I125" s="279"/>
      <c r="J125" s="280"/>
      <c r="K125" s="281"/>
      <c r="L125" s="281"/>
      <c r="M125" s="281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282"/>
    </row>
    <row r="126" spans="6:25" s="227" customFormat="1">
      <c r="F126" s="278"/>
      <c r="H126" s="279"/>
      <c r="I126" s="279"/>
      <c r="J126" s="280"/>
      <c r="K126" s="281"/>
      <c r="L126" s="281"/>
      <c r="M126" s="281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282"/>
    </row>
    <row r="127" spans="6:25" s="227" customFormat="1">
      <c r="F127" s="278"/>
      <c r="H127" s="279"/>
      <c r="I127" s="279"/>
      <c r="J127" s="280"/>
      <c r="K127" s="281"/>
      <c r="L127" s="281"/>
      <c r="M127" s="281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282"/>
    </row>
    <row r="128" spans="6:25" s="227" customFormat="1">
      <c r="F128" s="278"/>
      <c r="H128" s="279"/>
      <c r="I128" s="279"/>
      <c r="J128" s="280"/>
      <c r="K128" s="281"/>
      <c r="L128" s="281"/>
      <c r="M128" s="281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282"/>
    </row>
    <row r="129" spans="6:25" s="227" customFormat="1">
      <c r="F129" s="278"/>
      <c r="H129" s="279"/>
      <c r="I129" s="279"/>
      <c r="J129" s="280"/>
      <c r="K129" s="281"/>
      <c r="L129" s="281"/>
      <c r="M129" s="281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282"/>
    </row>
    <row r="130" spans="6:25" s="227" customFormat="1">
      <c r="F130" s="278"/>
      <c r="H130" s="279"/>
      <c r="I130" s="279"/>
      <c r="J130" s="280"/>
      <c r="K130" s="281"/>
      <c r="L130" s="281"/>
      <c r="M130" s="281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282"/>
    </row>
    <row r="131" spans="6:25" s="227" customFormat="1">
      <c r="F131" s="278"/>
      <c r="H131" s="279"/>
      <c r="I131" s="279"/>
      <c r="J131" s="280"/>
      <c r="K131" s="281"/>
      <c r="L131" s="281"/>
      <c r="M131" s="281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282"/>
    </row>
    <row r="132" spans="6:25" s="227" customFormat="1">
      <c r="F132" s="278"/>
      <c r="H132" s="279"/>
      <c r="I132" s="279"/>
      <c r="J132" s="280"/>
      <c r="K132" s="281"/>
      <c r="L132" s="281"/>
      <c r="M132" s="281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282"/>
    </row>
    <row r="133" spans="6:25" s="227" customFormat="1">
      <c r="F133" s="278"/>
      <c r="H133" s="279"/>
      <c r="I133" s="279"/>
      <c r="J133" s="280"/>
      <c r="K133" s="281"/>
      <c r="L133" s="281"/>
      <c r="M133" s="281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282"/>
    </row>
    <row r="134" spans="6:25" s="227" customFormat="1">
      <c r="F134" s="278"/>
      <c r="H134" s="279"/>
      <c r="I134" s="279"/>
      <c r="J134" s="280"/>
      <c r="K134" s="281"/>
      <c r="L134" s="281"/>
      <c r="M134" s="281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282"/>
    </row>
    <row r="135" spans="6:25" s="227" customFormat="1">
      <c r="F135" s="278"/>
      <c r="H135" s="279"/>
      <c r="I135" s="279"/>
      <c r="J135" s="280"/>
      <c r="K135" s="281"/>
      <c r="L135" s="281"/>
      <c r="M135" s="281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282"/>
    </row>
    <row r="136" spans="6:25" s="227" customFormat="1">
      <c r="F136" s="278"/>
      <c r="H136" s="279"/>
      <c r="I136" s="279"/>
      <c r="J136" s="280"/>
      <c r="K136" s="281"/>
      <c r="L136" s="281"/>
      <c r="M136" s="281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282"/>
    </row>
    <row r="137" spans="6:25" s="227" customFormat="1">
      <c r="F137" s="278"/>
      <c r="H137" s="279"/>
      <c r="I137" s="279"/>
      <c r="J137" s="280"/>
      <c r="K137" s="281"/>
      <c r="L137" s="281"/>
      <c r="M137" s="281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282"/>
    </row>
    <row r="138" spans="6:25" s="227" customFormat="1">
      <c r="F138" s="278"/>
      <c r="H138" s="279"/>
      <c r="I138" s="279"/>
      <c r="J138" s="280"/>
      <c r="K138" s="281"/>
      <c r="L138" s="281"/>
      <c r="M138" s="281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282"/>
    </row>
    <row r="139" spans="6:25" s="227" customFormat="1">
      <c r="F139" s="278"/>
      <c r="H139" s="279"/>
      <c r="I139" s="279"/>
      <c r="J139" s="280"/>
      <c r="K139" s="281"/>
      <c r="L139" s="281"/>
      <c r="M139" s="281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282"/>
    </row>
    <row r="140" spans="6:25" s="227" customFormat="1">
      <c r="F140" s="278"/>
      <c r="H140" s="279"/>
      <c r="I140" s="279"/>
      <c r="J140" s="280"/>
      <c r="K140" s="281"/>
      <c r="L140" s="281"/>
      <c r="M140" s="281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282"/>
    </row>
    <row r="141" spans="6:25" s="227" customFormat="1">
      <c r="F141" s="278"/>
      <c r="H141" s="279"/>
      <c r="I141" s="279"/>
      <c r="J141" s="280"/>
      <c r="K141" s="281"/>
      <c r="L141" s="281"/>
      <c r="M141" s="281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282"/>
    </row>
    <row r="142" spans="6:25" s="227" customFormat="1">
      <c r="F142" s="278"/>
      <c r="H142" s="279"/>
      <c r="I142" s="279"/>
      <c r="J142" s="280"/>
      <c r="K142" s="281"/>
      <c r="L142" s="281"/>
      <c r="M142" s="281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282"/>
    </row>
    <row r="143" spans="6:25">
      <c r="I143" s="235"/>
    </row>
    <row r="144" spans="6:25">
      <c r="I144" s="235"/>
    </row>
    <row r="145" spans="9:9">
      <c r="I145" s="235"/>
    </row>
    <row r="146" spans="9:9">
      <c r="I146" s="235"/>
    </row>
    <row r="147" spans="9:9">
      <c r="I147" s="235"/>
    </row>
    <row r="148" spans="9:9">
      <c r="I148" s="235"/>
    </row>
    <row r="149" spans="9:9">
      <c r="I149" s="235"/>
    </row>
    <row r="150" spans="9:9">
      <c r="I150" s="235"/>
    </row>
  </sheetData>
  <sheetProtection formatCells="0" formatColumns="0" formatRows="0" insertRows="0" deleteRows="0" autoFilter="0"/>
  <autoFilter ref="E23:AL201" xr:uid="{00000000-0009-0000-0000-000007000000}"/>
  <mergeCells count="1">
    <mergeCell ref="I4:J4"/>
  </mergeCells>
  <phoneticPr fontId="40"/>
  <dataValidations disablePrompts="1" count="2">
    <dataValidation type="list" allowBlank="1" showInputMessage="1" showErrorMessage="1" sqref="G2" xr:uid="{00000000-0002-0000-0700-000000000000}">
      <formula1>SOCIETE</formula1>
    </dataValidation>
    <dataValidation type="list" allowBlank="1" showInputMessage="1" showErrorMessage="1" sqref="F24:F63" xr:uid="{99573726-6F09-45EE-B728-AD224958B3C5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79:H85" unlocked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theme="4" tint="-0.499984740745262"/>
    <pageSetUpPr fitToPage="1"/>
  </sheetPr>
  <dimension ref="E1:AL141"/>
  <sheetViews>
    <sheetView showGridLines="0" zoomScale="70" zoomScaleNormal="70" workbookViewId="0">
      <selection activeCell="H10" sqref="H10"/>
    </sheetView>
  </sheetViews>
  <sheetFormatPr defaultColWidth="8" defaultRowHeight="15"/>
  <cols>
    <col min="1" max="4" width="4" style="15" customWidth="1"/>
    <col min="5" max="5" width="43.7109375" style="15" customWidth="1"/>
    <col min="6" max="6" width="14.28515625" style="61" customWidth="1"/>
    <col min="7" max="7" width="21.5703125" style="15" customWidth="1"/>
    <col min="8" max="8" width="25.28515625" style="54" customWidth="1"/>
    <col min="9" max="9" width="22.57031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45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February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February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W6</v>
      </c>
      <c r="I9" s="61"/>
      <c r="J9" s="161" t="str">
        <f>+"from "&amp;G6&amp;" 1 until end of "&amp;G4</f>
        <v>from February 1 until end of W6</v>
      </c>
      <c r="K9" s="79"/>
      <c r="L9" s="167" t="str">
        <f>+G6</f>
        <v>February</v>
      </c>
      <c r="M9" s="80"/>
      <c r="N9" s="80"/>
      <c r="O9" s="172" t="str">
        <f>+G4</f>
        <v>W6</v>
      </c>
      <c r="P9" s="173" t="str">
        <f>+VLOOKUP(G4, parameters!$G$9:$I$61,3,0)</f>
        <v>W5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600+J10</f>
        <v>667.29</v>
      </c>
      <c r="I10" s="61"/>
      <c r="J10" s="159">
        <v>67.290000000000006</v>
      </c>
      <c r="L10" s="159">
        <f>J10+O17</f>
        <v>508.44043410000006</v>
      </c>
      <c r="N10" s="55"/>
      <c r="O10" s="170">
        <f>+H10+K17</f>
        <v>1529.6503351000001</v>
      </c>
      <c r="P10" s="171" cm="1">
        <f t="array" aca="1" ref="P10" ca="1">INDIRECT(ADDRESS(10,15,,,VLOOKUP($G$4,parameters!$G:$I,3,0)))</f>
        <v>1578.2000000000003</v>
      </c>
      <c r="Q10" s="183">
        <f ca="1">O10-P10</f>
        <v>-48.549664900000153</v>
      </c>
      <c r="R10" s="86"/>
    </row>
    <row r="11" spans="5:38" ht="20.45" customHeight="1">
      <c r="E11" s="87" t="s">
        <v>224</v>
      </c>
      <c r="F11" s="88"/>
      <c r="G11" s="89"/>
      <c r="H11" s="16">
        <f>13+J11</f>
        <v>15.39</v>
      </c>
      <c r="I11" s="61"/>
      <c r="J11" s="16">
        <v>2.39</v>
      </c>
      <c r="L11" s="16">
        <f>J11+O18</f>
        <v>2.3900100000000002</v>
      </c>
      <c r="N11" s="55"/>
      <c r="O11" s="152">
        <f>+H11+K18</f>
        <v>22.180160000000001</v>
      </c>
      <c r="P11" s="153" cm="1">
        <f t="array" aca="1" ref="P11" ca="1">INDIRECT(ADDRESS(11,15,,,VLOOKUP($G$4,parameters!$G:$I,3,0)))</f>
        <v>19.96</v>
      </c>
      <c r="Q11" s="184">
        <f t="shared" ref="Q11:Q12" ca="1" si="0">O11-P11</f>
        <v>2.2201599999999999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682.68</v>
      </c>
      <c r="I12" s="61"/>
      <c r="J12" s="126">
        <f>SUM(J10:J11)</f>
        <v>69.680000000000007</v>
      </c>
      <c r="K12" s="65"/>
      <c r="L12" s="126">
        <f>SUM(L10:L11)</f>
        <v>510.83044410000008</v>
      </c>
      <c r="M12" s="65"/>
      <c r="N12" s="65"/>
      <c r="O12" s="154">
        <f>SUM(O10:O11)</f>
        <v>1551.8304951</v>
      </c>
      <c r="P12" s="155">
        <f ca="1">SUM(P10:P11)</f>
        <v>1598.1600000000003</v>
      </c>
      <c r="Q12" s="156">
        <f t="shared" ca="1" si="0"/>
        <v>-46.329504900000302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293">
        <f>H12-J12</f>
        <v>613</v>
      </c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5:38" ht="14.25">
      <c r="E17" s="120" t="s">
        <v>19</v>
      </c>
      <c r="F17" s="121"/>
      <c r="G17" s="121"/>
      <c r="H17" s="121"/>
      <c r="I17" s="121"/>
      <c r="J17" s="108">
        <f>+SUMIF($F$24:$F$70,"External",$J$24:$J$70)</f>
        <v>1045.8097251000002</v>
      </c>
      <c r="K17" s="108">
        <f>+SUMIF($F$24:$F$63,"External",$K$24:$K$63)</f>
        <v>862.36033510000016</v>
      </c>
      <c r="L17" s="109">
        <f>+SUMIF($F$24:$F$63,"External",$L$24:$L$63)</f>
        <v>0</v>
      </c>
      <c r="M17" s="110"/>
      <c r="N17" s="111">
        <f>+SUMIF($F$24:$F$70,"External",N$24:N$70)</f>
        <v>0</v>
      </c>
      <c r="O17" s="111">
        <f>+SUMIF($F$24:$F$70,"External",O$24:O$70)</f>
        <v>441.15043410000004</v>
      </c>
      <c r="P17" s="111">
        <f>+SUMIF($F$24:$F$70,"External",P$24:P$70)</f>
        <v>355.22217099999989</v>
      </c>
      <c r="Q17" s="111">
        <f t="shared" ref="Q17:U17" si="1">+SUMIF($F$24:$F$70,"External",Q$24:Q$70)</f>
        <v>199.32363000000001</v>
      </c>
      <c r="R17" s="111">
        <f t="shared" si="1"/>
        <v>9.0353000000000012</v>
      </c>
      <c r="S17" s="111">
        <f t="shared" si="1"/>
        <v>29.089639999999999</v>
      </c>
      <c r="T17" s="111">
        <f t="shared" si="1"/>
        <v>11.98855</v>
      </c>
      <c r="U17" s="111">
        <f t="shared" si="1"/>
        <v>0</v>
      </c>
      <c r="V17" s="111">
        <f>+SUMIF($F$24:$F$63,"External",V$24:V$63)</f>
        <v>0</v>
      </c>
      <c r="W17" s="111">
        <f>+SUMIF($F$24:$F$63,"External",W$24:W$63)</f>
        <v>0</v>
      </c>
      <c r="X17" s="111">
        <f>+SUMIF($F$24:$F$63,"External",X$24:X$63)</f>
        <v>0</v>
      </c>
      <c r="Y17" s="111">
        <f>+SUMIF($F$24:$F$63,"External",Y$24:Y$63)</f>
        <v>0</v>
      </c>
      <c r="Z17" s="112"/>
      <c r="AA17" s="111">
        <f t="shared" ref="AA17:AL17" si="2">+SUMIF($F$24:$F$63,"External",AA$24:AA$63)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5:38" ht="14.25">
      <c r="E18" s="122" t="s">
        <v>17</v>
      </c>
      <c r="F18" s="123"/>
      <c r="G18" s="123"/>
      <c r="H18" s="123"/>
      <c r="I18" s="123"/>
      <c r="J18" s="113">
        <f>+SUMIF($F$24:$F$63,"Group",$J$24:$J$63)</f>
        <v>6.7901599999999993</v>
      </c>
      <c r="K18" s="113">
        <f>+SUMIF($F$24:$F$63,"Group",$K$24:$K$63)</f>
        <v>6.7901599999999993</v>
      </c>
      <c r="L18" s="114">
        <f>SUMIF($F$24:$F$63,"Group",$L$24:$L$63)</f>
        <v>0</v>
      </c>
      <c r="M18" s="110"/>
      <c r="N18" s="114">
        <f>+SUMIF($F$24:$F$70,"Group",N$24:N$70)</f>
        <v>0</v>
      </c>
      <c r="O18" s="114">
        <f>+SUMIF($F$24:$F$70,"Group",O$24:O$70)</f>
        <v>1.0000000000000001E-5</v>
      </c>
      <c r="P18" s="114">
        <f>+SUMIF($F$24:$F$63,"Group",P$24:P$63)</f>
        <v>0</v>
      </c>
      <c r="Q18" s="114">
        <f t="shared" ref="Q18:U18" si="3">+SUMIF($F$24:$F$63,"Group",Q$24:Q$63)</f>
        <v>6.7901499999999997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>+SUMIF($F$24:$F$63,"Group",V$24:V$63)</f>
        <v>0</v>
      </c>
      <c r="W18" s="114">
        <f>+SUMIF($F$24:$F$63,"Group",W$24:W$63)</f>
        <v>0</v>
      </c>
      <c r="X18" s="114">
        <f>+SUMIF($F$24:$F$63,"Group",X$24:X$63)</f>
        <v>0</v>
      </c>
      <c r="Y18" s="114">
        <f>+SUMIF($F$24:$F$63,"Group",Y$24:Y$63)</f>
        <v>0</v>
      </c>
      <c r="Z18" s="112"/>
      <c r="AA18" s="114">
        <f t="shared" ref="AA18:AL18" si="4">+SUMIF($F$24:$F$63,"Group",AA$24:AA$63)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5:38">
      <c r="E19" s="124" t="s">
        <v>226</v>
      </c>
      <c r="F19" s="125"/>
      <c r="G19" s="125"/>
      <c r="H19" s="125"/>
      <c r="I19" s="125"/>
      <c r="J19" s="115">
        <f>SUM(J17:J18)</f>
        <v>1052.5998851000002</v>
      </c>
      <c r="K19" s="115">
        <f>SUM(K17:K18)</f>
        <v>869.15049510000017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441.15044410000002</v>
      </c>
      <c r="P19" s="116">
        <f t="shared" si="5"/>
        <v>355.22217099999989</v>
      </c>
      <c r="Q19" s="116">
        <f t="shared" si="5"/>
        <v>206.11378000000002</v>
      </c>
      <c r="R19" s="116">
        <f t="shared" si="5"/>
        <v>9.0353000000000012</v>
      </c>
      <c r="S19" s="116">
        <f t="shared" si="5"/>
        <v>29.089639999999999</v>
      </c>
      <c r="T19" s="116">
        <f t="shared" si="5"/>
        <v>11.98855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5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5:38" ht="18">
      <c r="E21" s="17"/>
      <c r="F21" s="18"/>
      <c r="G21" s="18"/>
      <c r="H21" s="18"/>
      <c r="I21" s="18" t="s">
        <v>231</v>
      </c>
      <c r="J21" s="25" t="str">
        <f>IF(SUM(J24:J70)=J19,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5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5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5:38">
      <c r="E24" s="187" t="s">
        <v>346</v>
      </c>
      <c r="F24" s="187" t="s">
        <v>19</v>
      </c>
      <c r="G24" s="187" t="s">
        <v>338</v>
      </c>
      <c r="H24" s="188" t="s">
        <v>383</v>
      </c>
      <c r="I24" s="188" t="s">
        <v>380</v>
      </c>
      <c r="J24" s="118">
        <f t="shared" ref="J24:J63" si="7">+K24+L24</f>
        <v>0</v>
      </c>
      <c r="K24" s="119">
        <f t="shared" ref="K24:K63" si="8">SUM(N24:Y24)</f>
        <v>0</v>
      </c>
      <c r="L24" s="119">
        <f>SUM(AA24:AL24)</f>
        <v>0</v>
      </c>
      <c r="M24" s="23"/>
      <c r="N24" s="285">
        <v>0</v>
      </c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5:38" ht="15.75" customHeight="1">
      <c r="E25" s="187" t="s">
        <v>346</v>
      </c>
      <c r="F25" s="187" t="s">
        <v>19</v>
      </c>
      <c r="G25" s="187" t="s">
        <v>235</v>
      </c>
      <c r="H25" s="188" t="s">
        <v>384</v>
      </c>
      <c r="I25" s="188" t="s">
        <v>236</v>
      </c>
      <c r="J25" s="118">
        <f t="shared" si="7"/>
        <v>7.2617500000000001</v>
      </c>
      <c r="K25" s="119">
        <f t="shared" si="8"/>
        <v>7.2617500000000001</v>
      </c>
      <c r="L25" s="119">
        <f t="shared" ref="L25:L63" si="9">SUM(AA25:AL25)</f>
        <v>0</v>
      </c>
      <c r="M25" s="23"/>
      <c r="N25" s="285"/>
      <c r="O25" s="285"/>
      <c r="P25" s="285"/>
      <c r="Q25" s="285">
        <v>7.2617500000000001</v>
      </c>
      <c r="R25" s="285"/>
      <c r="S25" s="285"/>
      <c r="T25" s="285"/>
      <c r="U25" s="285"/>
      <c r="V25" s="285"/>
      <c r="W25" s="285"/>
      <c r="X25" s="285"/>
      <c r="Y25" s="285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5:38">
      <c r="E26" s="187" t="s">
        <v>346</v>
      </c>
      <c r="F26" s="187" t="s">
        <v>19</v>
      </c>
      <c r="G26" s="187" t="s">
        <v>237</v>
      </c>
      <c r="H26" s="188" t="s">
        <v>385</v>
      </c>
      <c r="I26" s="188" t="s">
        <v>236</v>
      </c>
      <c r="J26" s="118">
        <f t="shared" si="7"/>
        <v>19.087499999999999</v>
      </c>
      <c r="K26" s="119">
        <f t="shared" si="8"/>
        <v>19.087499999999999</v>
      </c>
      <c r="L26" s="119">
        <f t="shared" si="9"/>
        <v>0</v>
      </c>
      <c r="M26" s="23"/>
      <c r="N26" s="285"/>
      <c r="O26" s="285"/>
      <c r="P26" s="285">
        <v>19.087499999999999</v>
      </c>
      <c r="Q26" s="285"/>
      <c r="R26" s="285"/>
      <c r="S26" s="285"/>
      <c r="T26" s="285"/>
      <c r="U26" s="285"/>
      <c r="V26" s="285"/>
      <c r="W26" s="285"/>
      <c r="X26" s="285"/>
      <c r="Y26" s="285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5:38">
      <c r="E27" s="187" t="s">
        <v>348</v>
      </c>
      <c r="F27" s="187" t="s">
        <v>19</v>
      </c>
      <c r="G27" s="187" t="s">
        <v>239</v>
      </c>
      <c r="H27" s="188" t="s">
        <v>386</v>
      </c>
      <c r="I27" s="188" t="s">
        <v>236</v>
      </c>
      <c r="J27" s="118">
        <f t="shared" si="7"/>
        <v>0.15439</v>
      </c>
      <c r="K27" s="119">
        <f t="shared" si="8"/>
        <v>0.15439</v>
      </c>
      <c r="L27" s="119">
        <f t="shared" si="9"/>
        <v>0</v>
      </c>
      <c r="M27" s="23"/>
      <c r="N27" s="285">
        <v>0</v>
      </c>
      <c r="O27" s="285">
        <v>0.15439</v>
      </c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5:38">
      <c r="E28" s="187" t="s">
        <v>349</v>
      </c>
      <c r="F28" s="187" t="s">
        <v>19</v>
      </c>
      <c r="G28" s="187" t="s">
        <v>237</v>
      </c>
      <c r="H28" s="189" t="s">
        <v>385</v>
      </c>
      <c r="I28" s="189" t="s">
        <v>236</v>
      </c>
      <c r="J28" s="118">
        <f t="shared" si="7"/>
        <v>8.0682100000000005</v>
      </c>
      <c r="K28" s="119">
        <f t="shared" si="8"/>
        <v>8.0682100000000005</v>
      </c>
      <c r="L28" s="119">
        <f t="shared" si="9"/>
        <v>0</v>
      </c>
      <c r="M28" s="23"/>
      <c r="N28" s="285"/>
      <c r="O28" s="285"/>
      <c r="P28" s="285">
        <v>8.0682100000000005</v>
      </c>
      <c r="Q28" s="285"/>
      <c r="R28" s="285"/>
      <c r="S28" s="285"/>
      <c r="T28" s="285"/>
      <c r="U28" s="285"/>
      <c r="V28" s="285"/>
      <c r="W28" s="285"/>
      <c r="X28" s="285"/>
      <c r="Y28" s="285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5:38">
      <c r="E29" s="187" t="s">
        <v>350</v>
      </c>
      <c r="F29" s="187" t="s">
        <v>19</v>
      </c>
      <c r="G29" s="187" t="s">
        <v>279</v>
      </c>
      <c r="H29" s="268" t="s">
        <v>387</v>
      </c>
      <c r="I29" s="268" t="s">
        <v>380</v>
      </c>
      <c r="J29" s="118">
        <f t="shared" si="7"/>
        <v>5.8856999999999999</v>
      </c>
      <c r="K29" s="119">
        <f t="shared" si="8"/>
        <v>5.8856999999999999</v>
      </c>
      <c r="L29" s="119">
        <f t="shared" si="9"/>
        <v>0</v>
      </c>
      <c r="M29" s="23"/>
      <c r="N29" s="285">
        <v>0</v>
      </c>
      <c r="O29" s="285">
        <v>5.8856999999999999</v>
      </c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5:38">
      <c r="E30" s="187" t="s">
        <v>351</v>
      </c>
      <c r="F30" s="187" t="s">
        <v>19</v>
      </c>
      <c r="G30" s="187" t="s">
        <v>282</v>
      </c>
      <c r="H30" s="268" t="s">
        <v>388</v>
      </c>
      <c r="I30" s="268" t="s">
        <v>380</v>
      </c>
      <c r="J30" s="118">
        <f t="shared" si="7"/>
        <v>0.42959000000000003</v>
      </c>
      <c r="K30" s="119">
        <f t="shared" si="8"/>
        <v>0.42959000000000003</v>
      </c>
      <c r="L30" s="119">
        <f t="shared" si="9"/>
        <v>0</v>
      </c>
      <c r="M30" s="23"/>
      <c r="N30" s="285"/>
      <c r="O30" s="285">
        <v>0.42959000000000003</v>
      </c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5:38">
      <c r="E31" s="187" t="s">
        <v>352</v>
      </c>
      <c r="F31" s="187" t="s">
        <v>19</v>
      </c>
      <c r="G31" s="187" t="s">
        <v>340</v>
      </c>
      <c r="H31" s="268" t="s">
        <v>389</v>
      </c>
      <c r="I31" s="268" t="s">
        <v>380</v>
      </c>
      <c r="J31" s="118">
        <f t="shared" si="7"/>
        <v>0.85840000000000005</v>
      </c>
      <c r="K31" s="119">
        <f t="shared" si="8"/>
        <v>0.85840000000000005</v>
      </c>
      <c r="L31" s="119">
        <f t="shared" si="9"/>
        <v>0</v>
      </c>
      <c r="M31" s="15"/>
      <c r="N31" s="285"/>
      <c r="O31" s="285"/>
      <c r="P31" s="285">
        <v>0.85840000000000005</v>
      </c>
      <c r="Q31" s="285"/>
      <c r="R31" s="285"/>
      <c r="S31" s="285"/>
      <c r="T31" s="285"/>
      <c r="U31" s="285"/>
      <c r="V31" s="285"/>
      <c r="W31" s="285"/>
      <c r="X31" s="285"/>
      <c r="Y31" s="285"/>
    </row>
    <row r="32" spans="5:38">
      <c r="E32" s="187" t="s">
        <v>353</v>
      </c>
      <c r="F32" s="187" t="s">
        <v>19</v>
      </c>
      <c r="G32" s="187" t="s">
        <v>284</v>
      </c>
      <c r="H32" s="268" t="s">
        <v>383</v>
      </c>
      <c r="I32" s="268" t="s">
        <v>380</v>
      </c>
      <c r="J32" s="118">
        <f t="shared" si="7"/>
        <v>0</v>
      </c>
      <c r="K32" s="119">
        <f t="shared" si="8"/>
        <v>0</v>
      </c>
      <c r="L32" s="119">
        <f t="shared" si="9"/>
        <v>0</v>
      </c>
      <c r="M32" s="15"/>
      <c r="N32" s="285">
        <v>0</v>
      </c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</row>
    <row r="33" spans="5:25">
      <c r="E33" s="187" t="s">
        <v>353</v>
      </c>
      <c r="F33" s="187" t="s">
        <v>19</v>
      </c>
      <c r="G33" s="187" t="s">
        <v>390</v>
      </c>
      <c r="H33" s="268" t="s">
        <v>391</v>
      </c>
      <c r="I33" s="268" t="s">
        <v>380</v>
      </c>
      <c r="J33" s="118">
        <f t="shared" si="7"/>
        <v>0</v>
      </c>
      <c r="K33" s="119">
        <f t="shared" si="8"/>
        <v>0</v>
      </c>
      <c r="L33" s="119">
        <f t="shared" si="9"/>
        <v>0</v>
      </c>
      <c r="M33" s="15"/>
      <c r="N33" s="285">
        <v>0</v>
      </c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</row>
    <row r="34" spans="5:25">
      <c r="E34" s="187" t="s">
        <v>356</v>
      </c>
      <c r="F34" s="187" t="s">
        <v>17</v>
      </c>
      <c r="G34" s="187" t="s">
        <v>284</v>
      </c>
      <c r="H34" s="268" t="s">
        <v>383</v>
      </c>
      <c r="I34" s="268" t="s">
        <v>380</v>
      </c>
      <c r="J34" s="118">
        <f t="shared" si="7"/>
        <v>6.7901599999999993</v>
      </c>
      <c r="K34" s="119">
        <f t="shared" si="8"/>
        <v>6.7901599999999993</v>
      </c>
      <c r="L34" s="119">
        <f t="shared" si="9"/>
        <v>0</v>
      </c>
      <c r="M34" s="15"/>
      <c r="N34" s="285">
        <v>0</v>
      </c>
      <c r="O34" s="285">
        <v>1.0000000000000001E-5</v>
      </c>
      <c r="P34" s="285"/>
      <c r="Q34" s="285">
        <v>6.7901499999999997</v>
      </c>
      <c r="R34" s="285"/>
      <c r="S34" s="285"/>
      <c r="T34" s="285"/>
      <c r="U34" s="285"/>
      <c r="V34" s="285"/>
      <c r="W34" s="285"/>
      <c r="X34" s="285"/>
      <c r="Y34" s="285"/>
    </row>
    <row r="35" spans="5:25">
      <c r="E35" s="187" t="s">
        <v>358</v>
      </c>
      <c r="F35" s="187" t="s">
        <v>17</v>
      </c>
      <c r="G35" s="187" t="s">
        <v>357</v>
      </c>
      <c r="H35" s="268" t="s">
        <v>392</v>
      </c>
      <c r="I35" s="268" t="s">
        <v>236</v>
      </c>
      <c r="J35" s="118">
        <f t="shared" si="7"/>
        <v>0</v>
      </c>
      <c r="K35" s="119">
        <f t="shared" si="8"/>
        <v>0</v>
      </c>
      <c r="L35" s="119">
        <f t="shared" si="9"/>
        <v>0</v>
      </c>
      <c r="M35" s="15"/>
      <c r="N35" s="285"/>
      <c r="O35" s="285">
        <v>0</v>
      </c>
      <c r="P35" s="285"/>
      <c r="Q35" s="285"/>
      <c r="R35" s="285"/>
      <c r="S35" s="285"/>
      <c r="T35" s="285"/>
      <c r="U35" s="285"/>
      <c r="V35" s="285"/>
      <c r="W35" s="285"/>
      <c r="X35" s="285"/>
      <c r="Y35" s="285"/>
    </row>
    <row r="36" spans="5:25">
      <c r="E36" s="187" t="s">
        <v>360</v>
      </c>
      <c r="F36" s="187" t="s">
        <v>19</v>
      </c>
      <c r="G36" s="187" t="s">
        <v>359</v>
      </c>
      <c r="H36" s="268" t="s">
        <v>393</v>
      </c>
      <c r="I36" s="268" t="s">
        <v>236</v>
      </c>
      <c r="J36" s="118">
        <f t="shared" si="7"/>
        <v>0.34366999999999998</v>
      </c>
      <c r="K36" s="119">
        <f t="shared" si="8"/>
        <v>0.34366999999999998</v>
      </c>
      <c r="L36" s="119">
        <f t="shared" si="9"/>
        <v>0</v>
      </c>
      <c r="M36" s="15"/>
      <c r="N36" s="285"/>
      <c r="O36" s="285">
        <v>0.34366999999999998</v>
      </c>
      <c r="P36" s="285"/>
      <c r="Q36" s="285"/>
      <c r="R36" s="285"/>
      <c r="S36" s="285"/>
      <c r="T36" s="285"/>
      <c r="U36" s="285"/>
      <c r="V36" s="285"/>
      <c r="W36" s="285"/>
      <c r="X36" s="285"/>
      <c r="Y36" s="285"/>
    </row>
    <row r="37" spans="5:25">
      <c r="E37" s="187" t="s">
        <v>361</v>
      </c>
      <c r="F37" s="187" t="s">
        <v>19</v>
      </c>
      <c r="G37" s="187" t="s">
        <v>245</v>
      </c>
      <c r="H37" s="268" t="s">
        <v>394</v>
      </c>
      <c r="I37" s="268" t="s">
        <v>236</v>
      </c>
      <c r="J37" s="118">
        <f t="shared" si="7"/>
        <v>155.09715</v>
      </c>
      <c r="K37" s="119">
        <f t="shared" si="8"/>
        <v>155.09715</v>
      </c>
      <c r="L37" s="119">
        <f t="shared" si="9"/>
        <v>0</v>
      </c>
      <c r="M37" s="15"/>
      <c r="N37" s="285"/>
      <c r="O37" s="285"/>
      <c r="P37" s="285">
        <v>155.09715</v>
      </c>
      <c r="Q37" s="285"/>
      <c r="R37" s="285"/>
      <c r="S37" s="285"/>
      <c r="T37" s="285"/>
      <c r="U37" s="285"/>
      <c r="V37" s="285"/>
      <c r="W37" s="285"/>
      <c r="X37" s="285"/>
      <c r="Y37" s="285"/>
    </row>
    <row r="38" spans="5:25">
      <c r="E38" s="187" t="s">
        <v>362</v>
      </c>
      <c r="F38" s="187" t="s">
        <v>19</v>
      </c>
      <c r="G38" s="187" t="s">
        <v>247</v>
      </c>
      <c r="H38" s="268" t="s">
        <v>395</v>
      </c>
      <c r="I38" s="268" t="s">
        <v>236</v>
      </c>
      <c r="J38" s="118">
        <f t="shared" si="7"/>
        <v>3.5708500000000001</v>
      </c>
      <c r="K38" s="119">
        <f t="shared" si="8"/>
        <v>3.5708500000000001</v>
      </c>
      <c r="L38" s="119">
        <f t="shared" si="9"/>
        <v>0</v>
      </c>
      <c r="M38" s="15"/>
      <c r="N38" s="285"/>
      <c r="O38" s="285">
        <v>3.5708500000000001</v>
      </c>
      <c r="P38" s="285"/>
      <c r="Q38" s="285"/>
      <c r="R38" s="285"/>
      <c r="S38" s="285"/>
      <c r="T38" s="285"/>
      <c r="U38" s="285"/>
      <c r="V38" s="285"/>
      <c r="W38" s="285"/>
      <c r="X38" s="285"/>
      <c r="Y38" s="285"/>
    </row>
    <row r="39" spans="5:25">
      <c r="E39" s="187" t="s">
        <v>363</v>
      </c>
      <c r="F39" s="187" t="s">
        <v>19</v>
      </c>
      <c r="G39" s="187" t="s">
        <v>357</v>
      </c>
      <c r="H39" s="268" t="s">
        <v>392</v>
      </c>
      <c r="I39" s="268" t="s">
        <v>236</v>
      </c>
      <c r="J39" s="118">
        <f t="shared" si="7"/>
        <v>9.2520000000000005E-2</v>
      </c>
      <c r="K39" s="119">
        <f t="shared" si="8"/>
        <v>9.2520000000000005E-2</v>
      </c>
      <c r="L39" s="119">
        <f t="shared" si="9"/>
        <v>0</v>
      </c>
      <c r="M39" s="15"/>
      <c r="N39" s="285">
        <v>0</v>
      </c>
      <c r="O39" s="285">
        <v>9.2520000000000005E-2</v>
      </c>
      <c r="P39" s="285"/>
      <c r="Q39" s="285"/>
      <c r="R39" s="285"/>
      <c r="S39" s="285"/>
      <c r="T39" s="285"/>
      <c r="U39" s="285"/>
      <c r="V39" s="285"/>
      <c r="W39" s="285"/>
      <c r="X39" s="285"/>
      <c r="Y39" s="285"/>
    </row>
    <row r="40" spans="5:25">
      <c r="E40" s="187" t="s">
        <v>364</v>
      </c>
      <c r="F40" s="187" t="s">
        <v>19</v>
      </c>
      <c r="G40" s="187" t="s">
        <v>301</v>
      </c>
      <c r="H40" s="188" t="s">
        <v>396</v>
      </c>
      <c r="I40" s="188" t="s">
        <v>236</v>
      </c>
      <c r="J40" s="118">
        <f t="shared" si="7"/>
        <v>78.782960000000003</v>
      </c>
      <c r="K40" s="119">
        <f t="shared" si="8"/>
        <v>78.782960000000003</v>
      </c>
      <c r="L40" s="119">
        <f t="shared" si="9"/>
        <v>0</v>
      </c>
      <c r="M40" s="15"/>
      <c r="N40" s="285">
        <v>0</v>
      </c>
      <c r="O40" s="285">
        <v>53.123269999999998</v>
      </c>
      <c r="P40" s="285"/>
      <c r="Q40" s="285">
        <v>25.659690000000001</v>
      </c>
      <c r="R40" s="285"/>
      <c r="S40" s="285"/>
      <c r="T40" s="285"/>
      <c r="U40" s="285"/>
      <c r="V40" s="285"/>
      <c r="W40" s="285"/>
      <c r="X40" s="285"/>
      <c r="Y40" s="285"/>
    </row>
    <row r="41" spans="5:25">
      <c r="E41" s="187" t="s">
        <v>365</v>
      </c>
      <c r="F41" s="187" t="s">
        <v>19</v>
      </c>
      <c r="G41" s="187" t="s">
        <v>282</v>
      </c>
      <c r="H41" s="188" t="s">
        <v>388</v>
      </c>
      <c r="I41" s="188" t="s">
        <v>380</v>
      </c>
      <c r="J41" s="118">
        <f t="shared" si="7"/>
        <v>0</v>
      </c>
      <c r="K41" s="119">
        <f t="shared" si="8"/>
        <v>0</v>
      </c>
      <c r="L41" s="119">
        <f t="shared" si="9"/>
        <v>0</v>
      </c>
      <c r="M41" s="15"/>
      <c r="N41" s="285">
        <v>0</v>
      </c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</row>
    <row r="42" spans="5:25">
      <c r="E42" s="187" t="s">
        <v>365</v>
      </c>
      <c r="F42" s="187" t="s">
        <v>19</v>
      </c>
      <c r="G42" s="187" t="s">
        <v>366</v>
      </c>
      <c r="H42" s="189" t="s">
        <v>389</v>
      </c>
      <c r="I42" s="189" t="s">
        <v>380</v>
      </c>
      <c r="J42" s="118">
        <f t="shared" si="7"/>
        <v>0</v>
      </c>
      <c r="K42" s="119">
        <f t="shared" si="8"/>
        <v>0</v>
      </c>
      <c r="L42" s="119">
        <f t="shared" si="9"/>
        <v>0</v>
      </c>
      <c r="M42" s="15"/>
      <c r="N42" s="285">
        <v>0</v>
      </c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</row>
    <row r="43" spans="5:25">
      <c r="E43" s="187" t="s">
        <v>365</v>
      </c>
      <c r="F43" s="187" t="s">
        <v>19</v>
      </c>
      <c r="G43" s="187" t="s">
        <v>256</v>
      </c>
      <c r="H43" s="268" t="s">
        <v>397</v>
      </c>
      <c r="I43" s="268" t="s">
        <v>236</v>
      </c>
      <c r="J43" s="118">
        <f t="shared" si="7"/>
        <v>120.31943000000001</v>
      </c>
      <c r="K43" s="119">
        <f t="shared" si="8"/>
        <v>120.31943000000001</v>
      </c>
      <c r="L43" s="119">
        <f t="shared" si="9"/>
        <v>0</v>
      </c>
      <c r="M43" s="15"/>
      <c r="N43" s="285">
        <v>0</v>
      </c>
      <c r="O43" s="285">
        <v>41.061129999999999</v>
      </c>
      <c r="P43" s="285">
        <v>79.258300000000006</v>
      </c>
      <c r="Q43" s="285"/>
      <c r="R43" s="285"/>
      <c r="S43" s="285"/>
      <c r="T43" s="285"/>
      <c r="U43" s="285"/>
      <c r="V43" s="285"/>
      <c r="W43" s="285"/>
      <c r="X43" s="285"/>
      <c r="Y43" s="285"/>
    </row>
    <row r="44" spans="5:25">
      <c r="E44" s="187" t="s">
        <v>365</v>
      </c>
      <c r="F44" s="187" t="s">
        <v>19</v>
      </c>
      <c r="G44" s="187" t="s">
        <v>304</v>
      </c>
      <c r="H44" s="268" t="s">
        <v>389</v>
      </c>
      <c r="I44" s="268" t="s">
        <v>380</v>
      </c>
      <c r="J44" s="118">
        <f t="shared" si="7"/>
        <v>16.999140000000001</v>
      </c>
      <c r="K44" s="119">
        <f t="shared" si="8"/>
        <v>16.999140000000001</v>
      </c>
      <c r="L44" s="119">
        <f t="shared" si="9"/>
        <v>0</v>
      </c>
      <c r="M44" s="15"/>
      <c r="N44" s="285">
        <v>0</v>
      </c>
      <c r="O44" s="285">
        <v>0.32536999999999999</v>
      </c>
      <c r="P44" s="285">
        <v>16.673770000000001</v>
      </c>
      <c r="Q44" s="285"/>
      <c r="R44" s="285"/>
      <c r="S44" s="285"/>
      <c r="T44" s="285"/>
      <c r="U44" s="285"/>
      <c r="V44" s="285"/>
      <c r="W44" s="285"/>
      <c r="X44" s="285"/>
      <c r="Y44" s="285"/>
    </row>
    <row r="45" spans="5:25">
      <c r="E45" s="187" t="s">
        <v>367</v>
      </c>
      <c r="F45" s="187" t="s">
        <v>19</v>
      </c>
      <c r="G45" s="187" t="s">
        <v>258</v>
      </c>
      <c r="H45" s="268" t="s">
        <v>398</v>
      </c>
      <c r="I45" s="268" t="s">
        <v>236</v>
      </c>
      <c r="J45" s="118">
        <f t="shared" si="7"/>
        <v>23.51726</v>
      </c>
      <c r="K45" s="119">
        <f t="shared" si="8"/>
        <v>23.51726</v>
      </c>
      <c r="L45" s="119">
        <f t="shared" si="9"/>
        <v>0</v>
      </c>
      <c r="M45" s="15"/>
      <c r="N45" s="285">
        <v>0</v>
      </c>
      <c r="O45" s="285">
        <v>23.51726</v>
      </c>
      <c r="P45" s="285"/>
      <c r="Q45" s="285"/>
      <c r="R45" s="285"/>
      <c r="S45" s="285"/>
      <c r="T45" s="285"/>
      <c r="U45" s="285"/>
      <c r="V45" s="285"/>
      <c r="W45" s="285"/>
      <c r="X45" s="285"/>
      <c r="Y45" s="285"/>
    </row>
    <row r="46" spans="5:25">
      <c r="E46" s="187" t="s">
        <v>368</v>
      </c>
      <c r="F46" s="187" t="s">
        <v>19</v>
      </c>
      <c r="G46" s="187" t="s">
        <v>258</v>
      </c>
      <c r="H46" s="268" t="s">
        <v>398</v>
      </c>
      <c r="I46" s="268" t="s">
        <v>236</v>
      </c>
      <c r="J46" s="118">
        <f t="shared" si="7"/>
        <v>38.260919999999999</v>
      </c>
      <c r="K46" s="119">
        <f t="shared" si="8"/>
        <v>38.260919999999999</v>
      </c>
      <c r="L46" s="119">
        <f t="shared" si="9"/>
        <v>0</v>
      </c>
      <c r="M46" s="15"/>
      <c r="N46" s="285">
        <v>0</v>
      </c>
      <c r="O46" s="285">
        <v>5.6463299999999998</v>
      </c>
      <c r="P46" s="285">
        <v>10.14104</v>
      </c>
      <c r="Q46" s="285">
        <v>22.473550000000003</v>
      </c>
      <c r="R46" s="285"/>
      <c r="S46" s="285"/>
      <c r="T46" s="285"/>
      <c r="U46" s="285"/>
      <c r="V46" s="285"/>
      <c r="W46" s="285"/>
      <c r="X46" s="285"/>
      <c r="Y46" s="285"/>
    </row>
    <row r="47" spans="5:25">
      <c r="E47" s="187" t="s">
        <v>369</v>
      </c>
      <c r="F47" s="187" t="s">
        <v>19</v>
      </c>
      <c r="G47" s="187" t="s">
        <v>261</v>
      </c>
      <c r="H47" s="268" t="s">
        <v>399</v>
      </c>
      <c r="I47" s="268" t="s">
        <v>380</v>
      </c>
      <c r="J47" s="118">
        <f t="shared" si="7"/>
        <v>10.10262</v>
      </c>
      <c r="K47" s="119">
        <f t="shared" si="8"/>
        <v>10.10262</v>
      </c>
      <c r="L47" s="119">
        <f t="shared" si="9"/>
        <v>0</v>
      </c>
      <c r="M47" s="15"/>
      <c r="N47" s="285"/>
      <c r="O47" s="285">
        <v>10.10262</v>
      </c>
      <c r="P47" s="285"/>
      <c r="Q47" s="285"/>
      <c r="R47" s="285"/>
      <c r="S47" s="285"/>
      <c r="T47" s="285"/>
      <c r="U47" s="285"/>
      <c r="V47" s="285"/>
      <c r="W47" s="285"/>
      <c r="X47" s="285"/>
      <c r="Y47" s="285"/>
    </row>
    <row r="48" spans="5:25">
      <c r="E48" s="187" t="s">
        <v>369</v>
      </c>
      <c r="F48" s="187" t="s">
        <v>19</v>
      </c>
      <c r="G48" s="187" t="s">
        <v>261</v>
      </c>
      <c r="H48" s="268" t="s">
        <v>399</v>
      </c>
      <c r="I48" s="268" t="s">
        <v>236</v>
      </c>
      <c r="J48" s="118">
        <f t="shared" si="7"/>
        <v>16.752454099999998</v>
      </c>
      <c r="K48" s="119">
        <f t="shared" si="8"/>
        <v>16.752454099999998</v>
      </c>
      <c r="L48" s="119">
        <f t="shared" si="9"/>
        <v>0</v>
      </c>
      <c r="M48" s="15"/>
      <c r="N48" s="285"/>
      <c r="O48" s="285">
        <v>16.752454099999998</v>
      </c>
      <c r="P48" s="285"/>
      <c r="Q48" s="285"/>
      <c r="R48" s="285"/>
      <c r="S48" s="285"/>
      <c r="T48" s="285"/>
      <c r="U48" s="285"/>
      <c r="V48" s="285"/>
      <c r="W48" s="285"/>
      <c r="X48" s="285"/>
      <c r="Y48" s="285"/>
    </row>
    <row r="49" spans="5:25">
      <c r="E49" s="187" t="s">
        <v>369</v>
      </c>
      <c r="F49" s="187" t="s">
        <v>19</v>
      </c>
      <c r="G49" s="187" t="s">
        <v>370</v>
      </c>
      <c r="H49" s="268" t="s">
        <v>400</v>
      </c>
      <c r="I49" s="268" t="s">
        <v>380</v>
      </c>
      <c r="J49" s="118">
        <f t="shared" si="7"/>
        <v>1.19282</v>
      </c>
      <c r="K49" s="119">
        <f t="shared" si="8"/>
        <v>1.19282</v>
      </c>
      <c r="L49" s="119">
        <f t="shared" si="9"/>
        <v>0</v>
      </c>
      <c r="M49" s="15"/>
      <c r="N49" s="285">
        <v>0</v>
      </c>
      <c r="O49" s="285">
        <v>1.19282</v>
      </c>
      <c r="P49" s="285"/>
      <c r="Q49" s="285"/>
      <c r="R49" s="285"/>
      <c r="S49" s="285"/>
      <c r="T49" s="285"/>
      <c r="U49" s="285"/>
      <c r="V49" s="285"/>
      <c r="W49" s="285"/>
      <c r="X49" s="285"/>
      <c r="Y49" s="285"/>
    </row>
    <row r="50" spans="5:25">
      <c r="E50" s="187" t="s">
        <v>371</v>
      </c>
      <c r="F50" s="187" t="s">
        <v>19</v>
      </c>
      <c r="G50" s="187" t="s">
        <v>264</v>
      </c>
      <c r="H50" s="268" t="s">
        <v>401</v>
      </c>
      <c r="I50" s="268" t="s">
        <v>380</v>
      </c>
      <c r="J50" s="118">
        <f t="shared" si="7"/>
        <v>31.13409</v>
      </c>
      <c r="K50" s="119">
        <f t="shared" si="8"/>
        <v>31.13409</v>
      </c>
      <c r="L50" s="119">
        <f t="shared" si="9"/>
        <v>0</v>
      </c>
      <c r="M50" s="15"/>
      <c r="N50" s="285"/>
      <c r="O50" s="285">
        <v>1.0000000000000001E-5</v>
      </c>
      <c r="P50" s="285"/>
      <c r="Q50" s="285">
        <v>31.134080000000001</v>
      </c>
      <c r="R50" s="285"/>
      <c r="S50" s="285"/>
      <c r="T50" s="285"/>
      <c r="U50" s="285"/>
      <c r="V50" s="285"/>
      <c r="W50" s="285"/>
      <c r="X50" s="285"/>
      <c r="Y50" s="285"/>
    </row>
    <row r="51" spans="5:25">
      <c r="E51" s="187" t="s">
        <v>371</v>
      </c>
      <c r="F51" s="187" t="s">
        <v>19</v>
      </c>
      <c r="G51" s="187" t="s">
        <v>261</v>
      </c>
      <c r="H51" s="268" t="s">
        <v>399</v>
      </c>
      <c r="I51" s="268" t="s">
        <v>380</v>
      </c>
      <c r="J51" s="118">
        <f t="shared" si="7"/>
        <v>16.502559999999999</v>
      </c>
      <c r="K51" s="119">
        <f t="shared" si="8"/>
        <v>16.502559999999999</v>
      </c>
      <c r="L51" s="119">
        <f t="shared" si="9"/>
        <v>0</v>
      </c>
      <c r="M51" s="15"/>
      <c r="N51" s="285"/>
      <c r="O51" s="285"/>
      <c r="P51" s="285"/>
      <c r="Q51" s="285">
        <v>16.502559999999999</v>
      </c>
      <c r="R51" s="285"/>
      <c r="S51" s="285"/>
      <c r="T51" s="285"/>
      <c r="U51" s="285"/>
      <c r="V51" s="285"/>
      <c r="W51" s="285"/>
      <c r="X51" s="285"/>
      <c r="Y51" s="285"/>
    </row>
    <row r="52" spans="5:25">
      <c r="E52" s="187" t="s">
        <v>371</v>
      </c>
      <c r="F52" s="187" t="s">
        <v>19</v>
      </c>
      <c r="G52" s="187" t="s">
        <v>372</v>
      </c>
      <c r="H52" s="268" t="s">
        <v>402</v>
      </c>
      <c r="I52" s="268" t="s">
        <v>380</v>
      </c>
      <c r="J52" s="118">
        <f t="shared" si="7"/>
        <v>8.9014299999999995</v>
      </c>
      <c r="K52" s="119">
        <f t="shared" si="8"/>
        <v>8.9014299999999995</v>
      </c>
      <c r="L52" s="119">
        <f t="shared" si="9"/>
        <v>0</v>
      </c>
      <c r="M52" s="15"/>
      <c r="N52" s="285"/>
      <c r="O52" s="285">
        <v>8.9014299999999995</v>
      </c>
      <c r="P52" s="285"/>
      <c r="Q52" s="285"/>
      <c r="R52" s="285"/>
      <c r="S52" s="285"/>
      <c r="T52" s="285"/>
      <c r="U52" s="285"/>
      <c r="V52" s="285"/>
      <c r="W52" s="285"/>
      <c r="X52" s="285"/>
      <c r="Y52" s="285"/>
    </row>
    <row r="53" spans="5:25">
      <c r="E53" s="187" t="s">
        <v>371</v>
      </c>
      <c r="F53" s="187" t="s">
        <v>19</v>
      </c>
      <c r="G53" s="187" t="s">
        <v>266</v>
      </c>
      <c r="H53" s="268" t="s">
        <v>389</v>
      </c>
      <c r="I53" s="268" t="s">
        <v>380</v>
      </c>
      <c r="J53" s="118">
        <f t="shared" si="7"/>
        <v>59.741109999999999</v>
      </c>
      <c r="K53" s="119">
        <f t="shared" si="8"/>
        <v>59.741109999999999</v>
      </c>
      <c r="L53" s="119">
        <f t="shared" si="9"/>
        <v>0</v>
      </c>
      <c r="M53" s="15"/>
      <c r="N53" s="285"/>
      <c r="O53" s="285"/>
      <c r="P53" s="285"/>
      <c r="Q53" s="285">
        <v>59.741109999999999</v>
      </c>
      <c r="R53" s="285"/>
      <c r="S53" s="285"/>
      <c r="T53" s="285"/>
      <c r="U53" s="285"/>
      <c r="V53" s="285"/>
      <c r="W53" s="285"/>
      <c r="X53" s="285"/>
      <c r="Y53" s="285"/>
    </row>
    <row r="54" spans="5:25">
      <c r="E54" s="187" t="s">
        <v>371</v>
      </c>
      <c r="F54" s="187" t="s">
        <v>19</v>
      </c>
      <c r="G54" s="187" t="s">
        <v>267</v>
      </c>
      <c r="H54" s="268" t="s">
        <v>402</v>
      </c>
      <c r="I54" s="268" t="s">
        <v>380</v>
      </c>
      <c r="J54" s="118">
        <f t="shared" si="7"/>
        <v>8.8069600000000001</v>
      </c>
      <c r="K54" s="119">
        <f t="shared" si="8"/>
        <v>8.8069600000000001</v>
      </c>
      <c r="L54" s="119">
        <f t="shared" si="9"/>
        <v>0</v>
      </c>
      <c r="M54" s="15"/>
      <c r="N54" s="285"/>
      <c r="O54" s="285"/>
      <c r="P54" s="285"/>
      <c r="Q54" s="285">
        <v>8.8069600000000001</v>
      </c>
      <c r="R54" s="285"/>
      <c r="S54" s="285"/>
      <c r="T54" s="285"/>
      <c r="U54" s="285"/>
      <c r="V54" s="285"/>
      <c r="W54" s="285"/>
      <c r="X54" s="285"/>
      <c r="Y54" s="285"/>
    </row>
    <row r="55" spans="5:25">
      <c r="E55" s="187" t="s">
        <v>371</v>
      </c>
      <c r="F55" s="187" t="s">
        <v>19</v>
      </c>
      <c r="G55" s="187" t="s">
        <v>312</v>
      </c>
      <c r="H55" s="268" t="s">
        <v>403</v>
      </c>
      <c r="I55" s="268" t="s">
        <v>380</v>
      </c>
      <c r="J55" s="118">
        <f t="shared" si="7"/>
        <v>0</v>
      </c>
      <c r="K55" s="119">
        <f t="shared" si="8"/>
        <v>0</v>
      </c>
      <c r="L55" s="119">
        <f t="shared" si="9"/>
        <v>0</v>
      </c>
      <c r="M55" s="15"/>
      <c r="N55" s="285"/>
      <c r="O55" s="285">
        <v>0</v>
      </c>
      <c r="P55" s="285"/>
      <c r="Q55" s="285"/>
      <c r="R55" s="285"/>
      <c r="S55" s="285"/>
      <c r="T55" s="285"/>
      <c r="U55" s="285"/>
      <c r="V55" s="285"/>
      <c r="W55" s="285"/>
      <c r="X55" s="285"/>
      <c r="Y55" s="285"/>
    </row>
    <row r="56" spans="5:25">
      <c r="E56" s="187" t="s">
        <v>371</v>
      </c>
      <c r="F56" s="187" t="s">
        <v>19</v>
      </c>
      <c r="G56" s="187" t="s">
        <v>370</v>
      </c>
      <c r="H56" s="268" t="s">
        <v>400</v>
      </c>
      <c r="I56" s="268" t="s">
        <v>380</v>
      </c>
      <c r="J56" s="118">
        <f t="shared" si="7"/>
        <v>27.743929999999999</v>
      </c>
      <c r="K56" s="119">
        <f t="shared" si="8"/>
        <v>27.743929999999999</v>
      </c>
      <c r="L56" s="119">
        <f t="shared" si="9"/>
        <v>0</v>
      </c>
      <c r="M56" s="15"/>
      <c r="N56" s="285">
        <v>0</v>
      </c>
      <c r="O56" s="285"/>
      <c r="P56" s="285"/>
      <c r="Q56" s="285">
        <v>27.743929999999999</v>
      </c>
      <c r="R56" s="285"/>
      <c r="S56" s="285"/>
      <c r="T56" s="285"/>
      <c r="U56" s="285"/>
      <c r="V56" s="285"/>
      <c r="W56" s="285"/>
      <c r="X56" s="285"/>
      <c r="Y56" s="285"/>
    </row>
    <row r="57" spans="5:25">
      <c r="E57" s="187" t="s">
        <v>373</v>
      </c>
      <c r="F57" s="187" t="s">
        <v>19</v>
      </c>
      <c r="G57" s="187" t="s">
        <v>327</v>
      </c>
      <c r="H57" s="268" t="s">
        <v>404</v>
      </c>
      <c r="I57" s="268" t="s">
        <v>380</v>
      </c>
      <c r="J57" s="118">
        <f t="shared" si="7"/>
        <v>14.850921000000001</v>
      </c>
      <c r="K57" s="119">
        <f t="shared" si="8"/>
        <v>14.850921000000001</v>
      </c>
      <c r="L57" s="119">
        <f t="shared" si="9"/>
        <v>0</v>
      </c>
      <c r="N57" s="285">
        <v>0</v>
      </c>
      <c r="O57" s="285"/>
      <c r="P57" s="285">
        <v>14.850921000000001</v>
      </c>
      <c r="Q57" s="285"/>
      <c r="R57" s="285"/>
      <c r="S57" s="285"/>
      <c r="T57" s="285"/>
      <c r="U57" s="285"/>
      <c r="V57" s="285"/>
      <c r="W57" s="285"/>
      <c r="X57" s="285"/>
      <c r="Y57" s="285"/>
    </row>
    <row r="58" spans="5:25">
      <c r="E58" s="187" t="s">
        <v>375</v>
      </c>
      <c r="F58" s="187" t="s">
        <v>19</v>
      </c>
      <c r="G58" s="187" t="s">
        <v>374</v>
      </c>
      <c r="H58" s="268" t="s">
        <v>405</v>
      </c>
      <c r="I58" s="268" t="s">
        <v>236</v>
      </c>
      <c r="J58" s="118">
        <f t="shared" si="7"/>
        <v>57.109950000000005</v>
      </c>
      <c r="K58" s="119">
        <f t="shared" si="8"/>
        <v>57.109950000000005</v>
      </c>
      <c r="L58" s="119">
        <f t="shared" si="9"/>
        <v>0</v>
      </c>
      <c r="N58" s="285">
        <v>0</v>
      </c>
      <c r="O58" s="285">
        <v>57.109950000000005</v>
      </c>
      <c r="P58" s="285"/>
      <c r="Q58" s="285"/>
      <c r="R58" s="285"/>
      <c r="S58" s="285"/>
      <c r="T58" s="285"/>
      <c r="U58" s="285"/>
      <c r="V58" s="285"/>
      <c r="W58" s="285"/>
      <c r="X58" s="285"/>
      <c r="Y58" s="285"/>
    </row>
    <row r="59" spans="5:25">
      <c r="E59" s="187" t="s">
        <v>376</v>
      </c>
      <c r="F59" s="187" t="s">
        <v>19</v>
      </c>
      <c r="G59" s="187" t="s">
        <v>374</v>
      </c>
      <c r="H59" s="268" t="s">
        <v>405</v>
      </c>
      <c r="I59" s="268" t="s">
        <v>236</v>
      </c>
      <c r="J59" s="118">
        <f t="shared" si="7"/>
        <v>41.949710000000017</v>
      </c>
      <c r="K59" s="119">
        <f t="shared" si="8"/>
        <v>41.949710000000017</v>
      </c>
      <c r="L59" s="119">
        <f t="shared" si="9"/>
        <v>0</v>
      </c>
      <c r="N59" s="285"/>
      <c r="O59" s="285">
        <v>41.949710000000017</v>
      </c>
      <c r="P59" s="285"/>
      <c r="Q59" s="285"/>
      <c r="R59" s="285"/>
      <c r="S59" s="285"/>
      <c r="T59" s="285"/>
      <c r="U59" s="285"/>
      <c r="V59" s="285"/>
      <c r="W59" s="285"/>
      <c r="X59" s="285"/>
      <c r="Y59" s="285"/>
    </row>
    <row r="60" spans="5:25">
      <c r="E60" s="187" t="s">
        <v>377</v>
      </c>
      <c r="F60" s="187" t="s">
        <v>19</v>
      </c>
      <c r="G60" s="187" t="s">
        <v>247</v>
      </c>
      <c r="H60" s="268" t="s">
        <v>395</v>
      </c>
      <c r="I60" s="268" t="s">
        <v>236</v>
      </c>
      <c r="J60" s="118">
        <f t="shared" si="7"/>
        <v>3.3210000000000002</v>
      </c>
      <c r="K60" s="119">
        <f t="shared" si="8"/>
        <v>3.3210000000000002</v>
      </c>
      <c r="L60" s="119">
        <f t="shared" si="9"/>
        <v>0</v>
      </c>
      <c r="N60" s="285"/>
      <c r="O60" s="285">
        <v>3.3210000000000002</v>
      </c>
      <c r="P60" s="285"/>
      <c r="Q60" s="285"/>
      <c r="R60" s="285"/>
      <c r="S60" s="285"/>
      <c r="T60" s="285"/>
      <c r="U60" s="285"/>
      <c r="V60" s="285"/>
      <c r="W60" s="285"/>
      <c r="X60" s="285"/>
      <c r="Y60" s="285"/>
    </row>
    <row r="61" spans="5:25">
      <c r="E61" s="187" t="s">
        <v>377</v>
      </c>
      <c r="F61" s="187" t="s">
        <v>19</v>
      </c>
      <c r="G61" s="187" t="s">
        <v>272</v>
      </c>
      <c r="H61" s="268" t="s">
        <v>406</v>
      </c>
      <c r="I61" s="268" t="s">
        <v>236</v>
      </c>
      <c r="J61" s="118">
        <f t="shared" si="7"/>
        <v>0</v>
      </c>
      <c r="K61" s="119">
        <f t="shared" si="8"/>
        <v>0</v>
      </c>
      <c r="L61" s="119">
        <f t="shared" si="9"/>
        <v>0</v>
      </c>
      <c r="N61" s="285">
        <v>0</v>
      </c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</row>
    <row r="62" spans="5:25">
      <c r="E62" s="187" t="s">
        <v>377</v>
      </c>
      <c r="F62" s="187" t="s">
        <v>19</v>
      </c>
      <c r="G62" s="187" t="s">
        <v>252</v>
      </c>
      <c r="H62" s="268" t="s">
        <v>407</v>
      </c>
      <c r="I62" s="268" t="s">
        <v>380</v>
      </c>
      <c r="J62" s="118">
        <f t="shared" si="7"/>
        <v>22.859270000000002</v>
      </c>
      <c r="K62" s="119">
        <f t="shared" si="8"/>
        <v>22.859270000000002</v>
      </c>
      <c r="L62" s="119">
        <f t="shared" si="9"/>
        <v>0</v>
      </c>
      <c r="N62" s="285">
        <v>0</v>
      </c>
      <c r="O62" s="285">
        <v>22.859270000000002</v>
      </c>
      <c r="P62" s="285"/>
      <c r="Q62" s="285"/>
      <c r="R62" s="285"/>
      <c r="S62" s="285"/>
      <c r="T62" s="285"/>
      <c r="U62" s="285"/>
      <c r="V62" s="285"/>
      <c r="W62" s="285"/>
      <c r="X62" s="285"/>
      <c r="Y62" s="285"/>
    </row>
    <row r="63" spans="5:25">
      <c r="E63" s="187" t="s">
        <v>246</v>
      </c>
      <c r="F63" s="187" t="s">
        <v>19</v>
      </c>
      <c r="G63" s="187" t="s">
        <v>247</v>
      </c>
      <c r="H63" s="190" t="s">
        <v>395</v>
      </c>
      <c r="I63" s="190" t="s">
        <v>236</v>
      </c>
      <c r="J63" s="118">
        <f t="shared" si="7"/>
        <v>62.662070000000007</v>
      </c>
      <c r="K63" s="119">
        <f t="shared" si="8"/>
        <v>62.662070000000007</v>
      </c>
      <c r="L63" s="119">
        <f t="shared" si="9"/>
        <v>0</v>
      </c>
      <c r="N63" s="285">
        <v>0</v>
      </c>
      <c r="O63" s="285">
        <v>57.991210000000002</v>
      </c>
      <c r="P63" s="285">
        <v>2.3354300000000001</v>
      </c>
      <c r="Q63" s="285"/>
      <c r="R63" s="285"/>
      <c r="S63" s="285"/>
      <c r="T63" s="285">
        <v>2.3354300000000001</v>
      </c>
      <c r="U63" s="285"/>
      <c r="V63" s="285"/>
      <c r="W63" s="285"/>
      <c r="X63" s="24"/>
      <c r="Y63" s="24"/>
    </row>
    <row r="64" spans="5:25">
      <c r="E64" s="187" t="s">
        <v>246</v>
      </c>
      <c r="F64" s="187" t="s">
        <v>19</v>
      </c>
      <c r="G64" s="187" t="s">
        <v>248</v>
      </c>
      <c r="H64" s="268" t="s">
        <v>406</v>
      </c>
      <c r="I64" s="268" t="s">
        <v>236</v>
      </c>
      <c r="J64" s="118">
        <f t="shared" ref="J64:J70" si="10">+K64+L64</f>
        <v>3.1881200000000001</v>
      </c>
      <c r="K64" s="119">
        <f t="shared" ref="K64:K70" si="11">SUM(N64:Y64)</f>
        <v>3.1881200000000001</v>
      </c>
      <c r="L64" s="119">
        <f t="shared" ref="L64:L70" si="12">SUM(AA64:AL64)</f>
        <v>0</v>
      </c>
      <c r="N64" s="285">
        <v>0</v>
      </c>
      <c r="O64" s="285"/>
      <c r="P64" s="285">
        <v>3.1881200000000001</v>
      </c>
      <c r="Q64" s="285"/>
      <c r="R64" s="285"/>
      <c r="S64" s="285"/>
      <c r="T64" s="285"/>
      <c r="U64" s="285"/>
      <c r="V64" s="285"/>
      <c r="W64" s="285"/>
      <c r="X64" s="285"/>
      <c r="Y64" s="285"/>
    </row>
    <row r="65" spans="5:25">
      <c r="E65" s="187" t="s">
        <v>246</v>
      </c>
      <c r="F65" s="187" t="s">
        <v>19</v>
      </c>
      <c r="G65" s="187" t="s">
        <v>249</v>
      </c>
      <c r="H65" s="190" t="s">
        <v>408</v>
      </c>
      <c r="I65" s="190" t="s">
        <v>236</v>
      </c>
      <c r="J65" s="118">
        <f t="shared" si="10"/>
        <v>81.086120000000008</v>
      </c>
      <c r="K65" s="119">
        <f t="shared" si="11"/>
        <v>81.086120000000008</v>
      </c>
      <c r="L65" s="119">
        <f t="shared" si="12"/>
        <v>0</v>
      </c>
      <c r="N65" s="285">
        <v>0</v>
      </c>
      <c r="O65" s="285">
        <v>76.415260000000004</v>
      </c>
      <c r="P65" s="285">
        <v>2.3354300000000001</v>
      </c>
      <c r="Q65" s="285"/>
      <c r="R65" s="285"/>
      <c r="S65" s="285"/>
      <c r="T65" s="285">
        <v>2.3354300000000001</v>
      </c>
      <c r="U65" s="285"/>
      <c r="V65" s="285"/>
      <c r="W65" s="285"/>
      <c r="X65" s="24"/>
      <c r="Y65" s="24"/>
    </row>
    <row r="66" spans="5:25">
      <c r="E66" s="187" t="s">
        <v>246</v>
      </c>
      <c r="F66" s="187" t="s">
        <v>19</v>
      </c>
      <c r="G66" s="187" t="s">
        <v>250</v>
      </c>
      <c r="H66" s="268" t="s">
        <v>409</v>
      </c>
      <c r="I66" s="268" t="s">
        <v>236</v>
      </c>
      <c r="J66" s="118">
        <f t="shared" si="10"/>
        <v>22.09122</v>
      </c>
      <c r="K66" s="119">
        <f t="shared" si="11"/>
        <v>22.09122</v>
      </c>
      <c r="L66" s="119">
        <f t="shared" si="12"/>
        <v>0</v>
      </c>
      <c r="N66" s="285">
        <v>0</v>
      </c>
      <c r="O66" s="285">
        <v>8.3850599999999993</v>
      </c>
      <c r="P66" s="285">
        <v>2.3354300000000001</v>
      </c>
      <c r="Q66" s="285"/>
      <c r="R66" s="285">
        <v>9.0353000000000012</v>
      </c>
      <c r="S66" s="285"/>
      <c r="T66" s="285">
        <v>2.3354300000000001</v>
      </c>
      <c r="U66" s="285"/>
      <c r="V66" s="285"/>
      <c r="W66" s="285"/>
      <c r="X66" s="285"/>
      <c r="Y66" s="285"/>
    </row>
    <row r="67" spans="5:25">
      <c r="E67" s="187" t="s">
        <v>246</v>
      </c>
      <c r="F67" s="187" t="s">
        <v>19</v>
      </c>
      <c r="G67" s="187" t="s">
        <v>293</v>
      </c>
      <c r="H67" s="190" t="s">
        <v>410</v>
      </c>
      <c r="I67" s="190" t="s">
        <v>236</v>
      </c>
      <c r="J67" s="118">
        <f t="shared" si="10"/>
        <v>3.36</v>
      </c>
      <c r="K67" s="119">
        <f t="shared" si="11"/>
        <v>3.36</v>
      </c>
      <c r="L67" s="119">
        <f t="shared" si="12"/>
        <v>0</v>
      </c>
      <c r="N67" s="285">
        <v>0</v>
      </c>
      <c r="O67" s="285">
        <v>8.6440000000000003E-2</v>
      </c>
      <c r="P67" s="285">
        <v>1.6367799999999999</v>
      </c>
      <c r="Q67" s="285"/>
      <c r="R67" s="285"/>
      <c r="S67" s="285"/>
      <c r="T67" s="285">
        <v>1.6367799999999999</v>
      </c>
      <c r="U67" s="285"/>
      <c r="V67" s="285"/>
      <c r="W67" s="285"/>
      <c r="X67" s="24"/>
      <c r="Y67" s="24"/>
    </row>
    <row r="68" spans="5:25">
      <c r="E68" s="187" t="s">
        <v>246</v>
      </c>
      <c r="F68" s="187" t="s">
        <v>19</v>
      </c>
      <c r="G68" s="187" t="s">
        <v>251</v>
      </c>
      <c r="H68" s="268" t="s">
        <v>406</v>
      </c>
      <c r="I68" s="268" t="s">
        <v>236</v>
      </c>
      <c r="J68" s="118">
        <f t="shared" si="10"/>
        <v>15.447410000000001</v>
      </c>
      <c r="K68" s="119">
        <f t="shared" si="11"/>
        <v>15.447410000000001</v>
      </c>
      <c r="L68" s="119">
        <f t="shared" si="12"/>
        <v>0</v>
      </c>
      <c r="N68" s="285">
        <v>0</v>
      </c>
      <c r="O68" s="285">
        <v>0.91921999999999993</v>
      </c>
      <c r="P68" s="285">
        <v>13.021170000000001</v>
      </c>
      <c r="Q68" s="285"/>
      <c r="R68" s="285"/>
      <c r="S68" s="285"/>
      <c r="T68" s="285">
        <v>1.50702</v>
      </c>
      <c r="U68" s="285"/>
      <c r="V68" s="285"/>
      <c r="W68" s="285"/>
      <c r="X68" s="285"/>
      <c r="Y68" s="285"/>
    </row>
    <row r="69" spans="5:25">
      <c r="E69" s="187" t="s">
        <v>246</v>
      </c>
      <c r="F69" s="187" t="s">
        <v>19</v>
      </c>
      <c r="G69" s="187" t="s">
        <v>252</v>
      </c>
      <c r="H69" s="190" t="s">
        <v>407</v>
      </c>
      <c r="I69" s="190" t="s">
        <v>236</v>
      </c>
      <c r="J69" s="118">
        <f t="shared" si="10"/>
        <v>27.066919999999996</v>
      </c>
      <c r="K69" s="119">
        <f t="shared" si="11"/>
        <v>27.066919999999996</v>
      </c>
      <c r="L69" s="119">
        <f t="shared" si="12"/>
        <v>0</v>
      </c>
      <c r="N69" s="285">
        <v>0</v>
      </c>
      <c r="O69" s="285">
        <v>1.0139</v>
      </c>
      <c r="P69" s="285">
        <v>25.274539999999998</v>
      </c>
      <c r="Q69" s="285"/>
      <c r="R69" s="285"/>
      <c r="S69" s="285"/>
      <c r="T69" s="285">
        <v>0.77847999999999995</v>
      </c>
      <c r="U69" s="285"/>
      <c r="V69" s="285"/>
      <c r="W69" s="285"/>
      <c r="X69" s="24"/>
      <c r="Y69" s="24"/>
    </row>
    <row r="70" spans="5:25">
      <c r="E70" s="187" t="s">
        <v>246</v>
      </c>
      <c r="F70" s="187" t="s">
        <v>19</v>
      </c>
      <c r="G70" s="187" t="s">
        <v>245</v>
      </c>
      <c r="H70" s="268" t="s">
        <v>394</v>
      </c>
      <c r="I70" s="268" t="s">
        <v>236</v>
      </c>
      <c r="J70" s="118">
        <f t="shared" si="10"/>
        <v>31.209599999999998</v>
      </c>
      <c r="K70" s="119">
        <f t="shared" si="11"/>
        <v>31.209599999999998</v>
      </c>
      <c r="L70" s="119">
        <f t="shared" si="12"/>
        <v>0</v>
      </c>
      <c r="N70" s="285"/>
      <c r="O70" s="285"/>
      <c r="P70" s="285">
        <v>1.0599799999999999</v>
      </c>
      <c r="Q70" s="285"/>
      <c r="R70" s="285"/>
      <c r="S70" s="285">
        <v>29.089639999999999</v>
      </c>
      <c r="T70" s="285">
        <v>1.0599799999999999</v>
      </c>
      <c r="U70" s="285"/>
      <c r="V70" s="285"/>
      <c r="W70" s="285"/>
      <c r="X70" s="285"/>
      <c r="Y70" s="285"/>
    </row>
    <row r="71" spans="5:25">
      <c r="E71" s="6"/>
      <c r="F71" s="7"/>
      <c r="G71" s="6"/>
      <c r="H71" s="11"/>
      <c r="I71" s="11"/>
      <c r="J71" s="118"/>
      <c r="K71" s="119"/>
      <c r="L71" s="119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5:25">
      <c r="E72" s="198"/>
      <c r="F72" s="218"/>
      <c r="G72" s="199"/>
      <c r="H72" s="272"/>
    </row>
    <row r="73" spans="5:25">
      <c r="E73" s="191" t="s">
        <v>320</v>
      </c>
      <c r="F73" s="216">
        <v>46023</v>
      </c>
      <c r="G73" s="192">
        <v>218</v>
      </c>
      <c r="H73" s="271" t="s">
        <v>321</v>
      </c>
    </row>
    <row r="74" spans="5:25">
      <c r="E74" s="195" t="s">
        <v>411</v>
      </c>
      <c r="F74" s="217"/>
      <c r="G74" s="196">
        <v>151</v>
      </c>
      <c r="H74" s="271" t="s">
        <v>321</v>
      </c>
    </row>
    <row r="75" spans="5:25">
      <c r="E75" s="195" t="s">
        <v>412</v>
      </c>
      <c r="F75" s="217"/>
      <c r="G75" s="196">
        <v>138</v>
      </c>
      <c r="H75" s="271" t="s">
        <v>321</v>
      </c>
    </row>
    <row r="76" spans="5:25">
      <c r="E76" s="191" t="s">
        <v>320</v>
      </c>
      <c r="F76" s="216">
        <v>46053</v>
      </c>
      <c r="G76" s="192">
        <f>G73+G74-G75</f>
        <v>231</v>
      </c>
      <c r="H76" s="271" t="s">
        <v>321</v>
      </c>
    </row>
    <row r="77" spans="5:25">
      <c r="E77" s="198"/>
      <c r="F77" s="218"/>
      <c r="G77" s="199"/>
      <c r="H77" s="272"/>
    </row>
    <row r="78" spans="5:25">
      <c r="E78" s="356" t="s">
        <v>324</v>
      </c>
      <c r="F78" s="219"/>
      <c r="G78" s="202"/>
      <c r="H78" s="273" t="s">
        <v>325</v>
      </c>
    </row>
    <row r="79" spans="5:25">
      <c r="E79" s="357" t="s">
        <v>258</v>
      </c>
      <c r="F79" s="286"/>
      <c r="G79" s="287"/>
      <c r="H79" s="358">
        <v>27.153123600000004</v>
      </c>
    </row>
    <row r="80" spans="5:25">
      <c r="E80" s="357" t="s">
        <v>247</v>
      </c>
      <c r="F80" s="286"/>
      <c r="G80" s="287"/>
      <c r="H80" s="358">
        <v>8.5900000000000004E-2</v>
      </c>
    </row>
    <row r="81" spans="5:25">
      <c r="E81" s="357" t="s">
        <v>249</v>
      </c>
      <c r="F81" s="286"/>
      <c r="G81" s="287"/>
      <c r="H81" s="358">
        <v>8.5900000000000004E-2</v>
      </c>
    </row>
    <row r="82" spans="5:25">
      <c r="E82" s="357" t="s">
        <v>328</v>
      </c>
      <c r="F82" s="286"/>
      <c r="G82" s="287"/>
      <c r="H82" s="358">
        <v>6.9999999948777257E-7</v>
      </c>
    </row>
    <row r="83" spans="5:25">
      <c r="E83" s="357" t="s">
        <v>254</v>
      </c>
      <c r="F83" s="286"/>
      <c r="G83" s="287"/>
      <c r="H83" s="358">
        <v>6.5259999999999999E-2</v>
      </c>
    </row>
    <row r="84" spans="5:25">
      <c r="E84" s="357" t="s">
        <v>250</v>
      </c>
      <c r="F84" s="286"/>
      <c r="G84" s="287"/>
      <c r="H84" s="358">
        <v>8.5900000000000004E-2</v>
      </c>
    </row>
    <row r="85" spans="5:25">
      <c r="E85" s="288" t="s">
        <v>256</v>
      </c>
      <c r="F85" s="289"/>
      <c r="G85" s="288"/>
      <c r="H85" s="289">
        <v>8.8550295000000006</v>
      </c>
    </row>
    <row r="86" spans="5:25">
      <c r="E86" s="201" t="s">
        <v>293</v>
      </c>
      <c r="F86" s="220"/>
      <c r="G86" s="201"/>
      <c r="H86" s="220">
        <v>8.6441500000000018E-2</v>
      </c>
    </row>
    <row r="87" spans="5:25">
      <c r="E87" s="201" t="s">
        <v>251</v>
      </c>
      <c r="F87" s="220"/>
      <c r="G87" s="201"/>
      <c r="H87" s="220">
        <v>8.5900000000000004E-2</v>
      </c>
    </row>
    <row r="88" spans="5:25">
      <c r="E88" s="201" t="s">
        <v>252</v>
      </c>
      <c r="F88" s="220"/>
      <c r="G88" s="201"/>
      <c r="H88" s="220">
        <v>9.6633200000000006</v>
      </c>
    </row>
    <row r="89" spans="5:25">
      <c r="E89" s="201" t="s">
        <v>370</v>
      </c>
      <c r="F89" s="220"/>
      <c r="G89" s="201"/>
      <c r="H89" s="220">
        <v>27.743929999999999</v>
      </c>
    </row>
    <row r="90" spans="5:25">
      <c r="E90" s="263" t="s">
        <v>344</v>
      </c>
      <c r="F90" s="264"/>
      <c r="G90" s="263"/>
      <c r="H90" s="264">
        <f>SUM(H79:H89)</f>
        <v>73.910705299999989</v>
      </c>
    </row>
    <row r="91" spans="5:25">
      <c r="H91" s="291"/>
      <c r="I91" s="291"/>
      <c r="J91" s="291"/>
      <c r="K91" s="292"/>
      <c r="L91" s="292"/>
      <c r="M91" s="292"/>
    </row>
    <row r="92" spans="5:25" s="227" customFormat="1">
      <c r="E92" s="15"/>
      <c r="F92" s="61"/>
      <c r="G92" s="15"/>
      <c r="H92" s="291"/>
      <c r="I92" s="291"/>
      <c r="J92" s="291"/>
      <c r="K92" s="292"/>
      <c r="L92" s="292"/>
      <c r="M92" s="292"/>
      <c r="N92" s="56"/>
      <c r="O92" s="56"/>
      <c r="P92" s="56"/>
      <c r="Q92" s="73"/>
      <c r="R92" s="73"/>
      <c r="S92" s="73"/>
      <c r="T92" s="73"/>
      <c r="U92" s="73"/>
      <c r="V92" s="73"/>
      <c r="W92" s="73"/>
      <c r="X92" s="73"/>
      <c r="Y92" s="282"/>
    </row>
    <row r="93" spans="5:25" s="227" customFormat="1">
      <c r="E93" s="15"/>
      <c r="F93" s="61"/>
      <c r="G93" s="15"/>
      <c r="H93" s="291"/>
      <c r="I93" s="291"/>
      <c r="J93" s="291"/>
      <c r="K93" s="292"/>
      <c r="L93" s="292"/>
      <c r="M93" s="292"/>
      <c r="N93" s="56"/>
      <c r="O93" s="56"/>
      <c r="P93" s="56"/>
      <c r="Q93" s="73"/>
      <c r="R93" s="73"/>
      <c r="S93" s="73"/>
      <c r="T93" s="73"/>
      <c r="U93" s="73"/>
      <c r="V93" s="73"/>
      <c r="W93" s="73"/>
      <c r="X93" s="73"/>
      <c r="Y93" s="282"/>
    </row>
    <row r="94" spans="5:25" s="227" customFormat="1">
      <c r="E94" s="15"/>
      <c r="F94" s="61"/>
      <c r="G94" s="15"/>
      <c r="H94" s="291"/>
      <c r="I94" s="291"/>
      <c r="J94" s="291"/>
      <c r="K94" s="292"/>
      <c r="L94" s="292"/>
      <c r="M94" s="292"/>
      <c r="N94" s="56"/>
      <c r="O94" s="56"/>
      <c r="P94" s="56"/>
      <c r="Q94" s="73"/>
      <c r="R94" s="73"/>
      <c r="S94" s="73"/>
      <c r="T94" s="73"/>
      <c r="U94" s="73"/>
      <c r="V94" s="73"/>
      <c r="W94" s="73"/>
      <c r="X94" s="73"/>
      <c r="Y94" s="282"/>
    </row>
    <row r="95" spans="5:25" s="227" customFormat="1">
      <c r="E95" s="15"/>
      <c r="F95" s="61"/>
      <c r="G95" s="15"/>
      <c r="H95" s="291"/>
      <c r="I95" s="291"/>
      <c r="J95" s="291"/>
      <c r="K95" s="292"/>
      <c r="L95" s="292"/>
      <c r="M95" s="292"/>
      <c r="N95" s="56"/>
      <c r="O95" s="56"/>
      <c r="P95" s="56"/>
      <c r="Q95" s="73"/>
      <c r="R95" s="73"/>
      <c r="S95" s="73"/>
      <c r="T95" s="73"/>
      <c r="U95" s="73"/>
      <c r="V95" s="73"/>
      <c r="W95" s="73"/>
      <c r="X95" s="73"/>
      <c r="Y95" s="282"/>
    </row>
    <row r="96" spans="5:25" s="227" customFormat="1">
      <c r="E96" s="15"/>
      <c r="F96" s="61"/>
      <c r="G96" s="15"/>
      <c r="H96" s="291"/>
      <c r="I96" s="291"/>
      <c r="J96" s="291"/>
      <c r="K96" s="292"/>
      <c r="L96" s="292"/>
      <c r="M96" s="292"/>
      <c r="N96" s="56"/>
      <c r="O96" s="56"/>
      <c r="P96" s="56"/>
      <c r="Q96" s="73"/>
      <c r="R96" s="73"/>
      <c r="S96" s="73"/>
      <c r="T96" s="73"/>
      <c r="U96" s="73"/>
      <c r="V96" s="73"/>
      <c r="W96" s="73"/>
      <c r="X96" s="73"/>
      <c r="Y96" s="282"/>
    </row>
    <row r="97" spans="5:25" s="227" customFormat="1">
      <c r="E97" s="15"/>
      <c r="F97" s="61"/>
      <c r="G97" s="15"/>
      <c r="H97" s="291"/>
      <c r="I97" s="291"/>
      <c r="J97" s="291"/>
      <c r="K97" s="292"/>
      <c r="L97" s="292"/>
      <c r="M97" s="292"/>
      <c r="N97" s="56"/>
      <c r="O97" s="56"/>
      <c r="P97" s="56"/>
      <c r="Q97" s="73"/>
      <c r="R97" s="73"/>
      <c r="S97" s="73"/>
      <c r="T97" s="73"/>
      <c r="U97" s="73"/>
      <c r="V97" s="73"/>
      <c r="W97" s="73"/>
      <c r="X97" s="73"/>
      <c r="Y97" s="282"/>
    </row>
    <row r="98" spans="5:25" s="227" customFormat="1">
      <c r="E98" s="15"/>
      <c r="F98" s="61"/>
      <c r="G98" s="15"/>
      <c r="H98" s="291"/>
      <c r="I98" s="291"/>
      <c r="J98" s="291"/>
      <c r="K98" s="292"/>
      <c r="L98" s="292"/>
      <c r="M98" s="292"/>
      <c r="N98" s="56"/>
      <c r="O98" s="56"/>
      <c r="P98" s="56"/>
      <c r="Q98" s="73"/>
      <c r="R98" s="73"/>
      <c r="S98" s="73"/>
      <c r="T98" s="73"/>
      <c r="U98" s="73"/>
      <c r="V98" s="73"/>
      <c r="W98" s="73"/>
      <c r="X98" s="73"/>
      <c r="Y98" s="282"/>
    </row>
    <row r="99" spans="5:25" s="227" customFormat="1">
      <c r="E99" s="15"/>
      <c r="F99" s="61"/>
      <c r="G99" s="15"/>
      <c r="H99" s="291"/>
      <c r="I99" s="291"/>
      <c r="J99" s="291"/>
      <c r="K99" s="292"/>
      <c r="L99" s="292"/>
      <c r="M99" s="292"/>
      <c r="N99" s="56"/>
      <c r="O99" s="56"/>
      <c r="P99" s="56"/>
      <c r="Q99" s="73"/>
      <c r="R99" s="73"/>
      <c r="S99" s="73"/>
      <c r="T99" s="73"/>
      <c r="U99" s="73"/>
      <c r="V99" s="73"/>
      <c r="W99" s="73"/>
      <c r="X99" s="73"/>
      <c r="Y99" s="282"/>
    </row>
    <row r="100" spans="5:25" s="227" customFormat="1">
      <c r="E100" s="15"/>
      <c r="F100" s="61"/>
      <c r="G100" s="15"/>
      <c r="H100" s="291"/>
      <c r="I100" s="291"/>
      <c r="J100" s="291"/>
      <c r="K100" s="292"/>
      <c r="L100" s="292"/>
      <c r="M100" s="292"/>
      <c r="N100" s="56"/>
      <c r="O100" s="56"/>
      <c r="P100" s="56"/>
      <c r="Q100" s="73"/>
      <c r="R100" s="73"/>
      <c r="S100" s="73"/>
      <c r="T100" s="73"/>
      <c r="U100" s="73"/>
      <c r="V100" s="73"/>
      <c r="W100" s="73"/>
      <c r="X100" s="73"/>
      <c r="Y100" s="282"/>
    </row>
    <row r="101" spans="5:25" s="227" customFormat="1">
      <c r="E101" s="15"/>
      <c r="F101" s="61"/>
      <c r="G101" s="15"/>
      <c r="H101" s="291"/>
      <c r="I101" s="291"/>
      <c r="J101" s="291"/>
      <c r="K101" s="292"/>
      <c r="L101" s="292"/>
      <c r="M101" s="292"/>
      <c r="N101" s="56"/>
      <c r="O101" s="56"/>
      <c r="P101" s="56"/>
      <c r="Q101" s="73"/>
      <c r="R101" s="73"/>
      <c r="S101" s="73"/>
      <c r="T101" s="73"/>
      <c r="U101" s="73"/>
      <c r="V101" s="73"/>
      <c r="W101" s="73"/>
      <c r="X101" s="73"/>
      <c r="Y101" s="282"/>
    </row>
    <row r="102" spans="5:25" s="227" customFormat="1">
      <c r="E102" s="15"/>
      <c r="F102" s="61"/>
      <c r="G102" s="15"/>
      <c r="H102" s="291"/>
      <c r="I102" s="291"/>
      <c r="J102" s="291"/>
      <c r="K102" s="292"/>
      <c r="L102" s="292"/>
      <c r="M102" s="292"/>
      <c r="N102" s="56"/>
      <c r="O102" s="56"/>
      <c r="P102" s="56"/>
      <c r="Q102" s="73"/>
      <c r="R102" s="73"/>
      <c r="S102" s="73"/>
      <c r="T102" s="73"/>
      <c r="U102" s="73"/>
      <c r="V102" s="73"/>
      <c r="W102" s="73"/>
      <c r="X102" s="73"/>
      <c r="Y102" s="282"/>
    </row>
    <row r="103" spans="5:25" s="227" customFormat="1">
      <c r="E103" s="15"/>
      <c r="F103" s="61"/>
      <c r="G103" s="15"/>
      <c r="H103" s="291"/>
      <c r="I103" s="291"/>
      <c r="J103" s="291"/>
      <c r="K103" s="292"/>
      <c r="L103" s="292"/>
      <c r="M103" s="292"/>
      <c r="N103" s="56"/>
      <c r="O103" s="56"/>
      <c r="P103" s="56"/>
      <c r="Q103" s="73"/>
      <c r="R103" s="73"/>
      <c r="S103" s="73"/>
      <c r="T103" s="73"/>
      <c r="U103" s="73"/>
      <c r="V103" s="73"/>
      <c r="W103" s="73"/>
      <c r="X103" s="73"/>
      <c r="Y103" s="282"/>
    </row>
    <row r="104" spans="5:25" s="227" customFormat="1">
      <c r="E104" s="15"/>
      <c r="F104" s="61"/>
      <c r="G104" s="15"/>
      <c r="H104" s="291"/>
      <c r="I104" s="291"/>
      <c r="J104" s="291"/>
      <c r="K104" s="292"/>
      <c r="L104" s="292"/>
      <c r="M104" s="292"/>
      <c r="N104" s="56"/>
      <c r="O104" s="56"/>
      <c r="P104" s="56"/>
      <c r="Q104" s="73"/>
      <c r="R104" s="73"/>
      <c r="S104" s="73"/>
      <c r="T104" s="73"/>
      <c r="U104" s="73"/>
      <c r="V104" s="73"/>
      <c r="W104" s="73"/>
      <c r="X104" s="73"/>
      <c r="Y104" s="282"/>
    </row>
    <row r="105" spans="5:25" s="227" customFormat="1">
      <c r="E105" s="15"/>
      <c r="F105" s="61"/>
      <c r="G105" s="15"/>
      <c r="H105" s="291"/>
      <c r="I105" s="291"/>
      <c r="J105" s="291"/>
      <c r="K105" s="292"/>
      <c r="L105" s="292"/>
      <c r="M105" s="292"/>
      <c r="N105" s="56"/>
      <c r="O105" s="56"/>
      <c r="P105" s="56"/>
      <c r="Q105" s="73"/>
      <c r="R105" s="73"/>
      <c r="S105" s="73"/>
      <c r="T105" s="73"/>
      <c r="U105" s="73"/>
      <c r="V105" s="73"/>
      <c r="W105" s="73"/>
      <c r="X105" s="73"/>
      <c r="Y105" s="282"/>
    </row>
    <row r="106" spans="5:25" s="227" customFormat="1">
      <c r="E106" s="15"/>
      <c r="F106" s="61"/>
      <c r="G106" s="15"/>
      <c r="H106" s="291"/>
      <c r="I106" s="291"/>
      <c r="J106" s="291"/>
      <c r="K106" s="292"/>
      <c r="L106" s="292"/>
      <c r="M106" s="292"/>
      <c r="N106" s="56"/>
      <c r="O106" s="56"/>
      <c r="P106" s="56"/>
      <c r="Q106" s="73"/>
      <c r="R106" s="73"/>
      <c r="S106" s="73"/>
      <c r="T106" s="73"/>
      <c r="U106" s="73"/>
      <c r="V106" s="73"/>
      <c r="W106" s="73"/>
      <c r="X106" s="73"/>
      <c r="Y106" s="282"/>
    </row>
    <row r="107" spans="5:25" s="227" customFormat="1">
      <c r="E107" s="15"/>
      <c r="F107" s="61"/>
      <c r="G107" s="15"/>
      <c r="H107" s="291"/>
      <c r="I107" s="291"/>
      <c r="J107" s="291"/>
      <c r="K107" s="292"/>
      <c r="L107" s="292"/>
      <c r="M107" s="292"/>
      <c r="N107" s="56"/>
      <c r="O107" s="56"/>
      <c r="P107" s="56"/>
      <c r="Q107" s="73"/>
      <c r="R107" s="73"/>
      <c r="S107" s="73"/>
      <c r="T107" s="73"/>
      <c r="U107" s="73"/>
      <c r="V107" s="73"/>
      <c r="W107" s="73"/>
      <c r="X107" s="73"/>
      <c r="Y107" s="282"/>
    </row>
    <row r="108" spans="5:25" s="227" customFormat="1">
      <c r="E108" s="15"/>
      <c r="F108" s="61"/>
      <c r="G108" s="15"/>
      <c r="H108" s="291"/>
      <c r="I108" s="291"/>
      <c r="J108" s="291"/>
      <c r="K108" s="292"/>
      <c r="L108" s="292"/>
      <c r="M108" s="292"/>
      <c r="N108" s="56"/>
      <c r="O108" s="56"/>
      <c r="P108" s="56"/>
      <c r="Q108" s="73"/>
      <c r="R108" s="73"/>
      <c r="S108" s="73"/>
      <c r="T108" s="73"/>
      <c r="U108" s="73"/>
      <c r="V108" s="73"/>
      <c r="W108" s="73"/>
      <c r="X108" s="73"/>
      <c r="Y108" s="282"/>
    </row>
    <row r="109" spans="5:25" s="227" customFormat="1">
      <c r="E109" s="15"/>
      <c r="F109" s="61"/>
      <c r="G109" s="15"/>
      <c r="H109" s="291"/>
      <c r="I109" s="291"/>
      <c r="J109" s="291"/>
      <c r="K109" s="292"/>
      <c r="L109" s="292"/>
      <c r="M109" s="292"/>
      <c r="N109" s="56"/>
      <c r="O109" s="56"/>
      <c r="P109" s="56"/>
      <c r="Q109" s="73"/>
      <c r="R109" s="73"/>
      <c r="S109" s="73"/>
      <c r="T109" s="73"/>
      <c r="U109" s="73"/>
      <c r="V109" s="73"/>
      <c r="W109" s="73"/>
      <c r="X109" s="73"/>
      <c r="Y109" s="282"/>
    </row>
    <row r="110" spans="5:25" s="227" customFormat="1">
      <c r="E110" s="15"/>
      <c r="F110" s="61"/>
      <c r="G110" s="15"/>
      <c r="H110" s="291"/>
      <c r="I110" s="291"/>
      <c r="J110" s="291"/>
      <c r="K110" s="292"/>
      <c r="L110" s="292"/>
      <c r="M110" s="292"/>
      <c r="N110" s="56"/>
      <c r="O110" s="56"/>
      <c r="P110" s="56"/>
      <c r="Q110" s="73"/>
      <c r="R110" s="73"/>
      <c r="S110" s="73"/>
      <c r="T110" s="73"/>
      <c r="U110" s="73"/>
      <c r="V110" s="73"/>
      <c r="W110" s="73"/>
      <c r="X110" s="73"/>
      <c r="Y110" s="282"/>
    </row>
    <row r="111" spans="5:25" s="227" customFormat="1">
      <c r="E111" s="15"/>
      <c r="F111" s="61"/>
      <c r="G111" s="15"/>
      <c r="H111" s="291"/>
      <c r="I111" s="291"/>
      <c r="J111" s="291"/>
      <c r="K111" s="292"/>
      <c r="L111" s="292"/>
      <c r="M111" s="292"/>
      <c r="N111" s="56"/>
      <c r="O111" s="56"/>
      <c r="P111" s="56"/>
      <c r="Q111" s="73"/>
      <c r="R111" s="73"/>
      <c r="S111" s="73"/>
      <c r="T111" s="73"/>
      <c r="U111" s="73"/>
      <c r="V111" s="73"/>
      <c r="W111" s="73"/>
      <c r="X111" s="73"/>
      <c r="Y111" s="282"/>
    </row>
    <row r="112" spans="5:25" s="227" customFormat="1">
      <c r="E112" s="15"/>
      <c r="F112" s="61"/>
      <c r="G112" s="15"/>
      <c r="H112" s="291"/>
      <c r="I112" s="291"/>
      <c r="J112" s="291"/>
      <c r="K112" s="292"/>
      <c r="L112" s="292"/>
      <c r="M112" s="292"/>
      <c r="N112" s="56"/>
      <c r="O112" s="56"/>
      <c r="P112" s="56"/>
      <c r="Q112" s="73"/>
      <c r="R112" s="73"/>
      <c r="S112" s="73"/>
      <c r="T112" s="73"/>
      <c r="U112" s="73"/>
      <c r="V112" s="73"/>
      <c r="W112" s="73"/>
      <c r="X112" s="73"/>
      <c r="Y112" s="282"/>
    </row>
    <row r="113" spans="5:25" s="227" customFormat="1">
      <c r="E113" s="15"/>
      <c r="F113" s="61"/>
      <c r="G113" s="15"/>
      <c r="H113" s="291"/>
      <c r="I113" s="291"/>
      <c r="J113" s="291"/>
      <c r="K113" s="292"/>
      <c r="L113" s="292"/>
      <c r="M113" s="292"/>
      <c r="N113" s="56"/>
      <c r="O113" s="56"/>
      <c r="P113" s="56"/>
      <c r="Q113" s="73"/>
      <c r="R113" s="73"/>
      <c r="S113" s="73"/>
      <c r="T113" s="73"/>
      <c r="U113" s="73"/>
      <c r="V113" s="73"/>
      <c r="W113" s="73"/>
      <c r="X113" s="73"/>
      <c r="Y113" s="282"/>
    </row>
    <row r="114" spans="5:25" s="227" customFormat="1">
      <c r="E114" s="15"/>
      <c r="F114" s="61"/>
      <c r="G114" s="15"/>
      <c r="H114" s="291"/>
      <c r="I114" s="291"/>
      <c r="J114" s="291"/>
      <c r="K114" s="292"/>
      <c r="L114" s="292"/>
      <c r="M114" s="292"/>
      <c r="N114" s="56"/>
      <c r="O114" s="56"/>
      <c r="P114" s="56"/>
      <c r="Q114" s="73"/>
      <c r="R114" s="73"/>
      <c r="S114" s="73"/>
      <c r="T114" s="73"/>
      <c r="U114" s="73"/>
      <c r="V114" s="73"/>
      <c r="W114" s="73"/>
      <c r="X114" s="73"/>
      <c r="Y114" s="282"/>
    </row>
    <row r="115" spans="5:25" s="227" customFormat="1">
      <c r="E115" s="15"/>
      <c r="F115" s="61"/>
      <c r="G115" s="15"/>
      <c r="H115" s="291"/>
      <c r="I115" s="291"/>
      <c r="J115" s="291"/>
      <c r="K115" s="292"/>
      <c r="L115" s="292"/>
      <c r="M115" s="292"/>
      <c r="N115" s="56"/>
      <c r="O115" s="56"/>
      <c r="P115" s="56"/>
      <c r="Q115" s="73"/>
      <c r="R115" s="73"/>
      <c r="S115" s="73"/>
      <c r="T115" s="73"/>
      <c r="U115" s="73"/>
      <c r="V115" s="73"/>
      <c r="W115" s="73"/>
      <c r="X115" s="73"/>
      <c r="Y115" s="282"/>
    </row>
    <row r="116" spans="5:25" s="227" customFormat="1">
      <c r="E116" s="15"/>
      <c r="F116" s="61"/>
      <c r="G116" s="15"/>
      <c r="H116" s="291"/>
      <c r="I116" s="291"/>
      <c r="J116" s="291"/>
      <c r="K116" s="292"/>
      <c r="L116" s="292"/>
      <c r="M116" s="292"/>
      <c r="N116" s="56"/>
      <c r="O116" s="56"/>
      <c r="P116" s="56"/>
      <c r="Q116" s="73"/>
      <c r="R116" s="73"/>
      <c r="S116" s="73"/>
      <c r="T116" s="73"/>
      <c r="U116" s="73"/>
      <c r="V116" s="73"/>
      <c r="W116" s="73"/>
      <c r="X116" s="73"/>
      <c r="Y116" s="282"/>
    </row>
    <row r="117" spans="5:25" s="227" customFormat="1">
      <c r="E117" s="15"/>
      <c r="F117" s="61"/>
      <c r="G117" s="15"/>
      <c r="H117" s="291"/>
      <c r="I117" s="291"/>
      <c r="J117" s="291"/>
      <c r="K117" s="292"/>
      <c r="L117" s="292"/>
      <c r="M117" s="292"/>
      <c r="N117" s="56"/>
      <c r="O117" s="56"/>
      <c r="P117" s="56"/>
      <c r="Q117" s="73"/>
      <c r="R117" s="73"/>
      <c r="S117" s="73"/>
      <c r="T117" s="73"/>
      <c r="U117" s="73"/>
      <c r="V117" s="73"/>
      <c r="W117" s="73"/>
      <c r="X117" s="73"/>
      <c r="Y117" s="282"/>
    </row>
    <row r="118" spans="5:25" s="227" customFormat="1">
      <c r="E118" s="15"/>
      <c r="F118" s="61"/>
      <c r="G118" s="15"/>
      <c r="H118" s="291"/>
      <c r="I118" s="291"/>
      <c r="J118" s="291"/>
      <c r="K118" s="292"/>
      <c r="L118" s="292"/>
      <c r="M118" s="292"/>
      <c r="N118" s="56"/>
      <c r="O118" s="56"/>
      <c r="P118" s="56"/>
      <c r="Q118" s="73"/>
      <c r="R118" s="73"/>
      <c r="S118" s="73"/>
      <c r="T118" s="73"/>
      <c r="U118" s="73"/>
      <c r="V118" s="73"/>
      <c r="W118" s="73"/>
      <c r="X118" s="73"/>
      <c r="Y118" s="282"/>
    </row>
    <row r="119" spans="5:25" s="227" customFormat="1">
      <c r="E119" s="15"/>
      <c r="F119" s="61"/>
      <c r="G119" s="15"/>
      <c r="H119" s="291"/>
      <c r="I119" s="291"/>
      <c r="J119" s="291"/>
      <c r="K119" s="292"/>
      <c r="L119" s="292"/>
      <c r="M119" s="292"/>
      <c r="N119" s="56"/>
      <c r="O119" s="56"/>
      <c r="P119" s="56"/>
      <c r="Q119" s="73"/>
      <c r="R119" s="73"/>
      <c r="S119" s="73"/>
      <c r="T119" s="73"/>
      <c r="U119" s="73"/>
      <c r="V119" s="73"/>
      <c r="W119" s="73"/>
      <c r="X119" s="73"/>
      <c r="Y119" s="282"/>
    </row>
    <row r="120" spans="5:25" s="227" customFormat="1">
      <c r="E120" s="15"/>
      <c r="F120" s="61"/>
      <c r="G120" s="15"/>
      <c r="H120" s="291"/>
      <c r="I120" s="291"/>
      <c r="J120" s="291"/>
      <c r="K120" s="292"/>
      <c r="L120" s="292"/>
      <c r="M120" s="292"/>
      <c r="N120" s="56"/>
      <c r="O120" s="56"/>
      <c r="P120" s="56"/>
      <c r="Q120" s="73"/>
      <c r="R120" s="73"/>
      <c r="S120" s="73"/>
      <c r="T120" s="73"/>
      <c r="U120" s="73"/>
      <c r="V120" s="73"/>
      <c r="W120" s="73"/>
      <c r="X120" s="73"/>
      <c r="Y120" s="282"/>
    </row>
    <row r="121" spans="5:25" s="227" customFormat="1">
      <c r="E121" s="15"/>
      <c r="F121" s="61"/>
      <c r="G121" s="15"/>
      <c r="H121" s="291"/>
      <c r="I121" s="291"/>
      <c r="J121" s="291"/>
      <c r="K121" s="292"/>
      <c r="L121" s="292"/>
      <c r="M121" s="292"/>
      <c r="N121" s="56"/>
      <c r="O121" s="56"/>
      <c r="P121" s="56"/>
      <c r="Q121" s="73"/>
      <c r="R121" s="73"/>
      <c r="S121" s="73"/>
      <c r="T121" s="73"/>
      <c r="U121" s="73"/>
      <c r="V121" s="73"/>
      <c r="W121" s="73"/>
      <c r="X121" s="73"/>
      <c r="Y121" s="282"/>
    </row>
    <row r="122" spans="5:25" s="227" customFormat="1">
      <c r="E122" s="15"/>
      <c r="F122" s="61"/>
      <c r="G122" s="15"/>
      <c r="H122" s="291"/>
      <c r="I122" s="291"/>
      <c r="J122" s="291"/>
      <c r="K122" s="292"/>
      <c r="L122" s="292"/>
      <c r="M122" s="292"/>
      <c r="N122" s="56"/>
      <c r="O122" s="56"/>
      <c r="P122" s="56"/>
      <c r="Q122" s="73"/>
      <c r="R122" s="73"/>
      <c r="S122" s="73"/>
      <c r="T122" s="73"/>
      <c r="U122" s="73"/>
      <c r="V122" s="73"/>
      <c r="W122" s="73"/>
      <c r="X122" s="73"/>
      <c r="Y122" s="282"/>
    </row>
    <row r="123" spans="5:25" s="227" customFormat="1">
      <c r="F123" s="278"/>
      <c r="H123" s="280"/>
      <c r="I123" s="280"/>
      <c r="J123" s="280"/>
      <c r="K123" s="281"/>
      <c r="L123" s="281"/>
      <c r="M123" s="281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282"/>
    </row>
    <row r="124" spans="5:25" s="227" customFormat="1">
      <c r="F124" s="278"/>
      <c r="H124" s="280"/>
      <c r="I124" s="280"/>
      <c r="J124" s="280"/>
      <c r="K124" s="281"/>
      <c r="L124" s="281"/>
      <c r="M124" s="281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282"/>
    </row>
    <row r="125" spans="5:25" s="227" customFormat="1">
      <c r="F125" s="278"/>
      <c r="H125" s="280"/>
      <c r="I125" s="280"/>
      <c r="J125" s="280"/>
      <c r="K125" s="281"/>
      <c r="L125" s="281"/>
      <c r="M125" s="281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282"/>
    </row>
    <row r="126" spans="5:25" s="227" customFormat="1">
      <c r="F126" s="278"/>
      <c r="H126" s="280"/>
      <c r="I126" s="280"/>
      <c r="J126" s="280"/>
      <c r="K126" s="281"/>
      <c r="L126" s="281"/>
      <c r="M126" s="281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282"/>
    </row>
    <row r="127" spans="5:25" s="227" customFormat="1">
      <c r="F127" s="278"/>
      <c r="H127" s="280"/>
      <c r="I127" s="280"/>
      <c r="J127" s="280"/>
      <c r="K127" s="281"/>
      <c r="L127" s="281"/>
      <c r="M127" s="281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282"/>
    </row>
    <row r="128" spans="5:25" s="227" customFormat="1">
      <c r="F128" s="278"/>
      <c r="H128" s="280"/>
      <c r="I128" s="280"/>
      <c r="J128" s="280"/>
      <c r="K128" s="281"/>
      <c r="L128" s="281"/>
      <c r="M128" s="281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282"/>
    </row>
    <row r="129" spans="6:25" s="227" customFormat="1">
      <c r="F129" s="278"/>
      <c r="H129" s="280"/>
      <c r="I129" s="280"/>
      <c r="J129" s="280"/>
      <c r="K129" s="281"/>
      <c r="L129" s="281"/>
      <c r="M129" s="281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282"/>
    </row>
    <row r="130" spans="6:25" s="227" customFormat="1">
      <c r="F130" s="278"/>
      <c r="H130" s="280"/>
      <c r="I130" s="280"/>
      <c r="J130" s="280"/>
      <c r="K130" s="281"/>
      <c r="L130" s="281"/>
      <c r="M130" s="281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282"/>
    </row>
    <row r="131" spans="6:25" s="227" customFormat="1">
      <c r="F131" s="278"/>
      <c r="H131" s="280"/>
      <c r="I131" s="280"/>
      <c r="J131" s="280"/>
      <c r="K131" s="281"/>
      <c r="L131" s="281"/>
      <c r="M131" s="281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282"/>
    </row>
    <row r="132" spans="6:25" s="227" customFormat="1">
      <c r="F132" s="278"/>
      <c r="H132" s="280"/>
      <c r="I132" s="280"/>
      <c r="J132" s="280"/>
      <c r="K132" s="281"/>
      <c r="L132" s="281"/>
      <c r="M132" s="281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282"/>
    </row>
    <row r="133" spans="6:25" s="227" customFormat="1">
      <c r="F133" s="278"/>
      <c r="H133" s="280"/>
      <c r="I133" s="280"/>
      <c r="J133" s="280"/>
      <c r="K133" s="281"/>
      <c r="L133" s="281"/>
      <c r="M133" s="281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282"/>
    </row>
    <row r="134" spans="6:25">
      <c r="H134" s="291"/>
      <c r="I134" s="291"/>
      <c r="J134" s="291"/>
      <c r="K134" s="292"/>
      <c r="L134" s="292"/>
      <c r="M134" s="292"/>
    </row>
    <row r="135" spans="6:25">
      <c r="H135" s="291"/>
      <c r="I135" s="291"/>
      <c r="J135" s="291"/>
      <c r="K135" s="292"/>
      <c r="L135" s="292"/>
      <c r="M135" s="292"/>
    </row>
    <row r="136" spans="6:25">
      <c r="H136" s="291"/>
      <c r="I136" s="291"/>
      <c r="J136" s="291"/>
      <c r="K136" s="292"/>
      <c r="L136" s="292"/>
      <c r="M136" s="292"/>
    </row>
    <row r="137" spans="6:25">
      <c r="H137" s="291"/>
      <c r="I137" s="291"/>
      <c r="J137" s="291"/>
      <c r="K137" s="292"/>
      <c r="L137" s="292"/>
      <c r="M137" s="292"/>
    </row>
    <row r="138" spans="6:25">
      <c r="H138" s="291"/>
      <c r="I138" s="291"/>
      <c r="J138" s="291"/>
      <c r="K138" s="292"/>
      <c r="L138" s="292"/>
      <c r="M138" s="292"/>
    </row>
    <row r="139" spans="6:25">
      <c r="H139" s="291"/>
      <c r="I139" s="291"/>
      <c r="J139" s="291"/>
      <c r="K139" s="292"/>
      <c r="L139" s="292"/>
      <c r="M139" s="292"/>
    </row>
    <row r="140" spans="6:25">
      <c r="H140" s="291"/>
      <c r="I140" s="291"/>
      <c r="J140" s="291"/>
      <c r="K140" s="292"/>
      <c r="L140" s="292"/>
      <c r="M140" s="292"/>
    </row>
    <row r="141" spans="6:25">
      <c r="H141" s="291"/>
      <c r="I141" s="291"/>
      <c r="J141" s="291"/>
      <c r="K141" s="292"/>
      <c r="L141" s="292"/>
      <c r="M141" s="292"/>
    </row>
  </sheetData>
  <sheetProtection formatCells="0" formatColumns="0" formatRows="0" insertRows="0" deleteRows="0" autoFilter="0"/>
  <autoFilter ref="E23:AL63" xr:uid="{00000000-0009-0000-0000-000008000000}"/>
  <mergeCells count="1">
    <mergeCell ref="I4:J4"/>
  </mergeCells>
  <phoneticPr fontId="40"/>
  <dataValidations disablePrompts="1" count="2">
    <dataValidation type="list" allowBlank="1" showInputMessage="1" showErrorMessage="1" sqref="G2" xr:uid="{00000000-0002-0000-0800-000000000000}">
      <formula1>SOCIETE</formula1>
    </dataValidation>
    <dataValidation type="list" allowBlank="1" showInputMessage="1" showErrorMessage="1" sqref="F24:F70" xr:uid="{5F697337-93D3-42B8-BC55-A993D4796287}">
      <formula1>Liste</formula1>
    </dataValidation>
  </dataValidations>
  <pageMargins left="0.17" right="0.17" top="0.37" bottom="0.23" header="0.31496062992125984" footer="0.16"/>
  <pageSetup paperSize="9" scale="48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tabColor theme="4" tint="-0.499984740745262"/>
    <pageSetUpPr fitToPage="1"/>
  </sheetPr>
  <dimension ref="D1:AL95"/>
  <sheetViews>
    <sheetView showGridLines="0" topLeftCell="C1" zoomScale="70" zoomScaleNormal="70" workbookViewId="0">
      <selection activeCell="S9" sqref="S9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49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February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February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W7</v>
      </c>
      <c r="I9" s="61"/>
      <c r="J9" s="161" t="str">
        <f>+"from "&amp;G6&amp;" 1 until end of "&amp;G4</f>
        <v>from February 1 until end of W7</v>
      </c>
      <c r="K9" s="79"/>
      <c r="L9" s="167" t="str">
        <f>+G6</f>
        <v>February</v>
      </c>
      <c r="M9" s="80"/>
      <c r="N9" s="80"/>
      <c r="O9" s="172" t="str">
        <f>+G4</f>
        <v>W7</v>
      </c>
      <c r="P9" s="173" t="str">
        <f>+VLOOKUP(G4, parameters!$G$9:$I$61,3,0)</f>
        <v>W6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600+J10</f>
        <v>673</v>
      </c>
      <c r="I10" s="61"/>
      <c r="J10" s="159">
        <v>73</v>
      </c>
      <c r="L10" s="159">
        <f>J10+O17</f>
        <v>460.98342752477595</v>
      </c>
      <c r="N10" s="55"/>
      <c r="O10" s="170">
        <f>+H10+K17</f>
        <v>1674.1901368380068</v>
      </c>
      <c r="P10" s="171" cm="1">
        <f t="array" aca="1" ref="P10" ca="1">INDIRECT(ADDRESS(10,15,,,VLOOKUP($G$4,parameters!$G:$I,3,0)))</f>
        <v>1529.6503351000001</v>
      </c>
      <c r="Q10" s="183">
        <f ca="1">O10-P10</f>
        <v>144.53980173800664</v>
      </c>
      <c r="R10" s="86"/>
    </row>
    <row r="11" spans="5:38" ht="20.45" customHeight="1">
      <c r="E11" s="87" t="s">
        <v>224</v>
      </c>
      <c r="F11" s="88"/>
      <c r="G11" s="89"/>
      <c r="H11" s="16">
        <f>13+J11</f>
        <v>23</v>
      </c>
      <c r="I11" s="61"/>
      <c r="J11" s="16">
        <v>10</v>
      </c>
      <c r="L11" s="159">
        <f>J11+O18</f>
        <v>11.663102629400001</v>
      </c>
      <c r="N11" s="55"/>
      <c r="O11" s="152">
        <f>+H11+K18</f>
        <v>31.453248054980001</v>
      </c>
      <c r="P11" s="153" cm="1">
        <f t="array" aca="1" ref="P11" ca="1">INDIRECT(ADDRESS(11,15,,,VLOOKUP($G$4,parameters!$G:$I,3,0)))</f>
        <v>22.180160000000001</v>
      </c>
      <c r="Q11" s="184">
        <f t="shared" ref="Q11:Q12" ca="1" si="0">O11-P11</f>
        <v>9.2730880549800005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696</v>
      </c>
      <c r="I12" s="61"/>
      <c r="J12" s="126">
        <v>83</v>
      </c>
      <c r="K12" s="65"/>
      <c r="L12" s="126">
        <f>SUM(L10:L11)</f>
        <v>472.64653015417593</v>
      </c>
      <c r="M12" s="65"/>
      <c r="N12" s="65"/>
      <c r="O12" s="154">
        <f>SUM(O10:O11)</f>
        <v>1705.6433848929867</v>
      </c>
      <c r="P12" s="155">
        <f ca="1">SUM(P10:P11)</f>
        <v>1551.8304951</v>
      </c>
      <c r="Q12" s="156">
        <f t="shared" ca="1" si="0"/>
        <v>153.81288979298665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293"/>
      <c r="I16" s="293">
        <f>H12-J12</f>
        <v>613</v>
      </c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+SUMIF($F$24:$F$72,"External",$J$24:$J$72)</f>
        <v>1001.1901368380068</v>
      </c>
      <c r="K17" s="108">
        <f>+SUMIF($F$24:$F$72,"External",$K$24:$K$72)</f>
        <v>1001.1901368380068</v>
      </c>
      <c r="L17" s="109">
        <f>+SUMIF($F$24:$F$72,"External",$L$24:$L$72)</f>
        <v>0</v>
      </c>
      <c r="M17" s="110"/>
      <c r="N17" s="111">
        <f t="shared" ref="N17:Y17" si="1">+SUMIF($F$24:$F$72,"External",N$24:N$72)</f>
        <v>0</v>
      </c>
      <c r="O17" s="111">
        <f t="shared" si="1"/>
        <v>387.98342752477595</v>
      </c>
      <c r="P17" s="111">
        <f t="shared" si="1"/>
        <v>355.22215447009586</v>
      </c>
      <c r="Q17" s="111">
        <f t="shared" si="1"/>
        <v>208.44479187633493</v>
      </c>
      <c r="R17" s="111">
        <f t="shared" si="1"/>
        <v>9.0352969999999999</v>
      </c>
      <c r="S17" s="111">
        <f t="shared" si="1"/>
        <v>28.515911399999997</v>
      </c>
      <c r="T17" s="111">
        <f t="shared" si="1"/>
        <v>11.988554499999999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+SUMIF($F$24:$F$72,"External",AA$24:AA$72)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+SUMIF($F$24:$F$72,"Group",$J$24:$J$72)</f>
        <v>8.4532480549799995</v>
      </c>
      <c r="K18" s="113">
        <f>+SUMIF($F$24:$F$72,"Group",$K$24:$K$72)</f>
        <v>8.4532480549799995</v>
      </c>
      <c r="L18" s="114">
        <f>SUMIF($F$24:$F$72,"Group",$L$24:$L$72)</f>
        <v>0</v>
      </c>
      <c r="M18" s="110"/>
      <c r="N18" s="114">
        <f t="shared" ref="N18:Y18" si="3">+SUMIF($F$24:$F$72,"Group",N$24:N$72)</f>
        <v>0</v>
      </c>
      <c r="O18" s="114">
        <f t="shared" si="3"/>
        <v>1.6631026294000002</v>
      </c>
      <c r="P18" s="114">
        <f t="shared" si="3"/>
        <v>0</v>
      </c>
      <c r="Q18" s="114">
        <f t="shared" si="3"/>
        <v>6.7901454255799996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+SUMIF($F$24:$F$72,"Group",AA$24:AA$72)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1009.6433848929868</v>
      </c>
      <c r="K19" s="115">
        <f>SUM(K17:K18)</f>
        <v>1009.6433848929868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389.64653015417593</v>
      </c>
      <c r="P19" s="116">
        <f t="shared" si="5"/>
        <v>355.22215447009586</v>
      </c>
      <c r="Q19" s="116">
        <f t="shared" si="5"/>
        <v>215.23493730191493</v>
      </c>
      <c r="R19" s="116">
        <f t="shared" si="5"/>
        <v>9.0352969999999999</v>
      </c>
      <c r="S19" s="116">
        <f t="shared" si="5"/>
        <v>28.515911399999997</v>
      </c>
      <c r="T19" s="116">
        <f t="shared" si="5"/>
        <v>11.988554499999999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IF(SUM(J24:J72)=J19,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234</v>
      </c>
      <c r="F24" s="7" t="s">
        <v>19</v>
      </c>
      <c r="G24" s="6" t="s">
        <v>235</v>
      </c>
      <c r="H24" s="187" t="s">
        <v>384</v>
      </c>
      <c r="I24" s="187" t="s">
        <v>236</v>
      </c>
      <c r="J24" s="118">
        <f t="shared" ref="J24" si="7">+K24+L24</f>
        <v>7.2617511016949194</v>
      </c>
      <c r="K24" s="119">
        <f t="shared" ref="K24" si="8">SUM(N24:Y24)</f>
        <v>7.2617511016949194</v>
      </c>
      <c r="L24" s="119">
        <f t="shared" ref="L24" si="9">SUM(AA24:AL24)</f>
        <v>0</v>
      </c>
      <c r="M24" s="23"/>
      <c r="N24" s="24"/>
      <c r="O24" s="24"/>
      <c r="P24" s="24"/>
      <c r="Q24" s="24">
        <v>7.2617511016949194</v>
      </c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234</v>
      </c>
      <c r="F25" s="7" t="s">
        <v>19</v>
      </c>
      <c r="G25" s="6" t="s">
        <v>237</v>
      </c>
      <c r="H25" s="188" t="s">
        <v>385</v>
      </c>
      <c r="I25" s="188" t="s">
        <v>236</v>
      </c>
      <c r="J25" s="118">
        <f t="shared" ref="J25:J72" si="10">+K25+L25</f>
        <v>19.087499999999999</v>
      </c>
      <c r="K25" s="119">
        <f t="shared" ref="K25:K72" si="11">SUM(N25:Y25)</f>
        <v>19.087499999999999</v>
      </c>
      <c r="L25" s="119">
        <f t="shared" ref="L25:L72" si="12">SUM(AA25:AL25)</f>
        <v>0</v>
      </c>
      <c r="M25" s="23"/>
      <c r="N25" s="24"/>
      <c r="O25" s="24"/>
      <c r="P25" s="24">
        <v>19.087499999999999</v>
      </c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238</v>
      </c>
      <c r="F26" s="7" t="s">
        <v>19</v>
      </c>
      <c r="G26" s="6" t="s">
        <v>239</v>
      </c>
      <c r="H26" s="188" t="s">
        <v>386</v>
      </c>
      <c r="I26" s="188" t="s">
        <v>236</v>
      </c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240</v>
      </c>
      <c r="F27" s="7" t="s">
        <v>19</v>
      </c>
      <c r="G27" s="6" t="s">
        <v>237</v>
      </c>
      <c r="H27" s="188" t="s">
        <v>385</v>
      </c>
      <c r="I27" s="188" t="s">
        <v>236</v>
      </c>
      <c r="J27" s="118">
        <f t="shared" si="10"/>
        <v>8.0682141107399996</v>
      </c>
      <c r="K27" s="119">
        <f t="shared" si="11"/>
        <v>8.0682141107399996</v>
      </c>
      <c r="L27" s="119">
        <f t="shared" si="12"/>
        <v>0</v>
      </c>
      <c r="M27" s="23"/>
      <c r="N27" s="24"/>
      <c r="O27" s="24"/>
      <c r="P27" s="24">
        <v>8.0682141107399996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241</v>
      </c>
      <c r="F28" s="7" t="s">
        <v>19</v>
      </c>
      <c r="G28" s="6" t="s">
        <v>279</v>
      </c>
      <c r="H28" s="188" t="s">
        <v>387</v>
      </c>
      <c r="I28" s="188" t="s">
        <v>243</v>
      </c>
      <c r="J28" s="118">
        <f t="shared" si="10"/>
        <v>5.8856955000000006</v>
      </c>
      <c r="K28" s="119">
        <f t="shared" si="11"/>
        <v>5.8856955000000006</v>
      </c>
      <c r="L28" s="119">
        <f t="shared" si="12"/>
        <v>0</v>
      </c>
      <c r="M28" s="23"/>
      <c r="N28" s="24"/>
      <c r="O28" s="24">
        <v>5.8856955000000006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89" t="s">
        <v>388</v>
      </c>
      <c r="I29" s="189" t="s">
        <v>243</v>
      </c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341</v>
      </c>
      <c r="F30" s="7" t="s">
        <v>19</v>
      </c>
      <c r="G30" s="6" t="s">
        <v>340</v>
      </c>
      <c r="H30" s="190" t="s">
        <v>389</v>
      </c>
      <c r="I30" s="190" t="s">
        <v>243</v>
      </c>
      <c r="J30" s="118">
        <f t="shared" si="10"/>
        <v>0.85840460000000007</v>
      </c>
      <c r="K30" s="119">
        <f t="shared" si="11"/>
        <v>0.85840460000000007</v>
      </c>
      <c r="L30" s="119">
        <f t="shared" si="12"/>
        <v>0</v>
      </c>
      <c r="M30" s="23"/>
      <c r="N30" s="24"/>
      <c r="O30" s="24"/>
      <c r="P30" s="24">
        <v>0.85840460000000007</v>
      </c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284</v>
      </c>
      <c r="F31" s="7" t="s">
        <v>19</v>
      </c>
      <c r="G31" s="6" t="s">
        <v>284</v>
      </c>
      <c r="H31" s="190" t="s">
        <v>383</v>
      </c>
      <c r="I31" s="190" t="s">
        <v>243</v>
      </c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284</v>
      </c>
      <c r="F32" s="7" t="s">
        <v>19</v>
      </c>
      <c r="G32" s="6" t="s">
        <v>390</v>
      </c>
      <c r="H32" s="190" t="s">
        <v>391</v>
      </c>
      <c r="I32" s="190" t="s">
        <v>243</v>
      </c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413</v>
      </c>
      <c r="F33" s="7" t="s">
        <v>17</v>
      </c>
      <c r="G33" s="6" t="s">
        <v>284</v>
      </c>
      <c r="H33" s="190" t="s">
        <v>383</v>
      </c>
      <c r="I33" s="190" t="s">
        <v>243</v>
      </c>
      <c r="J33" s="118">
        <f t="shared" si="10"/>
        <v>6.7901454255799996</v>
      </c>
      <c r="K33" s="119">
        <f t="shared" si="11"/>
        <v>6.7901454255799996</v>
      </c>
      <c r="L33" s="119">
        <f t="shared" si="12"/>
        <v>0</v>
      </c>
      <c r="M33" s="15"/>
      <c r="N33" s="24"/>
      <c r="O33" s="24"/>
      <c r="P33" s="24"/>
      <c r="Q33" s="24">
        <v>6.7901454255799996</v>
      </c>
      <c r="R33" s="24"/>
      <c r="S33" s="24"/>
      <c r="T33" s="24"/>
      <c r="U33" s="24"/>
      <c r="V33" s="24"/>
      <c r="W33" s="24"/>
      <c r="X33" s="24"/>
    </row>
    <row r="34" spans="5:24">
      <c r="E34" s="6" t="s">
        <v>342</v>
      </c>
      <c r="F34" s="7" t="s">
        <v>17</v>
      </c>
      <c r="G34" s="6" t="s">
        <v>357</v>
      </c>
      <c r="H34" s="190" t="s">
        <v>392</v>
      </c>
      <c r="I34" s="190" t="s">
        <v>236</v>
      </c>
      <c r="J34" s="118">
        <f t="shared" si="10"/>
        <v>1.6631026294000002</v>
      </c>
      <c r="K34" s="119">
        <f t="shared" si="11"/>
        <v>1.6631026294000002</v>
      </c>
      <c r="L34" s="119">
        <f t="shared" si="12"/>
        <v>0</v>
      </c>
      <c r="M34" s="15"/>
      <c r="N34" s="24"/>
      <c r="O34" s="24">
        <v>1.6631026294000002</v>
      </c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 t="s">
        <v>244</v>
      </c>
      <c r="F35" s="7" t="s">
        <v>19</v>
      </c>
      <c r="G35" s="6" t="s">
        <v>245</v>
      </c>
      <c r="H35" s="190" t="s">
        <v>394</v>
      </c>
      <c r="I35" s="190" t="s">
        <v>236</v>
      </c>
      <c r="J35" s="118">
        <f t="shared" si="10"/>
        <v>28.515911399999997</v>
      </c>
      <c r="K35" s="119">
        <f t="shared" si="11"/>
        <v>28.515911399999997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>
        <v>28.515911399999997</v>
      </c>
      <c r="T35" s="24"/>
      <c r="U35" s="24"/>
      <c r="V35" s="24"/>
      <c r="W35" s="24"/>
      <c r="X35" s="24"/>
    </row>
    <row r="36" spans="5:24">
      <c r="E36" s="6" t="s">
        <v>246</v>
      </c>
      <c r="F36" s="7" t="s">
        <v>19</v>
      </c>
      <c r="G36" s="6" t="s">
        <v>247</v>
      </c>
      <c r="H36" s="190" t="s">
        <v>395</v>
      </c>
      <c r="I36" s="190" t="s">
        <v>236</v>
      </c>
      <c r="J36" s="118">
        <f t="shared" si="10"/>
        <v>62.521813700000003</v>
      </c>
      <c r="K36" s="119">
        <f t="shared" si="11"/>
        <v>62.521813700000003</v>
      </c>
      <c r="L36" s="119">
        <f t="shared" si="12"/>
        <v>0</v>
      </c>
      <c r="M36" s="15"/>
      <c r="N36" s="24"/>
      <c r="O36" s="24">
        <v>57.850948300000006</v>
      </c>
      <c r="P36" s="24">
        <v>2.3354326999999997</v>
      </c>
      <c r="Q36" s="24"/>
      <c r="R36" s="24"/>
      <c r="S36" s="24"/>
      <c r="T36" s="24">
        <v>2.3354326999999997</v>
      </c>
      <c r="U36" s="24"/>
      <c r="V36" s="24"/>
      <c r="W36" s="24"/>
      <c r="X36" s="24"/>
    </row>
    <row r="37" spans="5:24">
      <c r="E37" s="6" t="s">
        <v>246</v>
      </c>
      <c r="F37" s="7" t="s">
        <v>19</v>
      </c>
      <c r="G37" s="6" t="s">
        <v>248</v>
      </c>
      <c r="H37" s="190" t="s">
        <v>406</v>
      </c>
      <c r="I37" s="190" t="s">
        <v>236</v>
      </c>
      <c r="J37" s="118">
        <f t="shared" si="10"/>
        <v>3.1881162999999999</v>
      </c>
      <c r="K37" s="119">
        <f t="shared" si="11"/>
        <v>3.1881162999999999</v>
      </c>
      <c r="L37" s="119">
        <f t="shared" si="12"/>
        <v>0</v>
      </c>
      <c r="M37" s="15"/>
      <c r="N37" s="24"/>
      <c r="O37" s="24"/>
      <c r="P37" s="24">
        <v>3.1881162999999999</v>
      </c>
      <c r="Q37" s="24"/>
      <c r="R37" s="24"/>
      <c r="S37" s="24"/>
      <c r="T37" s="24"/>
      <c r="U37" s="24"/>
      <c r="V37" s="24"/>
      <c r="W37" s="24"/>
      <c r="X37" s="24"/>
    </row>
    <row r="38" spans="5:24">
      <c r="E38" s="6" t="s">
        <v>246</v>
      </c>
      <c r="F38" s="7" t="s">
        <v>19</v>
      </c>
      <c r="G38" s="6" t="s">
        <v>249</v>
      </c>
      <c r="H38" s="190" t="s">
        <v>408</v>
      </c>
      <c r="I38" s="190" t="s">
        <v>236</v>
      </c>
      <c r="J38" s="118">
        <f t="shared" si="10"/>
        <v>80.495252400000012</v>
      </c>
      <c r="K38" s="119">
        <f t="shared" si="11"/>
        <v>80.495252400000012</v>
      </c>
      <c r="L38" s="119">
        <f t="shared" si="12"/>
        <v>0</v>
      </c>
      <c r="M38" s="15"/>
      <c r="N38" s="24"/>
      <c r="O38" s="24">
        <v>75.824387000000016</v>
      </c>
      <c r="P38" s="24">
        <v>2.3354326999999997</v>
      </c>
      <c r="Q38" s="24"/>
      <c r="R38" s="24"/>
      <c r="S38" s="24"/>
      <c r="T38" s="24">
        <v>2.3354326999999997</v>
      </c>
      <c r="U38" s="24"/>
      <c r="V38" s="24"/>
      <c r="W38" s="24"/>
      <c r="X38" s="24"/>
    </row>
    <row r="39" spans="5:24">
      <c r="E39" s="6" t="s">
        <v>246</v>
      </c>
      <c r="F39" s="7" t="s">
        <v>19</v>
      </c>
      <c r="G39" s="6" t="s">
        <v>250</v>
      </c>
      <c r="H39" s="190" t="s">
        <v>409</v>
      </c>
      <c r="I39" s="190" t="s">
        <v>236</v>
      </c>
      <c r="J39" s="118">
        <f t="shared" si="10"/>
        <v>21.8470418</v>
      </c>
      <c r="K39" s="119">
        <f t="shared" si="11"/>
        <v>21.8470418</v>
      </c>
      <c r="L39" s="119">
        <f t="shared" si="12"/>
        <v>0</v>
      </c>
      <c r="M39" s="15"/>
      <c r="N39" s="24"/>
      <c r="O39" s="24">
        <v>8.1408793999999993</v>
      </c>
      <c r="P39" s="24">
        <v>2.3354326999999997</v>
      </c>
      <c r="Q39" s="24"/>
      <c r="R39" s="24">
        <v>9.0352969999999999</v>
      </c>
      <c r="S39" s="24"/>
      <c r="T39" s="24">
        <v>2.3354326999999997</v>
      </c>
      <c r="U39" s="24"/>
      <c r="V39" s="24"/>
      <c r="W39" s="24"/>
      <c r="X39" s="24"/>
    </row>
    <row r="40" spans="5:24">
      <c r="E40" s="6" t="s">
        <v>246</v>
      </c>
      <c r="F40" s="7" t="s">
        <v>19</v>
      </c>
      <c r="G40" s="6" t="s">
        <v>293</v>
      </c>
      <c r="H40" s="190" t="s">
        <v>410</v>
      </c>
      <c r="I40" s="190" t="s">
        <v>236</v>
      </c>
      <c r="J40" s="118">
        <f t="shared" si="10"/>
        <v>3.2735576000000002</v>
      </c>
      <c r="K40" s="119">
        <f t="shared" si="11"/>
        <v>3.2735576000000002</v>
      </c>
      <c r="L40" s="119">
        <f t="shared" si="12"/>
        <v>0</v>
      </c>
      <c r="M40" s="15"/>
      <c r="N40" s="24"/>
      <c r="O40" s="24">
        <v>0</v>
      </c>
      <c r="P40" s="24">
        <v>1.6367788000000001</v>
      </c>
      <c r="Q40" s="24"/>
      <c r="R40" s="24"/>
      <c r="S40" s="24"/>
      <c r="T40" s="24">
        <v>1.6367788000000001</v>
      </c>
      <c r="U40" s="24"/>
      <c r="V40" s="24"/>
      <c r="W40" s="24"/>
      <c r="X40" s="24"/>
    </row>
    <row r="41" spans="5:24">
      <c r="E41" s="6" t="s">
        <v>246</v>
      </c>
      <c r="F41" s="7" t="s">
        <v>19</v>
      </c>
      <c r="G41" s="6" t="s">
        <v>251</v>
      </c>
      <c r="H41" s="190" t="s">
        <v>406</v>
      </c>
      <c r="I41" s="190" t="s">
        <v>236</v>
      </c>
      <c r="J41" s="118">
        <f t="shared" si="10"/>
        <v>15.342187700000002</v>
      </c>
      <c r="K41" s="119">
        <f t="shared" si="11"/>
        <v>15.342187700000002</v>
      </c>
      <c r="L41" s="119">
        <f t="shared" si="12"/>
        <v>0</v>
      </c>
      <c r="M41" s="15"/>
      <c r="N41" s="24"/>
      <c r="O41" s="24">
        <v>0.81399339999999998</v>
      </c>
      <c r="P41" s="24">
        <v>13.021174300000002</v>
      </c>
      <c r="Q41" s="24"/>
      <c r="R41" s="24"/>
      <c r="S41" s="24"/>
      <c r="T41" s="24">
        <v>1.50702</v>
      </c>
      <c r="U41" s="24"/>
      <c r="V41" s="24"/>
      <c r="W41" s="24"/>
      <c r="X41" s="24"/>
    </row>
    <row r="42" spans="5:24">
      <c r="E42" s="6" t="s">
        <v>246</v>
      </c>
      <c r="F42" s="7" t="s">
        <v>19</v>
      </c>
      <c r="G42" s="6" t="s">
        <v>252</v>
      </c>
      <c r="H42" s="190" t="s">
        <v>407</v>
      </c>
      <c r="I42" s="190" t="s">
        <v>236</v>
      </c>
      <c r="J42" s="118">
        <f t="shared" si="10"/>
        <v>27.066907699999998</v>
      </c>
      <c r="K42" s="119">
        <f t="shared" si="11"/>
        <v>27.066907699999998</v>
      </c>
      <c r="L42" s="119">
        <f t="shared" si="12"/>
        <v>0</v>
      </c>
      <c r="M42" s="15"/>
      <c r="N42" s="24"/>
      <c r="O42" s="24">
        <v>1.0139011</v>
      </c>
      <c r="P42" s="24">
        <v>25.274528999999998</v>
      </c>
      <c r="Q42" s="24"/>
      <c r="R42" s="24"/>
      <c r="S42" s="24"/>
      <c r="T42" s="24">
        <v>0.77847759999999999</v>
      </c>
      <c r="U42" s="24"/>
      <c r="V42" s="24"/>
      <c r="W42" s="24"/>
      <c r="X42" s="24"/>
    </row>
    <row r="43" spans="5:24">
      <c r="E43" s="6" t="s">
        <v>246</v>
      </c>
      <c r="F43" s="7" t="s">
        <v>19</v>
      </c>
      <c r="G43" s="6" t="s">
        <v>245</v>
      </c>
      <c r="H43" s="268" t="s">
        <v>394</v>
      </c>
      <c r="I43" s="268" t="s">
        <v>236</v>
      </c>
      <c r="J43" s="118">
        <f t="shared" si="10"/>
        <v>2.1199599999999998</v>
      </c>
      <c r="K43" s="119">
        <f t="shared" si="11"/>
        <v>2.1199599999999998</v>
      </c>
      <c r="L43" s="119">
        <f t="shared" si="12"/>
        <v>0</v>
      </c>
      <c r="M43" s="15"/>
      <c r="N43" s="24"/>
      <c r="O43" s="24"/>
      <c r="P43" s="24">
        <v>1.0599799999999999</v>
      </c>
      <c r="Q43" s="24"/>
      <c r="R43" s="24"/>
      <c r="S43" s="24"/>
      <c r="T43" s="24">
        <v>1.0599799999999999</v>
      </c>
      <c r="U43" s="24"/>
      <c r="V43" s="24"/>
      <c r="W43" s="24"/>
      <c r="X43" s="24"/>
    </row>
    <row r="44" spans="5:24">
      <c r="E44" s="6" t="s">
        <v>253</v>
      </c>
      <c r="F44" s="7" t="s">
        <v>19</v>
      </c>
      <c r="G44" s="6" t="s">
        <v>254</v>
      </c>
      <c r="H44" s="268" t="s">
        <v>393</v>
      </c>
      <c r="I44" s="268" t="s">
        <v>236</v>
      </c>
      <c r="J44" s="118">
        <f t="shared" si="10"/>
        <v>9.9547999999999963E-3</v>
      </c>
      <c r="K44" s="119">
        <f t="shared" si="11"/>
        <v>9.9547999999999963E-3</v>
      </c>
      <c r="L44" s="119">
        <f t="shared" si="12"/>
        <v>0</v>
      </c>
      <c r="M44" s="15"/>
      <c r="N44" s="24"/>
      <c r="O44" s="24">
        <v>9.9547999999999963E-3</v>
      </c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6" t="s">
        <v>414</v>
      </c>
      <c r="F45" s="7" t="s">
        <v>19</v>
      </c>
      <c r="G45" s="6" t="s">
        <v>245</v>
      </c>
      <c r="H45" s="268" t="s">
        <v>394</v>
      </c>
      <c r="I45" s="268" t="s">
        <v>236</v>
      </c>
      <c r="J45" s="118">
        <f t="shared" si="10"/>
        <v>155.09714074945998</v>
      </c>
      <c r="K45" s="119">
        <f t="shared" si="11"/>
        <v>155.09714074945998</v>
      </c>
      <c r="L45" s="119">
        <f t="shared" si="12"/>
        <v>0</v>
      </c>
      <c r="M45" s="15"/>
      <c r="N45" s="24"/>
      <c r="O45" s="24"/>
      <c r="P45" s="24">
        <v>155.09714074945998</v>
      </c>
      <c r="Q45" s="24"/>
      <c r="R45" s="24"/>
      <c r="S45" s="24"/>
      <c r="T45" s="24"/>
      <c r="U45" s="24"/>
      <c r="V45" s="24"/>
      <c r="W45" s="24"/>
      <c r="X45" s="24"/>
    </row>
    <row r="46" spans="5:24">
      <c r="E46" s="6" t="s">
        <v>415</v>
      </c>
      <c r="F46" s="7" t="s">
        <v>19</v>
      </c>
      <c r="G46" s="6" t="s">
        <v>247</v>
      </c>
      <c r="H46" s="188" t="s">
        <v>395</v>
      </c>
      <c r="I46" s="188" t="s">
        <v>236</v>
      </c>
      <c r="J46" s="118">
        <f t="shared" si="10"/>
        <v>3.5708258048999997</v>
      </c>
      <c r="K46" s="119">
        <f t="shared" si="11"/>
        <v>3.5708258048999997</v>
      </c>
      <c r="L46" s="119">
        <f t="shared" si="12"/>
        <v>0</v>
      </c>
      <c r="M46" s="15"/>
      <c r="N46" s="24"/>
      <c r="O46" s="24">
        <v>3.5708258048999997</v>
      </c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 t="s">
        <v>297</v>
      </c>
      <c r="F47" s="7" t="s">
        <v>19</v>
      </c>
      <c r="G47" s="6" t="s">
        <v>357</v>
      </c>
      <c r="H47" s="188" t="s">
        <v>392</v>
      </c>
      <c r="I47" s="188" t="s">
        <v>236</v>
      </c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 t="s">
        <v>300</v>
      </c>
      <c r="F48" s="7" t="s">
        <v>19</v>
      </c>
      <c r="G48" s="6" t="s">
        <v>301</v>
      </c>
      <c r="H48" s="189" t="s">
        <v>396</v>
      </c>
      <c r="I48" s="189" t="s">
        <v>236</v>
      </c>
      <c r="J48" s="118">
        <f t="shared" si="10"/>
        <v>30.286167538800001</v>
      </c>
      <c r="K48" s="119">
        <f t="shared" si="11"/>
        <v>30.286167538800001</v>
      </c>
      <c r="L48" s="119">
        <f t="shared" si="12"/>
        <v>0</v>
      </c>
      <c r="M48" s="15"/>
      <c r="N48" s="24"/>
      <c r="O48" s="24">
        <v>0</v>
      </c>
      <c r="P48" s="24"/>
      <c r="Q48" s="24">
        <v>30.286167538800001</v>
      </c>
      <c r="R48" s="24"/>
      <c r="S48" s="24"/>
      <c r="T48" s="24"/>
      <c r="U48" s="24"/>
      <c r="V48" s="24"/>
      <c r="W48" s="24"/>
      <c r="X48" s="24"/>
    </row>
    <row r="49" spans="5:24">
      <c r="E49" s="6" t="s">
        <v>255</v>
      </c>
      <c r="F49" s="7" t="s">
        <v>19</v>
      </c>
      <c r="G49" s="6" t="s">
        <v>282</v>
      </c>
      <c r="H49" s="190" t="s">
        <v>388</v>
      </c>
      <c r="I49" s="190" t="s">
        <v>243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 t="s">
        <v>255</v>
      </c>
      <c r="F50" s="7" t="s">
        <v>19</v>
      </c>
      <c r="G50" s="6" t="s">
        <v>366</v>
      </c>
      <c r="H50" s="190" t="s">
        <v>389</v>
      </c>
      <c r="I50" s="190" t="s">
        <v>243</v>
      </c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 t="s">
        <v>255</v>
      </c>
      <c r="F51" s="7" t="s">
        <v>19</v>
      </c>
      <c r="G51" s="6" t="s">
        <v>256</v>
      </c>
      <c r="H51" s="190" t="s">
        <v>397</v>
      </c>
      <c r="I51" s="190" t="s">
        <v>236</v>
      </c>
      <c r="J51" s="118">
        <f t="shared" si="10"/>
        <v>116.92212480000001</v>
      </c>
      <c r="K51" s="119">
        <f t="shared" si="11"/>
        <v>116.92212480000001</v>
      </c>
      <c r="L51" s="119">
        <f t="shared" si="12"/>
        <v>0</v>
      </c>
      <c r="M51" s="15"/>
      <c r="N51" s="24"/>
      <c r="O51" s="24">
        <v>37.663824800000008</v>
      </c>
      <c r="P51" s="24">
        <v>79.258300000000006</v>
      </c>
      <c r="Q51" s="24"/>
      <c r="R51" s="24"/>
      <c r="S51" s="24"/>
      <c r="T51" s="24"/>
      <c r="U51" s="24"/>
      <c r="V51" s="24"/>
      <c r="W51" s="24"/>
      <c r="X51" s="24"/>
    </row>
    <row r="52" spans="5:24">
      <c r="E52" s="6" t="s">
        <v>255</v>
      </c>
      <c r="F52" s="7" t="s">
        <v>19</v>
      </c>
      <c r="G52" s="6" t="s">
        <v>304</v>
      </c>
      <c r="H52" s="190" t="s">
        <v>389</v>
      </c>
      <c r="I52" s="190" t="s">
        <v>243</v>
      </c>
      <c r="J52" s="118">
        <f t="shared" si="10"/>
        <v>16.999135800000001</v>
      </c>
      <c r="K52" s="119">
        <f t="shared" si="11"/>
        <v>16.999135800000001</v>
      </c>
      <c r="L52" s="119">
        <f t="shared" si="12"/>
        <v>0</v>
      </c>
      <c r="M52" s="15"/>
      <c r="N52" s="24"/>
      <c r="O52" s="24">
        <v>0.32536999999999999</v>
      </c>
      <c r="P52" s="24">
        <v>16.673765800000002</v>
      </c>
      <c r="Q52" s="24"/>
      <c r="R52" s="24"/>
      <c r="S52" s="24"/>
      <c r="T52" s="24"/>
      <c r="U52" s="24"/>
      <c r="V52" s="24"/>
      <c r="W52" s="24"/>
      <c r="X52" s="24"/>
    </row>
    <row r="53" spans="5:24">
      <c r="E53" s="6" t="s">
        <v>257</v>
      </c>
      <c r="F53" s="7" t="s">
        <v>19</v>
      </c>
      <c r="G53" s="6" t="s">
        <v>258</v>
      </c>
      <c r="H53" s="190" t="s">
        <v>398</v>
      </c>
      <c r="I53" s="190" t="s">
        <v>236</v>
      </c>
      <c r="J53" s="118">
        <f t="shared" si="10"/>
        <v>23.517266399999997</v>
      </c>
      <c r="K53" s="119">
        <f t="shared" si="11"/>
        <v>23.517266399999997</v>
      </c>
      <c r="L53" s="119">
        <f t="shared" si="12"/>
        <v>0</v>
      </c>
      <c r="M53" s="15"/>
      <c r="N53" s="24"/>
      <c r="O53" s="24">
        <v>23.517266399999997</v>
      </c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 t="s">
        <v>259</v>
      </c>
      <c r="F54" s="7" t="s">
        <v>19</v>
      </c>
      <c r="G54" s="6" t="s">
        <v>258</v>
      </c>
      <c r="H54" s="190" t="s">
        <v>398</v>
      </c>
      <c r="I54" s="190" t="s">
        <v>236</v>
      </c>
      <c r="J54" s="118">
        <f t="shared" si="10"/>
        <v>47.250296695931866</v>
      </c>
      <c r="K54" s="119">
        <f t="shared" si="11"/>
        <v>47.250296695931866</v>
      </c>
      <c r="L54" s="119">
        <f t="shared" si="12"/>
        <v>0</v>
      </c>
      <c r="M54" s="15"/>
      <c r="N54" s="24"/>
      <c r="O54" s="24">
        <v>10.141032709895931</v>
      </c>
      <c r="P54" s="24">
        <v>10.141032709895931</v>
      </c>
      <c r="Q54" s="24">
        <v>26.968231276140003</v>
      </c>
      <c r="R54" s="24"/>
      <c r="S54" s="24"/>
      <c r="T54" s="24"/>
      <c r="U54" s="24"/>
      <c r="V54" s="24"/>
      <c r="W54" s="24"/>
      <c r="X54" s="24"/>
    </row>
    <row r="55" spans="5:24">
      <c r="E55" s="6" t="s">
        <v>260</v>
      </c>
      <c r="F55" s="7" t="s">
        <v>19</v>
      </c>
      <c r="G55" s="6" t="s">
        <v>261</v>
      </c>
      <c r="H55" s="190" t="s">
        <v>399</v>
      </c>
      <c r="I55" s="190" t="s">
        <v>236</v>
      </c>
      <c r="J55" s="118">
        <f t="shared" si="10"/>
        <v>16.752430499999999</v>
      </c>
      <c r="K55" s="119">
        <f t="shared" si="11"/>
        <v>16.752430499999999</v>
      </c>
      <c r="L55" s="119">
        <f t="shared" si="12"/>
        <v>0</v>
      </c>
      <c r="M55" s="15"/>
      <c r="N55" s="24"/>
      <c r="O55" s="24">
        <v>16.752430499999999</v>
      </c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 t="s">
        <v>260</v>
      </c>
      <c r="F56" s="7" t="s">
        <v>19</v>
      </c>
      <c r="G56" s="6" t="s">
        <v>261</v>
      </c>
      <c r="H56" s="190" t="s">
        <v>399</v>
      </c>
      <c r="I56" s="190" t="s">
        <v>243</v>
      </c>
      <c r="J56" s="118">
        <f t="shared" si="10"/>
        <v>10.1026182</v>
      </c>
      <c r="K56" s="119">
        <f t="shared" si="11"/>
        <v>10.1026182</v>
      </c>
      <c r="L56" s="119">
        <f t="shared" si="12"/>
        <v>0</v>
      </c>
      <c r="M56" s="15"/>
      <c r="N56" s="24"/>
      <c r="O56" s="24">
        <v>10.1026182</v>
      </c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 t="s">
        <v>260</v>
      </c>
      <c r="F57" s="7" t="s">
        <v>19</v>
      </c>
      <c r="G57" s="6" t="s">
        <v>370</v>
      </c>
      <c r="H57" s="190" t="s">
        <v>400</v>
      </c>
      <c r="I57" s="190" t="s">
        <v>243</v>
      </c>
      <c r="J57" s="118">
        <f t="shared" si="10"/>
        <v>1.1928188</v>
      </c>
      <c r="K57" s="119">
        <f t="shared" si="11"/>
        <v>1.1928188</v>
      </c>
      <c r="L57" s="119">
        <f t="shared" si="12"/>
        <v>0</v>
      </c>
      <c r="M57" s="15"/>
      <c r="N57" s="24"/>
      <c r="O57" s="24">
        <v>1.1928188</v>
      </c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 t="s">
        <v>309</v>
      </c>
      <c r="F58" s="7" t="s">
        <v>19</v>
      </c>
      <c r="G58" s="6" t="s">
        <v>264</v>
      </c>
      <c r="H58" s="190" t="s">
        <v>401</v>
      </c>
      <c r="I58" s="190" t="s">
        <v>243</v>
      </c>
      <c r="J58" s="118">
        <f t="shared" si="10"/>
        <v>31.134082619650002</v>
      </c>
      <c r="K58" s="119">
        <f t="shared" si="11"/>
        <v>31.134082619650002</v>
      </c>
      <c r="L58" s="119">
        <f t="shared" si="12"/>
        <v>0</v>
      </c>
      <c r="M58" s="15"/>
      <c r="N58" s="24"/>
      <c r="O58" s="24"/>
      <c r="P58" s="24"/>
      <c r="Q58" s="24">
        <v>31.134082619650002</v>
      </c>
      <c r="R58" s="24"/>
      <c r="S58" s="24"/>
      <c r="T58" s="24"/>
      <c r="U58" s="24"/>
      <c r="V58" s="24"/>
      <c r="W58" s="24"/>
      <c r="X58" s="24"/>
    </row>
    <row r="59" spans="5:24">
      <c r="E59" s="6" t="s">
        <v>309</v>
      </c>
      <c r="F59" s="7" t="s">
        <v>19</v>
      </c>
      <c r="G59" s="6" t="s">
        <v>326</v>
      </c>
      <c r="H59" s="190" t="s">
        <v>401</v>
      </c>
      <c r="I59" s="190" t="s">
        <v>243</v>
      </c>
      <c r="J59" s="118">
        <f t="shared" si="10"/>
        <v>1.0577200000116136E-5</v>
      </c>
      <c r="K59" s="119">
        <f t="shared" si="11"/>
        <v>1.0577200000116136E-5</v>
      </c>
      <c r="L59" s="119">
        <f t="shared" si="12"/>
        <v>0</v>
      </c>
      <c r="M59" s="15"/>
      <c r="N59" s="24"/>
      <c r="O59" s="24">
        <v>1.0577200000116136E-5</v>
      </c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 t="s">
        <v>309</v>
      </c>
      <c r="F60" s="7" t="s">
        <v>19</v>
      </c>
      <c r="G60" s="6" t="s">
        <v>261</v>
      </c>
      <c r="H60" s="190" t="s">
        <v>399</v>
      </c>
      <c r="I60" s="190" t="s">
        <v>243</v>
      </c>
      <c r="J60" s="118">
        <f t="shared" si="10"/>
        <v>16.502557662099999</v>
      </c>
      <c r="K60" s="119">
        <f t="shared" si="11"/>
        <v>16.502557662099999</v>
      </c>
      <c r="L60" s="119">
        <f t="shared" si="12"/>
        <v>0</v>
      </c>
      <c r="M60" s="15"/>
      <c r="N60" s="24"/>
      <c r="O60" s="24"/>
      <c r="P60" s="24"/>
      <c r="Q60" s="24">
        <v>16.502557662099999</v>
      </c>
      <c r="R60" s="24"/>
      <c r="S60" s="24"/>
      <c r="T60" s="24"/>
      <c r="U60" s="24"/>
      <c r="V60" s="24"/>
      <c r="W60" s="24"/>
      <c r="X60" s="24"/>
    </row>
    <row r="61" spans="5:24">
      <c r="E61" s="6" t="s">
        <v>309</v>
      </c>
      <c r="F61" s="7" t="s">
        <v>19</v>
      </c>
      <c r="G61" s="6" t="s">
        <v>372</v>
      </c>
      <c r="H61" s="190" t="s">
        <v>402</v>
      </c>
      <c r="I61" s="190" t="s">
        <v>243</v>
      </c>
      <c r="J61" s="118">
        <f t="shared" si="10"/>
        <v>8.9014259218999996</v>
      </c>
      <c r="K61" s="119">
        <f t="shared" si="11"/>
        <v>8.9014259218999996</v>
      </c>
      <c r="L61" s="119">
        <f t="shared" si="12"/>
        <v>0</v>
      </c>
      <c r="M61" s="15"/>
      <c r="N61" s="24"/>
      <c r="O61" s="24">
        <v>8.9014259218999996</v>
      </c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 t="s">
        <v>309</v>
      </c>
      <c r="F62" s="7" t="s">
        <v>19</v>
      </c>
      <c r="G62" s="6" t="s">
        <v>266</v>
      </c>
      <c r="H62" s="190" t="s">
        <v>389</v>
      </c>
      <c r="I62" s="190" t="s">
        <v>243</v>
      </c>
      <c r="J62" s="118">
        <f t="shared" si="10"/>
        <v>59.7411142785</v>
      </c>
      <c r="K62" s="119">
        <f t="shared" si="11"/>
        <v>59.7411142785</v>
      </c>
      <c r="L62" s="119">
        <f t="shared" si="12"/>
        <v>0</v>
      </c>
      <c r="M62" s="15"/>
      <c r="N62" s="24"/>
      <c r="O62" s="24"/>
      <c r="P62" s="24"/>
      <c r="Q62" s="24">
        <v>59.7411142785</v>
      </c>
      <c r="R62" s="24"/>
      <c r="S62" s="24"/>
      <c r="T62" s="24"/>
      <c r="U62" s="24"/>
      <c r="V62" s="24"/>
      <c r="W62" s="24"/>
      <c r="X62" s="24"/>
    </row>
    <row r="63" spans="5:24">
      <c r="E63" s="6" t="s">
        <v>309</v>
      </c>
      <c r="F63" s="7" t="s">
        <v>19</v>
      </c>
      <c r="G63" s="6" t="s">
        <v>267</v>
      </c>
      <c r="H63" s="190" t="s">
        <v>402</v>
      </c>
      <c r="I63" s="190" t="s">
        <v>243</v>
      </c>
      <c r="J63" s="118">
        <f t="shared" si="10"/>
        <v>8.8069592930000002</v>
      </c>
      <c r="K63" s="119">
        <f t="shared" si="11"/>
        <v>8.8069592930000002</v>
      </c>
      <c r="L63" s="119">
        <f t="shared" si="12"/>
        <v>0</v>
      </c>
      <c r="M63" s="15"/>
      <c r="N63" s="24"/>
      <c r="O63" s="24"/>
      <c r="P63" s="24"/>
      <c r="Q63" s="24">
        <v>8.8069592930000002</v>
      </c>
      <c r="R63" s="24"/>
      <c r="S63" s="24"/>
      <c r="T63" s="24"/>
      <c r="U63" s="24"/>
      <c r="V63" s="24"/>
      <c r="W63" s="24"/>
      <c r="X63" s="24"/>
    </row>
    <row r="64" spans="5:24">
      <c r="E64" s="6" t="s">
        <v>309</v>
      </c>
      <c r="F64" s="7" t="s">
        <v>19</v>
      </c>
      <c r="G64" s="6" t="s">
        <v>312</v>
      </c>
      <c r="H64" s="190" t="s">
        <v>403</v>
      </c>
      <c r="I64" s="190" t="s">
        <v>243</v>
      </c>
      <c r="J64" s="119">
        <f t="shared" ref="J64" si="13">SUM(Y64:AJ64)</f>
        <v>0</v>
      </c>
      <c r="K64" s="119">
        <f t="shared" ref="K64" si="14">SUM(Z64:AK64)</f>
        <v>0</v>
      </c>
      <c r="L64" s="119">
        <f t="shared" si="12"/>
        <v>0</v>
      </c>
      <c r="M64" s="15"/>
      <c r="N64" s="24"/>
      <c r="O64" s="24">
        <v>-6.6799999913200738E-8</v>
      </c>
      <c r="P64" s="24"/>
      <c r="Q64" s="24"/>
      <c r="R64" s="24"/>
      <c r="S64" s="24"/>
      <c r="T64" s="24"/>
      <c r="U64" s="24"/>
      <c r="V64" s="24"/>
      <c r="W64" s="24"/>
      <c r="X64" s="24"/>
    </row>
    <row r="65" spans="5:24">
      <c r="E65" s="6" t="s">
        <v>309</v>
      </c>
      <c r="F65" s="7" t="s">
        <v>19</v>
      </c>
      <c r="G65" s="6" t="s">
        <v>370</v>
      </c>
      <c r="H65" s="190" t="s">
        <v>400</v>
      </c>
      <c r="I65" s="190" t="s">
        <v>243</v>
      </c>
      <c r="J65" s="118">
        <f t="shared" si="10"/>
        <v>27.743928106449999</v>
      </c>
      <c r="K65" s="119">
        <f t="shared" si="11"/>
        <v>27.743928106449999</v>
      </c>
      <c r="L65" s="119">
        <f t="shared" si="12"/>
        <v>0</v>
      </c>
      <c r="N65" s="24"/>
      <c r="O65" s="24"/>
      <c r="P65" s="24"/>
      <c r="Q65" s="24">
        <v>27.743928106449999</v>
      </c>
      <c r="R65" s="24"/>
      <c r="S65" s="24"/>
      <c r="T65" s="24"/>
      <c r="U65" s="24"/>
      <c r="V65" s="24"/>
      <c r="W65" s="24"/>
      <c r="X65" s="24"/>
    </row>
    <row r="66" spans="5:24">
      <c r="E66" s="6" t="s">
        <v>314</v>
      </c>
      <c r="F66" s="7" t="s">
        <v>19</v>
      </c>
      <c r="G66" s="6" t="s">
        <v>327</v>
      </c>
      <c r="H66" s="190" t="s">
        <v>404</v>
      </c>
      <c r="I66" s="190" t="s">
        <v>243</v>
      </c>
      <c r="J66" s="118">
        <f t="shared" si="10"/>
        <v>14.85092</v>
      </c>
      <c r="K66" s="119">
        <f t="shared" si="11"/>
        <v>14.85092</v>
      </c>
      <c r="L66" s="119">
        <f t="shared" si="12"/>
        <v>0</v>
      </c>
      <c r="N66" s="24"/>
      <c r="O66" s="24"/>
      <c r="P66" s="24">
        <v>14.85092</v>
      </c>
      <c r="Q66" s="24"/>
      <c r="R66" s="24"/>
      <c r="S66" s="24"/>
      <c r="T66" s="24"/>
      <c r="U66" s="24"/>
      <c r="V66" s="24"/>
      <c r="W66" s="24"/>
      <c r="X66" s="24"/>
    </row>
    <row r="67" spans="5:24">
      <c r="E67" s="6" t="s">
        <v>268</v>
      </c>
      <c r="F67" s="7" t="s">
        <v>19</v>
      </c>
      <c r="G67" s="6" t="s">
        <v>374</v>
      </c>
      <c r="H67" s="190" t="s">
        <v>405</v>
      </c>
      <c r="I67" s="190" t="s">
        <v>236</v>
      </c>
      <c r="J67" s="118">
        <f t="shared" si="10"/>
        <v>57.109954677680001</v>
      </c>
      <c r="K67" s="119">
        <f t="shared" si="11"/>
        <v>57.109954677680001</v>
      </c>
      <c r="L67" s="119">
        <f t="shared" si="12"/>
        <v>0</v>
      </c>
      <c r="N67" s="24"/>
      <c r="O67" s="24">
        <v>57.109954677680001</v>
      </c>
      <c r="P67" s="24"/>
      <c r="Q67" s="24"/>
      <c r="R67" s="24"/>
      <c r="S67" s="24"/>
      <c r="T67" s="24"/>
      <c r="U67" s="24"/>
      <c r="V67" s="24"/>
      <c r="W67" s="24"/>
      <c r="X67" s="24"/>
    </row>
    <row r="68" spans="5:24">
      <c r="E68" s="6" t="s">
        <v>270</v>
      </c>
      <c r="F68" s="7" t="s">
        <v>19</v>
      </c>
      <c r="G68" s="6" t="s">
        <v>374</v>
      </c>
      <c r="H68" s="190" t="s">
        <v>405</v>
      </c>
      <c r="I68" s="190" t="s">
        <v>236</v>
      </c>
      <c r="J68" s="118">
        <f t="shared" si="10"/>
        <v>42.985818900000005</v>
      </c>
      <c r="K68" s="119">
        <f t="shared" si="11"/>
        <v>42.985818900000005</v>
      </c>
      <c r="L68" s="119">
        <f t="shared" si="12"/>
        <v>0</v>
      </c>
      <c r="N68" s="24"/>
      <c r="O68" s="24">
        <v>42.985818900000005</v>
      </c>
      <c r="P68" s="24"/>
      <c r="Q68" s="24"/>
      <c r="R68" s="24"/>
      <c r="S68" s="24"/>
      <c r="T68" s="24"/>
      <c r="U68" s="24"/>
      <c r="V68" s="24"/>
      <c r="W68" s="24"/>
      <c r="X68" s="24"/>
    </row>
    <row r="69" spans="5:24">
      <c r="E69" s="6" t="s">
        <v>271</v>
      </c>
      <c r="F69" s="7" t="s">
        <v>19</v>
      </c>
      <c r="G69" s="6" t="s">
        <v>247</v>
      </c>
      <c r="H69" s="190" t="s">
        <v>395</v>
      </c>
      <c r="I69" s="190" t="s">
        <v>236</v>
      </c>
      <c r="J69" s="118">
        <f t="shared" si="10"/>
        <v>3.3210000000000002</v>
      </c>
      <c r="K69" s="119">
        <f t="shared" si="11"/>
        <v>3.3210000000000002</v>
      </c>
      <c r="L69" s="119">
        <f t="shared" si="12"/>
        <v>0</v>
      </c>
      <c r="N69" s="24"/>
      <c r="O69" s="24">
        <v>3.3210000000000002</v>
      </c>
      <c r="P69" s="24"/>
      <c r="Q69" s="24"/>
      <c r="R69" s="24"/>
      <c r="S69" s="24"/>
      <c r="T69" s="24"/>
      <c r="U69" s="24"/>
      <c r="V69" s="24"/>
      <c r="W69" s="24"/>
      <c r="X69" s="24"/>
    </row>
    <row r="70" spans="5:24">
      <c r="E70" s="6" t="s">
        <v>271</v>
      </c>
      <c r="F70" s="7" t="s">
        <v>19</v>
      </c>
      <c r="G70" s="6" t="s">
        <v>272</v>
      </c>
      <c r="H70" s="190" t="s">
        <v>406</v>
      </c>
      <c r="I70" s="190" t="s">
        <v>236</v>
      </c>
      <c r="J70" s="118">
        <f t="shared" si="10"/>
        <v>0</v>
      </c>
      <c r="K70" s="119">
        <f t="shared" si="11"/>
        <v>0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5:24">
      <c r="E71" s="6" t="s">
        <v>271</v>
      </c>
      <c r="F71" s="7" t="s">
        <v>19</v>
      </c>
      <c r="G71" s="6" t="s">
        <v>252</v>
      </c>
      <c r="H71" s="190" t="s">
        <v>407</v>
      </c>
      <c r="I71" s="190" t="s">
        <v>243</v>
      </c>
      <c r="J71" s="118">
        <f t="shared" si="10"/>
        <v>22.859270799999997</v>
      </c>
      <c r="K71" s="119">
        <f t="shared" si="11"/>
        <v>22.859270799999997</v>
      </c>
      <c r="L71" s="119">
        <f t="shared" si="12"/>
        <v>0</v>
      </c>
      <c r="N71" s="24"/>
      <c r="O71" s="24">
        <v>22.859270799999997</v>
      </c>
      <c r="P71" s="24"/>
      <c r="Q71" s="24"/>
      <c r="R71" s="24"/>
      <c r="S71" s="24"/>
      <c r="T71" s="24"/>
      <c r="U71" s="24"/>
      <c r="V71" s="24"/>
      <c r="W71" s="24"/>
      <c r="X71" s="24"/>
    </row>
    <row r="72" spans="5:24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4" spans="5:24">
      <c r="E74" s="191" t="s">
        <v>320</v>
      </c>
      <c r="F74" s="216">
        <v>46023</v>
      </c>
      <c r="G74" s="192">
        <v>218</v>
      </c>
      <c r="H74" s="271" t="s">
        <v>321</v>
      </c>
    </row>
    <row r="75" spans="5:24">
      <c r="E75" s="195" t="s">
        <v>411</v>
      </c>
      <c r="F75" s="217"/>
      <c r="G75" s="196">
        <v>151</v>
      </c>
      <c r="H75" s="271" t="s">
        <v>321</v>
      </c>
    </row>
    <row r="76" spans="5:24">
      <c r="E76" s="195" t="s">
        <v>412</v>
      </c>
      <c r="F76" s="217"/>
      <c r="G76" s="196">
        <v>138</v>
      </c>
      <c r="H76" s="271" t="s">
        <v>321</v>
      </c>
    </row>
    <row r="77" spans="5:24">
      <c r="E77" s="191" t="s">
        <v>320</v>
      </c>
      <c r="F77" s="216">
        <v>46053</v>
      </c>
      <c r="G77" s="192">
        <f>G74+G75-G76</f>
        <v>231</v>
      </c>
      <c r="H77" s="271" t="s">
        <v>321</v>
      </c>
    </row>
    <row r="79" spans="5:24">
      <c r="E79" s="356" t="s">
        <v>324</v>
      </c>
      <c r="F79" s="219"/>
      <c r="G79" s="202"/>
      <c r="H79" s="273" t="s">
        <v>325</v>
      </c>
    </row>
    <row r="80" spans="5:24">
      <c r="E80" s="357" t="s">
        <v>258</v>
      </c>
      <c r="F80" s="286"/>
      <c r="G80" s="287"/>
      <c r="H80" s="358">
        <v>9</v>
      </c>
    </row>
    <row r="81" spans="5:25">
      <c r="E81" s="290" t="s">
        <v>328</v>
      </c>
      <c r="F81" s="286"/>
      <c r="G81" s="287"/>
      <c r="H81" s="358">
        <v>2</v>
      </c>
    </row>
    <row r="82" spans="5:25">
      <c r="E82" s="263" t="s">
        <v>344</v>
      </c>
      <c r="F82" s="286"/>
      <c r="G82" s="287"/>
      <c r="H82" s="358">
        <f>SUM(H80:H81)</f>
        <v>11</v>
      </c>
    </row>
    <row r="85" spans="5:25" s="227" customFormat="1">
      <c r="E85" s="227" t="s">
        <v>330</v>
      </c>
      <c r="F85" s="294"/>
      <c r="H85" s="295">
        <f>'W6'!J19</f>
        <v>1052.5998851000002</v>
      </c>
      <c r="I85" s="280"/>
      <c r="J85" s="280"/>
      <c r="K85" s="281"/>
      <c r="L85" s="281"/>
      <c r="M85" s="281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282"/>
    </row>
    <row r="86" spans="5:25" s="227" customFormat="1">
      <c r="E86" s="227" t="s">
        <v>331</v>
      </c>
      <c r="F86" s="294"/>
      <c r="H86" s="295">
        <f>H82</f>
        <v>11</v>
      </c>
      <c r="I86" s="280"/>
      <c r="J86" s="280"/>
      <c r="K86" s="281"/>
      <c r="L86" s="281"/>
      <c r="M86" s="281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282"/>
    </row>
    <row r="87" spans="5:25" s="227" customFormat="1">
      <c r="E87" s="227" t="s">
        <v>332</v>
      </c>
      <c r="F87" s="294"/>
      <c r="H87" s="295">
        <f>J12-'W6'!J12</f>
        <v>13.319999999999993</v>
      </c>
      <c r="I87" s="280"/>
      <c r="J87" s="280"/>
      <c r="K87" s="281"/>
      <c r="L87" s="281"/>
      <c r="M87" s="281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282"/>
    </row>
    <row r="88" spans="5:25" s="227" customFormat="1">
      <c r="E88" s="227" t="s">
        <v>333</v>
      </c>
      <c r="F88" s="294"/>
      <c r="H88" s="295">
        <f>H85+H86-H87</f>
        <v>1050.2798851000002</v>
      </c>
      <c r="I88" s="280"/>
      <c r="J88" s="280"/>
      <c r="K88" s="281"/>
      <c r="L88" s="281"/>
      <c r="M88" s="281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282"/>
    </row>
    <row r="89" spans="5:25" s="227" customFormat="1">
      <c r="E89" s="227" t="s">
        <v>334</v>
      </c>
      <c r="F89" s="294"/>
      <c r="H89" s="295">
        <f>K19</f>
        <v>1009.6433848929868</v>
      </c>
      <c r="I89" s="280"/>
      <c r="J89" s="280"/>
      <c r="K89" s="281"/>
      <c r="L89" s="281"/>
      <c r="M89" s="281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282"/>
    </row>
    <row r="90" spans="5:25" s="227" customFormat="1">
      <c r="E90" s="227" t="s">
        <v>335</v>
      </c>
      <c r="F90" s="294"/>
      <c r="H90" s="296">
        <f>H88-H89</f>
        <v>40.636500207013455</v>
      </c>
      <c r="I90" s="279" t="s">
        <v>336</v>
      </c>
      <c r="J90" s="280"/>
      <c r="K90" s="281"/>
      <c r="L90" s="281"/>
      <c r="M90" s="281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282"/>
    </row>
    <row r="91" spans="5:25" s="227" customFormat="1">
      <c r="F91" s="294"/>
      <c r="H91" s="295"/>
      <c r="I91" s="280" t="s">
        <v>337</v>
      </c>
      <c r="J91" s="280"/>
      <c r="K91" s="281"/>
      <c r="L91" s="281"/>
      <c r="M91" s="281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282"/>
    </row>
    <row r="92" spans="5:25" s="227" customFormat="1">
      <c r="F92" s="278"/>
      <c r="H92" s="279"/>
      <c r="I92" s="279"/>
      <c r="J92" s="280"/>
      <c r="K92" s="281"/>
      <c r="L92" s="281"/>
      <c r="M92" s="281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282"/>
    </row>
    <row r="93" spans="5:25">
      <c r="E93" s="151"/>
      <c r="F93" s="257"/>
      <c r="G93" s="151"/>
      <c r="H93" s="258"/>
      <c r="I93" s="258"/>
      <c r="J93" s="258"/>
      <c r="K93" s="260"/>
      <c r="L93" s="260"/>
      <c r="M93" s="260"/>
      <c r="N93" s="261"/>
      <c r="O93" s="261"/>
      <c r="P93" s="261"/>
      <c r="Q93" s="261"/>
      <c r="R93" s="261"/>
    </row>
    <row r="94" spans="5:25">
      <c r="E94" s="151"/>
      <c r="F94" s="257"/>
      <c r="G94" s="151"/>
      <c r="H94" s="258"/>
      <c r="I94" s="258"/>
      <c r="J94" s="258"/>
      <c r="K94" s="260"/>
      <c r="L94" s="260"/>
      <c r="M94" s="260"/>
      <c r="N94" s="261"/>
      <c r="O94" s="261"/>
      <c r="P94" s="261"/>
      <c r="Q94" s="261"/>
      <c r="R94" s="261"/>
    </row>
    <row r="95" spans="5:25">
      <c r="E95" s="151"/>
      <c r="F95" s="257"/>
      <c r="G95" s="151"/>
      <c r="H95" s="258"/>
      <c r="I95" s="258"/>
      <c r="J95" s="258"/>
      <c r="K95" s="260"/>
      <c r="L95" s="260"/>
      <c r="M95" s="260"/>
      <c r="N95" s="261"/>
      <c r="O95" s="261"/>
      <c r="P95" s="261"/>
      <c r="Q95" s="261"/>
      <c r="R95" s="261"/>
    </row>
  </sheetData>
  <sheetProtection formatCells="0" formatColumns="0" formatRows="0" insertRows="0" deleteRows="0" autoFilter="0"/>
  <autoFilter ref="E23:AL187" xr:uid="{00000000-0009-0000-0000-000009000000}"/>
  <mergeCells count="1">
    <mergeCell ref="I4:J4"/>
  </mergeCells>
  <phoneticPr fontId="40"/>
  <dataValidations count="2">
    <dataValidation type="list" allowBlank="1" showInputMessage="1" showErrorMessage="1" sqref="G2" xr:uid="{00000000-0002-0000-0900-000000000000}">
      <formula1>SOCIETE</formula1>
    </dataValidation>
    <dataValidation type="list" allowBlank="1" showInputMessage="1" showErrorMessage="1" sqref="F24:F72" xr:uid="{82669D1B-C71B-4E9D-A19B-8413D6035C08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85:H90" unlocked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theme="4" tint="-0.499984740745262"/>
    <pageSetUpPr fitToPage="1"/>
  </sheetPr>
  <dimension ref="D1:AL294"/>
  <sheetViews>
    <sheetView showGridLines="0" zoomScale="80" zoomScaleNormal="70" workbookViewId="0">
      <selection activeCell="H10" sqref="H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26.4257812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53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February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73.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February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W8</v>
      </c>
      <c r="I9" s="61"/>
      <c r="J9" s="161" t="str">
        <f>+"from "&amp;G6&amp;" 1 until end of "&amp;G4</f>
        <v>from February 1 until end of W8</v>
      </c>
      <c r="K9" s="79"/>
      <c r="L9" s="167" t="str">
        <f>+G6</f>
        <v>February</v>
      </c>
      <c r="M9" s="80"/>
      <c r="N9" s="80"/>
      <c r="O9" s="172" t="str">
        <f>+G4</f>
        <v>W8</v>
      </c>
      <c r="P9" s="173" t="str">
        <f>+VLOOKUP(G4, parameters!$G$9:$I$61,3,0)</f>
        <v>W7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600+J10</f>
        <v>749.23734579999996</v>
      </c>
      <c r="I10" s="61"/>
      <c r="J10" s="159">
        <v>149.23734579999996</v>
      </c>
      <c r="L10" s="159">
        <f>J10+O17</f>
        <v>649.53025330088997</v>
      </c>
      <c r="N10" s="55"/>
      <c r="O10" s="170">
        <f>+H10+K17</f>
        <v>2008.7271907196969</v>
      </c>
      <c r="P10" s="171" cm="1">
        <f t="array" aca="1" ref="P10" ca="1">INDIRECT(ADDRESS(10,15,,,VLOOKUP($G$4,parameters!$G:$I,3,0)))</f>
        <v>1674.1901368380068</v>
      </c>
      <c r="Q10" s="183">
        <f ca="1">O10-P10</f>
        <v>334.5370538816901</v>
      </c>
      <c r="R10" s="86"/>
    </row>
    <row r="11" spans="5:38" ht="20.45" customHeight="1">
      <c r="E11" s="87" t="s">
        <v>224</v>
      </c>
      <c r="F11" s="88"/>
      <c r="G11" s="89"/>
      <c r="H11" s="16">
        <f>13+J11</f>
        <v>20.009999999999998</v>
      </c>
      <c r="I11" s="61"/>
      <c r="J11" s="16">
        <v>7.01</v>
      </c>
      <c r="L11" s="159">
        <f>J11+O18</f>
        <v>7.01</v>
      </c>
      <c r="N11" s="55"/>
      <c r="O11" s="152">
        <f>+H11+K18</f>
        <v>26.800145425579998</v>
      </c>
      <c r="P11" s="153" cm="1">
        <f t="array" aca="1" ref="P11" ca="1">INDIRECT(ADDRESS(11,15,,,VLOOKUP($G$4,parameters!$G:$I,3,0)))</f>
        <v>31.453248054980001</v>
      </c>
      <c r="Q11" s="184">
        <f t="shared" ref="Q11:Q12" ca="1" si="0">O11-P11</f>
        <v>-4.6531026294000029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769.24734579999995</v>
      </c>
      <c r="I12" s="61"/>
      <c r="J12" s="126">
        <f>SUM(J10:J11)</f>
        <v>156.24734579999995</v>
      </c>
      <c r="K12" s="65"/>
      <c r="L12" s="126">
        <f>SUM(L10:L11)</f>
        <v>656.54025330088996</v>
      </c>
      <c r="M12" s="65"/>
      <c r="N12" s="65"/>
      <c r="O12" s="154">
        <f>SUM(O10:O11)</f>
        <v>2035.5273361452769</v>
      </c>
      <c r="P12" s="155">
        <f ca="1">SUM(P10:P11)</f>
        <v>1705.6433848929867</v>
      </c>
      <c r="Q12" s="156">
        <f t="shared" ca="1" si="0"/>
        <v>329.88395125229022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1259.4898449196969</v>
      </c>
      <c r="K17" s="108">
        <f>+SUMIF($F$24:$F$251,"External",$K$24:$K$251)</f>
        <v>1259.4898449196969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500.29290750089001</v>
      </c>
      <c r="P17" s="111">
        <f t="shared" si="1"/>
        <v>263.41887509301193</v>
      </c>
      <c r="Q17" s="111">
        <f t="shared" si="1"/>
        <v>430.76252302579496</v>
      </c>
      <c r="R17" s="111">
        <f t="shared" si="1"/>
        <v>25.709062800000002</v>
      </c>
      <c r="S17" s="111">
        <f t="shared" si="1"/>
        <v>27.317922000000003</v>
      </c>
      <c r="T17" s="111">
        <f t="shared" si="1"/>
        <v>11.988554499999999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6.7901454255799996</v>
      </c>
      <c r="K18" s="113">
        <f>+SUMIF($F$24:$F$251,"Group",$K$24:$K$251)</f>
        <v>6.7901454255799996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6.7901454255799996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1266.2799903452769</v>
      </c>
      <c r="K19" s="115">
        <f>SUM(K17:K18)</f>
        <v>1266.2799903452769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500.29290750089001</v>
      </c>
      <c r="P19" s="116">
        <f t="shared" si="5"/>
        <v>263.41887509301193</v>
      </c>
      <c r="Q19" s="116">
        <f t="shared" si="5"/>
        <v>437.55266845137498</v>
      </c>
      <c r="R19" s="116">
        <f t="shared" si="5"/>
        <v>25.709062800000002</v>
      </c>
      <c r="S19" s="116">
        <f t="shared" si="5"/>
        <v>27.317922000000003</v>
      </c>
      <c r="T19" s="116">
        <f t="shared" si="5"/>
        <v>11.988554499999999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234</v>
      </c>
      <c r="F24" s="7" t="s">
        <v>19</v>
      </c>
      <c r="G24" s="187" t="s">
        <v>338</v>
      </c>
      <c r="H24" s="187" t="s">
        <v>383</v>
      </c>
      <c r="I24" s="187" t="s">
        <v>243</v>
      </c>
      <c r="J24" s="118">
        <f t="shared" ref="J24" si="7">+K24+L24</f>
        <v>1.5283800000000001</v>
      </c>
      <c r="K24" s="119">
        <f t="shared" ref="K24" si="8">SUM(N24:Y24)</f>
        <v>1.5283800000000001</v>
      </c>
      <c r="L24" s="119">
        <f t="shared" ref="L24" si="9">SUM(AA24:AL24)</f>
        <v>0</v>
      </c>
      <c r="M24" s="23"/>
      <c r="N24" s="24"/>
      <c r="O24" s="24">
        <v>1.5283800000000001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234</v>
      </c>
      <c r="F25" s="7" t="s">
        <v>19</v>
      </c>
      <c r="G25" s="187" t="s">
        <v>235</v>
      </c>
      <c r="H25" s="188" t="s">
        <v>384</v>
      </c>
      <c r="I25" s="188" t="s">
        <v>236</v>
      </c>
      <c r="J25" s="118">
        <f t="shared" ref="J25:J88" si="10">+K25+L25</f>
        <v>7.2617511016949194</v>
      </c>
      <c r="K25" s="119">
        <f t="shared" ref="K25:K88" si="11">SUM(N25:Y25)</f>
        <v>7.2617511016949194</v>
      </c>
      <c r="L25" s="119">
        <f t="shared" ref="L25:L88" si="12">SUM(AA25:AL25)</f>
        <v>0</v>
      </c>
      <c r="M25" s="23"/>
      <c r="N25" s="24"/>
      <c r="O25" s="24"/>
      <c r="P25" s="24"/>
      <c r="Q25" s="24">
        <v>7.2617511016949194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234</v>
      </c>
      <c r="F26" s="7" t="s">
        <v>19</v>
      </c>
      <c r="G26" s="187" t="s">
        <v>237</v>
      </c>
      <c r="H26" s="188" t="s">
        <v>385</v>
      </c>
      <c r="I26" s="188" t="s">
        <v>236</v>
      </c>
      <c r="J26" s="118">
        <f t="shared" si="10"/>
        <v>19.087499999999999</v>
      </c>
      <c r="K26" s="119">
        <f t="shared" si="11"/>
        <v>19.087499999999999</v>
      </c>
      <c r="L26" s="119">
        <f t="shared" si="12"/>
        <v>0</v>
      </c>
      <c r="M26" s="23"/>
      <c r="N26" s="24"/>
      <c r="O26" s="24"/>
      <c r="P26" s="24">
        <v>19.087499999999999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238</v>
      </c>
      <c r="F27" s="7" t="s">
        <v>19</v>
      </c>
      <c r="G27" s="187" t="s">
        <v>239</v>
      </c>
      <c r="H27" s="188" t="s">
        <v>386</v>
      </c>
      <c r="I27" s="188" t="s">
        <v>236</v>
      </c>
      <c r="J27" s="118">
        <f t="shared" si="10"/>
        <v>10.2082491</v>
      </c>
      <c r="K27" s="119">
        <f t="shared" si="11"/>
        <v>10.2082491</v>
      </c>
      <c r="L27" s="119">
        <f t="shared" si="12"/>
        <v>0</v>
      </c>
      <c r="M27" s="23"/>
      <c r="N27" s="24"/>
      <c r="O27" s="24">
        <v>10.2082491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240</v>
      </c>
      <c r="F28" s="7" t="s">
        <v>19</v>
      </c>
      <c r="G28" s="187" t="s">
        <v>237</v>
      </c>
      <c r="H28" s="188" t="s">
        <v>385</v>
      </c>
      <c r="I28" s="188" t="s">
        <v>236</v>
      </c>
      <c r="J28" s="118">
        <f t="shared" si="10"/>
        <v>8.0682141107399996</v>
      </c>
      <c r="K28" s="119">
        <f t="shared" si="11"/>
        <v>8.0682141107399996</v>
      </c>
      <c r="L28" s="119">
        <f t="shared" si="12"/>
        <v>0</v>
      </c>
      <c r="M28" s="23"/>
      <c r="N28" s="24"/>
      <c r="O28" s="24"/>
      <c r="P28" s="24">
        <v>8.0682141107399996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241</v>
      </c>
      <c r="F29" s="7" t="s">
        <v>19</v>
      </c>
      <c r="G29" s="187" t="s">
        <v>279</v>
      </c>
      <c r="H29" s="189" t="s">
        <v>387</v>
      </c>
      <c r="I29" s="189" t="s">
        <v>243</v>
      </c>
      <c r="J29" s="118">
        <f t="shared" si="10"/>
        <v>5.8856955000000006</v>
      </c>
      <c r="K29" s="119">
        <f t="shared" si="11"/>
        <v>5.8856955000000006</v>
      </c>
      <c r="L29" s="119">
        <f t="shared" si="12"/>
        <v>0</v>
      </c>
      <c r="M29" s="23"/>
      <c r="N29" s="24"/>
      <c r="O29" s="24">
        <v>5.8856955000000006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341</v>
      </c>
      <c r="F30" s="7" t="s">
        <v>19</v>
      </c>
      <c r="G30" s="187" t="s">
        <v>340</v>
      </c>
      <c r="H30" s="268" t="s">
        <v>389</v>
      </c>
      <c r="I30" s="268" t="s">
        <v>243</v>
      </c>
      <c r="J30" s="118">
        <f t="shared" si="10"/>
        <v>0.85840460000000007</v>
      </c>
      <c r="K30" s="119">
        <f t="shared" si="11"/>
        <v>0.85840460000000007</v>
      </c>
      <c r="L30" s="119">
        <f t="shared" si="12"/>
        <v>0</v>
      </c>
      <c r="M30" s="23"/>
      <c r="N30" s="24"/>
      <c r="O30" s="24"/>
      <c r="P30" s="24">
        <v>0.85840460000000007</v>
      </c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413</v>
      </c>
      <c r="F31" s="7" t="s">
        <v>17</v>
      </c>
      <c r="G31" s="187" t="s">
        <v>284</v>
      </c>
      <c r="H31" s="268" t="s">
        <v>383</v>
      </c>
      <c r="I31" s="268" t="s">
        <v>243</v>
      </c>
      <c r="J31" s="118">
        <f t="shared" si="10"/>
        <v>6.7901454255799996</v>
      </c>
      <c r="K31" s="119">
        <f t="shared" si="11"/>
        <v>6.7901454255799996</v>
      </c>
      <c r="L31" s="119">
        <f t="shared" si="12"/>
        <v>0</v>
      </c>
      <c r="M31" s="23"/>
      <c r="N31" s="24"/>
      <c r="O31" s="24"/>
      <c r="P31" s="24"/>
      <c r="Q31" s="24">
        <v>6.7901454255799996</v>
      </c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342</v>
      </c>
      <c r="F32" s="7" t="s">
        <v>17</v>
      </c>
      <c r="G32" s="187" t="s">
        <v>357</v>
      </c>
      <c r="H32" s="268" t="s">
        <v>392</v>
      </c>
      <c r="I32" s="268" t="s">
        <v>236</v>
      </c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>
        <v>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246</v>
      </c>
      <c r="F33" s="7" t="s">
        <v>19</v>
      </c>
      <c r="G33" s="187" t="s">
        <v>247</v>
      </c>
      <c r="H33" s="268" t="s">
        <v>395</v>
      </c>
      <c r="I33" s="268" t="s">
        <v>236</v>
      </c>
      <c r="J33" s="118">
        <f t="shared" si="10"/>
        <v>71.267650899999992</v>
      </c>
      <c r="K33" s="119">
        <f t="shared" si="11"/>
        <v>71.267650899999992</v>
      </c>
      <c r="L33" s="119">
        <f t="shared" si="12"/>
        <v>0</v>
      </c>
      <c r="M33" s="15"/>
      <c r="N33" s="24"/>
      <c r="O33" s="24">
        <v>45.304466499999997</v>
      </c>
      <c r="P33" s="24">
        <v>23.627751699999997</v>
      </c>
      <c r="Q33" s="24"/>
      <c r="R33" s="24"/>
      <c r="S33" s="24"/>
      <c r="T33" s="24">
        <v>2.3354326999999997</v>
      </c>
      <c r="U33" s="24"/>
      <c r="V33" s="24"/>
      <c r="W33" s="24"/>
      <c r="X33" s="24"/>
    </row>
    <row r="34" spans="5:24">
      <c r="E34" s="6" t="s">
        <v>246</v>
      </c>
      <c r="F34" s="7" t="s">
        <v>19</v>
      </c>
      <c r="G34" s="187" t="s">
        <v>248</v>
      </c>
      <c r="H34" s="268" t="s">
        <v>406</v>
      </c>
      <c r="I34" s="268" t="s">
        <v>236</v>
      </c>
      <c r="J34" s="118">
        <f t="shared" si="10"/>
        <v>3.1881162999999999</v>
      </c>
      <c r="K34" s="119">
        <f t="shared" si="11"/>
        <v>3.1881162999999999</v>
      </c>
      <c r="L34" s="119">
        <f t="shared" si="12"/>
        <v>0</v>
      </c>
      <c r="M34" s="15"/>
      <c r="N34" s="24"/>
      <c r="O34" s="24"/>
      <c r="P34" s="24">
        <v>3.1881162999999999</v>
      </c>
      <c r="Q34" s="24"/>
      <c r="R34" s="24"/>
      <c r="S34" s="24"/>
      <c r="T34" s="24"/>
      <c r="U34" s="24"/>
      <c r="V34" s="24"/>
      <c r="W34" s="24"/>
      <c r="X34" s="24"/>
    </row>
    <row r="35" spans="5:24">
      <c r="E35" s="6" t="s">
        <v>246</v>
      </c>
      <c r="F35" s="7" t="s">
        <v>19</v>
      </c>
      <c r="G35" s="187" t="s">
        <v>249</v>
      </c>
      <c r="H35" s="268" t="s">
        <v>408</v>
      </c>
      <c r="I35" s="268" t="s">
        <v>236</v>
      </c>
      <c r="J35" s="118">
        <f t="shared" si="10"/>
        <v>75.940163200000015</v>
      </c>
      <c r="K35" s="119">
        <f t="shared" si="11"/>
        <v>75.940163200000015</v>
      </c>
      <c r="L35" s="119">
        <f t="shared" si="12"/>
        <v>0</v>
      </c>
      <c r="M35" s="15"/>
      <c r="N35" s="24"/>
      <c r="O35" s="24">
        <v>47.805546500000005</v>
      </c>
      <c r="P35" s="24">
        <v>25.799184000000011</v>
      </c>
      <c r="Q35" s="24"/>
      <c r="R35" s="24"/>
      <c r="S35" s="24"/>
      <c r="T35" s="24">
        <v>2.3354326999999997</v>
      </c>
      <c r="U35" s="24"/>
      <c r="V35" s="24"/>
      <c r="W35" s="24"/>
      <c r="X35" s="24"/>
    </row>
    <row r="36" spans="5:24">
      <c r="E36" s="6" t="s">
        <v>246</v>
      </c>
      <c r="F36" s="7" t="s">
        <v>19</v>
      </c>
      <c r="G36" s="187" t="s">
        <v>250</v>
      </c>
      <c r="H36" s="268" t="s">
        <v>409</v>
      </c>
      <c r="I36" s="268" t="s">
        <v>236</v>
      </c>
      <c r="J36" s="118">
        <f t="shared" si="10"/>
        <v>30.598911599999997</v>
      </c>
      <c r="K36" s="119">
        <f t="shared" si="11"/>
        <v>30.598911599999997</v>
      </c>
      <c r="L36" s="119">
        <f t="shared" si="12"/>
        <v>0</v>
      </c>
      <c r="M36" s="15"/>
      <c r="N36" s="24"/>
      <c r="O36" s="24">
        <v>8.7518718</v>
      </c>
      <c r="P36" s="24">
        <v>10.476310099999999</v>
      </c>
      <c r="Q36" s="24"/>
      <c r="R36" s="24">
        <v>9.0352969999999999</v>
      </c>
      <c r="S36" s="24"/>
      <c r="T36" s="24">
        <v>2.3354326999999997</v>
      </c>
      <c r="U36" s="24"/>
      <c r="V36" s="24"/>
      <c r="W36" s="24"/>
      <c r="X36" s="24"/>
    </row>
    <row r="37" spans="5:24">
      <c r="E37" s="6" t="s">
        <v>246</v>
      </c>
      <c r="F37" s="7" t="s">
        <v>19</v>
      </c>
      <c r="G37" s="187" t="s">
        <v>293</v>
      </c>
      <c r="H37" s="268" t="s">
        <v>410</v>
      </c>
      <c r="I37" s="268" t="s">
        <v>236</v>
      </c>
      <c r="J37" s="118">
        <f t="shared" si="10"/>
        <v>3.2735576000000002</v>
      </c>
      <c r="K37" s="119">
        <f t="shared" si="11"/>
        <v>3.2735576000000002</v>
      </c>
      <c r="L37" s="119">
        <f t="shared" si="12"/>
        <v>0</v>
      </c>
      <c r="M37" s="15"/>
      <c r="N37" s="24"/>
      <c r="O37" s="24">
        <v>0</v>
      </c>
      <c r="P37" s="24">
        <v>1.6367788000000001</v>
      </c>
      <c r="Q37" s="24"/>
      <c r="R37" s="24"/>
      <c r="S37" s="24"/>
      <c r="T37" s="24">
        <v>1.6367788000000001</v>
      </c>
      <c r="U37" s="24"/>
      <c r="V37" s="24"/>
      <c r="W37" s="24"/>
      <c r="X37" s="24"/>
    </row>
    <row r="38" spans="5:24">
      <c r="E38" s="6" t="s">
        <v>246</v>
      </c>
      <c r="F38" s="7" t="s">
        <v>19</v>
      </c>
      <c r="G38" s="187" t="s">
        <v>251</v>
      </c>
      <c r="H38" s="268" t="s">
        <v>406</v>
      </c>
      <c r="I38" s="268" t="s">
        <v>236</v>
      </c>
      <c r="J38" s="118">
        <f t="shared" si="10"/>
        <v>18.954025900000001</v>
      </c>
      <c r="K38" s="119">
        <f t="shared" si="11"/>
        <v>18.954025900000001</v>
      </c>
      <c r="L38" s="119">
        <f t="shared" si="12"/>
        <v>0</v>
      </c>
      <c r="M38" s="15"/>
      <c r="N38" s="24"/>
      <c r="O38" s="24">
        <v>3.6118382000000002</v>
      </c>
      <c r="P38" s="24">
        <v>13.835167700000001</v>
      </c>
      <c r="Q38" s="24"/>
      <c r="R38" s="24"/>
      <c r="S38" s="24"/>
      <c r="T38" s="24">
        <v>1.50702</v>
      </c>
      <c r="U38" s="24"/>
      <c r="V38" s="24"/>
      <c r="W38" s="24"/>
      <c r="X38" s="24"/>
    </row>
    <row r="39" spans="5:24">
      <c r="E39" s="6" t="s">
        <v>246</v>
      </c>
      <c r="F39" s="7" t="s">
        <v>19</v>
      </c>
      <c r="G39" s="187" t="s">
        <v>252</v>
      </c>
      <c r="H39" s="268" t="s">
        <v>407</v>
      </c>
      <c r="I39" s="268" t="s">
        <v>236</v>
      </c>
      <c r="J39" s="118">
        <f t="shared" si="10"/>
        <v>27.066907699999998</v>
      </c>
      <c r="K39" s="119">
        <f t="shared" si="11"/>
        <v>27.066907699999998</v>
      </c>
      <c r="L39" s="119">
        <f t="shared" si="12"/>
        <v>0</v>
      </c>
      <c r="M39" s="15"/>
      <c r="N39" s="24"/>
      <c r="O39" s="24"/>
      <c r="P39" s="24">
        <v>26.288430099999999</v>
      </c>
      <c r="Q39" s="24"/>
      <c r="R39" s="24"/>
      <c r="S39" s="24"/>
      <c r="T39" s="24">
        <v>0.77847759999999999</v>
      </c>
      <c r="U39" s="24"/>
      <c r="V39" s="24"/>
      <c r="W39" s="24"/>
      <c r="X39" s="24"/>
    </row>
    <row r="40" spans="5:24">
      <c r="E40" s="6" t="s">
        <v>246</v>
      </c>
      <c r="F40" s="7" t="s">
        <v>19</v>
      </c>
      <c r="G40" s="187" t="s">
        <v>245</v>
      </c>
      <c r="H40" s="268" t="s">
        <v>394</v>
      </c>
      <c r="I40" s="268" t="s">
        <v>236</v>
      </c>
      <c r="J40" s="118">
        <f t="shared" si="10"/>
        <v>40.980120400000004</v>
      </c>
      <c r="K40" s="119">
        <f t="shared" si="11"/>
        <v>40.980120400000004</v>
      </c>
      <c r="L40" s="119">
        <f t="shared" si="12"/>
        <v>0</v>
      </c>
      <c r="M40" s="15"/>
      <c r="N40" s="24"/>
      <c r="O40" s="24"/>
      <c r="P40" s="24">
        <v>1.0599799999999999</v>
      </c>
      <c r="Q40" s="24">
        <v>11.5422384</v>
      </c>
      <c r="R40" s="24"/>
      <c r="S40" s="24">
        <v>27.317922000000003</v>
      </c>
      <c r="T40" s="24">
        <v>1.0599799999999999</v>
      </c>
      <c r="U40" s="24"/>
      <c r="V40" s="24"/>
      <c r="W40" s="24"/>
      <c r="X40" s="24"/>
    </row>
    <row r="41" spans="5:24">
      <c r="E41" s="6" t="s">
        <v>253</v>
      </c>
      <c r="F41" s="7" t="s">
        <v>19</v>
      </c>
      <c r="G41" s="187" t="s">
        <v>254</v>
      </c>
      <c r="H41" s="268" t="s">
        <v>393</v>
      </c>
      <c r="I41" s="268" t="s">
        <v>236</v>
      </c>
      <c r="J41" s="118">
        <f t="shared" si="10"/>
        <v>9.9547999999999963E-3</v>
      </c>
      <c r="K41" s="119">
        <f t="shared" si="11"/>
        <v>9.9547999999999963E-3</v>
      </c>
      <c r="L41" s="119">
        <f t="shared" si="12"/>
        <v>0</v>
      </c>
      <c r="M41" s="15"/>
      <c r="N41" s="24"/>
      <c r="O41" s="24">
        <v>9.9547999999999963E-3</v>
      </c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 t="s">
        <v>414</v>
      </c>
      <c r="F42" s="7" t="s">
        <v>19</v>
      </c>
      <c r="G42" s="187" t="s">
        <v>245</v>
      </c>
      <c r="H42" s="268" t="s">
        <v>394</v>
      </c>
      <c r="I42" s="268" t="s">
        <v>236</v>
      </c>
      <c r="J42" s="118">
        <f t="shared" si="10"/>
        <v>155.09714074945998</v>
      </c>
      <c r="K42" s="119">
        <f t="shared" si="11"/>
        <v>155.09714074945998</v>
      </c>
      <c r="L42" s="119">
        <f t="shared" si="12"/>
        <v>0</v>
      </c>
      <c r="M42" s="15"/>
      <c r="N42" s="24"/>
      <c r="O42" s="24"/>
      <c r="P42" s="24"/>
      <c r="Q42" s="24">
        <v>155.09714074945998</v>
      </c>
      <c r="R42" s="24"/>
      <c r="S42" s="24"/>
      <c r="T42" s="24"/>
      <c r="U42" s="24"/>
      <c r="V42" s="24"/>
      <c r="W42" s="24"/>
      <c r="X42" s="24"/>
    </row>
    <row r="43" spans="5:24">
      <c r="E43" s="6" t="s">
        <v>415</v>
      </c>
      <c r="F43" s="7" t="s">
        <v>19</v>
      </c>
      <c r="G43" s="187" t="s">
        <v>247</v>
      </c>
      <c r="H43" s="268" t="s">
        <v>395</v>
      </c>
      <c r="I43" s="268" t="s">
        <v>236</v>
      </c>
      <c r="J43" s="118">
        <f t="shared" si="10"/>
        <v>3.5708258048999997</v>
      </c>
      <c r="K43" s="119">
        <f t="shared" si="11"/>
        <v>3.5708258048999997</v>
      </c>
      <c r="L43" s="119">
        <f t="shared" si="12"/>
        <v>0</v>
      </c>
      <c r="M43" s="15"/>
      <c r="N43" s="24"/>
      <c r="O43" s="24"/>
      <c r="P43" s="24">
        <v>3.5708258048999997</v>
      </c>
      <c r="Q43" s="24"/>
      <c r="R43" s="24"/>
      <c r="S43" s="24"/>
      <c r="T43" s="24"/>
      <c r="U43" s="24"/>
      <c r="V43" s="24"/>
      <c r="W43" s="24"/>
      <c r="X43" s="24"/>
    </row>
    <row r="44" spans="5:24">
      <c r="E44" s="6" t="s">
        <v>300</v>
      </c>
      <c r="F44" s="7" t="s">
        <v>19</v>
      </c>
      <c r="G44" s="187" t="s">
        <v>301</v>
      </c>
      <c r="H44" s="268" t="s">
        <v>396</v>
      </c>
      <c r="I44" s="268" t="s">
        <v>236</v>
      </c>
      <c r="J44" s="118">
        <f t="shared" si="10"/>
        <v>30.286167538800001</v>
      </c>
      <c r="K44" s="119">
        <f t="shared" si="11"/>
        <v>30.286167538800001</v>
      </c>
      <c r="L44" s="119">
        <f t="shared" si="12"/>
        <v>0</v>
      </c>
      <c r="M44" s="15"/>
      <c r="N44" s="24"/>
      <c r="O44" s="24">
        <v>0</v>
      </c>
      <c r="P44" s="24"/>
      <c r="Q44" s="24">
        <v>30.286167538800001</v>
      </c>
      <c r="R44" s="24"/>
      <c r="S44" s="24"/>
      <c r="T44" s="24"/>
      <c r="U44" s="24"/>
      <c r="V44" s="24"/>
      <c r="W44" s="24"/>
      <c r="X44" s="24"/>
    </row>
    <row r="45" spans="5:24">
      <c r="E45" s="6" t="s">
        <v>255</v>
      </c>
      <c r="F45" s="7" t="s">
        <v>19</v>
      </c>
      <c r="G45" s="187" t="s">
        <v>256</v>
      </c>
      <c r="H45" s="268" t="s">
        <v>397</v>
      </c>
      <c r="I45" s="268" t="s">
        <v>236</v>
      </c>
      <c r="J45" s="118">
        <f t="shared" si="10"/>
        <v>117.2366389</v>
      </c>
      <c r="K45" s="119">
        <f t="shared" si="11"/>
        <v>117.2366389</v>
      </c>
      <c r="L45" s="119">
        <f t="shared" si="12"/>
        <v>0</v>
      </c>
      <c r="M45" s="15"/>
      <c r="N45" s="24"/>
      <c r="O45" s="24">
        <v>5.2617689000000043</v>
      </c>
      <c r="P45" s="24">
        <v>63.355880000000006</v>
      </c>
      <c r="Q45" s="24">
        <v>48.618990000000004</v>
      </c>
      <c r="R45" s="24"/>
      <c r="S45" s="24"/>
      <c r="T45" s="24"/>
      <c r="U45" s="24"/>
      <c r="V45" s="24"/>
      <c r="W45" s="24"/>
      <c r="X45" s="24"/>
    </row>
    <row r="46" spans="5:24">
      <c r="E46" s="6" t="s">
        <v>255</v>
      </c>
      <c r="F46" s="7" t="s">
        <v>19</v>
      </c>
      <c r="G46" s="187" t="s">
        <v>304</v>
      </c>
      <c r="H46" s="188" t="s">
        <v>389</v>
      </c>
      <c r="I46" s="188" t="s">
        <v>243</v>
      </c>
      <c r="J46" s="118">
        <f t="shared" si="10"/>
        <v>16.673765800000002</v>
      </c>
      <c r="K46" s="119">
        <f t="shared" si="11"/>
        <v>16.673765800000002</v>
      </c>
      <c r="L46" s="119">
        <f t="shared" si="12"/>
        <v>0</v>
      </c>
      <c r="M46" s="15"/>
      <c r="N46" s="24"/>
      <c r="O46" s="24">
        <v>0</v>
      </c>
      <c r="P46" s="24"/>
      <c r="Q46" s="24"/>
      <c r="R46" s="24">
        <v>16.673765800000002</v>
      </c>
      <c r="S46" s="24"/>
      <c r="T46" s="24"/>
      <c r="U46" s="24"/>
      <c r="V46" s="24"/>
      <c r="W46" s="24"/>
      <c r="X46" s="24"/>
    </row>
    <row r="47" spans="5:24">
      <c r="E47" s="6" t="s">
        <v>257</v>
      </c>
      <c r="F47" s="7" t="s">
        <v>19</v>
      </c>
      <c r="G47" s="187" t="s">
        <v>258</v>
      </c>
      <c r="H47" s="188" t="s">
        <v>398</v>
      </c>
      <c r="I47" s="188" t="s">
        <v>236</v>
      </c>
      <c r="J47" s="118">
        <f t="shared" si="10"/>
        <v>23.3324064</v>
      </c>
      <c r="K47" s="119">
        <f t="shared" si="11"/>
        <v>23.3324064</v>
      </c>
      <c r="L47" s="119">
        <f t="shared" si="12"/>
        <v>0</v>
      </c>
      <c r="M47" s="15"/>
      <c r="N47" s="24"/>
      <c r="O47" s="24">
        <v>3.6000000000058206E-6</v>
      </c>
      <c r="P47" s="24">
        <v>23.332402800000001</v>
      </c>
      <c r="Q47" s="24"/>
      <c r="R47" s="24"/>
      <c r="S47" s="24"/>
      <c r="T47" s="24"/>
      <c r="U47" s="24"/>
      <c r="V47" s="24"/>
      <c r="W47" s="24"/>
      <c r="X47" s="24"/>
    </row>
    <row r="48" spans="5:24">
      <c r="E48" s="6" t="s">
        <v>259</v>
      </c>
      <c r="F48" s="7" t="s">
        <v>19</v>
      </c>
      <c r="G48" s="187" t="s">
        <v>258</v>
      </c>
      <c r="H48" s="189" t="s">
        <v>398</v>
      </c>
      <c r="I48" s="189" t="s">
        <v>236</v>
      </c>
      <c r="J48" s="118">
        <f t="shared" si="10"/>
        <v>47.250296695931866</v>
      </c>
      <c r="K48" s="119">
        <f t="shared" si="11"/>
        <v>47.250296695931866</v>
      </c>
      <c r="L48" s="119">
        <f t="shared" si="12"/>
        <v>0</v>
      </c>
      <c r="M48" s="15"/>
      <c r="N48" s="24"/>
      <c r="O48" s="24"/>
      <c r="P48" s="24">
        <v>20.282065419791863</v>
      </c>
      <c r="Q48" s="24">
        <v>26.968231276140003</v>
      </c>
      <c r="R48" s="24"/>
      <c r="S48" s="24"/>
      <c r="T48" s="24"/>
      <c r="U48" s="24"/>
      <c r="V48" s="24"/>
      <c r="W48" s="24"/>
      <c r="X48" s="24"/>
    </row>
    <row r="49" spans="5:24">
      <c r="E49" s="6" t="s">
        <v>260</v>
      </c>
      <c r="F49" s="7" t="s">
        <v>19</v>
      </c>
      <c r="G49" s="187" t="s">
        <v>261</v>
      </c>
      <c r="H49" s="268" t="s">
        <v>399</v>
      </c>
      <c r="I49" s="268" t="s">
        <v>236</v>
      </c>
      <c r="J49" s="118">
        <f t="shared" si="10"/>
        <v>16.752430499999999</v>
      </c>
      <c r="K49" s="119">
        <f t="shared" si="11"/>
        <v>16.752430499999999</v>
      </c>
      <c r="L49" s="119">
        <f t="shared" si="12"/>
        <v>0</v>
      </c>
      <c r="M49" s="15"/>
      <c r="N49" s="24"/>
      <c r="O49" s="24">
        <v>9.693068499999999</v>
      </c>
      <c r="P49" s="24"/>
      <c r="Q49" s="24">
        <v>7.0593620000000001</v>
      </c>
      <c r="R49" s="24"/>
      <c r="S49" s="24"/>
      <c r="T49" s="24"/>
      <c r="U49" s="24"/>
      <c r="V49" s="24"/>
      <c r="W49" s="24"/>
      <c r="X49" s="24"/>
    </row>
    <row r="50" spans="5:24">
      <c r="E50" s="6" t="s">
        <v>260</v>
      </c>
      <c r="F50" s="7" t="s">
        <v>19</v>
      </c>
      <c r="G50" s="187" t="s">
        <v>261</v>
      </c>
      <c r="H50" s="268" t="s">
        <v>399</v>
      </c>
      <c r="I50" s="268" t="s">
        <v>243</v>
      </c>
      <c r="J50" s="118">
        <f t="shared" si="10"/>
        <v>10.8202622</v>
      </c>
      <c r="K50" s="119">
        <f t="shared" si="11"/>
        <v>10.8202622</v>
      </c>
      <c r="L50" s="119">
        <f t="shared" si="12"/>
        <v>0</v>
      </c>
      <c r="M50" s="15"/>
      <c r="N50" s="24"/>
      <c r="O50" s="24">
        <v>10.1026182</v>
      </c>
      <c r="P50" s="24">
        <v>0.71764399999999995</v>
      </c>
      <c r="Q50" s="24"/>
      <c r="R50" s="24"/>
      <c r="S50" s="24"/>
      <c r="T50" s="24"/>
      <c r="U50" s="24"/>
      <c r="V50" s="24"/>
      <c r="W50" s="24"/>
      <c r="X50" s="24"/>
    </row>
    <row r="51" spans="5:24">
      <c r="E51" s="6" t="s">
        <v>260</v>
      </c>
      <c r="F51" s="7" t="s">
        <v>19</v>
      </c>
      <c r="G51" s="187" t="s">
        <v>370</v>
      </c>
      <c r="H51" s="268" t="s">
        <v>400</v>
      </c>
      <c r="I51" s="268" t="s">
        <v>243</v>
      </c>
      <c r="J51" s="118">
        <f t="shared" si="10"/>
        <v>1.1928188</v>
      </c>
      <c r="K51" s="119">
        <f t="shared" si="11"/>
        <v>1.1928188</v>
      </c>
      <c r="L51" s="119">
        <f t="shared" si="12"/>
        <v>0</v>
      </c>
      <c r="M51" s="15"/>
      <c r="N51" s="24"/>
      <c r="O51" s="24"/>
      <c r="P51" s="24">
        <v>1.1928188</v>
      </c>
      <c r="Q51" s="24"/>
      <c r="R51" s="24"/>
      <c r="S51" s="24"/>
      <c r="T51" s="24"/>
      <c r="U51" s="24"/>
      <c r="V51" s="24"/>
      <c r="W51" s="24"/>
      <c r="X51" s="24"/>
    </row>
    <row r="52" spans="5:24">
      <c r="E52" s="6" t="s">
        <v>309</v>
      </c>
      <c r="F52" s="7" t="s">
        <v>19</v>
      </c>
      <c r="G52" s="187" t="s">
        <v>264</v>
      </c>
      <c r="H52" s="268" t="s">
        <v>401</v>
      </c>
      <c r="I52" s="268" t="s">
        <v>243</v>
      </c>
      <c r="J52" s="118">
        <f t="shared" si="10"/>
        <v>31.134082619650002</v>
      </c>
      <c r="K52" s="119">
        <f t="shared" si="11"/>
        <v>31.134082619650002</v>
      </c>
      <c r="L52" s="119">
        <f t="shared" si="12"/>
        <v>0</v>
      </c>
      <c r="M52" s="15"/>
      <c r="N52" s="24"/>
      <c r="O52" s="24"/>
      <c r="P52" s="24"/>
      <c r="Q52" s="24">
        <v>31.134082619650002</v>
      </c>
      <c r="R52" s="24"/>
      <c r="S52" s="24"/>
      <c r="T52" s="24"/>
      <c r="U52" s="24"/>
      <c r="V52" s="24"/>
      <c r="W52" s="24"/>
      <c r="X52" s="24"/>
    </row>
    <row r="53" spans="5:24">
      <c r="E53" s="6" t="s">
        <v>309</v>
      </c>
      <c r="F53" s="7" t="s">
        <v>19</v>
      </c>
      <c r="G53" s="187" t="s">
        <v>326</v>
      </c>
      <c r="H53" s="268" t="s">
        <v>401</v>
      </c>
      <c r="I53" s="268" t="s">
        <v>243</v>
      </c>
      <c r="J53" s="118">
        <f t="shared" si="10"/>
        <v>1.0577200000116136E-5</v>
      </c>
      <c r="K53" s="119">
        <f t="shared" si="11"/>
        <v>1.0577200000116136E-5</v>
      </c>
      <c r="L53" s="119">
        <f t="shared" si="12"/>
        <v>0</v>
      </c>
      <c r="M53" s="15"/>
      <c r="N53" s="24"/>
      <c r="O53" s="24">
        <v>1.0577200000116136E-5</v>
      </c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 t="s">
        <v>309</v>
      </c>
      <c r="F54" s="7" t="s">
        <v>19</v>
      </c>
      <c r="G54" s="187" t="s">
        <v>261</v>
      </c>
      <c r="H54" s="268" t="s">
        <v>399</v>
      </c>
      <c r="I54" s="268" t="s">
        <v>243</v>
      </c>
      <c r="J54" s="118">
        <f t="shared" si="10"/>
        <v>16.502557662099999</v>
      </c>
      <c r="K54" s="119">
        <f t="shared" si="11"/>
        <v>16.502557662099999</v>
      </c>
      <c r="L54" s="119">
        <f t="shared" si="12"/>
        <v>0</v>
      </c>
      <c r="M54" s="15"/>
      <c r="N54" s="24"/>
      <c r="O54" s="24"/>
      <c r="P54" s="24"/>
      <c r="Q54" s="24">
        <v>16.502557662099999</v>
      </c>
      <c r="R54" s="24"/>
      <c r="S54" s="24"/>
      <c r="T54" s="24"/>
      <c r="U54" s="24"/>
      <c r="V54" s="24"/>
      <c r="W54" s="24"/>
      <c r="X54" s="24"/>
    </row>
    <row r="55" spans="5:24">
      <c r="E55" s="6" t="s">
        <v>309</v>
      </c>
      <c r="F55" s="7" t="s">
        <v>19</v>
      </c>
      <c r="G55" s="187" t="s">
        <v>372</v>
      </c>
      <c r="H55" s="268" t="s">
        <v>402</v>
      </c>
      <c r="I55" s="268" t="s">
        <v>243</v>
      </c>
      <c r="J55" s="118">
        <f t="shared" si="10"/>
        <v>8.9014259218999996</v>
      </c>
      <c r="K55" s="119">
        <f t="shared" si="11"/>
        <v>8.9014259218999996</v>
      </c>
      <c r="L55" s="119">
        <f t="shared" si="12"/>
        <v>0</v>
      </c>
      <c r="M55" s="15"/>
      <c r="N55" s="24"/>
      <c r="O55" s="24">
        <v>8.9014259218999996</v>
      </c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 t="s">
        <v>309</v>
      </c>
      <c r="F56" s="7" t="s">
        <v>19</v>
      </c>
      <c r="G56" s="187" t="s">
        <v>266</v>
      </c>
      <c r="H56" s="268" t="s">
        <v>389</v>
      </c>
      <c r="I56" s="268" t="s">
        <v>243</v>
      </c>
      <c r="J56" s="118">
        <f t="shared" si="10"/>
        <v>59.7411142785</v>
      </c>
      <c r="K56" s="119">
        <f t="shared" si="11"/>
        <v>59.7411142785</v>
      </c>
      <c r="L56" s="119">
        <f t="shared" si="12"/>
        <v>0</v>
      </c>
      <c r="M56" s="15"/>
      <c r="N56" s="24"/>
      <c r="O56" s="24"/>
      <c r="P56" s="24"/>
      <c r="Q56" s="24">
        <v>59.7411142785</v>
      </c>
      <c r="R56" s="24"/>
      <c r="S56" s="24"/>
      <c r="T56" s="24"/>
      <c r="U56" s="24"/>
      <c r="V56" s="24"/>
      <c r="W56" s="24"/>
      <c r="X56" s="24"/>
    </row>
    <row r="57" spans="5:24">
      <c r="E57" s="6" t="s">
        <v>309</v>
      </c>
      <c r="F57" s="7" t="s">
        <v>19</v>
      </c>
      <c r="G57" s="187" t="s">
        <v>267</v>
      </c>
      <c r="H57" s="268" t="s">
        <v>402</v>
      </c>
      <c r="I57" s="268" t="s">
        <v>243</v>
      </c>
      <c r="J57" s="118">
        <f t="shared" si="10"/>
        <v>8.8069592930000002</v>
      </c>
      <c r="K57" s="119">
        <f t="shared" si="11"/>
        <v>8.8069592930000002</v>
      </c>
      <c r="L57" s="119">
        <f t="shared" si="12"/>
        <v>0</v>
      </c>
      <c r="M57" s="15"/>
      <c r="N57" s="24"/>
      <c r="O57" s="24"/>
      <c r="P57" s="24"/>
      <c r="Q57" s="24">
        <v>8.8069592930000002</v>
      </c>
      <c r="R57" s="24"/>
      <c r="S57" s="24"/>
      <c r="T57" s="24"/>
      <c r="U57" s="24"/>
      <c r="V57" s="24"/>
      <c r="W57" s="24"/>
      <c r="X57" s="24"/>
    </row>
    <row r="58" spans="5:24">
      <c r="E58" s="6" t="s">
        <v>309</v>
      </c>
      <c r="F58" s="7" t="s">
        <v>19</v>
      </c>
      <c r="G58" s="187" t="s">
        <v>312</v>
      </c>
      <c r="H58" s="268" t="s">
        <v>403</v>
      </c>
      <c r="I58" s="268" t="s">
        <v>243</v>
      </c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>
        <v>0</v>
      </c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 t="s">
        <v>309</v>
      </c>
      <c r="F59" s="7" t="s">
        <v>19</v>
      </c>
      <c r="G59" s="187" t="s">
        <v>370</v>
      </c>
      <c r="H59" s="268" t="s">
        <v>400</v>
      </c>
      <c r="I59" s="268" t="s">
        <v>243</v>
      </c>
      <c r="J59" s="118">
        <f t="shared" si="10"/>
        <v>30.785181223999999</v>
      </c>
      <c r="K59" s="119">
        <f t="shared" si="11"/>
        <v>30.785181223999999</v>
      </c>
      <c r="L59" s="119">
        <f t="shared" si="12"/>
        <v>0</v>
      </c>
      <c r="M59" s="15"/>
      <c r="N59" s="24"/>
      <c r="O59" s="24">
        <v>3.0412531175499997</v>
      </c>
      <c r="P59" s="24"/>
      <c r="Q59" s="24">
        <v>27.743928106449999</v>
      </c>
      <c r="R59" s="24"/>
      <c r="S59" s="24"/>
      <c r="T59" s="24"/>
      <c r="U59" s="24"/>
      <c r="V59" s="24"/>
      <c r="W59" s="24"/>
      <c r="X59" s="24"/>
    </row>
    <row r="60" spans="5:24">
      <c r="E60" s="6" t="s">
        <v>314</v>
      </c>
      <c r="F60" s="7" t="s">
        <v>19</v>
      </c>
      <c r="G60" s="187" t="s">
        <v>327</v>
      </c>
      <c r="H60" s="268" t="s">
        <v>404</v>
      </c>
      <c r="I60" s="268" t="s">
        <v>243</v>
      </c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>
        <v>0</v>
      </c>
      <c r="Q60" s="24"/>
      <c r="R60" s="24"/>
      <c r="S60" s="24"/>
      <c r="T60" s="24"/>
      <c r="U60" s="24"/>
      <c r="V60" s="24"/>
      <c r="W60" s="24"/>
      <c r="X60" s="24"/>
    </row>
    <row r="61" spans="5:24">
      <c r="E61" s="6" t="s">
        <v>268</v>
      </c>
      <c r="F61" s="7" t="s">
        <v>19</v>
      </c>
      <c r="G61" s="187" t="s">
        <v>374</v>
      </c>
      <c r="H61" s="268" t="s">
        <v>405</v>
      </c>
      <c r="I61" s="268" t="s">
        <v>236</v>
      </c>
      <c r="J61" s="118">
        <f t="shared" si="10"/>
        <v>295.00666744182001</v>
      </c>
      <c r="K61" s="119">
        <f t="shared" si="11"/>
        <v>295.00666744182001</v>
      </c>
      <c r="L61" s="119">
        <f t="shared" si="12"/>
        <v>0</v>
      </c>
      <c r="M61" s="15"/>
      <c r="N61" s="24"/>
      <c r="O61" s="24">
        <v>294.48221658424001</v>
      </c>
      <c r="P61" s="24">
        <v>0.52445085757999998</v>
      </c>
      <c r="Q61" s="24"/>
      <c r="R61" s="24"/>
      <c r="S61" s="24"/>
      <c r="T61" s="24"/>
      <c r="U61" s="24"/>
      <c r="V61" s="24"/>
      <c r="W61" s="24"/>
      <c r="X61" s="24"/>
    </row>
    <row r="62" spans="5:24">
      <c r="E62" s="6" t="s">
        <v>270</v>
      </c>
      <c r="F62" s="7" t="s">
        <v>19</v>
      </c>
      <c r="G62" s="187" t="s">
        <v>374</v>
      </c>
      <c r="H62" s="268" t="s">
        <v>405</v>
      </c>
      <c r="I62" s="268" t="s">
        <v>236</v>
      </c>
      <c r="J62" s="118">
        <f t="shared" si="10"/>
        <v>36.041218900000004</v>
      </c>
      <c r="K62" s="119">
        <f t="shared" si="11"/>
        <v>36.041218900000004</v>
      </c>
      <c r="L62" s="119">
        <f t="shared" si="12"/>
        <v>0</v>
      </c>
      <c r="M62" s="15"/>
      <c r="N62" s="24"/>
      <c r="O62" s="24">
        <v>36.041218900000004</v>
      </c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 t="s">
        <v>271</v>
      </c>
      <c r="F63" s="7" t="s">
        <v>19</v>
      </c>
      <c r="G63" s="187" t="s">
        <v>247</v>
      </c>
      <c r="H63" s="268" t="s">
        <v>395</v>
      </c>
      <c r="I63" s="268" t="s">
        <v>236</v>
      </c>
      <c r="J63" s="118">
        <f t="shared" si="10"/>
        <v>3.3210000000000002</v>
      </c>
      <c r="K63" s="119">
        <f t="shared" si="11"/>
        <v>3.3210000000000002</v>
      </c>
      <c r="L63" s="119">
        <f t="shared" si="12"/>
        <v>0</v>
      </c>
      <c r="M63" s="15"/>
      <c r="N63" s="24"/>
      <c r="O63" s="24"/>
      <c r="P63" s="24">
        <v>3.3210000000000002</v>
      </c>
      <c r="Q63" s="24"/>
      <c r="R63" s="24"/>
      <c r="S63" s="24"/>
      <c r="T63" s="24"/>
      <c r="U63" s="24"/>
      <c r="V63" s="24"/>
      <c r="W63" s="24"/>
      <c r="X63" s="24"/>
    </row>
    <row r="64" spans="5:24">
      <c r="E64" s="6" t="s">
        <v>271</v>
      </c>
      <c r="F64" s="7" t="s">
        <v>19</v>
      </c>
      <c r="G64" s="187" t="s">
        <v>252</v>
      </c>
      <c r="H64" s="268" t="s">
        <v>407</v>
      </c>
      <c r="I64" s="268" t="s">
        <v>243</v>
      </c>
      <c r="J64" s="118">
        <f t="shared" si="10"/>
        <v>22.859270799999997</v>
      </c>
      <c r="K64" s="119">
        <f t="shared" si="11"/>
        <v>22.859270799999997</v>
      </c>
      <c r="L64" s="119">
        <f t="shared" si="12"/>
        <v>0</v>
      </c>
      <c r="M64" s="15"/>
      <c r="N64" s="24"/>
      <c r="O64" s="24">
        <v>9.6633207999999993</v>
      </c>
      <c r="P64" s="24">
        <v>13.19595</v>
      </c>
      <c r="Q64" s="24"/>
      <c r="R64" s="24"/>
      <c r="S64" s="24"/>
      <c r="T64" s="24"/>
      <c r="U64" s="24"/>
      <c r="V64" s="24"/>
      <c r="W64" s="24"/>
      <c r="X64" s="24"/>
    </row>
    <row r="65" spans="5:12" hidden="1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 hidden="1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 hidden="1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 hidden="1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 hidden="1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 hidden="1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 hidden="1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 hidden="1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 hidden="1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 hidden="1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 hidden="1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 hidden="1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 hidden="1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 hidden="1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 hidden="1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 hidden="1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 hidden="1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 hidden="1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 hidden="1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 hidden="1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 hidden="1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 hidden="1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 hidden="1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 hidden="1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 hidden="1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 hidden="1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 hidden="1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 hidden="1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 hidden="1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 hidden="1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 hidden="1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 hidden="1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 hidden="1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 hidden="1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 hidden="1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 hidden="1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 hidden="1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 hidden="1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 hidden="1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 hidden="1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 hidden="1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 hidden="1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 hidden="1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 hidden="1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 hidden="1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 hidden="1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 hidden="1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 hidden="1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 hidden="1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 hidden="1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 hidden="1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 hidden="1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 hidden="1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 hidden="1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 hidden="1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 hidden="1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 hidden="1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 hidden="1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 hidden="1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 hidden="1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 hidden="1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 hidden="1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 hidden="1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 hidden="1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 hidden="1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 hidden="1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 hidden="1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 hidden="1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 hidden="1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 hidden="1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 hidden="1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 hidden="1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 hidden="1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 hidden="1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 hidden="1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 hidden="1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 hidden="1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 hidden="1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 hidden="1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 hidden="1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 hidden="1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 hidden="1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 hidden="1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 hidden="1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 hidden="1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 hidden="1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 hidden="1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 hidden="1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 hidden="1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 hidden="1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 hidden="1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 hidden="1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 hidden="1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 hidden="1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 hidden="1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 hidden="1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 hidden="1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 hidden="1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 hidden="1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 hidden="1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 hidden="1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 hidden="1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 hidden="1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 hidden="1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 hidden="1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 hidden="1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 hidden="1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 hidden="1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 hidden="1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 hidden="1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 hidden="1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 hidden="1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 hidden="1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 hidden="1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 hidden="1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 hidden="1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 hidden="1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 hidden="1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 hidden="1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 hidden="1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 hidden="1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 hidden="1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 hidden="1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 hidden="1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 hidden="1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 hidden="1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 hidden="1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 hidden="1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 hidden="1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 hidden="1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 hidden="1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 hidden="1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 hidden="1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 hidden="1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 hidden="1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 hidden="1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 hidden="1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 hidden="1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 hidden="1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 hidden="1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 hidden="1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 hidden="1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 hidden="1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 hidden="1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 hidden="1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 hidden="1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 hidden="1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 hidden="1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 hidden="1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 hidden="1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 hidden="1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 hidden="1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 hidden="1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 hidden="1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 hidden="1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 hidden="1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 hidden="1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 hidden="1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 hidden="1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 hidden="1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 hidden="1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 hidden="1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 hidden="1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 hidden="1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 hidden="1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 hidden="1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 hidden="1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 hidden="1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 hidden="1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 hidden="1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 hidden="1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 hidden="1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 hidden="1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 hidden="1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 hidden="1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 hidden="1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 hidden="1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 hidden="1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 hidden="1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 hidden="1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 hidden="1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 hidden="1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 hidden="1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 hidden="1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 hidden="1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 hidden="1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 hidden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 hidden="1">
      <c r="J252" s="118">
        <f t="shared" si="19"/>
        <v>0</v>
      </c>
      <c r="K252" s="119">
        <f t="shared" si="20"/>
        <v>0</v>
      </c>
      <c r="L252" s="119">
        <f t="shared" si="21"/>
        <v>0</v>
      </c>
    </row>
    <row r="255" spans="5:12">
      <c r="E255" s="191" t="s">
        <v>320</v>
      </c>
      <c r="F255" s="216">
        <v>46023</v>
      </c>
      <c r="G255" s="192">
        <v>218</v>
      </c>
      <c r="H255" s="271" t="s">
        <v>321</v>
      </c>
    </row>
    <row r="256" spans="5:12">
      <c r="E256" s="195" t="s">
        <v>411</v>
      </c>
      <c r="F256" s="217"/>
      <c r="G256" s="196">
        <v>151</v>
      </c>
      <c r="H256" s="271" t="s">
        <v>321</v>
      </c>
    </row>
    <row r="257" spans="5:8">
      <c r="E257" s="195" t="s">
        <v>412</v>
      </c>
      <c r="F257" s="217"/>
      <c r="G257" s="196">
        <v>138</v>
      </c>
      <c r="H257" s="271" t="s">
        <v>321</v>
      </c>
    </row>
    <row r="258" spans="5:8">
      <c r="E258" s="191" t="s">
        <v>320</v>
      </c>
      <c r="F258" s="216">
        <v>46053</v>
      </c>
      <c r="G258" s="192">
        <f>G255+G256-G257</f>
        <v>231</v>
      </c>
      <c r="H258" s="271" t="s">
        <v>321</v>
      </c>
    </row>
    <row r="260" spans="5:8">
      <c r="E260" s="356" t="s">
        <v>324</v>
      </c>
      <c r="F260" s="219"/>
      <c r="G260" s="202"/>
      <c r="H260" s="219" t="s">
        <v>325</v>
      </c>
    </row>
    <row r="261" spans="5:8">
      <c r="E261" s="357" t="s">
        <v>247</v>
      </c>
      <c r="F261" s="286"/>
      <c r="G261" s="287"/>
      <c r="H261" s="359">
        <v>3.3486144000000002</v>
      </c>
    </row>
    <row r="262" spans="5:8">
      <c r="E262" s="357" t="s">
        <v>248</v>
      </c>
      <c r="F262" s="286"/>
      <c r="G262" s="287"/>
      <c r="H262" s="359">
        <v>3.5988095000000002</v>
      </c>
    </row>
    <row r="263" spans="5:8">
      <c r="E263" s="357" t="s">
        <v>249</v>
      </c>
      <c r="F263" s="286"/>
      <c r="G263" s="287"/>
      <c r="H263" s="359">
        <v>5.2863704</v>
      </c>
    </row>
    <row r="264" spans="5:8">
      <c r="E264" s="357" t="s">
        <v>328</v>
      </c>
      <c r="F264" s="286"/>
      <c r="G264" s="287"/>
      <c r="H264" s="359">
        <v>9.0120760142199998</v>
      </c>
    </row>
    <row r="265" spans="5:8">
      <c r="E265" s="357" t="s">
        <v>329</v>
      </c>
      <c r="F265" s="286"/>
      <c r="G265" s="287"/>
      <c r="H265" s="359">
        <v>0.71764399999999995</v>
      </c>
    </row>
    <row r="266" spans="5:8">
      <c r="E266" s="357" t="s">
        <v>250</v>
      </c>
      <c r="F266" s="286"/>
      <c r="G266" s="287"/>
      <c r="H266" s="359">
        <v>24.753345599999999</v>
      </c>
    </row>
    <row r="267" spans="5:8">
      <c r="E267" s="357" t="s">
        <v>256</v>
      </c>
      <c r="F267" s="286"/>
      <c r="G267" s="287"/>
      <c r="H267" s="359">
        <v>0.51046999999999998</v>
      </c>
    </row>
    <row r="268" spans="5:8">
      <c r="E268" s="357" t="s">
        <v>269</v>
      </c>
      <c r="F268" s="286"/>
      <c r="G268" s="287"/>
      <c r="H268" s="359">
        <v>237.89671276413998</v>
      </c>
    </row>
    <row r="269" spans="5:8">
      <c r="E269" s="357" t="s">
        <v>251</v>
      </c>
      <c r="F269" s="286"/>
      <c r="G269" s="287"/>
      <c r="H269" s="359">
        <v>10.8964494</v>
      </c>
    </row>
    <row r="270" spans="5:8">
      <c r="E270" s="357" t="s">
        <v>245</v>
      </c>
      <c r="F270" s="286"/>
      <c r="G270" s="287"/>
      <c r="H270" s="359">
        <v>11.5422384</v>
      </c>
    </row>
    <row r="271" spans="5:8">
      <c r="E271" s="357" t="s">
        <v>370</v>
      </c>
      <c r="F271" s="286"/>
      <c r="G271" s="287"/>
      <c r="H271" s="359">
        <v>3.0412531175499997</v>
      </c>
    </row>
    <row r="272" spans="5:8">
      <c r="E272" s="290"/>
      <c r="F272" s="286"/>
      <c r="G272" s="287"/>
      <c r="H272" s="359"/>
    </row>
    <row r="273" spans="5:25">
      <c r="E273" s="263" t="s">
        <v>344</v>
      </c>
      <c r="F273" s="286"/>
      <c r="G273" s="287"/>
      <c r="H273" s="359">
        <f>SUM(H261:H272)</f>
        <v>310.60398359590994</v>
      </c>
    </row>
    <row r="274" spans="5:25" s="205" customFormat="1">
      <c r="F274" s="237"/>
      <c r="H274" s="54"/>
      <c r="I274" s="54"/>
      <c r="J274" s="54"/>
      <c r="K274" s="55"/>
      <c r="L274" s="55"/>
      <c r="M274" s="55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9"/>
    </row>
    <row r="275" spans="5:25" s="205" customFormat="1">
      <c r="F275" s="237"/>
      <c r="H275" s="54"/>
      <c r="I275" s="54"/>
      <c r="J275" s="54"/>
      <c r="K275" s="55"/>
      <c r="L275" s="55"/>
      <c r="M275" s="55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9"/>
    </row>
    <row r="276" spans="5:25" s="205" customFormat="1">
      <c r="E276" s="205" t="s">
        <v>330</v>
      </c>
      <c r="F276" s="221"/>
      <c r="H276" s="297">
        <f>'W7'!J19</f>
        <v>1009.6433848929868</v>
      </c>
      <c r="I276" s="54"/>
      <c r="J276" s="54"/>
      <c r="K276" s="55"/>
      <c r="L276" s="55"/>
      <c r="M276" s="55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9"/>
    </row>
    <row r="277" spans="5:25" s="205" customFormat="1">
      <c r="E277" s="205" t="s">
        <v>331</v>
      </c>
      <c r="F277" s="221"/>
      <c r="H277" s="297">
        <f>H273</f>
        <v>310.60398359590994</v>
      </c>
      <c r="I277" s="54"/>
      <c r="J277" s="54"/>
      <c r="K277" s="55"/>
      <c r="L277" s="55"/>
      <c r="M277" s="55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9"/>
    </row>
    <row r="278" spans="5:25" s="205" customFormat="1">
      <c r="E278" s="205" t="s">
        <v>332</v>
      </c>
      <c r="F278" s="221"/>
      <c r="H278" s="297">
        <f>J12-'W7'!J12</f>
        <v>73.247345799999948</v>
      </c>
      <c r="I278" s="54"/>
      <c r="J278" s="54"/>
      <c r="K278" s="55"/>
      <c r="L278" s="55"/>
      <c r="M278" s="55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9"/>
    </row>
    <row r="279" spans="5:25" s="205" customFormat="1">
      <c r="E279" s="205" t="s">
        <v>333</v>
      </c>
      <c r="F279" s="221"/>
      <c r="H279" s="297">
        <f>H276+H277-H278</f>
        <v>1247.0000226888967</v>
      </c>
      <c r="I279" s="54"/>
      <c r="J279" s="54"/>
      <c r="K279" s="55"/>
      <c r="L279" s="55"/>
      <c r="M279" s="55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9"/>
    </row>
    <row r="280" spans="5:25" s="205" customFormat="1">
      <c r="E280" s="205" t="s">
        <v>334</v>
      </c>
      <c r="F280" s="221"/>
      <c r="H280" s="297">
        <f>J19</f>
        <v>1266.2799903452769</v>
      </c>
      <c r="I280" s="54"/>
      <c r="J280" s="54"/>
      <c r="K280" s="55"/>
      <c r="L280" s="55"/>
      <c r="M280" s="55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9"/>
    </row>
    <row r="281" spans="5:25" s="205" customFormat="1">
      <c r="E281" s="205" t="s">
        <v>335</v>
      </c>
      <c r="F281" s="221"/>
      <c r="H281" s="298">
        <f>H279-H280</f>
        <v>-19.279967656380222</v>
      </c>
      <c r="I281" s="235" t="s">
        <v>336</v>
      </c>
      <c r="J281" s="54"/>
      <c r="K281" s="55"/>
      <c r="L281" s="55"/>
      <c r="M281" s="55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9"/>
    </row>
    <row r="282" spans="5:25" s="205" customFormat="1">
      <c r="F282" s="221"/>
      <c r="H282" s="297"/>
      <c r="I282" s="54" t="s">
        <v>337</v>
      </c>
      <c r="J282" s="54"/>
      <c r="K282" s="55"/>
      <c r="L282" s="55"/>
      <c r="M282" s="55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9"/>
    </row>
    <row r="283" spans="5:25" s="205" customFormat="1">
      <c r="F283" s="237"/>
      <c r="H283" s="235"/>
      <c r="I283" s="235"/>
      <c r="J283" s="54"/>
      <c r="K283" s="55"/>
      <c r="L283" s="55"/>
      <c r="M283" s="55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9"/>
    </row>
    <row r="284" spans="5:25" s="205" customFormat="1">
      <c r="F284" s="237"/>
      <c r="H284" s="54"/>
      <c r="I284" s="54"/>
      <c r="J284" s="54"/>
      <c r="K284" s="55"/>
      <c r="L284" s="55"/>
      <c r="M284" s="55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9"/>
    </row>
    <row r="285" spans="5:25" s="205" customFormat="1">
      <c r="F285" s="237"/>
      <c r="H285" s="54"/>
      <c r="I285" s="54"/>
      <c r="J285" s="54"/>
      <c r="K285" s="55"/>
      <c r="L285" s="55"/>
      <c r="M285" s="55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9"/>
    </row>
    <row r="286" spans="5:25" s="205" customFormat="1">
      <c r="F286" s="237"/>
      <c r="H286" s="54"/>
      <c r="I286" s="54"/>
      <c r="J286" s="54"/>
      <c r="K286" s="55"/>
      <c r="L286" s="55"/>
      <c r="M286" s="55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9"/>
    </row>
    <row r="287" spans="5:25" s="205" customFormat="1">
      <c r="F287" s="237"/>
      <c r="H287" s="54"/>
      <c r="I287" s="54"/>
      <c r="J287" s="54"/>
      <c r="K287" s="55"/>
      <c r="L287" s="55"/>
      <c r="M287" s="55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9"/>
    </row>
    <row r="288" spans="5:25" s="205" customFormat="1">
      <c r="F288" s="237"/>
      <c r="H288" s="54"/>
      <c r="I288" s="54"/>
      <c r="J288" s="54"/>
      <c r="K288" s="55"/>
      <c r="L288" s="55"/>
      <c r="M288" s="55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9"/>
    </row>
    <row r="289" spans="6:25" s="205" customFormat="1">
      <c r="F289" s="237"/>
      <c r="H289" s="54"/>
      <c r="I289" s="54"/>
      <c r="J289" s="54"/>
      <c r="K289" s="55"/>
      <c r="L289" s="55"/>
      <c r="M289" s="55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9"/>
    </row>
    <row r="290" spans="6:25" s="205" customFormat="1">
      <c r="F290" s="237"/>
      <c r="H290" s="54"/>
      <c r="I290" s="54"/>
      <c r="J290" s="54"/>
      <c r="K290" s="55"/>
      <c r="L290" s="55"/>
      <c r="M290" s="55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9"/>
    </row>
    <row r="291" spans="6:25" s="205" customFormat="1">
      <c r="F291" s="237"/>
      <c r="H291" s="54"/>
      <c r="I291" s="54"/>
      <c r="J291" s="54"/>
      <c r="K291" s="55"/>
      <c r="L291" s="55"/>
      <c r="M291" s="55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9"/>
    </row>
    <row r="292" spans="6:25" s="205" customFormat="1">
      <c r="F292" s="237"/>
      <c r="H292" s="54"/>
      <c r="I292" s="54"/>
      <c r="J292" s="54"/>
      <c r="K292" s="55"/>
      <c r="L292" s="55"/>
      <c r="M292" s="55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9"/>
    </row>
    <row r="293" spans="6:25" s="205" customFormat="1">
      <c r="F293" s="237"/>
      <c r="H293" s="54"/>
      <c r="I293" s="54"/>
      <c r="J293" s="54"/>
      <c r="K293" s="55"/>
      <c r="L293" s="55"/>
      <c r="M293" s="55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9"/>
    </row>
    <row r="294" spans="6:25" s="205" customFormat="1">
      <c r="F294" s="237"/>
      <c r="H294" s="54"/>
      <c r="I294" s="54"/>
      <c r="J294" s="54"/>
      <c r="K294" s="55"/>
      <c r="L294" s="55"/>
      <c r="M294" s="55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9"/>
    </row>
  </sheetData>
  <sheetProtection formatCells="0" formatColumns="0" formatRows="0" insertRows="0" deleteRows="0" autoFilter="0"/>
  <autoFilter ref="E23:AL407" xr:uid="{00000000-0009-0000-0000-00000A000000}"/>
  <mergeCells count="1">
    <mergeCell ref="I4:J4"/>
  </mergeCells>
  <phoneticPr fontId="40"/>
  <dataValidations count="2">
    <dataValidation type="list" allowBlank="1" showInputMessage="1" showErrorMessage="1" sqref="G2" xr:uid="{00000000-0002-0000-0A00-000000000000}">
      <formula1>SOCIETE</formula1>
    </dataValidation>
    <dataValidation type="list" allowBlank="1" showInputMessage="1" showErrorMessage="1" sqref="F24:F251" xr:uid="{6049382C-F4E8-450F-9829-B172F3139D87}">
      <formula1>Liste</formula1>
    </dataValidation>
  </dataValidations>
  <pageMargins left="0.17" right="0.17" top="0.37" bottom="0.23" header="0.31496062992125984" footer="0.16"/>
  <pageSetup paperSize="9" scale="50" orientation="landscape" r:id="rId1"/>
  <ignoredErrors>
    <ignoredError sqref="H276:H281" unlocked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tabColor theme="4" tint="-0.499984740745262"/>
    <pageSetUpPr fitToPage="1"/>
  </sheetPr>
  <dimension ref="B1:AL120"/>
  <sheetViews>
    <sheetView showGridLines="0" zoomScale="70" zoomScaleNormal="70" workbookViewId="0">
      <selection activeCell="H11" sqref="H11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20.2851562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58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February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February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W9</v>
      </c>
      <c r="I9" s="61"/>
      <c r="J9" s="161" t="str">
        <f>+"from "&amp;G6&amp;" 1 until end of "&amp;G4</f>
        <v>from February 1 until end of W9</v>
      </c>
      <c r="K9" s="79"/>
      <c r="L9" s="167" t="str">
        <f>+G6</f>
        <v>February</v>
      </c>
      <c r="M9" s="80"/>
      <c r="N9" s="80"/>
      <c r="O9" s="172" t="str">
        <f>+G4</f>
        <v>W9</v>
      </c>
      <c r="P9" s="173" t="str">
        <f>+VLOOKUP(G4, parameters!$G$9:$I$61,3,0)</f>
        <v>W8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600+J10</f>
        <v>1165</v>
      </c>
      <c r="I10" s="61"/>
      <c r="J10" s="159">
        <v>565</v>
      </c>
      <c r="L10" s="159">
        <f>J10+O17</f>
        <v>565</v>
      </c>
      <c r="N10" s="55"/>
      <c r="O10" s="170">
        <f>+H10+K17</f>
        <v>3461.1422380000004</v>
      </c>
      <c r="P10" s="171" cm="1">
        <f t="array" aca="1" ref="P10" ca="1">INDIRECT(ADDRESS(10,15,,,VLOOKUP($G$4,parameters!$G:$I,3,0)))</f>
        <v>2008.7271907196969</v>
      </c>
      <c r="Q10" s="183">
        <f ca="1">O10-P10</f>
        <v>1452.4150472803035</v>
      </c>
      <c r="R10" s="86"/>
    </row>
    <row r="11" spans="5:38" ht="20.45" customHeight="1">
      <c r="E11" s="87" t="s">
        <v>224</v>
      </c>
      <c r="F11" s="88"/>
      <c r="G11" s="89"/>
      <c r="H11" s="16">
        <f>13+J11</f>
        <v>21</v>
      </c>
      <c r="I11" s="61"/>
      <c r="J11" s="16">
        <v>8</v>
      </c>
      <c r="L11" s="159">
        <f>J11+O18</f>
        <v>8</v>
      </c>
      <c r="N11" s="55"/>
      <c r="O11" s="152">
        <f>+H11+K18</f>
        <v>27.790150000000001</v>
      </c>
      <c r="P11" s="153" cm="1">
        <f t="array" aca="1" ref="P11" ca="1">INDIRECT(ADDRESS(11,15,,,VLOOKUP($G$4,parameters!$G:$I,3,0)))</f>
        <v>26.800145425579998</v>
      </c>
      <c r="Q11" s="184">
        <f t="shared" ref="Q11:Q12" ca="1" si="0">O11-P11</f>
        <v>0.99000457442000211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1186</v>
      </c>
      <c r="I12" s="61"/>
      <c r="J12" s="126">
        <f>SUM(J10:J11)</f>
        <v>573</v>
      </c>
      <c r="K12" s="65"/>
      <c r="L12" s="126">
        <f>SUM(L10:L11)</f>
        <v>573</v>
      </c>
      <c r="M12" s="65"/>
      <c r="N12" s="65"/>
      <c r="O12" s="154">
        <f>SUM(O10:O11)</f>
        <v>3488.9323880000002</v>
      </c>
      <c r="P12" s="155">
        <f ca="1">SUM(P10:P11)</f>
        <v>2035.5273361452769</v>
      </c>
      <c r="Q12" s="156">
        <f t="shared" ca="1" si="0"/>
        <v>1453.4050518547233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+SUMIF($F$24:$F$64,"External",$J$24:$J$64)</f>
        <v>2296.1422380000004</v>
      </c>
      <c r="K17" s="108">
        <f>+SUMIF($F$24:$F$64,"External",$K$24:$K$64)</f>
        <v>2296.1422380000004</v>
      </c>
      <c r="L17" s="109">
        <f>+SUMIF($F$24:$F$64,"External",$L$24:$L$64)</f>
        <v>0</v>
      </c>
      <c r="M17" s="110"/>
      <c r="N17" s="111">
        <f t="shared" ref="N17:Y17" si="1">+SUMIF($F$24:$F$64,"External",N$24:N$64)</f>
        <v>0</v>
      </c>
      <c r="O17" s="111">
        <f t="shared" si="1"/>
        <v>0</v>
      </c>
      <c r="P17" s="111">
        <f t="shared" si="1"/>
        <v>509.61634800000007</v>
      </c>
      <c r="Q17" s="111">
        <f t="shared" si="1"/>
        <v>597.18206999999995</v>
      </c>
      <c r="R17" s="111">
        <f t="shared" si="1"/>
        <v>564.95641999999998</v>
      </c>
      <c r="S17" s="111">
        <f t="shared" si="1"/>
        <v>469.57339999999999</v>
      </c>
      <c r="T17" s="111">
        <f t="shared" si="1"/>
        <v>154.81400000000002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+SUMIF($F$24:$F$64,"External",AA$24:AA$64)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+SUMIF($F$24:$F$64,"Group",$J$24:$J$64)</f>
        <v>6.7901499999999997</v>
      </c>
      <c r="K18" s="113">
        <f>+SUMIF($F$24:$F$64,"Group",$K$24:$K$64)</f>
        <v>6.7901499999999997</v>
      </c>
      <c r="L18" s="114">
        <f>SUMIF($F$24:$F$64,"Group",$L$24:$L$64)</f>
        <v>0</v>
      </c>
      <c r="M18" s="110"/>
      <c r="N18" s="114">
        <f t="shared" ref="N18:Y18" si="3">+SUMIF($F$24:$F$64,"Group",N$24:N$64)</f>
        <v>0</v>
      </c>
      <c r="O18" s="114">
        <f t="shared" si="3"/>
        <v>0</v>
      </c>
      <c r="P18" s="114">
        <f t="shared" si="3"/>
        <v>0</v>
      </c>
      <c r="Q18" s="114">
        <f t="shared" si="3"/>
        <v>6.7901499999999997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+SUMIF($F$24:$F$64,"Group",AA$24:AA$64)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2302.9323880000002</v>
      </c>
      <c r="K19" s="115">
        <f>SUM(K17:K18)</f>
        <v>2302.9323880000002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509.61634800000007</v>
      </c>
      <c r="Q19" s="116">
        <f t="shared" si="5"/>
        <v>603.97221999999999</v>
      </c>
      <c r="R19" s="116">
        <f t="shared" si="5"/>
        <v>564.95641999999998</v>
      </c>
      <c r="S19" s="116">
        <f t="shared" si="5"/>
        <v>469.57339999999999</v>
      </c>
      <c r="T19" s="116">
        <f t="shared" si="5"/>
        <v>154.81400000000002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IF(SUM(J24:J64)=J19,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234</v>
      </c>
      <c r="F24" s="7" t="s">
        <v>19</v>
      </c>
      <c r="G24" s="6" t="s">
        <v>235</v>
      </c>
      <c r="H24" s="187" t="s">
        <v>384</v>
      </c>
      <c r="I24" s="187" t="s">
        <v>236</v>
      </c>
      <c r="J24" s="118">
        <f t="shared" ref="J24" si="7">+K24+L24</f>
        <v>7.2617500000000001</v>
      </c>
      <c r="K24" s="119">
        <f t="shared" ref="K24" si="8">SUM(N24:Y24)</f>
        <v>7.2617500000000001</v>
      </c>
      <c r="L24" s="119">
        <f t="shared" ref="L24" si="9">SUM(AA24:AL24)</f>
        <v>0</v>
      </c>
      <c r="M24" s="23"/>
      <c r="N24" s="24"/>
      <c r="O24" s="24"/>
      <c r="P24" s="24"/>
      <c r="Q24" s="24">
        <v>7.2617500000000001</v>
      </c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234</v>
      </c>
      <c r="F25" s="7" t="s">
        <v>19</v>
      </c>
      <c r="G25" s="6" t="s">
        <v>237</v>
      </c>
      <c r="H25" s="188" t="s">
        <v>385</v>
      </c>
      <c r="I25" s="188" t="s">
        <v>236</v>
      </c>
      <c r="J25" s="118">
        <f t="shared" ref="J25:J64" si="10">+K25+L25</f>
        <v>19.087499999999999</v>
      </c>
      <c r="K25" s="119">
        <f t="shared" ref="K25:K64" si="11">SUM(N25:Y25)</f>
        <v>19.087499999999999</v>
      </c>
      <c r="L25" s="119">
        <f t="shared" ref="L25:L64" si="12">SUM(AA25:AL25)</f>
        <v>0</v>
      </c>
      <c r="M25" s="23"/>
      <c r="N25" s="24"/>
      <c r="O25" s="24"/>
      <c r="P25" s="24">
        <v>19.087499999999999</v>
      </c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>
      <c r="E26" s="6" t="s">
        <v>238</v>
      </c>
      <c r="F26" s="7" t="s">
        <v>19</v>
      </c>
      <c r="G26" s="6" t="s">
        <v>239</v>
      </c>
      <c r="H26" s="188" t="s">
        <v>386</v>
      </c>
      <c r="I26" s="188" t="s">
        <v>236</v>
      </c>
      <c r="J26" s="118">
        <f t="shared" si="10"/>
        <v>10.20824</v>
      </c>
      <c r="K26" s="119">
        <f t="shared" si="11"/>
        <v>10.20824</v>
      </c>
      <c r="L26" s="119">
        <f t="shared" si="12"/>
        <v>0</v>
      </c>
      <c r="M26" s="23"/>
      <c r="N26" s="24"/>
      <c r="O26" s="24"/>
      <c r="P26" s="24">
        <v>10.20824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240</v>
      </c>
      <c r="F27" s="7" t="s">
        <v>19</v>
      </c>
      <c r="G27" s="6" t="s">
        <v>237</v>
      </c>
      <c r="H27" s="188" t="s">
        <v>385</v>
      </c>
      <c r="I27" s="188" t="s">
        <v>236</v>
      </c>
      <c r="J27" s="118">
        <f t="shared" si="10"/>
        <v>8.0682100000000005</v>
      </c>
      <c r="K27" s="119">
        <f t="shared" si="11"/>
        <v>8.0682100000000005</v>
      </c>
      <c r="L27" s="119">
        <f t="shared" si="12"/>
        <v>0</v>
      </c>
      <c r="M27" s="23"/>
      <c r="N27" s="24"/>
      <c r="O27" s="24"/>
      <c r="P27" s="24">
        <v>8.0682100000000005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416</v>
      </c>
      <c r="F28" s="7" t="s">
        <v>19</v>
      </c>
      <c r="G28" s="6" t="s">
        <v>279</v>
      </c>
      <c r="H28" s="189" t="s">
        <v>387</v>
      </c>
      <c r="I28" s="189" t="s">
        <v>243</v>
      </c>
      <c r="J28" s="118">
        <f t="shared" si="10"/>
        <v>314.44096000000002</v>
      </c>
      <c r="K28" s="119">
        <f t="shared" si="11"/>
        <v>314.44096000000002</v>
      </c>
      <c r="L28" s="119">
        <f t="shared" si="12"/>
        <v>0</v>
      </c>
      <c r="M28" s="23"/>
      <c r="N28" s="24"/>
      <c r="O28" s="24"/>
      <c r="P28" s="24"/>
      <c r="Q28" s="24">
        <v>38.80527</v>
      </c>
      <c r="R28" s="24"/>
      <c r="S28" s="24">
        <v>275.63569000000001</v>
      </c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90" t="s">
        <v>388</v>
      </c>
      <c r="I29" s="190" t="s">
        <v>243</v>
      </c>
      <c r="J29" s="118">
        <f t="shared" si="10"/>
        <v>22.776109999999999</v>
      </c>
      <c r="K29" s="119">
        <f t="shared" si="11"/>
        <v>22.776109999999999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>
        <v>22.776109999999999</v>
      </c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284</v>
      </c>
      <c r="F30" s="7" t="s">
        <v>19</v>
      </c>
      <c r="G30" s="6" t="s">
        <v>284</v>
      </c>
      <c r="H30" s="190" t="s">
        <v>383</v>
      </c>
      <c r="I30" s="190" t="s">
        <v>243</v>
      </c>
      <c r="J30" s="118">
        <f t="shared" si="10"/>
        <v>1.11239</v>
      </c>
      <c r="K30" s="119">
        <f t="shared" si="11"/>
        <v>1.11239</v>
      </c>
      <c r="L30" s="119">
        <f t="shared" si="12"/>
        <v>0</v>
      </c>
      <c r="M30" s="15"/>
      <c r="N30" s="24"/>
      <c r="O30" s="24"/>
      <c r="P30" s="24">
        <v>1.11239</v>
      </c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413</v>
      </c>
      <c r="F31" s="7" t="s">
        <v>17</v>
      </c>
      <c r="G31" s="6" t="s">
        <v>284</v>
      </c>
      <c r="H31" s="190" t="s">
        <v>383</v>
      </c>
      <c r="I31" s="190" t="s">
        <v>243</v>
      </c>
      <c r="J31" s="118">
        <f t="shared" si="10"/>
        <v>6.7901499999999997</v>
      </c>
      <c r="K31" s="119">
        <f t="shared" si="11"/>
        <v>6.7901499999999997</v>
      </c>
      <c r="L31" s="119">
        <f t="shared" si="12"/>
        <v>0</v>
      </c>
      <c r="M31" s="15"/>
      <c r="N31" s="24"/>
      <c r="O31" s="24"/>
      <c r="P31" s="24"/>
      <c r="Q31" s="24">
        <v>6.7901499999999997</v>
      </c>
      <c r="R31" s="24"/>
      <c r="S31" s="24"/>
      <c r="T31" s="24"/>
      <c r="U31" s="24"/>
      <c r="V31" s="24"/>
      <c r="W31" s="24"/>
      <c r="X31" s="24"/>
      <c r="Y31" s="24"/>
    </row>
    <row r="32" spans="4:38">
      <c r="E32" s="6" t="s">
        <v>246</v>
      </c>
      <c r="F32" s="7" t="s">
        <v>19</v>
      </c>
      <c r="G32" s="6" t="s">
        <v>247</v>
      </c>
      <c r="H32" s="190" t="s">
        <v>395</v>
      </c>
      <c r="I32" s="190" t="s">
        <v>236</v>
      </c>
      <c r="J32" s="118">
        <f t="shared" si="10"/>
        <v>115.94644</v>
      </c>
      <c r="K32" s="119">
        <f t="shared" si="11"/>
        <v>115.94644</v>
      </c>
      <c r="L32" s="119">
        <f t="shared" si="12"/>
        <v>0</v>
      </c>
      <c r="M32" s="15"/>
      <c r="N32" s="24"/>
      <c r="O32" s="24"/>
      <c r="P32" s="24">
        <v>41.775069999999999</v>
      </c>
      <c r="Q32" s="24"/>
      <c r="R32" s="24">
        <v>34.13494</v>
      </c>
      <c r="S32" s="24">
        <v>28.471440000000001</v>
      </c>
      <c r="T32" s="24">
        <v>11.56499</v>
      </c>
      <c r="U32" s="24"/>
      <c r="V32" s="24"/>
      <c r="W32" s="24"/>
      <c r="X32" s="24"/>
      <c r="Y32" s="24"/>
    </row>
    <row r="33" spans="5:25">
      <c r="E33" s="6" t="s">
        <v>246</v>
      </c>
      <c r="F33" s="7" t="s">
        <v>19</v>
      </c>
      <c r="G33" s="6" t="s">
        <v>248</v>
      </c>
      <c r="H33" s="190" t="s">
        <v>406</v>
      </c>
      <c r="I33" s="190" t="s">
        <v>236</v>
      </c>
      <c r="J33" s="118">
        <f t="shared" si="10"/>
        <v>15.030068100000001</v>
      </c>
      <c r="K33" s="119">
        <f t="shared" si="11"/>
        <v>15.030068100000001</v>
      </c>
      <c r="L33" s="119">
        <f t="shared" si="12"/>
        <v>0</v>
      </c>
      <c r="M33" s="15"/>
      <c r="N33" s="24"/>
      <c r="O33" s="24"/>
      <c r="P33" s="24">
        <v>9.8836981000000002</v>
      </c>
      <c r="Q33" s="24">
        <v>2.9518399999999998</v>
      </c>
      <c r="R33" s="24">
        <v>2.1945299999999999</v>
      </c>
      <c r="S33" s="24"/>
      <c r="T33" s="24"/>
      <c r="U33" s="24"/>
      <c r="V33" s="24"/>
      <c r="W33" s="24"/>
      <c r="X33" s="24"/>
      <c r="Y33" s="24"/>
    </row>
    <row r="34" spans="5:25">
      <c r="E34" s="6" t="s">
        <v>246</v>
      </c>
      <c r="F34" s="7" t="s">
        <v>19</v>
      </c>
      <c r="G34" s="6" t="s">
        <v>249</v>
      </c>
      <c r="H34" s="190" t="s">
        <v>408</v>
      </c>
      <c r="I34" s="190" t="s">
        <v>236</v>
      </c>
      <c r="J34" s="118">
        <f t="shared" si="10"/>
        <v>102.89747000000001</v>
      </c>
      <c r="K34" s="119">
        <f t="shared" si="11"/>
        <v>102.89747000000001</v>
      </c>
      <c r="L34" s="119">
        <f t="shared" si="12"/>
        <v>0</v>
      </c>
      <c r="M34" s="15"/>
      <c r="N34" s="24"/>
      <c r="O34" s="24"/>
      <c r="P34" s="24">
        <v>52.063700000000004</v>
      </c>
      <c r="Q34" s="24"/>
      <c r="R34" s="24">
        <v>11.78504</v>
      </c>
      <c r="S34" s="24">
        <v>8.2418600000000009</v>
      </c>
      <c r="T34" s="24">
        <v>30.80687</v>
      </c>
      <c r="U34" s="24"/>
      <c r="V34" s="24"/>
      <c r="W34" s="24"/>
      <c r="X34" s="24"/>
      <c r="Y34" s="24"/>
    </row>
    <row r="35" spans="5:25">
      <c r="E35" s="6" t="s">
        <v>246</v>
      </c>
      <c r="F35" s="7" t="s">
        <v>19</v>
      </c>
      <c r="G35" s="6" t="s">
        <v>250</v>
      </c>
      <c r="H35" s="190" t="s">
        <v>409</v>
      </c>
      <c r="I35" s="190" t="s">
        <v>236</v>
      </c>
      <c r="J35" s="118">
        <f t="shared" si="10"/>
        <v>150.13818000000001</v>
      </c>
      <c r="K35" s="119">
        <f t="shared" si="11"/>
        <v>150.13818000000001</v>
      </c>
      <c r="L35" s="119">
        <f t="shared" si="12"/>
        <v>0</v>
      </c>
      <c r="M35" s="15"/>
      <c r="N35" s="24"/>
      <c r="O35" s="24"/>
      <c r="P35" s="24">
        <v>24.96715</v>
      </c>
      <c r="Q35" s="24"/>
      <c r="R35" s="24">
        <v>9.0353000000000012</v>
      </c>
      <c r="S35" s="24">
        <v>86.945040000000006</v>
      </c>
      <c r="T35" s="24">
        <v>29.19069</v>
      </c>
      <c r="U35" s="24"/>
      <c r="V35" s="24"/>
      <c r="W35" s="24"/>
      <c r="X35" s="24"/>
      <c r="Y35" s="24"/>
    </row>
    <row r="36" spans="5:25">
      <c r="E36" s="6" t="s">
        <v>246</v>
      </c>
      <c r="F36" s="7" t="s">
        <v>19</v>
      </c>
      <c r="G36" s="6" t="s">
        <v>293</v>
      </c>
      <c r="H36" s="190" t="s">
        <v>410</v>
      </c>
      <c r="I36" s="190" t="s">
        <v>236</v>
      </c>
      <c r="J36" s="118">
        <f t="shared" si="10"/>
        <v>87.489689999999996</v>
      </c>
      <c r="K36" s="119">
        <f t="shared" si="11"/>
        <v>87.489689999999996</v>
      </c>
      <c r="L36" s="119">
        <f t="shared" si="12"/>
        <v>0</v>
      </c>
      <c r="M36" s="15"/>
      <c r="N36" s="24"/>
      <c r="O36" s="24"/>
      <c r="P36" s="24">
        <v>1.6367799999999999</v>
      </c>
      <c r="Q36" s="24"/>
      <c r="R36" s="24"/>
      <c r="S36" s="24">
        <v>5.9469399999999997</v>
      </c>
      <c r="T36" s="24">
        <v>79.905969999999996</v>
      </c>
      <c r="U36" s="24"/>
      <c r="V36" s="24"/>
      <c r="W36" s="24"/>
      <c r="X36" s="24"/>
      <c r="Y36" s="24"/>
    </row>
    <row r="37" spans="5:25">
      <c r="E37" s="6" t="s">
        <v>246</v>
      </c>
      <c r="F37" s="7" t="s">
        <v>19</v>
      </c>
      <c r="G37" s="6" t="s">
        <v>251</v>
      </c>
      <c r="H37" s="190" t="s">
        <v>406</v>
      </c>
      <c r="I37" s="190" t="s">
        <v>236</v>
      </c>
      <c r="J37" s="118">
        <f t="shared" si="10"/>
        <v>43.856659999999991</v>
      </c>
      <c r="K37" s="119">
        <f t="shared" si="11"/>
        <v>43.856659999999991</v>
      </c>
      <c r="L37" s="119">
        <f t="shared" si="12"/>
        <v>0</v>
      </c>
      <c r="M37" s="15"/>
      <c r="N37" s="24"/>
      <c r="O37" s="24"/>
      <c r="P37" s="24">
        <v>24.528089999999999</v>
      </c>
      <c r="Q37" s="24"/>
      <c r="R37" s="24"/>
      <c r="S37" s="24">
        <v>17.821549999999998</v>
      </c>
      <c r="T37" s="24">
        <v>1.50702</v>
      </c>
      <c r="U37" s="24"/>
      <c r="V37" s="24"/>
      <c r="W37" s="24"/>
      <c r="X37" s="24"/>
      <c r="Y37" s="24"/>
    </row>
    <row r="38" spans="5:25">
      <c r="E38" s="6" t="s">
        <v>246</v>
      </c>
      <c r="F38" s="7" t="s">
        <v>19</v>
      </c>
      <c r="G38" s="6" t="s">
        <v>252</v>
      </c>
      <c r="H38" s="190" t="s">
        <v>407</v>
      </c>
      <c r="I38" s="190" t="s">
        <v>236</v>
      </c>
      <c r="J38" s="118">
        <f t="shared" si="10"/>
        <v>36.826920000000001</v>
      </c>
      <c r="K38" s="119">
        <f t="shared" si="11"/>
        <v>36.826920000000001</v>
      </c>
      <c r="L38" s="119">
        <f t="shared" si="12"/>
        <v>0</v>
      </c>
      <c r="M38" s="15"/>
      <c r="N38" s="24"/>
      <c r="O38" s="24"/>
      <c r="P38" s="24">
        <v>26.288439999999998</v>
      </c>
      <c r="Q38" s="24">
        <v>9.76</v>
      </c>
      <c r="R38" s="24"/>
      <c r="S38" s="24"/>
      <c r="T38" s="24">
        <v>0.77847999999999995</v>
      </c>
      <c r="U38" s="24"/>
      <c r="V38" s="24"/>
      <c r="W38" s="24"/>
      <c r="X38" s="24"/>
      <c r="Y38" s="24"/>
    </row>
    <row r="39" spans="5:25">
      <c r="E39" s="6" t="s">
        <v>246</v>
      </c>
      <c r="F39" s="7" t="s">
        <v>19</v>
      </c>
      <c r="G39" s="6" t="s">
        <v>245</v>
      </c>
      <c r="H39" s="188" t="s">
        <v>394</v>
      </c>
      <c r="I39" s="190" t="s">
        <v>236</v>
      </c>
      <c r="J39" s="118">
        <f t="shared" si="10"/>
        <v>39.484510000000007</v>
      </c>
      <c r="K39" s="119">
        <f t="shared" si="11"/>
        <v>39.484510000000007</v>
      </c>
      <c r="L39" s="119">
        <f t="shared" si="12"/>
        <v>0</v>
      </c>
      <c r="M39" s="15"/>
      <c r="N39" s="24"/>
      <c r="O39" s="24"/>
      <c r="P39" s="24">
        <v>1.0599799999999999</v>
      </c>
      <c r="Q39" s="24">
        <v>0</v>
      </c>
      <c r="R39" s="24">
        <v>13.62978</v>
      </c>
      <c r="S39" s="24">
        <v>23.734770000000001</v>
      </c>
      <c r="T39" s="24">
        <v>1.0599799999999999</v>
      </c>
      <c r="U39" s="24"/>
      <c r="V39" s="24"/>
      <c r="W39" s="24"/>
      <c r="X39" s="24"/>
      <c r="Y39" s="24"/>
    </row>
    <row r="40" spans="5:25">
      <c r="E40" s="6" t="s">
        <v>414</v>
      </c>
      <c r="F40" s="7" t="s">
        <v>19</v>
      </c>
      <c r="G40" s="6" t="s">
        <v>245</v>
      </c>
      <c r="H40" s="188" t="s">
        <v>394</v>
      </c>
      <c r="I40" s="188" t="s">
        <v>236</v>
      </c>
      <c r="J40" s="118">
        <f t="shared" si="10"/>
        <v>155.09715</v>
      </c>
      <c r="K40" s="119">
        <f t="shared" si="11"/>
        <v>155.09715</v>
      </c>
      <c r="L40" s="119">
        <f t="shared" si="12"/>
        <v>0</v>
      </c>
      <c r="M40" s="15"/>
      <c r="N40" s="24"/>
      <c r="O40" s="24"/>
      <c r="P40" s="24"/>
      <c r="Q40" s="24">
        <v>155.09715</v>
      </c>
      <c r="R40" s="24"/>
      <c r="S40" s="24"/>
      <c r="T40" s="24"/>
      <c r="U40" s="24"/>
      <c r="V40" s="24"/>
      <c r="W40" s="24"/>
      <c r="X40" s="24"/>
      <c r="Y40" s="24"/>
    </row>
    <row r="41" spans="5:25">
      <c r="E41" s="6" t="s">
        <v>415</v>
      </c>
      <c r="F41" s="7" t="s">
        <v>19</v>
      </c>
      <c r="G41" s="6" t="s">
        <v>247</v>
      </c>
      <c r="H41" s="189" t="s">
        <v>395</v>
      </c>
      <c r="I41" s="189" t="s">
        <v>236</v>
      </c>
      <c r="J41" s="118">
        <f t="shared" si="10"/>
        <v>3.5708500000000001</v>
      </c>
      <c r="K41" s="119">
        <f t="shared" si="11"/>
        <v>3.5708500000000001</v>
      </c>
      <c r="L41" s="119">
        <f t="shared" si="12"/>
        <v>0</v>
      </c>
      <c r="M41" s="15"/>
      <c r="N41" s="24"/>
      <c r="O41" s="24"/>
      <c r="P41" s="24">
        <v>3.5708500000000001</v>
      </c>
      <c r="Q41" s="24"/>
      <c r="R41" s="24"/>
      <c r="S41" s="24"/>
      <c r="T41" s="24"/>
      <c r="U41" s="24"/>
      <c r="V41" s="24"/>
      <c r="W41" s="24"/>
      <c r="X41" s="24"/>
      <c r="Y41" s="24"/>
    </row>
    <row r="42" spans="5:25">
      <c r="E42" s="6" t="s">
        <v>417</v>
      </c>
      <c r="F42" s="7" t="s">
        <v>19</v>
      </c>
      <c r="G42" s="6" t="s">
        <v>261</v>
      </c>
      <c r="H42" s="190" t="s">
        <v>399</v>
      </c>
      <c r="I42" s="190" t="s">
        <v>243</v>
      </c>
      <c r="J42" s="118">
        <f t="shared" si="10"/>
        <v>18.97625</v>
      </c>
      <c r="K42" s="119">
        <f t="shared" si="11"/>
        <v>18.97625</v>
      </c>
      <c r="L42" s="119">
        <f t="shared" si="12"/>
        <v>0</v>
      </c>
      <c r="M42" s="15"/>
      <c r="N42" s="24"/>
      <c r="O42" s="24"/>
      <c r="P42" s="24">
        <v>18.97625</v>
      </c>
      <c r="Q42" s="24"/>
      <c r="R42" s="24"/>
      <c r="S42" s="24"/>
      <c r="T42" s="24"/>
      <c r="U42" s="24"/>
      <c r="V42" s="24"/>
      <c r="W42" s="24"/>
      <c r="X42" s="24"/>
      <c r="Y42" s="24"/>
    </row>
    <row r="43" spans="5:25">
      <c r="E43" s="6" t="s">
        <v>300</v>
      </c>
      <c r="F43" s="7" t="s">
        <v>19</v>
      </c>
      <c r="G43" s="6" t="s">
        <v>301</v>
      </c>
      <c r="H43" s="190" t="s">
        <v>396</v>
      </c>
      <c r="I43" s="190" t="s">
        <v>236</v>
      </c>
      <c r="J43" s="118">
        <f t="shared" si="10"/>
        <v>99.980339999999998</v>
      </c>
      <c r="K43" s="119">
        <f t="shared" si="11"/>
        <v>99.980339999999998</v>
      </c>
      <c r="L43" s="119">
        <f t="shared" si="12"/>
        <v>0</v>
      </c>
      <c r="M43" s="15"/>
      <c r="N43" s="24"/>
      <c r="O43" s="24"/>
      <c r="P43" s="24"/>
      <c r="Q43" s="24">
        <v>99.980339999999998</v>
      </c>
      <c r="R43" s="24"/>
      <c r="S43" s="24"/>
      <c r="T43" s="24"/>
      <c r="U43" s="24"/>
      <c r="V43" s="24"/>
      <c r="W43" s="24"/>
      <c r="X43" s="24"/>
      <c r="Y43" s="24"/>
    </row>
    <row r="44" spans="5:25">
      <c r="E44" s="6" t="s">
        <v>255</v>
      </c>
      <c r="F44" s="7" t="s">
        <v>19</v>
      </c>
      <c r="G44" s="6" t="s">
        <v>256</v>
      </c>
      <c r="H44" s="190" t="s">
        <v>397</v>
      </c>
      <c r="I44" s="190" t="s">
        <v>236</v>
      </c>
      <c r="J44" s="118">
        <f t="shared" si="10"/>
        <v>136.18332000000001</v>
      </c>
      <c r="K44" s="119">
        <f t="shared" si="11"/>
        <v>136.18332000000001</v>
      </c>
      <c r="L44" s="119">
        <f t="shared" si="12"/>
        <v>0</v>
      </c>
      <c r="M44" s="15"/>
      <c r="N44" s="24"/>
      <c r="O44" s="24"/>
      <c r="P44" s="24">
        <v>87.564329999999998</v>
      </c>
      <c r="Q44" s="24">
        <v>48.618990000000004</v>
      </c>
      <c r="R44" s="24"/>
      <c r="S44" s="24"/>
      <c r="T44" s="24"/>
      <c r="U44" s="24"/>
      <c r="V44" s="24"/>
      <c r="W44" s="24"/>
      <c r="X44" s="24"/>
      <c r="Y44" s="24"/>
    </row>
    <row r="45" spans="5:25">
      <c r="E45" s="6" t="s">
        <v>255</v>
      </c>
      <c r="F45" s="7" t="s">
        <v>19</v>
      </c>
      <c r="G45" s="6" t="s">
        <v>304</v>
      </c>
      <c r="H45" s="190" t="s">
        <v>389</v>
      </c>
      <c r="I45" s="190" t="s">
        <v>243</v>
      </c>
      <c r="J45" s="118">
        <f t="shared" si="10"/>
        <v>16.673770000000001</v>
      </c>
      <c r="K45" s="119">
        <f t="shared" si="11"/>
        <v>16.673770000000001</v>
      </c>
      <c r="L45" s="119">
        <f t="shared" si="12"/>
        <v>0</v>
      </c>
      <c r="M45" s="15"/>
      <c r="N45" s="24"/>
      <c r="O45" s="24"/>
      <c r="P45" s="24"/>
      <c r="Q45" s="24">
        <v>16.673770000000001</v>
      </c>
      <c r="R45" s="24"/>
      <c r="S45" s="24"/>
      <c r="T45" s="24"/>
      <c r="U45" s="24"/>
      <c r="V45" s="24"/>
      <c r="W45" s="24"/>
      <c r="X45" s="24"/>
      <c r="Y45" s="24"/>
    </row>
    <row r="46" spans="5:25">
      <c r="E46" s="6" t="s">
        <v>257</v>
      </c>
      <c r="F46" s="7" t="s">
        <v>19</v>
      </c>
      <c r="G46" s="6" t="s">
        <v>258</v>
      </c>
      <c r="H46" s="190" t="s">
        <v>398</v>
      </c>
      <c r="I46" s="190" t="s">
        <v>236</v>
      </c>
      <c r="J46" s="118">
        <f t="shared" si="10"/>
        <v>23.3324</v>
      </c>
      <c r="K46" s="119">
        <f t="shared" si="11"/>
        <v>23.3324</v>
      </c>
      <c r="L46" s="119">
        <f t="shared" si="12"/>
        <v>0</v>
      </c>
      <c r="M46" s="15"/>
      <c r="N46" s="24"/>
      <c r="O46" s="24"/>
      <c r="P46" s="24">
        <v>23.3324</v>
      </c>
      <c r="Q46" s="24"/>
      <c r="R46" s="24"/>
      <c r="S46" s="24"/>
      <c r="T46" s="24"/>
      <c r="U46" s="24"/>
      <c r="V46" s="24"/>
      <c r="W46" s="24"/>
      <c r="X46" s="24"/>
      <c r="Y46" s="24"/>
    </row>
    <row r="47" spans="5:25">
      <c r="E47" s="6" t="s">
        <v>259</v>
      </c>
      <c r="F47" s="7" t="s">
        <v>19</v>
      </c>
      <c r="G47" s="6" t="s">
        <v>258</v>
      </c>
      <c r="H47" s="190" t="s">
        <v>398</v>
      </c>
      <c r="I47" s="190" t="s">
        <v>236</v>
      </c>
      <c r="J47" s="118">
        <f t="shared" si="10"/>
        <v>47.250340000000008</v>
      </c>
      <c r="K47" s="119">
        <f t="shared" si="11"/>
        <v>47.250340000000008</v>
      </c>
      <c r="L47" s="119">
        <f t="shared" si="12"/>
        <v>0</v>
      </c>
      <c r="M47" s="15"/>
      <c r="N47" s="24"/>
      <c r="O47" s="24"/>
      <c r="P47" s="24">
        <v>20.282080000000001</v>
      </c>
      <c r="Q47" s="24">
        <v>26.968260000000004</v>
      </c>
      <c r="R47" s="24"/>
      <c r="S47" s="24"/>
      <c r="T47" s="24"/>
      <c r="U47" s="24"/>
      <c r="V47" s="24"/>
      <c r="W47" s="24"/>
      <c r="X47" s="24"/>
      <c r="Y47" s="24"/>
    </row>
    <row r="48" spans="5:25">
      <c r="E48" s="6" t="s">
        <v>418</v>
      </c>
      <c r="F48" s="7" t="s">
        <v>19</v>
      </c>
      <c r="G48" s="6" t="s">
        <v>261</v>
      </c>
      <c r="H48" s="190" t="s">
        <v>399</v>
      </c>
      <c r="I48" s="190" t="s">
        <v>236</v>
      </c>
      <c r="J48" s="118">
        <f t="shared" si="10"/>
        <v>18.5882541</v>
      </c>
      <c r="K48" s="119">
        <f t="shared" si="11"/>
        <v>18.5882541</v>
      </c>
      <c r="L48" s="119">
        <f t="shared" si="12"/>
        <v>0</v>
      </c>
      <c r="M48" s="15"/>
      <c r="N48" s="24"/>
      <c r="O48" s="24"/>
      <c r="P48" s="24">
        <v>11.602924100000001</v>
      </c>
      <c r="Q48" s="24">
        <v>6.9853300000000003</v>
      </c>
      <c r="R48" s="24"/>
      <c r="S48" s="24"/>
      <c r="T48" s="24"/>
      <c r="U48" s="24"/>
      <c r="V48" s="24"/>
      <c r="W48" s="24"/>
      <c r="X48" s="24"/>
      <c r="Y48" s="24"/>
    </row>
    <row r="49" spans="5:25">
      <c r="E49" s="6" t="s">
        <v>418</v>
      </c>
      <c r="F49" s="7" t="s">
        <v>19</v>
      </c>
      <c r="G49" s="6" t="s">
        <v>261</v>
      </c>
      <c r="H49" s="190" t="s">
        <v>399</v>
      </c>
      <c r="I49" s="190" t="s">
        <v>243</v>
      </c>
      <c r="J49" s="118">
        <f t="shared" si="10"/>
        <v>10.820259999999999</v>
      </c>
      <c r="K49" s="119">
        <f t="shared" si="11"/>
        <v>10.820259999999999</v>
      </c>
      <c r="L49" s="119">
        <f t="shared" si="12"/>
        <v>0</v>
      </c>
      <c r="M49" s="15"/>
      <c r="N49" s="24"/>
      <c r="O49" s="24"/>
      <c r="P49" s="24">
        <v>10.820259999999999</v>
      </c>
      <c r="Q49" s="24"/>
      <c r="R49" s="24"/>
      <c r="S49" s="24"/>
      <c r="T49" s="24"/>
      <c r="U49" s="24"/>
      <c r="V49" s="24"/>
      <c r="W49" s="24"/>
      <c r="X49" s="24"/>
      <c r="Y49" s="24"/>
    </row>
    <row r="50" spans="5:25">
      <c r="E50" s="6" t="s">
        <v>418</v>
      </c>
      <c r="F50" s="7" t="s">
        <v>19</v>
      </c>
      <c r="G50" s="6" t="s">
        <v>370</v>
      </c>
      <c r="H50" s="190" t="s">
        <v>400</v>
      </c>
      <c r="I50" s="190" t="s">
        <v>243</v>
      </c>
      <c r="J50" s="118">
        <f t="shared" si="10"/>
        <v>20.559170000000002</v>
      </c>
      <c r="K50" s="119">
        <f t="shared" si="11"/>
        <v>20.559170000000002</v>
      </c>
      <c r="L50" s="119">
        <f t="shared" si="12"/>
        <v>0</v>
      </c>
      <c r="M50" s="15"/>
      <c r="N50" s="24"/>
      <c r="O50" s="24"/>
      <c r="P50" s="24">
        <v>20.559170000000002</v>
      </c>
      <c r="Q50" s="24"/>
      <c r="R50" s="24"/>
      <c r="S50" s="24"/>
      <c r="T50" s="24"/>
      <c r="U50" s="24"/>
      <c r="V50" s="24"/>
      <c r="W50" s="24"/>
      <c r="X50" s="24"/>
      <c r="Y50" s="24"/>
    </row>
    <row r="51" spans="5:25">
      <c r="E51" s="6" t="s">
        <v>309</v>
      </c>
      <c r="F51" s="7" t="s">
        <v>19</v>
      </c>
      <c r="G51" s="6" t="s">
        <v>264</v>
      </c>
      <c r="H51" s="190" t="s">
        <v>401</v>
      </c>
      <c r="I51" s="190" t="s">
        <v>243</v>
      </c>
      <c r="J51" s="118">
        <f t="shared" si="10"/>
        <v>37.943170000000002</v>
      </c>
      <c r="K51" s="119">
        <f t="shared" si="11"/>
        <v>37.943170000000002</v>
      </c>
      <c r="L51" s="119">
        <f t="shared" si="12"/>
        <v>0</v>
      </c>
      <c r="M51" s="15"/>
      <c r="N51" s="24"/>
      <c r="O51" s="24"/>
      <c r="P51" s="24">
        <v>6.8090900000000003</v>
      </c>
      <c r="Q51" s="24">
        <v>31.134080000000001</v>
      </c>
      <c r="R51" s="24"/>
      <c r="S51" s="24"/>
      <c r="T51" s="24"/>
      <c r="U51" s="24"/>
      <c r="V51" s="24"/>
      <c r="W51" s="24"/>
      <c r="X51" s="24"/>
      <c r="Y51" s="24"/>
    </row>
    <row r="52" spans="5:25">
      <c r="E52" s="6" t="s">
        <v>309</v>
      </c>
      <c r="F52" s="7" t="s">
        <v>19</v>
      </c>
      <c r="G52" s="6" t="s">
        <v>261</v>
      </c>
      <c r="H52" s="190" t="s">
        <v>399</v>
      </c>
      <c r="I52" s="190" t="s">
        <v>243</v>
      </c>
      <c r="J52" s="118">
        <f t="shared" si="10"/>
        <v>16.502559999999999</v>
      </c>
      <c r="K52" s="119">
        <f t="shared" si="11"/>
        <v>16.502559999999999</v>
      </c>
      <c r="L52" s="119">
        <f t="shared" si="12"/>
        <v>0</v>
      </c>
      <c r="M52" s="15"/>
      <c r="N52" s="24"/>
      <c r="O52" s="24"/>
      <c r="P52" s="24"/>
      <c r="Q52" s="24">
        <v>16.502559999999999</v>
      </c>
      <c r="R52" s="24"/>
      <c r="S52" s="24"/>
      <c r="T52" s="24"/>
      <c r="U52" s="24"/>
      <c r="V52" s="24"/>
      <c r="W52" s="24"/>
      <c r="X52" s="24"/>
      <c r="Y52" s="24"/>
    </row>
    <row r="53" spans="5:25">
      <c r="E53" s="6" t="s">
        <v>309</v>
      </c>
      <c r="F53" s="7" t="s">
        <v>19</v>
      </c>
      <c r="G53" s="6" t="s">
        <v>372</v>
      </c>
      <c r="H53" s="190" t="s">
        <v>402</v>
      </c>
      <c r="I53" s="190" t="s">
        <v>243</v>
      </c>
      <c r="J53" s="118">
        <f t="shared" si="10"/>
        <v>10.17661</v>
      </c>
      <c r="K53" s="119">
        <f t="shared" si="11"/>
        <v>10.17661</v>
      </c>
      <c r="L53" s="119">
        <f t="shared" si="12"/>
        <v>0</v>
      </c>
      <c r="M53" s="15"/>
      <c r="N53" s="24"/>
      <c r="O53" s="24"/>
      <c r="P53" s="24"/>
      <c r="Q53" s="24">
        <v>10.17661</v>
      </c>
      <c r="R53" s="24"/>
      <c r="S53" s="24"/>
      <c r="T53" s="24"/>
      <c r="U53" s="24"/>
      <c r="V53" s="24"/>
      <c r="W53" s="24"/>
      <c r="X53" s="24"/>
      <c r="Y53" s="24"/>
    </row>
    <row r="54" spans="5:25">
      <c r="E54" s="6" t="s">
        <v>309</v>
      </c>
      <c r="F54" s="7" t="s">
        <v>19</v>
      </c>
      <c r="G54" s="6" t="s">
        <v>266</v>
      </c>
      <c r="H54" s="190" t="s">
        <v>389</v>
      </c>
      <c r="I54" s="190" t="s">
        <v>243</v>
      </c>
      <c r="J54" s="118">
        <f t="shared" si="10"/>
        <v>59.741109999999999</v>
      </c>
      <c r="K54" s="119">
        <f t="shared" si="11"/>
        <v>59.741109999999999</v>
      </c>
      <c r="L54" s="119">
        <f t="shared" si="12"/>
        <v>0</v>
      </c>
      <c r="N54" s="24"/>
      <c r="O54" s="24"/>
      <c r="P54" s="24"/>
      <c r="Q54" s="24">
        <v>59.741109999999999</v>
      </c>
      <c r="R54" s="24"/>
      <c r="S54" s="24"/>
      <c r="T54" s="24"/>
      <c r="U54" s="24"/>
      <c r="V54" s="24"/>
      <c r="W54" s="24"/>
      <c r="X54" s="24"/>
      <c r="Y54" s="24"/>
    </row>
    <row r="55" spans="5:25">
      <c r="E55" s="6" t="s">
        <v>309</v>
      </c>
      <c r="F55" s="7" t="s">
        <v>19</v>
      </c>
      <c r="G55" s="6" t="s">
        <v>267</v>
      </c>
      <c r="H55" s="190" t="s">
        <v>402</v>
      </c>
      <c r="I55" s="190" t="s">
        <v>243</v>
      </c>
      <c r="J55" s="118">
        <f t="shared" si="10"/>
        <v>8.8069600000000001</v>
      </c>
      <c r="K55" s="119">
        <f t="shared" si="11"/>
        <v>8.8069600000000001</v>
      </c>
      <c r="L55" s="119">
        <f t="shared" si="12"/>
        <v>0</v>
      </c>
      <c r="N55" s="24"/>
      <c r="O55" s="24"/>
      <c r="P55" s="24"/>
      <c r="Q55" s="24">
        <v>8.8069600000000001</v>
      </c>
      <c r="R55" s="24"/>
      <c r="S55" s="24"/>
      <c r="T55" s="24"/>
      <c r="U55" s="24"/>
      <c r="V55" s="24"/>
      <c r="W55" s="24"/>
      <c r="X55" s="24"/>
      <c r="Y55" s="24"/>
    </row>
    <row r="56" spans="5:25">
      <c r="E56" s="6" t="s">
        <v>309</v>
      </c>
      <c r="F56" s="7" t="s">
        <v>19</v>
      </c>
      <c r="G56" s="6" t="s">
        <v>370</v>
      </c>
      <c r="H56" s="190" t="s">
        <v>400</v>
      </c>
      <c r="I56" s="190" t="s">
        <v>243</v>
      </c>
      <c r="J56" s="118">
        <f t="shared" si="10"/>
        <v>30.785179999999997</v>
      </c>
      <c r="K56" s="119">
        <f t="shared" si="11"/>
        <v>30.785179999999997</v>
      </c>
      <c r="L56" s="119">
        <f t="shared" si="12"/>
        <v>0</v>
      </c>
      <c r="N56" s="24"/>
      <c r="O56" s="24"/>
      <c r="P56" s="24">
        <v>3.0412499999999998</v>
      </c>
      <c r="Q56" s="24">
        <v>27.743929999999999</v>
      </c>
      <c r="R56" s="24"/>
      <c r="S56" s="24"/>
      <c r="T56" s="24"/>
      <c r="U56" s="24"/>
      <c r="V56" s="24"/>
      <c r="W56" s="24"/>
      <c r="X56" s="24"/>
      <c r="Y56" s="24"/>
    </row>
    <row r="57" spans="5:25">
      <c r="E57" s="6" t="s">
        <v>419</v>
      </c>
      <c r="F57" s="7" t="s">
        <v>19</v>
      </c>
      <c r="G57" s="6" t="s">
        <v>420</v>
      </c>
      <c r="H57" s="190" t="s">
        <v>421</v>
      </c>
      <c r="I57" s="190" t="s">
        <v>243</v>
      </c>
      <c r="J57" s="118">
        <f t="shared" si="10"/>
        <v>494.17683</v>
      </c>
      <c r="K57" s="119">
        <f t="shared" si="11"/>
        <v>494.17683</v>
      </c>
      <c r="L57" s="119">
        <f t="shared" si="12"/>
        <v>0</v>
      </c>
      <c r="N57" s="24"/>
      <c r="O57" s="24"/>
      <c r="P57" s="24"/>
      <c r="Q57" s="24"/>
      <c r="R57" s="24">
        <v>494.17683</v>
      </c>
      <c r="S57" s="24"/>
      <c r="T57" s="24"/>
      <c r="U57" s="24"/>
      <c r="V57" s="24"/>
      <c r="W57" s="24"/>
      <c r="X57" s="24"/>
      <c r="Y57" s="24"/>
    </row>
    <row r="58" spans="5:25">
      <c r="E58" s="6" t="s">
        <v>314</v>
      </c>
      <c r="F58" s="7" t="s">
        <v>19</v>
      </c>
      <c r="G58" s="6" t="s">
        <v>327</v>
      </c>
      <c r="H58" s="190" t="s">
        <v>404</v>
      </c>
      <c r="I58" s="190" t="s">
        <v>243</v>
      </c>
      <c r="J58" s="118">
        <f t="shared" si="10"/>
        <v>14.850921000000001</v>
      </c>
      <c r="K58" s="119">
        <f t="shared" si="11"/>
        <v>14.850921000000001</v>
      </c>
      <c r="L58" s="119">
        <f t="shared" si="12"/>
        <v>0</v>
      </c>
      <c r="N58" s="24"/>
      <c r="O58" s="24"/>
      <c r="P58" s="24">
        <v>14.850921000000001</v>
      </c>
      <c r="Q58" s="24"/>
      <c r="R58" s="24"/>
      <c r="S58" s="24"/>
      <c r="T58" s="24"/>
      <c r="U58" s="24"/>
      <c r="V58" s="24"/>
      <c r="W58" s="24"/>
      <c r="X58" s="24"/>
      <c r="Y58" s="24"/>
    </row>
    <row r="59" spans="5:25">
      <c r="E59" s="6" t="s">
        <v>268</v>
      </c>
      <c r="F59" s="7" t="s">
        <v>19</v>
      </c>
      <c r="G59" s="6" t="s">
        <v>374</v>
      </c>
      <c r="H59" s="190" t="s">
        <v>405</v>
      </c>
      <c r="I59" s="190" t="s">
        <v>236</v>
      </c>
      <c r="J59" s="118">
        <f t="shared" si="10"/>
        <v>0.52444999999999997</v>
      </c>
      <c r="K59" s="119">
        <f t="shared" si="11"/>
        <v>0.52444999999999997</v>
      </c>
      <c r="L59" s="119">
        <f t="shared" si="12"/>
        <v>0</v>
      </c>
      <c r="N59" s="24"/>
      <c r="O59" s="24"/>
      <c r="P59" s="24">
        <v>0.52444999999999997</v>
      </c>
      <c r="Q59" s="24"/>
      <c r="R59" s="24"/>
      <c r="S59" s="24"/>
      <c r="T59" s="24"/>
      <c r="U59" s="24"/>
      <c r="V59" s="24"/>
      <c r="W59" s="24"/>
      <c r="X59" s="24"/>
      <c r="Y59" s="24"/>
    </row>
    <row r="60" spans="5:25">
      <c r="E60" s="6" t="s">
        <v>270</v>
      </c>
      <c r="F60" s="7" t="s">
        <v>19</v>
      </c>
      <c r="G60" s="6" t="s">
        <v>374</v>
      </c>
      <c r="H60" s="190" t="s">
        <v>405</v>
      </c>
      <c r="I60" s="190" t="s">
        <v>236</v>
      </c>
      <c r="J60" s="118">
        <f t="shared" si="10"/>
        <v>48.133014800000005</v>
      </c>
      <c r="K60" s="119">
        <f t="shared" si="11"/>
        <v>48.133014800000005</v>
      </c>
      <c r="L60" s="119">
        <f t="shared" si="12"/>
        <v>0</v>
      </c>
      <c r="N60" s="24"/>
      <c r="O60" s="24"/>
      <c r="P60" s="24">
        <v>48.133014800000005</v>
      </c>
      <c r="Q60" s="24"/>
      <c r="R60" s="24"/>
      <c r="S60" s="24"/>
      <c r="T60" s="24"/>
      <c r="U60" s="24"/>
      <c r="V60" s="24"/>
      <c r="W60" s="24"/>
      <c r="X60" s="24"/>
      <c r="Y60" s="24"/>
    </row>
    <row r="61" spans="5:25">
      <c r="E61" s="6" t="s">
        <v>271</v>
      </c>
      <c r="F61" s="7" t="s">
        <v>19</v>
      </c>
      <c r="G61" s="6" t="s">
        <v>247</v>
      </c>
      <c r="H61" s="190" t="s">
        <v>395</v>
      </c>
      <c r="I61" s="190" t="s">
        <v>236</v>
      </c>
      <c r="J61" s="118">
        <f t="shared" si="10"/>
        <v>3.3210000000000002</v>
      </c>
      <c r="K61" s="119">
        <f t="shared" si="11"/>
        <v>3.3210000000000002</v>
      </c>
      <c r="L61" s="119">
        <f t="shared" si="12"/>
        <v>0</v>
      </c>
      <c r="N61" s="24"/>
      <c r="O61" s="24"/>
      <c r="P61" s="24">
        <v>3.3210000000000002</v>
      </c>
      <c r="Q61" s="24"/>
      <c r="R61" s="24"/>
      <c r="S61" s="24"/>
      <c r="T61" s="24"/>
      <c r="U61" s="24"/>
      <c r="V61" s="24"/>
      <c r="W61" s="24"/>
      <c r="X61" s="24"/>
      <c r="Y61" s="24"/>
    </row>
    <row r="62" spans="5:25">
      <c r="E62" s="6" t="s">
        <v>271</v>
      </c>
      <c r="F62" s="7" t="s">
        <v>19</v>
      </c>
      <c r="G62" s="6" t="s">
        <v>272</v>
      </c>
      <c r="H62" s="188" t="s">
        <v>406</v>
      </c>
      <c r="I62" s="188" t="s">
        <v>236</v>
      </c>
      <c r="J62" s="118">
        <f t="shared" si="10"/>
        <v>29.974119999999999</v>
      </c>
      <c r="K62" s="119">
        <f t="shared" si="11"/>
        <v>29.974119999999999</v>
      </c>
      <c r="L62" s="119">
        <f t="shared" si="12"/>
        <v>0</v>
      </c>
      <c r="N62" s="24"/>
      <c r="O62" s="24"/>
      <c r="P62" s="24"/>
      <c r="Q62" s="24">
        <v>29.974119999999999</v>
      </c>
      <c r="R62" s="24"/>
      <c r="S62" s="24"/>
      <c r="T62" s="24"/>
      <c r="U62" s="24"/>
      <c r="V62" s="24"/>
      <c r="W62" s="24"/>
      <c r="X62" s="24"/>
      <c r="Y62" s="24"/>
    </row>
    <row r="63" spans="5:25">
      <c r="E63" s="6" t="s">
        <v>271</v>
      </c>
      <c r="F63" s="7" t="s">
        <v>19</v>
      </c>
      <c r="G63" s="6" t="s">
        <v>252</v>
      </c>
      <c r="H63" s="188" t="s">
        <v>407</v>
      </c>
      <c r="I63" s="188" t="s">
        <v>243</v>
      </c>
      <c r="J63" s="118">
        <f t="shared" si="10"/>
        <v>15.549109999999999</v>
      </c>
      <c r="K63" s="119">
        <f t="shared" si="11"/>
        <v>15.549109999999999</v>
      </c>
      <c r="L63" s="119">
        <f t="shared" si="12"/>
        <v>0</v>
      </c>
      <c r="N63" s="24"/>
      <c r="O63" s="24"/>
      <c r="P63" s="24">
        <v>15.549109999999999</v>
      </c>
      <c r="Q63" s="24"/>
      <c r="R63" s="24"/>
      <c r="S63" s="24"/>
      <c r="T63" s="24"/>
      <c r="U63" s="24"/>
      <c r="V63" s="24"/>
      <c r="W63" s="24"/>
      <c r="X63" s="24"/>
      <c r="Y63" s="24"/>
    </row>
    <row r="64" spans="5:25">
      <c r="E64" s="6"/>
      <c r="F64" s="7"/>
      <c r="G64" s="6"/>
      <c r="H64" s="10"/>
      <c r="I64" s="10"/>
      <c r="J64" s="118">
        <f t="shared" si="10"/>
        <v>0</v>
      </c>
      <c r="K64" s="119">
        <f t="shared" si="11"/>
        <v>0</v>
      </c>
      <c r="L64" s="119">
        <f t="shared" si="12"/>
        <v>0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8" spans="5:8">
      <c r="E68" s="191" t="s">
        <v>320</v>
      </c>
      <c r="F68" s="216">
        <v>46054</v>
      </c>
      <c r="G68" s="192">
        <v>218</v>
      </c>
      <c r="H68" s="271" t="s">
        <v>321</v>
      </c>
    </row>
    <row r="69" spans="5:8">
      <c r="E69" s="195" t="s">
        <v>422</v>
      </c>
      <c r="F69" s="217"/>
      <c r="G69" s="196">
        <v>151</v>
      </c>
      <c r="H69" s="271" t="s">
        <v>321</v>
      </c>
    </row>
    <row r="70" spans="5:8">
      <c r="E70" s="195" t="s">
        <v>423</v>
      </c>
      <c r="F70" s="217"/>
      <c r="G70" s="196">
        <v>138</v>
      </c>
      <c r="H70" s="271" t="s">
        <v>321</v>
      </c>
    </row>
    <row r="71" spans="5:8">
      <c r="E71" s="191" t="s">
        <v>320</v>
      </c>
      <c r="F71" s="216">
        <v>46053</v>
      </c>
      <c r="G71" s="192">
        <f>G68+G69-G70</f>
        <v>231</v>
      </c>
      <c r="H71" s="271" t="s">
        <v>321</v>
      </c>
    </row>
    <row r="74" spans="5:8">
      <c r="E74" s="356" t="s">
        <v>324</v>
      </c>
      <c r="F74" s="219"/>
      <c r="G74" s="202"/>
      <c r="H74" s="219" t="s">
        <v>325</v>
      </c>
    </row>
    <row r="75" spans="5:8">
      <c r="E75" s="357" t="s">
        <v>424</v>
      </c>
      <c r="F75" s="286"/>
      <c r="G75" s="287"/>
      <c r="H75" s="359">
        <v>6.8351132000000003</v>
      </c>
    </row>
    <row r="76" spans="5:8">
      <c r="E76" s="357" t="s">
        <v>279</v>
      </c>
      <c r="F76" s="286"/>
      <c r="G76" s="287"/>
      <c r="H76" s="359">
        <v>314.51441310000001</v>
      </c>
    </row>
    <row r="77" spans="5:8">
      <c r="E77" s="357" t="s">
        <v>282</v>
      </c>
      <c r="F77" s="286"/>
      <c r="G77" s="287"/>
      <c r="H77" s="359">
        <v>23.319845999999998</v>
      </c>
    </row>
    <row r="78" spans="5:8">
      <c r="E78" s="357" t="s">
        <v>247</v>
      </c>
      <c r="F78" s="286"/>
      <c r="G78" s="287"/>
      <c r="H78" s="359">
        <v>97.101120000000009</v>
      </c>
    </row>
    <row r="79" spans="5:8">
      <c r="E79" s="357" t="s">
        <v>284</v>
      </c>
      <c r="F79" s="286"/>
      <c r="G79" s="287"/>
      <c r="H79" s="359">
        <v>5.8402439999999993</v>
      </c>
    </row>
    <row r="80" spans="5:8">
      <c r="E80" s="357" t="s">
        <v>420</v>
      </c>
      <c r="F80" s="286"/>
      <c r="G80" s="287"/>
      <c r="H80" s="359">
        <v>494.17683</v>
      </c>
    </row>
    <row r="81" spans="2:8">
      <c r="E81" s="357" t="s">
        <v>248</v>
      </c>
      <c r="F81" s="286"/>
      <c r="G81" s="287"/>
      <c r="H81" s="359">
        <v>11.841944799999998</v>
      </c>
    </row>
    <row r="82" spans="2:8">
      <c r="E82" s="357" t="s">
        <v>272</v>
      </c>
      <c r="F82" s="286"/>
      <c r="G82" s="287"/>
      <c r="H82" s="359">
        <v>29.9741131</v>
      </c>
    </row>
    <row r="83" spans="2:8">
      <c r="E83" s="357" t="s">
        <v>249</v>
      </c>
      <c r="F83" s="286"/>
      <c r="G83" s="287"/>
      <c r="H83" s="359">
        <v>74.323859999999996</v>
      </c>
    </row>
    <row r="84" spans="2:8">
      <c r="E84" s="357" t="s">
        <v>301</v>
      </c>
      <c r="F84" s="286"/>
      <c r="G84" s="287"/>
      <c r="H84" s="359">
        <v>69.795450000000002</v>
      </c>
    </row>
    <row r="85" spans="2:8">
      <c r="E85" s="357" t="s">
        <v>261</v>
      </c>
      <c r="F85" s="286"/>
      <c r="G85" s="287"/>
      <c r="H85" s="359">
        <v>21.212365399999996</v>
      </c>
    </row>
    <row r="86" spans="2:8">
      <c r="E86" s="357" t="s">
        <v>372</v>
      </c>
      <c r="F86" s="286"/>
      <c r="G86" s="287"/>
      <c r="H86" s="359">
        <v>1.2800559999999999</v>
      </c>
    </row>
    <row r="87" spans="2:8">
      <c r="E87" s="357" t="s">
        <v>250</v>
      </c>
      <c r="F87" s="286"/>
      <c r="G87" s="287"/>
      <c r="H87" s="359">
        <v>128.29114060000001</v>
      </c>
    </row>
    <row r="88" spans="2:8">
      <c r="E88" s="357" t="s">
        <v>256</v>
      </c>
      <c r="F88" s="286"/>
      <c r="G88" s="287"/>
      <c r="H88" s="359">
        <v>19.61411</v>
      </c>
    </row>
    <row r="89" spans="2:8">
      <c r="E89" s="357" t="s">
        <v>293</v>
      </c>
      <c r="F89" s="286"/>
      <c r="G89" s="287"/>
      <c r="H89" s="359">
        <v>84.2161294</v>
      </c>
    </row>
    <row r="90" spans="2:8">
      <c r="E90" s="357" t="s">
        <v>425</v>
      </c>
      <c r="F90" s="286"/>
      <c r="G90" s="287"/>
      <c r="H90" s="359">
        <v>0.48942899999999995</v>
      </c>
    </row>
    <row r="91" spans="2:8">
      <c r="E91" s="357" t="s">
        <v>251</v>
      </c>
      <c r="F91" s="286"/>
      <c r="G91" s="287"/>
      <c r="H91" s="359">
        <v>28.514479999999995</v>
      </c>
    </row>
    <row r="92" spans="2:8">
      <c r="E92" s="357" t="s">
        <v>252</v>
      </c>
      <c r="F92" s="286"/>
      <c r="G92" s="287"/>
      <c r="H92" s="359">
        <v>10.4689897</v>
      </c>
    </row>
    <row r="93" spans="2:8">
      <c r="E93" s="357" t="s">
        <v>245</v>
      </c>
      <c r="F93" s="286"/>
      <c r="G93" s="287"/>
      <c r="H93" s="359">
        <v>13.62978</v>
      </c>
    </row>
    <row r="94" spans="2:8">
      <c r="E94" s="290" t="s">
        <v>370</v>
      </c>
      <c r="F94" s="286"/>
      <c r="G94" s="287"/>
      <c r="H94" s="359">
        <v>19.366345200000001</v>
      </c>
    </row>
    <row r="95" spans="2:8">
      <c r="E95" s="263" t="s">
        <v>344</v>
      </c>
      <c r="F95" s="286"/>
      <c r="G95" s="287"/>
      <c r="H95" s="359">
        <f>SUM(H75:H94)</f>
        <v>1454.8057595000002</v>
      </c>
    </row>
    <row r="96" spans="2:8">
      <c r="B96" s="205"/>
      <c r="C96" s="205"/>
      <c r="D96" s="205"/>
      <c r="E96" s="205"/>
      <c r="F96" s="237"/>
      <c r="G96" s="205"/>
    </row>
    <row r="97" spans="2:15" ht="30">
      <c r="B97" s="205"/>
      <c r="C97" s="205"/>
      <c r="D97" s="205"/>
      <c r="E97" s="205"/>
      <c r="F97" s="237"/>
      <c r="G97" s="205"/>
      <c r="H97" s="97" t="s">
        <v>426</v>
      </c>
      <c r="L97" s="292"/>
      <c r="M97" s="260"/>
      <c r="N97" s="261"/>
      <c r="O97" s="261"/>
    </row>
    <row r="98" spans="2:15">
      <c r="B98" s="205"/>
      <c r="C98" s="205"/>
      <c r="D98" s="205"/>
      <c r="E98" s="205" t="s">
        <v>330</v>
      </c>
      <c r="F98" s="221"/>
      <c r="G98" s="205"/>
      <c r="H98" s="297">
        <f>'W8'!J19</f>
        <v>1266.2799903452769</v>
      </c>
      <c r="I98" s="299"/>
      <c r="L98" s="292"/>
      <c r="M98" s="260"/>
      <c r="N98" s="261"/>
      <c r="O98" s="261"/>
    </row>
    <row r="99" spans="2:15">
      <c r="B99" s="205"/>
      <c r="C99" s="205"/>
      <c r="D99" s="205"/>
      <c r="E99" s="205" t="s">
        <v>331</v>
      </c>
      <c r="F99" s="221"/>
      <c r="G99" s="205"/>
      <c r="H99" s="297">
        <f>H95</f>
        <v>1454.8057595000002</v>
      </c>
      <c r="I99" s="299"/>
      <c r="L99" s="292"/>
      <c r="M99" s="260"/>
      <c r="N99" s="261"/>
      <c r="O99" s="261"/>
    </row>
    <row r="100" spans="2:15">
      <c r="B100" s="205"/>
      <c r="C100" s="205"/>
      <c r="D100" s="205"/>
      <c r="E100" s="205" t="s">
        <v>332</v>
      </c>
      <c r="F100" s="221"/>
      <c r="G100" s="205"/>
      <c r="H100" s="297">
        <f>J12-'W8'!J12</f>
        <v>416.75265420000005</v>
      </c>
      <c r="I100" s="299"/>
      <c r="L100" s="292"/>
      <c r="M100" s="260"/>
      <c r="N100" s="261"/>
      <c r="O100" s="261"/>
    </row>
    <row r="101" spans="2:15">
      <c r="B101" s="205"/>
      <c r="C101" s="205"/>
      <c r="D101" s="205"/>
      <c r="E101" s="205" t="s">
        <v>333</v>
      </c>
      <c r="F101" s="221"/>
      <c r="G101" s="205"/>
      <c r="H101" s="297">
        <f>H98+H99-H100</f>
        <v>2304.3330956452769</v>
      </c>
      <c r="I101" s="299"/>
      <c r="L101" s="292"/>
      <c r="M101" s="260"/>
      <c r="N101" s="261"/>
      <c r="O101" s="261"/>
    </row>
    <row r="102" spans="2:15">
      <c r="B102" s="205"/>
      <c r="C102" s="205"/>
      <c r="D102" s="205"/>
      <c r="E102" s="205" t="s">
        <v>334</v>
      </c>
      <c r="F102" s="221"/>
      <c r="G102" s="205"/>
      <c r="H102" s="297">
        <f>J19</f>
        <v>2302.9323880000002</v>
      </c>
      <c r="I102" s="300"/>
      <c r="L102" s="292"/>
      <c r="M102" s="260"/>
      <c r="N102" s="261"/>
      <c r="O102" s="261"/>
    </row>
    <row r="103" spans="2:15">
      <c r="B103" s="205"/>
      <c r="C103" s="205"/>
      <c r="D103" s="205"/>
      <c r="E103" s="205" t="s">
        <v>335</v>
      </c>
      <c r="F103" s="221"/>
      <c r="G103" s="205"/>
      <c r="H103" s="298">
        <f>H101-H102</f>
        <v>1.4007076452767251</v>
      </c>
      <c r="I103" s="235" t="s">
        <v>336</v>
      </c>
      <c r="J103" s="235"/>
      <c r="L103" s="292"/>
      <c r="M103" s="260"/>
      <c r="N103" s="261"/>
      <c r="O103" s="261"/>
    </row>
    <row r="104" spans="2:15">
      <c r="B104" s="205"/>
      <c r="C104" s="205"/>
      <c r="D104" s="205"/>
      <c r="E104" s="205"/>
      <c r="F104" s="237"/>
      <c r="G104" s="205"/>
      <c r="L104" s="292"/>
      <c r="M104" s="260"/>
      <c r="N104" s="261"/>
      <c r="O104" s="261"/>
    </row>
    <row r="105" spans="2:15">
      <c r="B105" s="205"/>
      <c r="C105" s="205"/>
      <c r="D105" s="205"/>
      <c r="E105" s="205"/>
      <c r="F105" s="237"/>
      <c r="G105" s="205"/>
      <c r="H105" s="300"/>
      <c r="L105" s="292"/>
      <c r="M105" s="260"/>
      <c r="N105" s="261"/>
      <c r="O105" s="261"/>
    </row>
    <row r="106" spans="2:15">
      <c r="B106" s="205"/>
      <c r="C106" s="205"/>
      <c r="D106" s="205"/>
      <c r="E106" s="205"/>
      <c r="F106" s="237"/>
      <c r="G106" s="205"/>
      <c r="H106" s="299"/>
      <c r="L106" s="292"/>
      <c r="M106" s="260"/>
      <c r="N106" s="261"/>
      <c r="O106" s="261"/>
    </row>
    <row r="107" spans="2:15">
      <c r="B107" s="205"/>
      <c r="C107" s="205"/>
      <c r="D107" s="205"/>
      <c r="E107" s="205"/>
      <c r="F107" s="237"/>
      <c r="G107" s="205"/>
      <c r="L107" s="292"/>
      <c r="M107" s="260"/>
      <c r="N107" s="261"/>
      <c r="O107" s="261"/>
    </row>
    <row r="108" spans="2:15">
      <c r="B108" s="205"/>
      <c r="C108" s="205"/>
      <c r="D108" s="205"/>
      <c r="E108" s="205"/>
      <c r="F108" s="237"/>
      <c r="G108" s="205"/>
      <c r="L108" s="292"/>
      <c r="M108" s="260"/>
      <c r="N108" s="261"/>
      <c r="O108" s="261"/>
    </row>
    <row r="109" spans="2:15">
      <c r="E109" s="205"/>
      <c r="F109" s="237"/>
      <c r="G109" s="205"/>
      <c r="J109" s="291"/>
      <c r="K109" s="292"/>
      <c r="L109" s="292"/>
    </row>
    <row r="110" spans="2:15">
      <c r="E110" s="205"/>
      <c r="F110" s="237"/>
      <c r="G110" s="205"/>
      <c r="J110" s="291"/>
      <c r="K110" s="292"/>
      <c r="L110" s="292"/>
    </row>
    <row r="111" spans="2:15">
      <c r="E111" s="205"/>
      <c r="F111" s="237"/>
      <c r="G111" s="205"/>
      <c r="J111" s="291"/>
      <c r="K111" s="292"/>
      <c r="L111" s="292"/>
    </row>
    <row r="112" spans="2:15">
      <c r="E112" s="205"/>
      <c r="F112" s="237"/>
      <c r="G112" s="205"/>
      <c r="J112" s="291"/>
      <c r="K112" s="292"/>
      <c r="L112" s="292"/>
    </row>
    <row r="113" spans="5:12">
      <c r="E113" s="205"/>
      <c r="F113" s="237"/>
      <c r="G113" s="205"/>
      <c r="J113" s="291"/>
      <c r="K113" s="292"/>
      <c r="L113" s="292"/>
    </row>
    <row r="114" spans="5:12">
      <c r="E114" s="205"/>
      <c r="F114" s="237"/>
      <c r="G114" s="205"/>
      <c r="J114" s="291"/>
      <c r="K114" s="292"/>
      <c r="L114" s="292"/>
    </row>
    <row r="115" spans="5:12">
      <c r="E115" s="205"/>
      <c r="F115" s="237"/>
      <c r="G115" s="205"/>
      <c r="J115" s="291"/>
      <c r="K115" s="292"/>
      <c r="L115" s="292"/>
    </row>
    <row r="116" spans="5:12">
      <c r="H116" s="291"/>
      <c r="I116" s="291"/>
      <c r="J116" s="291"/>
      <c r="K116" s="292"/>
      <c r="L116" s="292"/>
    </row>
    <row r="117" spans="5:12">
      <c r="H117" s="291"/>
      <c r="I117" s="291"/>
      <c r="J117" s="291"/>
      <c r="K117" s="292"/>
      <c r="L117" s="292"/>
    </row>
    <row r="118" spans="5:12">
      <c r="H118" s="291"/>
      <c r="I118" s="291"/>
      <c r="J118" s="291"/>
      <c r="K118" s="292"/>
      <c r="L118" s="292"/>
    </row>
    <row r="119" spans="5:12">
      <c r="H119" s="291"/>
      <c r="I119" s="291"/>
      <c r="J119" s="291"/>
      <c r="K119" s="292"/>
      <c r="L119" s="292"/>
    </row>
    <row r="120" spans="5:12">
      <c r="H120" s="291"/>
      <c r="I120" s="291"/>
      <c r="J120" s="291"/>
      <c r="K120" s="292"/>
      <c r="L120" s="292"/>
    </row>
  </sheetData>
  <sheetProtection formatCells="0" formatColumns="0" formatRows="0" insertRows="0" deleteRows="0" autoFilter="0"/>
  <autoFilter ref="E23:AL217" xr:uid="{00000000-0009-0000-0000-00000B000000}"/>
  <mergeCells count="1">
    <mergeCell ref="I4:J4"/>
  </mergeCells>
  <phoneticPr fontId="40"/>
  <dataValidations count="2">
    <dataValidation type="list" allowBlank="1" showInputMessage="1" showErrorMessage="1" sqref="G2" xr:uid="{00000000-0002-0000-0B00-000000000000}">
      <formula1>SOCIETE</formula1>
    </dataValidation>
    <dataValidation type="list" allowBlank="1" showInputMessage="1" showErrorMessage="1" sqref="F24:F64" xr:uid="{64772ADC-5D8D-4082-B283-A0B810D4C3DB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98:H102 H103:H104" unlocked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>
    <tabColor theme="3" tint="0.59999389629810485"/>
    <pageSetUpPr fitToPage="1"/>
  </sheetPr>
  <dimension ref="D1:AL105"/>
  <sheetViews>
    <sheetView showGridLines="0" topLeftCell="E52" zoomScale="89" zoomScaleNormal="89" workbookViewId="0">
      <selection activeCell="G66" sqref="G66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36.28515625" style="54" bestFit="1" customWidth="1"/>
    <col min="9" max="9" width="22.140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62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March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March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W10</v>
      </c>
      <c r="I9" s="61"/>
      <c r="J9" s="161" t="str">
        <f>+"from "&amp;G6&amp;" 1 until end of "&amp;G4</f>
        <v>from March 1 until end of W10</v>
      </c>
      <c r="K9" s="79"/>
      <c r="L9" s="167" t="str">
        <f>+G6</f>
        <v>March</v>
      </c>
      <c r="M9" s="80"/>
      <c r="N9" s="80"/>
      <c r="O9" s="172" t="str">
        <f>+G4</f>
        <v>W10</v>
      </c>
      <c r="P9" s="173" t="str">
        <f>+VLOOKUP(G4, parameters!$G$9:$I$61,3,0)</f>
        <v>W9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600+320+J10</f>
        <v>948</v>
      </c>
      <c r="I10" s="61"/>
      <c r="J10" s="159">
        <v>28</v>
      </c>
      <c r="L10" s="159">
        <f>J10+P17</f>
        <v>598.64262706803197</v>
      </c>
      <c r="N10" s="55"/>
      <c r="O10" s="170">
        <f>+H10+K17</f>
        <v>3282.3469614073665</v>
      </c>
      <c r="P10" s="171" cm="1">
        <f t="array" aca="1" ref="P10" ca="1">INDIRECT(ADDRESS(10,15,,,VLOOKUP($G$4,parameters!$G:$I,3,0)))</f>
        <v>3461.1422380000004</v>
      </c>
      <c r="Q10" s="183">
        <f ca="1">O10-P10</f>
        <v>-178.79527659263385</v>
      </c>
      <c r="R10" s="86"/>
    </row>
    <row r="11" spans="5:38" ht="20.45" customHeight="1">
      <c r="E11" s="87" t="s">
        <v>224</v>
      </c>
      <c r="F11" s="88"/>
      <c r="G11" s="89"/>
      <c r="H11" s="16">
        <f>21+J11</f>
        <v>24</v>
      </c>
      <c r="I11" s="61"/>
      <c r="J11" s="16">
        <v>3</v>
      </c>
      <c r="L11" s="159">
        <f>J11+P18</f>
        <v>4.60979753222</v>
      </c>
      <c r="N11" s="55"/>
      <c r="O11" s="152">
        <f>+H11+K18</f>
        <v>32.3999429578</v>
      </c>
      <c r="P11" s="153" cm="1">
        <f t="array" aca="1" ref="P11" ca="1">INDIRECT(ADDRESS(11,15,,,VLOOKUP($G$4,parameters!$G:$I,3,0)))</f>
        <v>27.790150000000001</v>
      </c>
      <c r="Q11" s="184">
        <f t="shared" ref="Q11:Q12" ca="1" si="0">O11-P11</f>
        <v>4.6097929577999999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972</v>
      </c>
      <c r="I12" s="61"/>
      <c r="J12" s="126">
        <f>SUM(J10:J11)</f>
        <v>31</v>
      </c>
      <c r="K12" s="65"/>
      <c r="L12" s="126">
        <f>SUM(L10:L11)</f>
        <v>603.25242460025197</v>
      </c>
      <c r="M12" s="65"/>
      <c r="N12" s="65"/>
      <c r="O12" s="154">
        <f>SUM(O10:O11)</f>
        <v>3314.7469043651663</v>
      </c>
      <c r="P12" s="155">
        <f ca="1">SUM(P10:P11)</f>
        <v>3488.9323880000002</v>
      </c>
      <c r="Q12" s="156">
        <f t="shared" ca="1" si="0"/>
        <v>-174.18548363483387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+SUMIF($F$24:$F$77,"External",$J$24:$J$77)</f>
        <v>2334.3469614073665</v>
      </c>
      <c r="K17" s="108">
        <f>+SUMIF($F$24:$F$77,"External",$K$24:$K$77)</f>
        <v>2334.3469614073665</v>
      </c>
      <c r="L17" s="109">
        <f>+SUMIF($F$24:$F$77,"External",$L$24:$L$77)</f>
        <v>0</v>
      </c>
      <c r="M17" s="110"/>
      <c r="N17" s="111">
        <f t="shared" ref="N17:Y17" si="1">+SUMIF($F$24:$F$77,"External",N$24:N$77)</f>
        <v>0</v>
      </c>
      <c r="O17" s="111">
        <f t="shared" si="1"/>
        <v>0</v>
      </c>
      <c r="P17" s="111">
        <f t="shared" si="1"/>
        <v>570.64262706803197</v>
      </c>
      <c r="Q17" s="111">
        <f t="shared" si="1"/>
        <v>581.66591052869489</v>
      </c>
      <c r="R17" s="111">
        <f t="shared" si="1"/>
        <v>564.95641679999994</v>
      </c>
      <c r="S17" s="111">
        <f t="shared" si="1"/>
        <v>462.32798151063997</v>
      </c>
      <c r="T17" s="111">
        <f t="shared" si="1"/>
        <v>154.75402550000001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+SUMIF($F$24:$F$77,"External",AA$24:AA$77)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+SUMIF($F$24:$F$77,"Group",$J$24:$J$77)</f>
        <v>8.3999429577999987</v>
      </c>
      <c r="K18" s="113">
        <f>+SUMIF($F$24:$F$77,"Group",$K$24:$K$77)</f>
        <v>8.3999429577999987</v>
      </c>
      <c r="L18" s="114">
        <f>SUMIF($F$24:$F$77,"Group",$L$24:$L$77)</f>
        <v>0</v>
      </c>
      <c r="M18" s="110"/>
      <c r="N18" s="114">
        <f t="shared" ref="N18:Y18" si="3">+SUMIF($F$24:$F$77,"Group",N$24:N$77)</f>
        <v>0</v>
      </c>
      <c r="O18" s="114">
        <f t="shared" si="3"/>
        <v>0</v>
      </c>
      <c r="P18" s="114">
        <f t="shared" si="3"/>
        <v>1.6097975322199998</v>
      </c>
      <c r="Q18" s="114">
        <f t="shared" si="3"/>
        <v>6.7901454255799996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+SUMIF($F$24:$F$77,"Group",AA$24:AA$77)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2342.7469043651663</v>
      </c>
      <c r="K19" s="115">
        <f>SUM(K17:K18)</f>
        <v>2342.7469043651663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572.25242460025197</v>
      </c>
      <c r="Q19" s="116">
        <f t="shared" si="5"/>
        <v>588.45605595427492</v>
      </c>
      <c r="R19" s="116">
        <f t="shared" si="5"/>
        <v>564.95641679999994</v>
      </c>
      <c r="S19" s="116">
        <f t="shared" si="5"/>
        <v>462.32798151063997</v>
      </c>
      <c r="T19" s="116">
        <f t="shared" si="5"/>
        <v>154.75402550000001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IF(SUM(J24:J77)=J19,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230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234</v>
      </c>
      <c r="F24" s="7" t="s">
        <v>19</v>
      </c>
      <c r="G24" s="6" t="s">
        <v>338</v>
      </c>
      <c r="H24" s="187" t="s">
        <v>383</v>
      </c>
      <c r="I24" s="187" t="s">
        <v>243</v>
      </c>
      <c r="J24" s="118">
        <f t="shared" ref="J24" si="7">+K24+L24</f>
        <v>1.5283800000000001</v>
      </c>
      <c r="K24" s="119">
        <f t="shared" ref="K24" si="8">SUM(N24:Y24)</f>
        <v>1.5283800000000001</v>
      </c>
      <c r="L24" s="119">
        <f t="shared" ref="L24" si="9">SUM(AA24:AL24)</f>
        <v>0</v>
      </c>
      <c r="M24" s="23"/>
      <c r="N24" s="24"/>
      <c r="O24" s="24"/>
      <c r="P24" s="24">
        <v>1.5283800000000001</v>
      </c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234</v>
      </c>
      <c r="F25" s="7" t="s">
        <v>19</v>
      </c>
      <c r="G25" s="6" t="s">
        <v>235</v>
      </c>
      <c r="H25" s="188" t="s">
        <v>384</v>
      </c>
      <c r="I25" s="188" t="s">
        <v>236</v>
      </c>
      <c r="J25" s="118">
        <f t="shared" ref="J25:J77" si="10">+K25+L25</f>
        <v>7.2617511016949194</v>
      </c>
      <c r="K25" s="119">
        <f t="shared" ref="K25:K77" si="11">SUM(N25:Y25)</f>
        <v>7.2617511016949194</v>
      </c>
      <c r="L25" s="119">
        <f t="shared" ref="L25:L77" si="12">SUM(AA25:AL25)</f>
        <v>0</v>
      </c>
      <c r="M25" s="23"/>
      <c r="N25" s="24"/>
      <c r="O25" s="24"/>
      <c r="P25" s="24"/>
      <c r="Q25" s="24">
        <v>7.2617511016949194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234</v>
      </c>
      <c r="F26" s="7" t="s">
        <v>19</v>
      </c>
      <c r="G26" s="6" t="s">
        <v>237</v>
      </c>
      <c r="H26" s="188" t="s">
        <v>385</v>
      </c>
      <c r="I26" s="188" t="s">
        <v>236</v>
      </c>
      <c r="J26" s="118">
        <f t="shared" si="10"/>
        <v>19.087499999999999</v>
      </c>
      <c r="K26" s="119">
        <f t="shared" si="11"/>
        <v>19.087499999999999</v>
      </c>
      <c r="L26" s="119">
        <f t="shared" si="12"/>
        <v>0</v>
      </c>
      <c r="M26" s="23"/>
      <c r="N26" s="24"/>
      <c r="O26" s="24"/>
      <c r="P26" s="24">
        <v>19.087499999999999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238</v>
      </c>
      <c r="F27" s="7" t="s">
        <v>19</v>
      </c>
      <c r="G27" s="6" t="s">
        <v>239</v>
      </c>
      <c r="H27" s="188" t="s">
        <v>386</v>
      </c>
      <c r="I27" s="188" t="s">
        <v>236</v>
      </c>
      <c r="J27" s="118">
        <f t="shared" si="10"/>
        <v>7.1369105999999993</v>
      </c>
      <c r="K27" s="119">
        <f t="shared" si="11"/>
        <v>7.1369105999999993</v>
      </c>
      <c r="L27" s="119">
        <f t="shared" si="12"/>
        <v>0</v>
      </c>
      <c r="M27" s="23"/>
      <c r="N27" s="24"/>
      <c r="O27" s="24"/>
      <c r="P27" s="24">
        <v>7.1369105999999993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240</v>
      </c>
      <c r="F28" s="7" t="s">
        <v>19</v>
      </c>
      <c r="G28" s="6" t="s">
        <v>237</v>
      </c>
      <c r="H28" s="188" t="s">
        <v>385</v>
      </c>
      <c r="I28" s="188" t="s">
        <v>236</v>
      </c>
      <c r="J28" s="118">
        <f t="shared" si="10"/>
        <v>8.0682141107399996</v>
      </c>
      <c r="K28" s="119">
        <f t="shared" si="11"/>
        <v>8.0682141107399996</v>
      </c>
      <c r="L28" s="119">
        <f t="shared" si="12"/>
        <v>0</v>
      </c>
      <c r="M28" s="23"/>
      <c r="N28" s="24"/>
      <c r="O28" s="24"/>
      <c r="P28" s="24">
        <v>8.0682141107399996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241</v>
      </c>
      <c r="F29" s="7" t="s">
        <v>19</v>
      </c>
      <c r="G29" s="6" t="s">
        <v>279</v>
      </c>
      <c r="H29" s="189" t="s">
        <v>387</v>
      </c>
      <c r="I29" s="189" t="s">
        <v>243</v>
      </c>
      <c r="J29" s="118">
        <f t="shared" si="10"/>
        <v>314.44095510000005</v>
      </c>
      <c r="K29" s="119">
        <f t="shared" si="11"/>
        <v>314.44095510000005</v>
      </c>
      <c r="L29" s="119">
        <f t="shared" si="12"/>
        <v>0</v>
      </c>
      <c r="M29" s="23"/>
      <c r="N29" s="24"/>
      <c r="O29" s="24"/>
      <c r="P29" s="24"/>
      <c r="Q29" s="24">
        <v>38.805263500000002</v>
      </c>
      <c r="R29" s="24"/>
      <c r="S29" s="24">
        <v>275.63569160000003</v>
      </c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7" t="s">
        <v>19</v>
      </c>
      <c r="G30" s="6" t="s">
        <v>282</v>
      </c>
      <c r="H30" s="190" t="s">
        <v>388</v>
      </c>
      <c r="I30" s="190" t="s">
        <v>243</v>
      </c>
      <c r="J30" s="118">
        <f t="shared" si="10"/>
        <v>22.776105310639998</v>
      </c>
      <c r="K30" s="119">
        <f t="shared" si="11"/>
        <v>22.776105310639998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22.776105310639998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341</v>
      </c>
      <c r="F31" s="7" t="s">
        <v>19</v>
      </c>
      <c r="G31" s="6" t="s">
        <v>340</v>
      </c>
      <c r="H31" s="190" t="s">
        <v>389</v>
      </c>
      <c r="I31" s="190" t="s">
        <v>243</v>
      </c>
      <c r="J31" s="118">
        <f t="shared" si="10"/>
        <v>1.3769299999999931E-2</v>
      </c>
      <c r="K31" s="119">
        <f t="shared" si="11"/>
        <v>1.3769299999999931E-2</v>
      </c>
      <c r="L31" s="119">
        <f t="shared" si="12"/>
        <v>0</v>
      </c>
      <c r="M31" s="23"/>
      <c r="N31" s="24"/>
      <c r="O31" s="24"/>
      <c r="P31" s="24">
        <v>1.3769299999999931E-2</v>
      </c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284</v>
      </c>
      <c r="F32" s="7" t="s">
        <v>19</v>
      </c>
      <c r="G32" s="6" t="s">
        <v>284</v>
      </c>
      <c r="H32" s="190" t="s">
        <v>383</v>
      </c>
      <c r="I32" s="190" t="s">
        <v>243</v>
      </c>
      <c r="J32" s="118">
        <f t="shared" si="10"/>
        <v>4.06797433876</v>
      </c>
      <c r="K32" s="119">
        <f t="shared" si="11"/>
        <v>4.06797433876</v>
      </c>
      <c r="L32" s="119">
        <f t="shared" si="12"/>
        <v>0</v>
      </c>
      <c r="M32" s="15"/>
      <c r="N32" s="24"/>
      <c r="O32" s="24"/>
      <c r="P32" s="24">
        <v>4.06797433876</v>
      </c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284</v>
      </c>
      <c r="F33" s="7" t="s">
        <v>19</v>
      </c>
      <c r="G33" s="6" t="s">
        <v>390</v>
      </c>
      <c r="H33" s="190" t="s">
        <v>391</v>
      </c>
      <c r="I33" s="190" t="s">
        <v>243</v>
      </c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 t="s">
        <v>413</v>
      </c>
      <c r="F34" s="7" t="s">
        <v>17</v>
      </c>
      <c r="G34" s="6" t="s">
        <v>284</v>
      </c>
      <c r="H34" s="190" t="s">
        <v>383</v>
      </c>
      <c r="I34" s="190" t="s">
        <v>243</v>
      </c>
      <c r="J34" s="118">
        <f t="shared" si="10"/>
        <v>6.7901454255799996</v>
      </c>
      <c r="K34" s="119">
        <f t="shared" si="11"/>
        <v>6.7901454255799996</v>
      </c>
      <c r="L34" s="119">
        <f t="shared" si="12"/>
        <v>0</v>
      </c>
      <c r="M34" s="15"/>
      <c r="N34" s="24"/>
      <c r="O34" s="24"/>
      <c r="P34" s="24"/>
      <c r="Q34" s="24">
        <v>6.7901454255799996</v>
      </c>
      <c r="R34" s="24"/>
      <c r="S34" s="24"/>
      <c r="T34" s="24"/>
      <c r="U34" s="24"/>
      <c r="V34" s="24"/>
      <c r="W34" s="24"/>
      <c r="X34" s="24"/>
    </row>
    <row r="35" spans="5:24">
      <c r="E35" s="6" t="s">
        <v>413</v>
      </c>
      <c r="F35" s="7" t="s">
        <v>17</v>
      </c>
      <c r="G35" s="6" t="s">
        <v>390</v>
      </c>
      <c r="H35" s="190" t="s">
        <v>391</v>
      </c>
      <c r="I35" s="190" t="s">
        <v>243</v>
      </c>
      <c r="J35" s="118">
        <f t="shared" si="10"/>
        <v>-5.3305104180000201E-2</v>
      </c>
      <c r="K35" s="119">
        <f t="shared" si="11"/>
        <v>-5.3305104180000201E-2</v>
      </c>
      <c r="L35" s="119">
        <f t="shared" si="12"/>
        <v>0</v>
      </c>
      <c r="M35" s="15"/>
      <c r="N35" s="24"/>
      <c r="O35" s="24"/>
      <c r="P35" s="24">
        <v>-5.3305104180000201E-2</v>
      </c>
      <c r="Q35" s="24"/>
      <c r="R35" s="24"/>
      <c r="S35" s="24"/>
      <c r="T35" s="24"/>
      <c r="U35" s="24"/>
      <c r="V35" s="24"/>
      <c r="W35" s="24"/>
      <c r="X35" s="24"/>
    </row>
    <row r="36" spans="5:24">
      <c r="E36" s="6" t="s">
        <v>427</v>
      </c>
      <c r="F36" s="7" t="s">
        <v>17</v>
      </c>
      <c r="G36" s="6" t="s">
        <v>425</v>
      </c>
      <c r="H36" s="190" t="s">
        <v>428</v>
      </c>
      <c r="I36" s="190" t="s">
        <v>243</v>
      </c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 t="s">
        <v>342</v>
      </c>
      <c r="F37" s="7" t="s">
        <v>17</v>
      </c>
      <c r="G37" s="6" t="s">
        <v>357</v>
      </c>
      <c r="H37" s="190" t="s">
        <v>392</v>
      </c>
      <c r="I37" s="190" t="s">
        <v>236</v>
      </c>
      <c r="J37" s="118">
        <f t="shared" si="10"/>
        <v>1.6631026363999999</v>
      </c>
      <c r="K37" s="119">
        <f t="shared" si="11"/>
        <v>1.6631026363999999</v>
      </c>
      <c r="L37" s="119">
        <f t="shared" si="12"/>
        <v>0</v>
      </c>
      <c r="M37" s="15"/>
      <c r="N37" s="24"/>
      <c r="O37" s="24"/>
      <c r="P37" s="24">
        <v>1.6631026363999999</v>
      </c>
      <c r="Q37" s="24"/>
      <c r="R37" s="24"/>
      <c r="S37" s="24"/>
      <c r="T37" s="24"/>
      <c r="U37" s="24"/>
      <c r="V37" s="24"/>
      <c r="W37" s="24"/>
      <c r="X37" s="24"/>
    </row>
    <row r="38" spans="5:24">
      <c r="E38" s="6" t="s">
        <v>246</v>
      </c>
      <c r="F38" s="7" t="s">
        <v>19</v>
      </c>
      <c r="G38" s="6" t="s">
        <v>245</v>
      </c>
      <c r="H38" s="190" t="s">
        <v>394</v>
      </c>
      <c r="I38" s="190" t="s">
        <v>236</v>
      </c>
      <c r="J38" s="118">
        <f t="shared" si="10"/>
        <v>39.364555600000003</v>
      </c>
      <c r="K38" s="119">
        <f t="shared" si="11"/>
        <v>39.364555600000003</v>
      </c>
      <c r="L38" s="119">
        <f t="shared" si="12"/>
        <v>0</v>
      </c>
      <c r="M38" s="15"/>
      <c r="N38" s="24"/>
      <c r="O38" s="24"/>
      <c r="P38" s="24">
        <v>1</v>
      </c>
      <c r="Q38" s="24"/>
      <c r="R38" s="24">
        <v>13.62978</v>
      </c>
      <c r="S38" s="24">
        <v>23.734775599999999</v>
      </c>
      <c r="T38" s="24">
        <v>1</v>
      </c>
      <c r="U38" s="24"/>
      <c r="V38" s="24"/>
      <c r="W38" s="24"/>
      <c r="X38" s="24"/>
    </row>
    <row r="39" spans="5:24">
      <c r="E39" s="6" t="s">
        <v>246</v>
      </c>
      <c r="F39" s="7" t="s">
        <v>19</v>
      </c>
      <c r="G39" s="6" t="s">
        <v>247</v>
      </c>
      <c r="H39" s="190" t="s">
        <v>395</v>
      </c>
      <c r="I39" s="190" t="s">
        <v>236</v>
      </c>
      <c r="J39" s="118">
        <f t="shared" si="10"/>
        <v>126.31473540000002</v>
      </c>
      <c r="K39" s="119">
        <f t="shared" si="11"/>
        <v>126.31473540000002</v>
      </c>
      <c r="L39" s="119">
        <f t="shared" si="12"/>
        <v>0</v>
      </c>
      <c r="M39" s="15"/>
      <c r="N39" s="24"/>
      <c r="O39" s="24"/>
      <c r="P39" s="24">
        <v>52.143362700000004</v>
      </c>
      <c r="Q39" s="24"/>
      <c r="R39" s="24">
        <v>34.13494</v>
      </c>
      <c r="S39" s="24">
        <v>28.471440000000001</v>
      </c>
      <c r="T39" s="24">
        <v>11.564992699999999</v>
      </c>
      <c r="U39" s="24"/>
      <c r="V39" s="24"/>
      <c r="W39" s="24"/>
      <c r="X39" s="24"/>
    </row>
    <row r="40" spans="5:24">
      <c r="E40" s="6" t="s">
        <v>246</v>
      </c>
      <c r="F40" s="7" t="s">
        <v>19</v>
      </c>
      <c r="G40" s="6" t="s">
        <v>248</v>
      </c>
      <c r="H40" s="190" t="s">
        <v>406</v>
      </c>
      <c r="I40" s="190" t="s">
        <v>236</v>
      </c>
      <c r="J40" s="118">
        <f t="shared" si="10"/>
        <v>14.0796189</v>
      </c>
      <c r="K40" s="119">
        <f t="shared" si="11"/>
        <v>14.0796189</v>
      </c>
      <c r="L40" s="119">
        <f t="shared" si="12"/>
        <v>0</v>
      </c>
      <c r="M40" s="15"/>
      <c r="N40" s="24"/>
      <c r="O40" s="24"/>
      <c r="P40" s="24">
        <v>8.9332506000000009</v>
      </c>
      <c r="Q40" s="24">
        <v>2.9518384999999996</v>
      </c>
      <c r="R40" s="24">
        <v>2.1945298000000002</v>
      </c>
      <c r="S40" s="24"/>
      <c r="T40" s="24"/>
      <c r="U40" s="24"/>
      <c r="V40" s="24"/>
      <c r="W40" s="24"/>
      <c r="X40" s="24"/>
    </row>
    <row r="41" spans="5:24">
      <c r="E41" s="6" t="s">
        <v>246</v>
      </c>
      <c r="F41" s="7" t="s">
        <v>19</v>
      </c>
      <c r="G41" s="6" t="s">
        <v>249</v>
      </c>
      <c r="H41" s="190" t="s">
        <v>408</v>
      </c>
      <c r="I41" s="190" t="s">
        <v>236</v>
      </c>
      <c r="J41" s="118">
        <f t="shared" si="10"/>
        <v>106.88296050000001</v>
      </c>
      <c r="K41" s="119">
        <f t="shared" si="11"/>
        <v>106.88296050000001</v>
      </c>
      <c r="L41" s="119">
        <f t="shared" si="12"/>
        <v>0</v>
      </c>
      <c r="M41" s="15"/>
      <c r="N41" s="24"/>
      <c r="O41" s="24"/>
      <c r="P41" s="24">
        <v>56.049187800000006</v>
      </c>
      <c r="Q41" s="24"/>
      <c r="R41" s="24">
        <v>11.78504</v>
      </c>
      <c r="S41" s="24">
        <v>8.2418600000000009</v>
      </c>
      <c r="T41" s="24">
        <v>30.8068727</v>
      </c>
      <c r="U41" s="24"/>
      <c r="V41" s="24"/>
      <c r="W41" s="24"/>
      <c r="X41" s="24"/>
    </row>
    <row r="42" spans="5:24">
      <c r="E42" s="6" t="s">
        <v>246</v>
      </c>
      <c r="F42" s="7" t="s">
        <v>19</v>
      </c>
      <c r="G42" s="6" t="s">
        <v>250</v>
      </c>
      <c r="H42" s="190" t="s">
        <v>409</v>
      </c>
      <c r="I42" s="190" t="s">
        <v>236</v>
      </c>
      <c r="J42" s="118">
        <f t="shared" si="10"/>
        <v>151.32968149999999</v>
      </c>
      <c r="K42" s="119">
        <f t="shared" si="11"/>
        <v>151.32968149999999</v>
      </c>
      <c r="L42" s="119">
        <f t="shared" si="12"/>
        <v>0</v>
      </c>
      <c r="M42" s="15"/>
      <c r="N42" s="24"/>
      <c r="O42" s="24"/>
      <c r="P42" s="24">
        <v>33.404071199999997</v>
      </c>
      <c r="Q42" s="24"/>
      <c r="R42" s="24">
        <v>9.0352969999999999</v>
      </c>
      <c r="S42" s="24">
        <v>79.699619999999996</v>
      </c>
      <c r="T42" s="24">
        <v>29.1906933</v>
      </c>
      <c r="U42" s="24"/>
      <c r="V42" s="24"/>
      <c r="W42" s="24"/>
      <c r="X42" s="24"/>
    </row>
    <row r="43" spans="5:24">
      <c r="E43" s="6" t="s">
        <v>246</v>
      </c>
      <c r="F43" s="7" t="s">
        <v>19</v>
      </c>
      <c r="G43" s="6" t="s">
        <v>293</v>
      </c>
      <c r="H43" s="190" t="s">
        <v>410</v>
      </c>
      <c r="I43" s="190" t="s">
        <v>236</v>
      </c>
      <c r="J43" s="118">
        <f t="shared" si="10"/>
        <v>90.961297999999999</v>
      </c>
      <c r="K43" s="119">
        <f t="shared" si="11"/>
        <v>90.961297999999999</v>
      </c>
      <c r="L43" s="119">
        <f t="shared" si="12"/>
        <v>0</v>
      </c>
      <c r="M43" s="15"/>
      <c r="N43" s="24"/>
      <c r="O43" s="24"/>
      <c r="P43" s="24">
        <v>5.1083897999999994</v>
      </c>
      <c r="Q43" s="24"/>
      <c r="R43" s="24"/>
      <c r="S43" s="24">
        <v>5.9469390000000004</v>
      </c>
      <c r="T43" s="24">
        <v>79.905969200000001</v>
      </c>
      <c r="U43" s="24"/>
      <c r="V43" s="24"/>
      <c r="W43" s="24"/>
      <c r="X43" s="24"/>
    </row>
    <row r="44" spans="5:24">
      <c r="E44" s="6" t="s">
        <v>246</v>
      </c>
      <c r="F44" s="7" t="s">
        <v>19</v>
      </c>
      <c r="G44" s="6" t="s">
        <v>251</v>
      </c>
      <c r="H44" s="190" t="s">
        <v>406</v>
      </c>
      <c r="I44" s="190" t="s">
        <v>236</v>
      </c>
      <c r="J44" s="118">
        <f t="shared" si="10"/>
        <v>43.856667699999996</v>
      </c>
      <c r="K44" s="119">
        <f t="shared" si="11"/>
        <v>43.856667699999996</v>
      </c>
      <c r="L44" s="119">
        <f t="shared" si="12"/>
        <v>0</v>
      </c>
      <c r="M44" s="15"/>
      <c r="N44" s="24"/>
      <c r="O44" s="24"/>
      <c r="P44" s="24">
        <v>24.5280977</v>
      </c>
      <c r="Q44" s="24"/>
      <c r="R44" s="24"/>
      <c r="S44" s="24">
        <v>17.821549999999998</v>
      </c>
      <c r="T44" s="24">
        <v>1.50702</v>
      </c>
      <c r="U44" s="24"/>
      <c r="V44" s="24"/>
      <c r="W44" s="24"/>
      <c r="X44" s="24"/>
    </row>
    <row r="45" spans="5:24">
      <c r="E45" s="6" t="s">
        <v>246</v>
      </c>
      <c r="F45" s="7" t="s">
        <v>19</v>
      </c>
      <c r="G45" s="6" t="s">
        <v>252</v>
      </c>
      <c r="H45" s="190" t="s">
        <v>407</v>
      </c>
      <c r="I45" s="190" t="s">
        <v>236</v>
      </c>
      <c r="J45" s="118">
        <f t="shared" si="10"/>
        <v>36.946640299999999</v>
      </c>
      <c r="K45" s="119">
        <f t="shared" si="11"/>
        <v>36.946640299999999</v>
      </c>
      <c r="L45" s="119">
        <f t="shared" si="12"/>
        <v>0</v>
      </c>
      <c r="M45" s="15"/>
      <c r="N45" s="24"/>
      <c r="O45" s="24"/>
      <c r="P45" s="24">
        <v>26.408162699999998</v>
      </c>
      <c r="Q45" s="24">
        <v>9.76</v>
      </c>
      <c r="R45" s="24"/>
      <c r="S45" s="24"/>
      <c r="T45" s="24">
        <v>0.77847759999999999</v>
      </c>
      <c r="U45" s="24"/>
      <c r="V45" s="24"/>
      <c r="W45" s="24"/>
      <c r="X45" s="24"/>
    </row>
    <row r="46" spans="5:24">
      <c r="E46" s="6" t="s">
        <v>253</v>
      </c>
      <c r="F46" s="7" t="s">
        <v>19</v>
      </c>
      <c r="G46" s="6" t="s">
        <v>254</v>
      </c>
      <c r="H46" s="188" t="s">
        <v>393</v>
      </c>
      <c r="I46" s="188" t="s">
        <v>236</v>
      </c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 t="s">
        <v>414</v>
      </c>
      <c r="F47" s="7" t="s">
        <v>19</v>
      </c>
      <c r="G47" s="6" t="s">
        <v>245</v>
      </c>
      <c r="H47" s="189" t="s">
        <v>394</v>
      </c>
      <c r="I47" s="189" t="s">
        <v>236</v>
      </c>
      <c r="J47" s="118">
        <f t="shared" si="10"/>
        <v>155.09714074945998</v>
      </c>
      <c r="K47" s="119">
        <f t="shared" si="11"/>
        <v>155.09714074945998</v>
      </c>
      <c r="L47" s="119">
        <f t="shared" si="12"/>
        <v>0</v>
      </c>
      <c r="M47" s="15"/>
      <c r="N47" s="24"/>
      <c r="O47" s="24"/>
      <c r="P47" s="24"/>
      <c r="Q47" s="24">
        <v>155.09714074945998</v>
      </c>
      <c r="R47" s="24"/>
      <c r="S47" s="24"/>
      <c r="T47" s="24"/>
      <c r="U47" s="24"/>
      <c r="V47" s="24"/>
      <c r="W47" s="24"/>
      <c r="X47" s="24"/>
    </row>
    <row r="48" spans="5:24">
      <c r="E48" s="6" t="s">
        <v>415</v>
      </c>
      <c r="F48" s="7" t="s">
        <v>19</v>
      </c>
      <c r="G48" s="6" t="s">
        <v>247</v>
      </c>
      <c r="H48" s="190" t="s">
        <v>395</v>
      </c>
      <c r="I48" s="190" t="s">
        <v>236</v>
      </c>
      <c r="J48" s="118">
        <f t="shared" si="10"/>
        <v>3.5708258048999997</v>
      </c>
      <c r="K48" s="119">
        <f t="shared" si="11"/>
        <v>3.5708258048999997</v>
      </c>
      <c r="L48" s="119">
        <f t="shared" si="12"/>
        <v>0</v>
      </c>
      <c r="M48" s="15"/>
      <c r="N48" s="24"/>
      <c r="O48" s="24"/>
      <c r="P48" s="24">
        <v>3.5708258048999997</v>
      </c>
      <c r="Q48" s="24"/>
      <c r="R48" s="24"/>
      <c r="S48" s="24"/>
      <c r="T48" s="24"/>
      <c r="U48" s="24"/>
      <c r="V48" s="24"/>
      <c r="W48" s="24"/>
      <c r="X48" s="24"/>
    </row>
    <row r="49" spans="5:24">
      <c r="E49" s="6" t="s">
        <v>429</v>
      </c>
      <c r="F49" s="7" t="s">
        <v>19</v>
      </c>
      <c r="G49" s="6" t="s">
        <v>261</v>
      </c>
      <c r="H49" s="190" t="s">
        <v>399</v>
      </c>
      <c r="I49" s="190" t="s">
        <v>243</v>
      </c>
      <c r="J49" s="118">
        <f t="shared" si="10"/>
        <v>18.97625071145</v>
      </c>
      <c r="K49" s="119">
        <f t="shared" si="11"/>
        <v>18.97625071145</v>
      </c>
      <c r="L49" s="119">
        <f t="shared" si="12"/>
        <v>0</v>
      </c>
      <c r="M49" s="15"/>
      <c r="N49" s="24"/>
      <c r="O49" s="24"/>
      <c r="P49" s="24">
        <v>18.97625071145</v>
      </c>
      <c r="Q49" s="24"/>
      <c r="R49" s="24"/>
      <c r="S49" s="24"/>
      <c r="T49" s="24"/>
      <c r="U49" s="24"/>
      <c r="V49" s="24"/>
      <c r="W49" s="24"/>
      <c r="X49" s="24"/>
    </row>
    <row r="50" spans="5:24">
      <c r="E50" s="6" t="s">
        <v>297</v>
      </c>
      <c r="F50" s="7" t="s">
        <v>19</v>
      </c>
      <c r="G50" s="6" t="s">
        <v>357</v>
      </c>
      <c r="H50" s="190" t="s">
        <v>392</v>
      </c>
      <c r="I50" s="190" t="s">
        <v>236</v>
      </c>
      <c r="J50" s="118">
        <f t="shared" si="10"/>
        <v>9.0120764711800003</v>
      </c>
      <c r="K50" s="119">
        <f t="shared" si="11"/>
        <v>9.0120764711800003</v>
      </c>
      <c r="L50" s="119">
        <f t="shared" si="12"/>
        <v>0</v>
      </c>
      <c r="M50" s="15"/>
      <c r="N50" s="24"/>
      <c r="O50" s="24"/>
      <c r="P50" s="24">
        <v>9.0120764711800003</v>
      </c>
      <c r="Q50" s="24"/>
      <c r="R50" s="24"/>
      <c r="S50" s="24"/>
      <c r="T50" s="24"/>
      <c r="U50" s="24"/>
      <c r="V50" s="24"/>
      <c r="W50" s="24"/>
      <c r="X50" s="24"/>
    </row>
    <row r="51" spans="5:24">
      <c r="E51" s="6" t="s">
        <v>300</v>
      </c>
      <c r="F51" s="7" t="s">
        <v>19</v>
      </c>
      <c r="G51" s="6" t="s">
        <v>301</v>
      </c>
      <c r="H51" s="190" t="s">
        <v>396</v>
      </c>
      <c r="I51" s="190" t="s">
        <v>236</v>
      </c>
      <c r="J51" s="118">
        <f t="shared" si="10"/>
        <v>99.980336585800003</v>
      </c>
      <c r="K51" s="119">
        <f t="shared" si="11"/>
        <v>99.980336585800003</v>
      </c>
      <c r="L51" s="119">
        <f t="shared" si="12"/>
        <v>0</v>
      </c>
      <c r="M51" s="15"/>
      <c r="N51" s="24"/>
      <c r="O51" s="24"/>
      <c r="P51" s="24"/>
      <c r="Q51" s="24">
        <v>99.980336585800003</v>
      </c>
      <c r="R51" s="24"/>
      <c r="S51" s="24"/>
      <c r="T51" s="24"/>
      <c r="U51" s="24"/>
      <c r="V51" s="24"/>
      <c r="W51" s="24"/>
      <c r="X51" s="24"/>
    </row>
    <row r="52" spans="5:24">
      <c r="E52" s="6" t="s">
        <v>255</v>
      </c>
      <c r="F52" s="7" t="s">
        <v>19</v>
      </c>
      <c r="G52" s="6" t="s">
        <v>282</v>
      </c>
      <c r="H52" s="190" t="s">
        <v>388</v>
      </c>
      <c r="I52" s="190" t="s">
        <v>236</v>
      </c>
      <c r="J52" s="118">
        <f t="shared" si="10"/>
        <v>0.15506</v>
      </c>
      <c r="K52" s="119">
        <f t="shared" si="11"/>
        <v>0.15506</v>
      </c>
      <c r="L52" s="119">
        <f t="shared" si="12"/>
        <v>0</v>
      </c>
      <c r="M52" s="15"/>
      <c r="N52" s="24"/>
      <c r="O52" s="24"/>
      <c r="P52" s="24">
        <v>0.15506</v>
      </c>
      <c r="Q52" s="24"/>
      <c r="R52" s="24"/>
      <c r="S52" s="24"/>
      <c r="T52" s="24"/>
      <c r="U52" s="24"/>
      <c r="V52" s="24"/>
      <c r="W52" s="24"/>
      <c r="X52" s="24"/>
    </row>
    <row r="53" spans="5:24">
      <c r="E53" s="6" t="s">
        <v>255</v>
      </c>
      <c r="F53" s="7" t="s">
        <v>19</v>
      </c>
      <c r="G53" s="6" t="s">
        <v>282</v>
      </c>
      <c r="H53" s="190" t="s">
        <v>388</v>
      </c>
      <c r="I53" s="190" t="s">
        <v>243</v>
      </c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 t="s">
        <v>255</v>
      </c>
      <c r="F54" s="7" t="s">
        <v>19</v>
      </c>
      <c r="G54" s="6" t="s">
        <v>366</v>
      </c>
      <c r="H54" s="190" t="s">
        <v>389</v>
      </c>
      <c r="I54" s="190" t="s">
        <v>243</v>
      </c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 t="s">
        <v>255</v>
      </c>
      <c r="F55" s="7" t="s">
        <v>19</v>
      </c>
      <c r="G55" s="6" t="s">
        <v>256</v>
      </c>
      <c r="H55" s="190" t="s">
        <v>397</v>
      </c>
      <c r="I55" s="190" t="s">
        <v>236</v>
      </c>
      <c r="J55" s="118">
        <f t="shared" si="10"/>
        <v>119.27898420000001</v>
      </c>
      <c r="K55" s="119">
        <f t="shared" si="11"/>
        <v>119.27898420000001</v>
      </c>
      <c r="L55" s="119">
        <f t="shared" si="12"/>
        <v>0</v>
      </c>
      <c r="M55" s="15"/>
      <c r="N55" s="24"/>
      <c r="O55" s="24"/>
      <c r="P55" s="24">
        <v>86.176077700000008</v>
      </c>
      <c r="Q55" s="24">
        <v>33.102906500000003</v>
      </c>
      <c r="R55" s="24"/>
      <c r="S55" s="24"/>
      <c r="T55" s="24"/>
      <c r="U55" s="24"/>
      <c r="V55" s="24"/>
      <c r="W55" s="24"/>
      <c r="X55" s="24"/>
    </row>
    <row r="56" spans="5:24">
      <c r="E56" s="6" t="s">
        <v>255</v>
      </c>
      <c r="F56" s="7" t="s">
        <v>19</v>
      </c>
      <c r="G56" s="6" t="s">
        <v>304</v>
      </c>
      <c r="H56" s="190" t="s">
        <v>389</v>
      </c>
      <c r="I56" s="190" t="s">
        <v>243</v>
      </c>
      <c r="J56" s="118">
        <f t="shared" si="10"/>
        <v>16.673765800000002</v>
      </c>
      <c r="K56" s="119">
        <f t="shared" si="11"/>
        <v>16.673765800000002</v>
      </c>
      <c r="L56" s="119">
        <f t="shared" si="12"/>
        <v>0</v>
      </c>
      <c r="M56" s="15"/>
      <c r="N56" s="24"/>
      <c r="O56" s="24"/>
      <c r="P56" s="24"/>
      <c r="Q56" s="24">
        <v>16.673765800000002</v>
      </c>
      <c r="R56" s="24"/>
      <c r="S56" s="24"/>
      <c r="T56" s="24"/>
      <c r="U56" s="24"/>
      <c r="V56" s="24"/>
      <c r="W56" s="24"/>
      <c r="X56" s="24"/>
    </row>
    <row r="57" spans="5:24">
      <c r="E57" s="6" t="s">
        <v>257</v>
      </c>
      <c r="F57" s="7" t="s">
        <v>19</v>
      </c>
      <c r="G57" s="6" t="s">
        <v>258</v>
      </c>
      <c r="H57" s="190" t="s">
        <v>398</v>
      </c>
      <c r="I57" s="190" t="s">
        <v>236</v>
      </c>
      <c r="J57" s="118">
        <f t="shared" si="10"/>
        <v>23.332402800000001</v>
      </c>
      <c r="K57" s="119">
        <f t="shared" si="11"/>
        <v>23.332402800000001</v>
      </c>
      <c r="L57" s="119">
        <f t="shared" si="12"/>
        <v>0</v>
      </c>
      <c r="M57" s="15"/>
      <c r="N57" s="24"/>
      <c r="O57" s="24"/>
      <c r="P57" s="24">
        <v>23.332402800000001</v>
      </c>
      <c r="Q57" s="24"/>
      <c r="R57" s="24"/>
      <c r="S57" s="24"/>
      <c r="T57" s="24"/>
      <c r="U57" s="24"/>
      <c r="V57" s="24"/>
      <c r="W57" s="24"/>
      <c r="X57" s="24"/>
    </row>
    <row r="58" spans="5:24">
      <c r="E58" s="6" t="s">
        <v>259</v>
      </c>
      <c r="F58" s="7" t="s">
        <v>19</v>
      </c>
      <c r="G58" s="6" t="s">
        <v>258</v>
      </c>
      <c r="H58" s="190" t="s">
        <v>398</v>
      </c>
      <c r="I58" s="190" t="s">
        <v>236</v>
      </c>
      <c r="J58" s="118">
        <f t="shared" si="10"/>
        <v>47.250296695931866</v>
      </c>
      <c r="K58" s="119">
        <f t="shared" si="11"/>
        <v>47.250296695931866</v>
      </c>
      <c r="L58" s="119">
        <f t="shared" si="12"/>
        <v>0</v>
      </c>
      <c r="M58" s="15"/>
      <c r="N58" s="24"/>
      <c r="O58" s="24"/>
      <c r="P58" s="24">
        <v>20.282065419791863</v>
      </c>
      <c r="Q58" s="24">
        <v>26.968231276140003</v>
      </c>
      <c r="R58" s="24"/>
      <c r="S58" s="24"/>
      <c r="T58" s="24"/>
      <c r="U58" s="24"/>
      <c r="V58" s="24"/>
      <c r="W58" s="24"/>
      <c r="X58" s="24"/>
    </row>
    <row r="59" spans="5:24">
      <c r="E59" s="6" t="s">
        <v>260</v>
      </c>
      <c r="F59" s="7" t="s">
        <v>19</v>
      </c>
      <c r="G59" s="6" t="s">
        <v>261</v>
      </c>
      <c r="H59" s="190" t="s">
        <v>399</v>
      </c>
      <c r="I59" s="190" t="s">
        <v>236</v>
      </c>
      <c r="J59" s="118">
        <f t="shared" si="10"/>
        <v>18.588230699999997</v>
      </c>
      <c r="K59" s="119">
        <f t="shared" si="11"/>
        <v>18.588230699999997</v>
      </c>
      <c r="L59" s="119">
        <f t="shared" si="12"/>
        <v>0</v>
      </c>
      <c r="M59" s="15"/>
      <c r="N59" s="24"/>
      <c r="O59" s="24"/>
      <c r="P59" s="24">
        <v>11.602918499999998</v>
      </c>
      <c r="Q59" s="24">
        <v>6.985312200000001</v>
      </c>
      <c r="R59" s="24"/>
      <c r="S59" s="24"/>
      <c r="T59" s="24"/>
      <c r="U59" s="24"/>
      <c r="V59" s="24"/>
      <c r="W59" s="24"/>
      <c r="X59" s="24"/>
    </row>
    <row r="60" spans="5:24">
      <c r="E60" s="6" t="s">
        <v>260</v>
      </c>
      <c r="F60" s="7" t="s">
        <v>19</v>
      </c>
      <c r="G60" s="6" t="s">
        <v>261</v>
      </c>
      <c r="H60" s="190" t="s">
        <v>399</v>
      </c>
      <c r="I60" s="190" t="s">
        <v>243</v>
      </c>
      <c r="J60" s="118">
        <f t="shared" si="10"/>
        <v>10.8202622</v>
      </c>
      <c r="K60" s="119">
        <f t="shared" si="11"/>
        <v>10.8202622</v>
      </c>
      <c r="L60" s="119">
        <f t="shared" si="12"/>
        <v>0</v>
      </c>
      <c r="M60" s="15"/>
      <c r="N60" s="24"/>
      <c r="O60" s="24"/>
      <c r="P60" s="24">
        <v>10.8202622</v>
      </c>
      <c r="Q60" s="24"/>
      <c r="R60" s="24"/>
      <c r="S60" s="24"/>
      <c r="T60" s="24"/>
      <c r="U60" s="24"/>
      <c r="V60" s="24"/>
      <c r="W60" s="24"/>
      <c r="X60" s="24"/>
    </row>
    <row r="61" spans="5:24">
      <c r="E61" s="6" t="s">
        <v>260</v>
      </c>
      <c r="F61" s="7" t="s">
        <v>19</v>
      </c>
      <c r="G61" s="6" t="s">
        <v>370</v>
      </c>
      <c r="H61" s="190" t="s">
        <v>400</v>
      </c>
      <c r="I61" s="190" t="s">
        <v>243</v>
      </c>
      <c r="J61" s="118">
        <f t="shared" si="10"/>
        <v>14.3554029</v>
      </c>
      <c r="K61" s="119">
        <f t="shared" si="11"/>
        <v>14.3554029</v>
      </c>
      <c r="L61" s="119">
        <f t="shared" si="12"/>
        <v>0</v>
      </c>
      <c r="M61" s="15"/>
      <c r="N61" s="24"/>
      <c r="O61" s="24"/>
      <c r="P61" s="24">
        <v>14.3554029</v>
      </c>
      <c r="Q61" s="24"/>
      <c r="R61" s="24"/>
      <c r="S61" s="24"/>
      <c r="T61" s="24"/>
      <c r="U61" s="24"/>
      <c r="V61" s="24"/>
      <c r="W61" s="24"/>
      <c r="X61" s="24"/>
    </row>
    <row r="62" spans="5:24">
      <c r="E62" s="6" t="s">
        <v>309</v>
      </c>
      <c r="F62" s="7" t="s">
        <v>19</v>
      </c>
      <c r="G62" s="6" t="s">
        <v>264</v>
      </c>
      <c r="H62" s="190" t="s">
        <v>401</v>
      </c>
      <c r="I62" s="190" t="s">
        <v>243</v>
      </c>
      <c r="J62" s="118">
        <f t="shared" si="10"/>
        <v>37.943177251950004</v>
      </c>
      <c r="K62" s="119">
        <f t="shared" si="11"/>
        <v>37.943177251950004</v>
      </c>
      <c r="L62" s="119">
        <f t="shared" si="12"/>
        <v>0</v>
      </c>
      <c r="M62" s="15"/>
      <c r="N62" s="24"/>
      <c r="O62" s="24"/>
      <c r="P62" s="24">
        <v>6.8090946322999999</v>
      </c>
      <c r="Q62" s="24">
        <v>31.134082619650002</v>
      </c>
      <c r="R62" s="24"/>
      <c r="S62" s="24"/>
      <c r="T62" s="24"/>
      <c r="U62" s="24"/>
      <c r="V62" s="24"/>
      <c r="W62" s="24"/>
      <c r="X62" s="24"/>
    </row>
    <row r="63" spans="5:24">
      <c r="E63" s="6" t="s">
        <v>309</v>
      </c>
      <c r="F63" s="7" t="s">
        <v>19</v>
      </c>
      <c r="G63" s="6" t="s">
        <v>326</v>
      </c>
      <c r="H63" s="190" t="s">
        <v>401</v>
      </c>
      <c r="I63" s="190" t="s">
        <v>243</v>
      </c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6" t="s">
        <v>309</v>
      </c>
      <c r="F64" s="7" t="s">
        <v>19</v>
      </c>
      <c r="G64" s="6" t="s">
        <v>261</v>
      </c>
      <c r="H64" s="190" t="s">
        <v>399</v>
      </c>
      <c r="I64" s="190" t="s">
        <v>243</v>
      </c>
      <c r="J64" s="118">
        <f t="shared" si="10"/>
        <v>16.502557662099999</v>
      </c>
      <c r="K64" s="119">
        <f t="shared" si="11"/>
        <v>16.502557662099999</v>
      </c>
      <c r="L64" s="119">
        <f t="shared" si="12"/>
        <v>0</v>
      </c>
      <c r="N64" s="24"/>
      <c r="O64" s="24"/>
      <c r="P64" s="24"/>
      <c r="Q64" s="24">
        <v>16.502557662099999</v>
      </c>
      <c r="R64" s="24"/>
      <c r="S64" s="24"/>
      <c r="T64" s="24"/>
      <c r="U64" s="24"/>
      <c r="V64" s="24"/>
      <c r="W64" s="24"/>
      <c r="X64" s="24"/>
    </row>
    <row r="65" spans="5:24">
      <c r="E65" s="6" t="s">
        <v>309</v>
      </c>
      <c r="F65" s="7" t="s">
        <v>19</v>
      </c>
      <c r="G65" s="6" t="s">
        <v>372</v>
      </c>
      <c r="H65" s="190" t="s">
        <v>402</v>
      </c>
      <c r="I65" s="190" t="s">
        <v>243</v>
      </c>
      <c r="J65" s="118">
        <f t="shared" si="10"/>
        <v>10.176609255899999</v>
      </c>
      <c r="K65" s="119">
        <f t="shared" si="11"/>
        <v>10.176609255899999</v>
      </c>
      <c r="L65" s="119">
        <f t="shared" si="12"/>
        <v>0</v>
      </c>
      <c r="N65" s="24"/>
      <c r="O65" s="24"/>
      <c r="P65" s="24"/>
      <c r="Q65" s="24">
        <v>10.176609255899999</v>
      </c>
      <c r="R65" s="24"/>
      <c r="S65" s="24"/>
      <c r="T65" s="24"/>
      <c r="U65" s="24"/>
      <c r="V65" s="24"/>
      <c r="W65" s="24"/>
      <c r="X65" s="24"/>
    </row>
    <row r="66" spans="5:24">
      <c r="E66" s="6" t="s">
        <v>309</v>
      </c>
      <c r="F66" s="7" t="s">
        <v>19</v>
      </c>
      <c r="G66" s="6" t="s">
        <v>266</v>
      </c>
      <c r="H66" s="190" t="s">
        <v>389</v>
      </c>
      <c r="I66" s="190" t="s">
        <v>243</v>
      </c>
      <c r="J66" s="118">
        <f t="shared" si="10"/>
        <v>59.7411142785</v>
      </c>
      <c r="K66" s="119">
        <f t="shared" si="11"/>
        <v>59.7411142785</v>
      </c>
      <c r="L66" s="119">
        <f t="shared" si="12"/>
        <v>0</v>
      </c>
      <c r="N66" s="24"/>
      <c r="O66" s="24"/>
      <c r="P66" s="24"/>
      <c r="Q66" s="24">
        <v>59.7411142785</v>
      </c>
      <c r="R66" s="24"/>
      <c r="S66" s="24"/>
      <c r="T66" s="24"/>
      <c r="U66" s="24"/>
      <c r="V66" s="24"/>
      <c r="W66" s="24"/>
      <c r="X66" s="24"/>
    </row>
    <row r="67" spans="5:24">
      <c r="E67" s="6" t="s">
        <v>309</v>
      </c>
      <c r="F67" s="7" t="s">
        <v>19</v>
      </c>
      <c r="G67" s="6" t="s">
        <v>267</v>
      </c>
      <c r="H67" s="190" t="s">
        <v>402</v>
      </c>
      <c r="I67" s="190" t="s">
        <v>243</v>
      </c>
      <c r="J67" s="118">
        <f t="shared" si="10"/>
        <v>8.8069592930000002</v>
      </c>
      <c r="K67" s="119">
        <f t="shared" si="11"/>
        <v>8.8069592930000002</v>
      </c>
      <c r="L67" s="119">
        <f t="shared" si="12"/>
        <v>0</v>
      </c>
      <c r="N67" s="24"/>
      <c r="O67" s="24"/>
      <c r="P67" s="24"/>
      <c r="Q67" s="24">
        <v>8.8069592930000002</v>
      </c>
      <c r="R67" s="24"/>
      <c r="S67" s="24"/>
      <c r="T67" s="24"/>
      <c r="U67" s="24"/>
      <c r="V67" s="24"/>
      <c r="W67" s="24"/>
      <c r="X67" s="24"/>
    </row>
    <row r="68" spans="5:24">
      <c r="E68" s="6" t="s">
        <v>309</v>
      </c>
      <c r="F68" s="7" t="s">
        <v>19</v>
      </c>
      <c r="G68" s="6" t="s">
        <v>312</v>
      </c>
      <c r="H68" s="190" t="s">
        <v>403</v>
      </c>
      <c r="I68" s="190" t="s">
        <v>243</v>
      </c>
      <c r="J68" s="118">
        <f t="shared" si="10"/>
        <v>0</v>
      </c>
      <c r="K68" s="119">
        <f t="shared" si="11"/>
        <v>0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5:24">
      <c r="E69" s="6" t="s">
        <v>309</v>
      </c>
      <c r="F69" s="7" t="s">
        <v>19</v>
      </c>
      <c r="G69" s="6" t="s">
        <v>370</v>
      </c>
      <c r="H69" s="190" t="s">
        <v>400</v>
      </c>
      <c r="I69" s="190" t="s">
        <v>243</v>
      </c>
      <c r="J69" s="118">
        <f t="shared" si="10"/>
        <v>30.785181223999999</v>
      </c>
      <c r="K69" s="119">
        <f t="shared" si="11"/>
        <v>30.785181223999999</v>
      </c>
      <c r="L69" s="119">
        <f t="shared" si="12"/>
        <v>0</v>
      </c>
      <c r="N69" s="24"/>
      <c r="O69" s="24"/>
      <c r="P69" s="24">
        <v>3.0412531175499997</v>
      </c>
      <c r="Q69" s="24">
        <v>27.743928106449999</v>
      </c>
      <c r="R69" s="24"/>
      <c r="S69" s="24"/>
      <c r="T69" s="24"/>
      <c r="U69" s="24"/>
      <c r="V69" s="24"/>
      <c r="W69" s="24"/>
      <c r="X69" s="24"/>
    </row>
    <row r="70" spans="5:24">
      <c r="E70" s="6" t="s">
        <v>430</v>
      </c>
      <c r="F70" s="7" t="s">
        <v>19</v>
      </c>
      <c r="G70" s="6" t="s">
        <v>420</v>
      </c>
      <c r="H70" s="190" t="s">
        <v>421</v>
      </c>
      <c r="I70" s="190" t="s">
        <v>243</v>
      </c>
      <c r="J70" s="118">
        <f t="shared" si="10"/>
        <v>494.17683</v>
      </c>
      <c r="K70" s="119">
        <f t="shared" si="11"/>
        <v>494.17683</v>
      </c>
      <c r="L70" s="119">
        <f t="shared" si="12"/>
        <v>0</v>
      </c>
      <c r="N70" s="24"/>
      <c r="O70" s="24"/>
      <c r="P70" s="24"/>
      <c r="Q70" s="24"/>
      <c r="R70" s="24">
        <v>494.17683</v>
      </c>
      <c r="S70" s="24"/>
      <c r="T70" s="24"/>
      <c r="U70" s="24"/>
      <c r="V70" s="24"/>
      <c r="W70" s="24"/>
      <c r="X70" s="24"/>
    </row>
    <row r="71" spans="5:24">
      <c r="E71" s="6" t="s">
        <v>314</v>
      </c>
      <c r="F71" s="7" t="s">
        <v>19</v>
      </c>
      <c r="G71" s="6" t="s">
        <v>327</v>
      </c>
      <c r="H71" s="190" t="s">
        <v>404</v>
      </c>
      <c r="I71" s="190" t="s">
        <v>243</v>
      </c>
      <c r="J71" s="118">
        <f t="shared" si="10"/>
        <v>41.484349999999999</v>
      </c>
      <c r="K71" s="119">
        <f t="shared" si="11"/>
        <v>41.484349999999999</v>
      </c>
      <c r="L71" s="119">
        <f t="shared" si="12"/>
        <v>0</v>
      </c>
      <c r="N71" s="24"/>
      <c r="O71" s="24"/>
      <c r="P71" s="24">
        <v>41.484349999999999</v>
      </c>
      <c r="Q71" s="24"/>
      <c r="R71" s="24"/>
      <c r="S71" s="24"/>
      <c r="T71" s="24"/>
      <c r="U71" s="24"/>
      <c r="V71" s="24"/>
      <c r="W71" s="24"/>
      <c r="X71" s="24"/>
    </row>
    <row r="72" spans="5:24">
      <c r="E72" s="6" t="s">
        <v>268</v>
      </c>
      <c r="F72" s="7" t="s">
        <v>19</v>
      </c>
      <c r="G72" s="6" t="s">
        <v>374</v>
      </c>
      <c r="H72" s="190" t="s">
        <v>405</v>
      </c>
      <c r="I72" s="190" t="s">
        <v>236</v>
      </c>
      <c r="J72" s="118">
        <f t="shared" si="10"/>
        <v>8.4427268613599988</v>
      </c>
      <c r="K72" s="119">
        <f t="shared" si="11"/>
        <v>8.4427268613599988</v>
      </c>
      <c r="L72" s="119">
        <f t="shared" si="12"/>
        <v>0</v>
      </c>
      <c r="N72" s="24"/>
      <c r="O72" s="24"/>
      <c r="P72" s="24">
        <v>8.4427268613599988</v>
      </c>
      <c r="Q72" s="24"/>
      <c r="R72" s="24"/>
      <c r="S72" s="24"/>
      <c r="T72" s="24"/>
      <c r="U72" s="24"/>
      <c r="V72" s="24"/>
      <c r="W72" s="24"/>
      <c r="X72" s="24"/>
    </row>
    <row r="73" spans="5:24">
      <c r="E73" s="6" t="s">
        <v>270</v>
      </c>
      <c r="F73" s="7" t="s">
        <v>19</v>
      </c>
      <c r="G73" s="6" t="s">
        <v>374</v>
      </c>
      <c r="H73" s="188" t="s">
        <v>405</v>
      </c>
      <c r="I73" s="188" t="s">
        <v>236</v>
      </c>
      <c r="J73" s="118">
        <f t="shared" si="10"/>
        <v>46.234476499999985</v>
      </c>
      <c r="K73" s="119">
        <f t="shared" si="11"/>
        <v>46.234476499999985</v>
      </c>
      <c r="L73" s="119">
        <f t="shared" si="12"/>
        <v>0</v>
      </c>
      <c r="N73" s="24"/>
      <c r="O73" s="24"/>
      <c r="P73" s="24">
        <v>46.234476499999985</v>
      </c>
      <c r="Q73" s="24"/>
      <c r="R73" s="24"/>
      <c r="S73" s="24"/>
      <c r="T73" s="24"/>
      <c r="U73" s="24"/>
      <c r="V73" s="24"/>
      <c r="W73" s="24"/>
      <c r="X73" s="24"/>
    </row>
    <row r="74" spans="5:24">
      <c r="E74" s="6" t="s">
        <v>271</v>
      </c>
      <c r="F74" s="7" t="s">
        <v>19</v>
      </c>
      <c r="G74" s="6" t="s">
        <v>247</v>
      </c>
      <c r="H74" s="188" t="s">
        <v>395</v>
      </c>
      <c r="I74" s="188" t="s">
        <v>236</v>
      </c>
      <c r="J74" s="118">
        <f t="shared" si="10"/>
        <v>3.3210000000000002</v>
      </c>
      <c r="K74" s="119">
        <f t="shared" si="11"/>
        <v>3.3210000000000002</v>
      </c>
      <c r="L74" s="119">
        <f t="shared" si="12"/>
        <v>0</v>
      </c>
      <c r="N74" s="24"/>
      <c r="O74" s="24"/>
      <c r="P74" s="24">
        <v>3.3210000000000002</v>
      </c>
      <c r="Q74" s="24"/>
      <c r="R74" s="24"/>
      <c r="S74" s="24"/>
      <c r="T74" s="24"/>
      <c r="U74" s="24"/>
      <c r="V74" s="24"/>
      <c r="W74" s="24"/>
      <c r="X74" s="24"/>
    </row>
    <row r="75" spans="5:24">
      <c r="E75" s="6" t="s">
        <v>271</v>
      </c>
      <c r="F75" s="7" t="s">
        <v>19</v>
      </c>
      <c r="G75" s="6" t="s">
        <v>272</v>
      </c>
      <c r="H75" s="189" t="s">
        <v>406</v>
      </c>
      <c r="I75" s="189" t="s">
        <v>236</v>
      </c>
      <c r="J75" s="118">
        <f t="shared" si="10"/>
        <v>29.9741131</v>
      </c>
      <c r="K75" s="119">
        <f t="shared" si="11"/>
        <v>29.9741131</v>
      </c>
      <c r="L75" s="119">
        <f t="shared" si="12"/>
        <v>0</v>
      </c>
      <c r="N75" s="24"/>
      <c r="O75" s="24"/>
      <c r="P75" s="24"/>
      <c r="Q75" s="24">
        <v>29.9741131</v>
      </c>
      <c r="R75" s="24"/>
      <c r="S75" s="24"/>
      <c r="T75" s="24"/>
      <c r="U75" s="24"/>
      <c r="V75" s="24"/>
      <c r="W75" s="24"/>
      <c r="X75" s="24"/>
    </row>
    <row r="76" spans="5:24">
      <c r="E76" s="6" t="s">
        <v>271</v>
      </c>
      <c r="F76" s="7" t="s">
        <v>19</v>
      </c>
      <c r="G76" s="6" t="s">
        <v>252</v>
      </c>
      <c r="H76" s="190" t="s">
        <v>407</v>
      </c>
      <c r="I76" s="190" t="s">
        <v>243</v>
      </c>
      <c r="J76" s="118">
        <f t="shared" si="10"/>
        <v>15.549112600000001</v>
      </c>
      <c r="K76" s="119">
        <f t="shared" si="11"/>
        <v>15.549112600000001</v>
      </c>
      <c r="L76" s="119">
        <f t="shared" si="12"/>
        <v>0</v>
      </c>
      <c r="N76" s="24"/>
      <c r="O76" s="24"/>
      <c r="P76" s="24">
        <v>15.549112600000001</v>
      </c>
      <c r="Q76" s="24"/>
      <c r="R76" s="24"/>
      <c r="S76" s="24"/>
      <c r="T76" s="24"/>
      <c r="U76" s="24"/>
      <c r="V76" s="24"/>
      <c r="W76" s="24"/>
      <c r="X76" s="24"/>
    </row>
    <row r="77" spans="5:24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9" spans="5:24">
      <c r="E79" s="191" t="s">
        <v>320</v>
      </c>
      <c r="F79" s="216">
        <v>46054</v>
      </c>
      <c r="G79" s="192">
        <v>231</v>
      </c>
      <c r="H79" s="271" t="s">
        <v>321</v>
      </c>
    </row>
    <row r="80" spans="5:24">
      <c r="E80" s="195" t="s">
        <v>422</v>
      </c>
      <c r="F80" s="217"/>
      <c r="G80" s="196">
        <v>348</v>
      </c>
      <c r="H80" s="271" t="s">
        <v>321</v>
      </c>
    </row>
    <row r="81" spans="5:8">
      <c r="E81" s="195" t="s">
        <v>423</v>
      </c>
      <c r="F81" s="217"/>
      <c r="G81" s="196">
        <v>151</v>
      </c>
      <c r="H81" s="271" t="s">
        <v>321</v>
      </c>
    </row>
    <row r="82" spans="5:8">
      <c r="E82" s="191" t="s">
        <v>320</v>
      </c>
      <c r="F82" s="216">
        <v>46081</v>
      </c>
      <c r="G82" s="192">
        <v>428</v>
      </c>
      <c r="H82" s="271" t="s">
        <v>321</v>
      </c>
    </row>
    <row r="84" spans="5:8">
      <c r="E84" s="356" t="s">
        <v>324</v>
      </c>
      <c r="F84" s="219"/>
      <c r="G84" s="202"/>
      <c r="H84" s="219" t="s">
        <v>325</v>
      </c>
    </row>
    <row r="85" spans="5:8">
      <c r="E85" s="357" t="s">
        <v>327</v>
      </c>
      <c r="F85" s="286"/>
      <c r="G85" s="287"/>
      <c r="H85" s="359">
        <v>26.633429</v>
      </c>
    </row>
    <row r="86" spans="5:8">
      <c r="E86" s="357" t="s">
        <v>282</v>
      </c>
      <c r="F86" s="286"/>
      <c r="G86" s="287"/>
      <c r="H86" s="359">
        <v>0.58465303933999735</v>
      </c>
    </row>
    <row r="87" spans="5:8">
      <c r="E87" s="357" t="s">
        <v>247</v>
      </c>
      <c r="F87" s="286"/>
      <c r="G87" s="287"/>
      <c r="H87" s="359">
        <v>10.368241104900022</v>
      </c>
    </row>
    <row r="88" spans="5:8">
      <c r="E88" s="357" t="s">
        <v>284</v>
      </c>
      <c r="F88" s="286"/>
      <c r="G88" s="287"/>
      <c r="H88" s="359">
        <v>3.4125441674600001</v>
      </c>
    </row>
    <row r="89" spans="5:8">
      <c r="E89" s="357" t="s">
        <v>249</v>
      </c>
      <c r="F89" s="286"/>
      <c r="G89" s="287"/>
      <c r="H89" s="359">
        <v>3.9854749999999939</v>
      </c>
    </row>
    <row r="90" spans="5:8">
      <c r="E90" s="357" t="s">
        <v>357</v>
      </c>
      <c r="F90" s="286"/>
      <c r="G90" s="287"/>
      <c r="H90" s="359">
        <v>10.6622674306</v>
      </c>
    </row>
    <row r="91" spans="5:8">
      <c r="E91" s="357" t="s">
        <v>338</v>
      </c>
      <c r="F91" s="286"/>
      <c r="G91" s="287"/>
      <c r="H91" s="359">
        <v>1.5283800000000001</v>
      </c>
    </row>
    <row r="92" spans="5:8">
      <c r="E92" s="357" t="s">
        <v>250</v>
      </c>
      <c r="F92" s="286"/>
      <c r="G92" s="287"/>
      <c r="H92" s="359">
        <v>1.191502899999989</v>
      </c>
    </row>
    <row r="93" spans="5:8">
      <c r="E93" s="357" t="s">
        <v>374</v>
      </c>
      <c r="F93" s="286"/>
      <c r="G93" s="287"/>
      <c r="H93" s="359">
        <v>6.0195794531199809</v>
      </c>
    </row>
    <row r="94" spans="5:8">
      <c r="E94" s="357" t="s">
        <v>293</v>
      </c>
      <c r="F94" s="286"/>
      <c r="G94" s="287"/>
      <c r="H94" s="359">
        <v>3.4716080000000034</v>
      </c>
    </row>
    <row r="95" spans="5:8">
      <c r="E95" s="290"/>
      <c r="F95" s="286"/>
      <c r="G95" s="287"/>
      <c r="H95" s="359"/>
    </row>
    <row r="96" spans="5:8">
      <c r="E96" s="263" t="s">
        <v>344</v>
      </c>
      <c r="F96" s="286"/>
      <c r="G96" s="287"/>
      <c r="H96" s="301">
        <f>SUM(H85:H95)</f>
        <v>67.857680095419994</v>
      </c>
    </row>
    <row r="98" spans="5:9">
      <c r="E98" s="205"/>
      <c r="F98" s="237"/>
      <c r="G98" s="205"/>
      <c r="H98" s="97" t="s">
        <v>426</v>
      </c>
    </row>
    <row r="99" spans="5:9">
      <c r="E99" s="205" t="s">
        <v>330</v>
      </c>
      <c r="F99" s="221"/>
      <c r="G99" s="205"/>
      <c r="H99" s="302">
        <f>'W9'!J19</f>
        <v>2302.9323880000002</v>
      </c>
      <c r="I99" s="299"/>
    </row>
    <row r="100" spans="5:9">
      <c r="E100" s="205" t="s">
        <v>331</v>
      </c>
      <c r="F100" s="221"/>
      <c r="G100" s="205"/>
      <c r="H100" s="302">
        <f>H96</f>
        <v>67.857680095419994</v>
      </c>
      <c r="I100" s="299"/>
    </row>
    <row r="101" spans="5:9">
      <c r="E101" s="205" t="s">
        <v>332</v>
      </c>
      <c r="F101" s="221"/>
      <c r="G101" s="205"/>
      <c r="H101" s="302">
        <f>J12</f>
        <v>31</v>
      </c>
      <c r="I101" s="299"/>
    </row>
    <row r="102" spans="5:9">
      <c r="E102" s="205" t="s">
        <v>333</v>
      </c>
      <c r="F102" s="221"/>
      <c r="G102" s="205"/>
      <c r="H102" s="302">
        <f>H99+H100-H101</f>
        <v>2339.7900680954203</v>
      </c>
      <c r="I102" s="299"/>
    </row>
    <row r="103" spans="5:9">
      <c r="E103" s="205" t="s">
        <v>334</v>
      </c>
      <c r="F103" s="221"/>
      <c r="G103" s="205"/>
      <c r="H103" s="302">
        <f>J19</f>
        <v>2342.7469043651663</v>
      </c>
      <c r="I103" s="300"/>
    </row>
    <row r="104" spans="5:9">
      <c r="E104" s="205" t="s">
        <v>335</v>
      </c>
      <c r="F104" s="221"/>
      <c r="G104" s="205"/>
      <c r="H104" s="303">
        <f>H102-H103</f>
        <v>-2.9568362697459634</v>
      </c>
      <c r="I104" s="235" t="s">
        <v>336</v>
      </c>
    </row>
    <row r="105" spans="5:9">
      <c r="E105" s="205"/>
      <c r="F105" s="237"/>
      <c r="G105" s="205"/>
    </row>
  </sheetData>
  <sheetProtection formatCells="0" formatColumns="0" formatRows="0" insertRows="0" deleteRows="0" autoFilter="0"/>
  <autoFilter ref="E23:AL213" xr:uid="{00000000-0009-0000-0000-00000C000000}"/>
  <mergeCells count="1">
    <mergeCell ref="I4:J4"/>
  </mergeCells>
  <phoneticPr fontId="40"/>
  <dataValidations disablePrompts="1" count="2">
    <dataValidation type="list" allowBlank="1" showInputMessage="1" showErrorMessage="1" sqref="G2" xr:uid="{00000000-0002-0000-0C00-000000000000}">
      <formula1>SOCIETE</formula1>
    </dataValidation>
    <dataValidation type="list" allowBlank="1" showInputMessage="1" showErrorMessage="1" sqref="F24:F77" xr:uid="{4EE79468-3D13-4702-ACE1-6C955D3D16F2}">
      <formula1>Liste</formula1>
    </dataValidation>
  </dataValidations>
  <pageMargins left="0.17" right="0.17" top="0.37" bottom="0.23" header="0.31496062992125984" footer="0.16"/>
  <pageSetup paperSize="9" scale="47" orientation="landscape" r:id="rId1"/>
  <ignoredErrors>
    <ignoredError sqref="H99:H104" unlocked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>
    <tabColor theme="3" tint="0.59999389629810485"/>
    <pageSetUpPr fitToPage="1"/>
  </sheetPr>
  <dimension ref="D1:AR125"/>
  <sheetViews>
    <sheetView showGridLines="0" topLeftCell="A18" zoomScale="91" zoomScaleNormal="91" workbookViewId="0">
      <selection activeCell="G43" sqref="G43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66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March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March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W11</v>
      </c>
      <c r="I9" s="61"/>
      <c r="J9" s="161" t="str">
        <f>+"from "&amp;G6&amp;" 1 until end of "&amp;G4</f>
        <v>from March 1 until end of W11</v>
      </c>
      <c r="K9" s="79"/>
      <c r="L9" s="167" t="str">
        <f>+G6</f>
        <v>March</v>
      </c>
      <c r="M9" s="80"/>
      <c r="N9" s="80"/>
      <c r="O9" s="172" t="str">
        <f>+G4</f>
        <v>W11</v>
      </c>
      <c r="P9" s="173" t="str">
        <f>+VLOOKUP(G4, parameters!$G$9:$I$61,3,0)</f>
        <v>W10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600+320+J10</f>
        <v>995</v>
      </c>
      <c r="I10" s="61"/>
      <c r="J10" s="159">
        <v>75</v>
      </c>
      <c r="L10" s="159">
        <f>J10+P17</f>
        <v>878.48510510000006</v>
      </c>
      <c r="N10" s="55"/>
      <c r="O10" s="170">
        <f>+H10+K17</f>
        <v>3984.6455650999987</v>
      </c>
      <c r="P10" s="171" cm="1">
        <f t="array" aca="1" ref="P10" ca="1">INDIRECT(ADDRESS(10,15,,,VLOOKUP($G$4,parameters!$G:$I,3,0)))</f>
        <v>3282.3469614073665</v>
      </c>
      <c r="Q10" s="183">
        <f ca="1">O10-P10</f>
        <v>702.29860369263224</v>
      </c>
      <c r="R10" s="86"/>
    </row>
    <row r="11" spans="5:38" ht="20.45" customHeight="1">
      <c r="E11" s="87" t="s">
        <v>224</v>
      </c>
      <c r="F11" s="88"/>
      <c r="G11" s="89"/>
      <c r="H11" s="16">
        <f>21+J11</f>
        <v>24</v>
      </c>
      <c r="I11" s="61"/>
      <c r="J11" s="16">
        <v>3</v>
      </c>
      <c r="L11" s="159">
        <f>J11+P18</f>
        <v>4.6097999999999999</v>
      </c>
      <c r="N11" s="55"/>
      <c r="O11" s="152">
        <f>+H11+K18</f>
        <v>32.399950000000004</v>
      </c>
      <c r="P11" s="153" cm="1">
        <f t="array" aca="1" ref="P11" ca="1">INDIRECT(ADDRESS(11,15,,,VLOOKUP($G$4,parameters!$G:$I,3,0)))</f>
        <v>32.3999429578</v>
      </c>
      <c r="Q11" s="184">
        <f t="shared" ref="Q11:Q12" ca="1" si="0">O11-P11</f>
        <v>7.042200003581911E-6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1019</v>
      </c>
      <c r="I12" s="61"/>
      <c r="J12" s="126">
        <f>SUM(J10:J11)</f>
        <v>78</v>
      </c>
      <c r="K12" s="65"/>
      <c r="L12" s="126">
        <f>SUM(L10:L11)</f>
        <v>883.09490510000001</v>
      </c>
      <c r="M12" s="65"/>
      <c r="N12" s="65"/>
      <c r="O12" s="154">
        <f>SUM(O10:O11)</f>
        <v>4017.0455150999987</v>
      </c>
      <c r="P12" s="155">
        <f ca="1">SUM(P10:P11)</f>
        <v>3314.7469043651663</v>
      </c>
      <c r="Q12" s="156">
        <f t="shared" ca="1" si="0"/>
        <v>702.29861073483244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+SUMIF($F$24:$F$93,"External",$J$24:$J$93)</f>
        <v>2989.6455650999987</v>
      </c>
      <c r="K17" s="108">
        <f>+SUMIF($F$24:$F$93,"External",$K$24:$K$93)</f>
        <v>2989.6455650999987</v>
      </c>
      <c r="L17" s="109">
        <f>+SUMIF($F$24:$F$93,"External",$L$24:$L$93)</f>
        <v>0</v>
      </c>
      <c r="M17" s="110"/>
      <c r="N17" s="111">
        <f t="shared" ref="N17:Y17" si="1">+SUMIF($F$24:$F$93,"External",N$24:N$93)</f>
        <v>0</v>
      </c>
      <c r="O17" s="111">
        <f t="shared" si="1"/>
        <v>0</v>
      </c>
      <c r="P17" s="111">
        <f t="shared" si="1"/>
        <v>803.48510510000006</v>
      </c>
      <c r="Q17" s="111">
        <f t="shared" si="1"/>
        <v>919.20082999999977</v>
      </c>
      <c r="R17" s="111">
        <f t="shared" si="1"/>
        <v>594.14099999999996</v>
      </c>
      <c r="S17" s="111">
        <f t="shared" si="1"/>
        <v>518.00462999999991</v>
      </c>
      <c r="T17" s="111">
        <f t="shared" si="1"/>
        <v>154.81400000000002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+SUMIF($F$24:$F$93,"External",AA$24:AA$93)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+SUMIF($F$24:$F$93,"Group",$J$24:$J$93)</f>
        <v>8.3999500000000005</v>
      </c>
      <c r="K18" s="113">
        <f>+SUMIF($F$24:$F$93,"Group",$K$24:$K$93)</f>
        <v>8.3999500000000005</v>
      </c>
      <c r="L18" s="114">
        <f>SUMIF($F$24:$F$93,"Group",$L$24:$L$93)</f>
        <v>0</v>
      </c>
      <c r="M18" s="110"/>
      <c r="N18" s="114">
        <f t="shared" ref="N18:Y18" si="3">+SUMIF($F$24:$F$93,"Group",N$24:N$93)</f>
        <v>0</v>
      </c>
      <c r="O18" s="114">
        <f t="shared" si="3"/>
        <v>0</v>
      </c>
      <c r="P18" s="114">
        <f t="shared" si="3"/>
        <v>1.6098000000000001</v>
      </c>
      <c r="Q18" s="114">
        <f t="shared" si="3"/>
        <v>6.7901499999999997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+SUMIF($F$24:$F$93,"Group",AA$24:AA$93)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2998.0455150999987</v>
      </c>
      <c r="K19" s="115">
        <f>SUM(K17:K18)</f>
        <v>2998.0455150999987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805.09490510000001</v>
      </c>
      <c r="Q19" s="116">
        <f t="shared" si="5"/>
        <v>925.99097999999981</v>
      </c>
      <c r="R19" s="116">
        <f t="shared" si="5"/>
        <v>594.14099999999996</v>
      </c>
      <c r="S19" s="116">
        <f t="shared" si="5"/>
        <v>518.00462999999991</v>
      </c>
      <c r="T19" s="116">
        <f t="shared" si="5"/>
        <v>154.81400000000002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IF(SUM(J24:J93)=J19,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431</v>
      </c>
      <c r="F24" s="7" t="s">
        <v>19</v>
      </c>
      <c r="G24" s="6" t="s">
        <v>357</v>
      </c>
      <c r="H24" s="187" t="s">
        <v>392</v>
      </c>
      <c r="I24" s="187" t="s">
        <v>236</v>
      </c>
      <c r="J24" s="118">
        <f t="shared" ref="J24" si="7">+K24+L24</f>
        <v>36.705950000000001</v>
      </c>
      <c r="K24" s="119">
        <f t="shared" ref="K24" si="8">SUM(N24:Y24)</f>
        <v>36.705950000000001</v>
      </c>
      <c r="L24" s="119">
        <f t="shared" ref="L24" si="9">SUM(AA24:AL24)</f>
        <v>0</v>
      </c>
      <c r="M24" s="23"/>
      <c r="N24" s="24"/>
      <c r="O24" s="24"/>
      <c r="P24" s="24">
        <v>36.705950000000001</v>
      </c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346</v>
      </c>
      <c r="F25" s="7" t="s">
        <v>19</v>
      </c>
      <c r="G25" s="6" t="s">
        <v>235</v>
      </c>
      <c r="H25" s="188" t="s">
        <v>384</v>
      </c>
      <c r="I25" s="188" t="s">
        <v>236</v>
      </c>
      <c r="J25" s="118">
        <f t="shared" ref="J25:J79" si="10">+K25+L25</f>
        <v>0</v>
      </c>
      <c r="K25" s="119">
        <f t="shared" ref="K25:K79" si="11">SUM(N25:Y25)</f>
        <v>0</v>
      </c>
      <c r="L25" s="119">
        <f t="shared" ref="L25:L79" si="12">SUM(AA25:AL25)</f>
        <v>0</v>
      </c>
      <c r="M25" s="23"/>
      <c r="N25" s="24"/>
      <c r="O25" s="24"/>
      <c r="P25" s="24"/>
      <c r="Q25" s="24">
        <v>0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346</v>
      </c>
      <c r="F26" s="7" t="s">
        <v>19</v>
      </c>
      <c r="G26" s="6" t="s">
        <v>237</v>
      </c>
      <c r="H26" s="188" t="s">
        <v>385</v>
      </c>
      <c r="I26" s="188" t="s">
        <v>236</v>
      </c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>
        <v>0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346</v>
      </c>
      <c r="F27" s="7" t="s">
        <v>19</v>
      </c>
      <c r="G27" s="6" t="s">
        <v>338</v>
      </c>
      <c r="H27" s="188" t="s">
        <v>383</v>
      </c>
      <c r="I27" s="188" t="s">
        <v>243</v>
      </c>
      <c r="J27" s="118">
        <f t="shared" si="10"/>
        <v>1.5283800000000001</v>
      </c>
      <c r="K27" s="119">
        <f t="shared" si="11"/>
        <v>1.5283800000000001</v>
      </c>
      <c r="L27" s="119">
        <f t="shared" si="12"/>
        <v>0</v>
      </c>
      <c r="M27" s="23"/>
      <c r="N27" s="24"/>
      <c r="O27" s="24"/>
      <c r="P27" s="24">
        <v>1.5283800000000001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348</v>
      </c>
      <c r="F28" s="7" t="s">
        <v>19</v>
      </c>
      <c r="G28" s="6" t="s">
        <v>239</v>
      </c>
      <c r="H28" s="188" t="s">
        <v>386</v>
      </c>
      <c r="I28" s="188" t="s">
        <v>236</v>
      </c>
      <c r="J28" s="118">
        <f t="shared" si="10"/>
        <v>7.1369100000000003</v>
      </c>
      <c r="K28" s="119">
        <f t="shared" si="11"/>
        <v>7.1369100000000003</v>
      </c>
      <c r="L28" s="119">
        <f t="shared" si="12"/>
        <v>0</v>
      </c>
      <c r="M28" s="23"/>
      <c r="N28" s="24"/>
      <c r="O28" s="24"/>
      <c r="P28" s="24">
        <v>7.1369100000000003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349</v>
      </c>
      <c r="F29" s="7" t="s">
        <v>19</v>
      </c>
      <c r="G29" s="6" t="s">
        <v>237</v>
      </c>
      <c r="H29" s="189" t="s">
        <v>385</v>
      </c>
      <c r="I29" s="189" t="s">
        <v>236</v>
      </c>
      <c r="J29" s="118">
        <f t="shared" si="10"/>
        <v>8.0682100000000005</v>
      </c>
      <c r="K29" s="119">
        <f t="shared" si="11"/>
        <v>8.0682100000000005</v>
      </c>
      <c r="L29" s="119">
        <f t="shared" si="12"/>
        <v>0</v>
      </c>
      <c r="M29" s="23"/>
      <c r="N29" s="24"/>
      <c r="O29" s="24"/>
      <c r="P29" s="24">
        <v>8.0682100000000005</v>
      </c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432</v>
      </c>
      <c r="F30" s="7" t="s">
        <v>19</v>
      </c>
      <c r="G30" s="6" t="s">
        <v>357</v>
      </c>
      <c r="H30" s="190" t="s">
        <v>392</v>
      </c>
      <c r="I30" s="190" t="s">
        <v>236</v>
      </c>
      <c r="J30" s="118">
        <f t="shared" si="10"/>
        <v>8.0442499999999999</v>
      </c>
      <c r="K30" s="119">
        <f t="shared" si="11"/>
        <v>8.0442499999999999</v>
      </c>
      <c r="L30" s="119">
        <f t="shared" si="12"/>
        <v>0</v>
      </c>
      <c r="M30" s="23"/>
      <c r="N30" s="24"/>
      <c r="O30" s="24"/>
      <c r="P30" s="24">
        <v>8.0442499999999999</v>
      </c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350</v>
      </c>
      <c r="F31" s="7" t="s">
        <v>19</v>
      </c>
      <c r="G31" s="6" t="s">
        <v>279</v>
      </c>
      <c r="H31" s="190" t="s">
        <v>387</v>
      </c>
      <c r="I31" s="190" t="s">
        <v>243</v>
      </c>
      <c r="J31" s="118">
        <f t="shared" si="10"/>
        <v>307.01274000000001</v>
      </c>
      <c r="K31" s="119">
        <f t="shared" si="11"/>
        <v>307.01274000000001</v>
      </c>
      <c r="L31" s="119">
        <f t="shared" si="12"/>
        <v>0</v>
      </c>
      <c r="M31" s="23"/>
      <c r="N31" s="24"/>
      <c r="O31" s="24"/>
      <c r="P31" s="24"/>
      <c r="Q31" s="24">
        <v>38.80527</v>
      </c>
      <c r="R31" s="24"/>
      <c r="S31" s="24">
        <v>268.20747</v>
      </c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351</v>
      </c>
      <c r="F32" s="7" t="s">
        <v>19</v>
      </c>
      <c r="G32" s="6" t="s">
        <v>282</v>
      </c>
      <c r="H32" s="190" t="s">
        <v>388</v>
      </c>
      <c r="I32" s="190" t="s">
        <v>243</v>
      </c>
      <c r="J32" s="118">
        <f t="shared" si="10"/>
        <v>22.776109999999999</v>
      </c>
      <c r="K32" s="119">
        <f t="shared" si="11"/>
        <v>22.776109999999999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>
        <v>22.776109999999999</v>
      </c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352</v>
      </c>
      <c r="F33" s="7" t="s">
        <v>19</v>
      </c>
      <c r="G33" s="6" t="s">
        <v>340</v>
      </c>
      <c r="H33" s="190" t="s">
        <v>389</v>
      </c>
      <c r="I33" s="190" t="s">
        <v>243</v>
      </c>
      <c r="J33" s="118">
        <f t="shared" si="10"/>
        <v>1.376E-2</v>
      </c>
      <c r="K33" s="119">
        <f t="shared" si="11"/>
        <v>1.376E-2</v>
      </c>
      <c r="L33" s="119">
        <f t="shared" si="12"/>
        <v>0</v>
      </c>
      <c r="M33" s="15"/>
      <c r="N33" s="24"/>
      <c r="O33" s="24"/>
      <c r="P33" s="24">
        <v>1.376E-2</v>
      </c>
      <c r="Q33" s="24"/>
      <c r="R33" s="24"/>
      <c r="S33" s="24"/>
      <c r="T33" s="24"/>
      <c r="U33" s="24"/>
      <c r="V33" s="24"/>
      <c r="W33" s="24"/>
      <c r="X33" s="24"/>
    </row>
    <row r="34" spans="5:24">
      <c r="E34" s="6" t="s">
        <v>353</v>
      </c>
      <c r="F34" s="7" t="s">
        <v>19</v>
      </c>
      <c r="G34" s="6" t="s">
        <v>284</v>
      </c>
      <c r="H34" s="190" t="s">
        <v>383</v>
      </c>
      <c r="I34" s="190" t="s">
        <v>243</v>
      </c>
      <c r="J34" s="118">
        <f t="shared" si="10"/>
        <v>4.0679699999999999</v>
      </c>
      <c r="K34" s="119">
        <f t="shared" si="11"/>
        <v>4.0679699999999999</v>
      </c>
      <c r="L34" s="119">
        <f t="shared" si="12"/>
        <v>0</v>
      </c>
      <c r="M34" s="15"/>
      <c r="N34" s="24"/>
      <c r="O34" s="24"/>
      <c r="P34" s="24">
        <v>4.0679699999999999</v>
      </c>
      <c r="Q34" s="24"/>
      <c r="R34" s="24"/>
      <c r="S34" s="24"/>
      <c r="T34" s="24"/>
      <c r="U34" s="24"/>
      <c r="V34" s="24"/>
      <c r="W34" s="24"/>
      <c r="X34" s="24"/>
    </row>
    <row r="35" spans="5:24">
      <c r="E35" s="6" t="s">
        <v>353</v>
      </c>
      <c r="F35" s="7" t="s">
        <v>19</v>
      </c>
      <c r="G35" s="6" t="s">
        <v>390</v>
      </c>
      <c r="H35" s="190" t="s">
        <v>391</v>
      </c>
      <c r="I35" s="190" t="s">
        <v>243</v>
      </c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 t="s">
        <v>356</v>
      </c>
      <c r="F36" s="7" t="s">
        <v>17</v>
      </c>
      <c r="G36" s="6" t="s">
        <v>284</v>
      </c>
      <c r="H36" s="190" t="s">
        <v>383</v>
      </c>
      <c r="I36" s="190" t="s">
        <v>243</v>
      </c>
      <c r="J36" s="118">
        <f t="shared" si="10"/>
        <v>6.7901499999999997</v>
      </c>
      <c r="K36" s="119">
        <f t="shared" si="11"/>
        <v>6.7901499999999997</v>
      </c>
      <c r="L36" s="119">
        <f t="shared" si="12"/>
        <v>0</v>
      </c>
      <c r="M36" s="15"/>
      <c r="N36" s="24"/>
      <c r="O36" s="24"/>
      <c r="P36" s="24"/>
      <c r="Q36" s="24">
        <v>6.7901499999999997</v>
      </c>
      <c r="R36" s="24"/>
      <c r="S36" s="24"/>
      <c r="T36" s="24"/>
      <c r="U36" s="24"/>
      <c r="V36" s="24"/>
      <c r="W36" s="24"/>
      <c r="X36" s="24"/>
    </row>
    <row r="37" spans="5:24">
      <c r="E37" s="6" t="s">
        <v>356</v>
      </c>
      <c r="F37" s="7" t="s">
        <v>17</v>
      </c>
      <c r="G37" s="6" t="s">
        <v>390</v>
      </c>
      <c r="H37" s="190" t="s">
        <v>391</v>
      </c>
      <c r="I37" s="190" t="s">
        <v>243</v>
      </c>
      <c r="J37" s="304">
        <f t="shared" si="10"/>
        <v>-5.33E-2</v>
      </c>
      <c r="K37" s="304">
        <f t="shared" si="11"/>
        <v>-5.33E-2</v>
      </c>
      <c r="L37" s="119">
        <f t="shared" si="12"/>
        <v>0</v>
      </c>
      <c r="M37" s="15"/>
      <c r="N37" s="24"/>
      <c r="O37" s="24"/>
      <c r="P37" s="24">
        <v>-5.33E-2</v>
      </c>
      <c r="Q37" s="24"/>
      <c r="R37" s="24"/>
      <c r="S37" s="24"/>
      <c r="T37" s="24"/>
      <c r="U37" s="24"/>
      <c r="V37" s="24"/>
      <c r="W37" s="24"/>
      <c r="X37" s="24"/>
    </row>
    <row r="38" spans="5:24">
      <c r="E38" s="6" t="s">
        <v>433</v>
      </c>
      <c r="F38" s="7" t="s">
        <v>17</v>
      </c>
      <c r="G38" s="6" t="s">
        <v>425</v>
      </c>
      <c r="H38" s="190" t="s">
        <v>428</v>
      </c>
      <c r="I38" s="190" t="s">
        <v>243</v>
      </c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 t="s">
        <v>358</v>
      </c>
      <c r="F39" s="7" t="s">
        <v>17</v>
      </c>
      <c r="G39" s="6" t="s">
        <v>357</v>
      </c>
      <c r="H39" s="190" t="s">
        <v>392</v>
      </c>
      <c r="I39" s="190" t="s">
        <v>236</v>
      </c>
      <c r="J39" s="118">
        <f t="shared" si="10"/>
        <v>1.6631</v>
      </c>
      <c r="K39" s="119">
        <f t="shared" si="11"/>
        <v>1.6631</v>
      </c>
      <c r="L39" s="119">
        <f t="shared" si="12"/>
        <v>0</v>
      </c>
      <c r="M39" s="15"/>
      <c r="N39" s="24"/>
      <c r="O39" s="24"/>
      <c r="P39" s="24">
        <v>1.6631</v>
      </c>
      <c r="Q39" s="24"/>
      <c r="R39" s="24"/>
      <c r="S39" s="24"/>
      <c r="T39" s="24"/>
      <c r="U39" s="24"/>
      <c r="V39" s="24"/>
      <c r="W39" s="24"/>
      <c r="X39" s="24"/>
    </row>
    <row r="40" spans="5:24">
      <c r="E40" s="6" t="s">
        <v>360</v>
      </c>
      <c r="F40" s="7" t="s">
        <v>19</v>
      </c>
      <c r="G40" s="6" t="s">
        <v>254</v>
      </c>
      <c r="H40" s="190" t="s">
        <v>393</v>
      </c>
      <c r="I40" s="190" t="s">
        <v>236</v>
      </c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 t="s">
        <v>361</v>
      </c>
      <c r="F41" s="7" t="s">
        <v>19</v>
      </c>
      <c r="G41" s="6" t="s">
        <v>245</v>
      </c>
      <c r="H41" s="190" t="s">
        <v>394</v>
      </c>
      <c r="I41" s="190" t="s">
        <v>236</v>
      </c>
      <c r="J41" s="118">
        <f t="shared" si="10"/>
        <v>155.09715</v>
      </c>
      <c r="K41" s="119">
        <f t="shared" si="11"/>
        <v>155.09715</v>
      </c>
      <c r="L41" s="119">
        <f t="shared" si="12"/>
        <v>0</v>
      </c>
      <c r="M41" s="15"/>
      <c r="N41" s="24"/>
      <c r="O41" s="24"/>
      <c r="P41" s="24"/>
      <c r="Q41" s="24">
        <v>155.09715</v>
      </c>
      <c r="R41" s="24"/>
      <c r="S41" s="24"/>
      <c r="T41" s="24"/>
      <c r="U41" s="24"/>
      <c r="V41" s="24"/>
      <c r="W41" s="24"/>
      <c r="X41" s="24"/>
    </row>
    <row r="42" spans="5:24">
      <c r="E42" s="6" t="s">
        <v>362</v>
      </c>
      <c r="F42" s="7" t="s">
        <v>19</v>
      </c>
      <c r="G42" s="6" t="s">
        <v>247</v>
      </c>
      <c r="H42" s="190" t="s">
        <v>395</v>
      </c>
      <c r="I42" s="190" t="s">
        <v>236</v>
      </c>
      <c r="J42" s="118">
        <f t="shared" si="10"/>
        <v>5.1356000000000002</v>
      </c>
      <c r="K42" s="119">
        <f t="shared" si="11"/>
        <v>5.1356000000000002</v>
      </c>
      <c r="L42" s="119">
        <f t="shared" si="12"/>
        <v>0</v>
      </c>
      <c r="M42" s="15"/>
      <c r="N42" s="24"/>
      <c r="O42" s="24"/>
      <c r="P42" s="24">
        <v>3.5708500000000001</v>
      </c>
      <c r="Q42" s="24">
        <v>1.5647500000000001</v>
      </c>
      <c r="R42" s="24"/>
      <c r="S42" s="24"/>
      <c r="T42" s="24"/>
      <c r="U42" s="24"/>
      <c r="V42" s="24"/>
      <c r="W42" s="24"/>
      <c r="X42" s="24"/>
    </row>
    <row r="43" spans="5:24">
      <c r="E43" s="6" t="s">
        <v>434</v>
      </c>
      <c r="F43" s="7" t="s">
        <v>19</v>
      </c>
      <c r="G43" s="6" t="s">
        <v>261</v>
      </c>
      <c r="H43" s="190" t="s">
        <v>399</v>
      </c>
      <c r="I43" s="190" t="s">
        <v>243</v>
      </c>
      <c r="J43" s="118">
        <f t="shared" si="10"/>
        <v>18.97625</v>
      </c>
      <c r="K43" s="119">
        <f t="shared" si="11"/>
        <v>18.97625</v>
      </c>
      <c r="L43" s="119">
        <f t="shared" si="12"/>
        <v>0</v>
      </c>
      <c r="M43" s="15"/>
      <c r="N43" s="24"/>
      <c r="O43" s="24"/>
      <c r="P43" s="24">
        <v>18.97625</v>
      </c>
      <c r="Q43" s="24"/>
      <c r="R43" s="24"/>
      <c r="S43" s="24"/>
      <c r="T43" s="24"/>
      <c r="U43" s="24"/>
      <c r="V43" s="24"/>
      <c r="W43" s="24"/>
      <c r="X43" s="24"/>
    </row>
    <row r="44" spans="5:24">
      <c r="E44" s="6" t="s">
        <v>363</v>
      </c>
      <c r="F44" s="7" t="s">
        <v>19</v>
      </c>
      <c r="G44" s="6" t="s">
        <v>357</v>
      </c>
      <c r="H44" s="190" t="s">
        <v>392</v>
      </c>
      <c r="I44" s="190" t="s">
        <v>236</v>
      </c>
      <c r="J44" s="118">
        <f t="shared" si="10"/>
        <v>41.181579999999997</v>
      </c>
      <c r="K44" s="119">
        <f t="shared" si="11"/>
        <v>41.181579999999997</v>
      </c>
      <c r="L44" s="119">
        <f t="shared" si="12"/>
        <v>0</v>
      </c>
      <c r="M44" s="15"/>
      <c r="N44" s="24"/>
      <c r="O44" s="24"/>
      <c r="P44" s="24">
        <v>9.012080000000001</v>
      </c>
      <c r="Q44" s="24">
        <v>32.169499999999999</v>
      </c>
      <c r="R44" s="24"/>
      <c r="S44" s="24"/>
      <c r="T44" s="24"/>
      <c r="U44" s="24"/>
      <c r="V44" s="24"/>
      <c r="W44" s="24"/>
      <c r="X44" s="24"/>
    </row>
    <row r="45" spans="5:24">
      <c r="E45" s="6" t="s">
        <v>364</v>
      </c>
      <c r="F45" s="7" t="s">
        <v>19</v>
      </c>
      <c r="G45" s="6" t="s">
        <v>301</v>
      </c>
      <c r="H45" s="190" t="s">
        <v>396</v>
      </c>
      <c r="I45" s="190" t="s">
        <v>236</v>
      </c>
      <c r="J45" s="118">
        <f t="shared" si="10"/>
        <v>72.352869999999996</v>
      </c>
      <c r="K45" s="119">
        <f t="shared" si="11"/>
        <v>72.352869999999996</v>
      </c>
      <c r="L45" s="119">
        <f t="shared" si="12"/>
        <v>0</v>
      </c>
      <c r="M45" s="15"/>
      <c r="N45" s="24"/>
      <c r="O45" s="24"/>
      <c r="P45" s="24"/>
      <c r="Q45" s="24">
        <v>72.352869999999996</v>
      </c>
      <c r="R45" s="24"/>
      <c r="S45" s="24"/>
      <c r="T45" s="24"/>
      <c r="U45" s="24"/>
      <c r="V45" s="24"/>
      <c r="W45" s="24"/>
      <c r="X45" s="24"/>
    </row>
    <row r="46" spans="5:24">
      <c r="E46" s="6" t="s">
        <v>365</v>
      </c>
      <c r="F46" s="7" t="s">
        <v>19</v>
      </c>
      <c r="G46" s="6" t="s">
        <v>282</v>
      </c>
      <c r="H46" s="188" t="s">
        <v>388</v>
      </c>
      <c r="I46" s="188" t="s">
        <v>236</v>
      </c>
      <c r="J46" s="118">
        <f t="shared" si="10"/>
        <v>0.15506</v>
      </c>
      <c r="K46" s="119">
        <f t="shared" si="11"/>
        <v>0.15506</v>
      </c>
      <c r="L46" s="119">
        <f t="shared" si="12"/>
        <v>0</v>
      </c>
      <c r="M46" s="15"/>
      <c r="N46" s="24"/>
      <c r="O46" s="24"/>
      <c r="P46" s="24">
        <v>0.15506</v>
      </c>
      <c r="Q46" s="24"/>
      <c r="R46" s="24"/>
      <c r="S46" s="24"/>
      <c r="T46" s="24"/>
      <c r="U46" s="24"/>
      <c r="V46" s="24"/>
      <c r="W46" s="24"/>
      <c r="X46" s="24"/>
    </row>
    <row r="47" spans="5:24">
      <c r="E47" s="6" t="s">
        <v>365</v>
      </c>
      <c r="F47" s="7" t="s">
        <v>19</v>
      </c>
      <c r="G47" s="6" t="s">
        <v>256</v>
      </c>
      <c r="H47" s="188" t="s">
        <v>397</v>
      </c>
      <c r="I47" s="188" t="s">
        <v>236</v>
      </c>
      <c r="J47" s="118">
        <f t="shared" si="10"/>
        <v>119.27898999999999</v>
      </c>
      <c r="K47" s="119">
        <f t="shared" si="11"/>
        <v>119.27898999999999</v>
      </c>
      <c r="L47" s="119">
        <f t="shared" si="12"/>
        <v>0</v>
      </c>
      <c r="M47" s="15"/>
      <c r="N47" s="24"/>
      <c r="O47" s="24"/>
      <c r="P47" s="24">
        <v>72.07119999999999</v>
      </c>
      <c r="Q47" s="24">
        <v>33.102920000000005</v>
      </c>
      <c r="R47" s="24"/>
      <c r="S47" s="24">
        <v>14.10487</v>
      </c>
      <c r="T47" s="24"/>
      <c r="U47" s="24"/>
      <c r="V47" s="24"/>
      <c r="W47" s="24"/>
      <c r="X47" s="24"/>
    </row>
    <row r="48" spans="5:24">
      <c r="E48" s="6" t="s">
        <v>365</v>
      </c>
      <c r="F48" s="7" t="s">
        <v>19</v>
      </c>
      <c r="G48" s="6" t="s">
        <v>282</v>
      </c>
      <c r="H48" s="189" t="s">
        <v>388</v>
      </c>
      <c r="I48" s="189" t="s">
        <v>243</v>
      </c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 t="s">
        <v>365</v>
      </c>
      <c r="F49" s="7" t="s">
        <v>19</v>
      </c>
      <c r="G49" s="6" t="s">
        <v>366</v>
      </c>
      <c r="H49" s="190" t="s">
        <v>389</v>
      </c>
      <c r="I49" s="190" t="s">
        <v>243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 t="s">
        <v>365</v>
      </c>
      <c r="F50" s="7" t="s">
        <v>19</v>
      </c>
      <c r="G50" s="6" t="s">
        <v>304</v>
      </c>
      <c r="H50" s="190" t="s">
        <v>389</v>
      </c>
      <c r="I50" s="190" t="s">
        <v>243</v>
      </c>
      <c r="J50" s="118">
        <f t="shared" si="10"/>
        <v>16.673770000000001</v>
      </c>
      <c r="K50" s="119">
        <f t="shared" si="11"/>
        <v>16.673770000000001</v>
      </c>
      <c r="L50" s="119">
        <f t="shared" si="12"/>
        <v>0</v>
      </c>
      <c r="M50" s="15"/>
      <c r="N50" s="24"/>
      <c r="O50" s="24"/>
      <c r="P50" s="24"/>
      <c r="Q50" s="24">
        <v>16.673770000000001</v>
      </c>
      <c r="R50" s="24"/>
      <c r="S50" s="24"/>
      <c r="T50" s="24"/>
      <c r="U50" s="24"/>
      <c r="V50" s="24"/>
      <c r="W50" s="24"/>
      <c r="X50" s="24"/>
    </row>
    <row r="51" spans="5:24">
      <c r="E51" s="6" t="s">
        <v>367</v>
      </c>
      <c r="F51" s="7" t="s">
        <v>19</v>
      </c>
      <c r="G51" s="6" t="s">
        <v>258</v>
      </c>
      <c r="H51" s="190" t="s">
        <v>398</v>
      </c>
      <c r="I51" s="190" t="s">
        <v>236</v>
      </c>
      <c r="J51" s="118">
        <f t="shared" si="10"/>
        <v>23.3324</v>
      </c>
      <c r="K51" s="119">
        <f t="shared" si="11"/>
        <v>23.3324</v>
      </c>
      <c r="L51" s="119">
        <f t="shared" si="12"/>
        <v>0</v>
      </c>
      <c r="M51" s="15"/>
      <c r="N51" s="24"/>
      <c r="O51" s="24"/>
      <c r="P51" s="24">
        <v>23.3324</v>
      </c>
      <c r="Q51" s="24"/>
      <c r="R51" s="24"/>
      <c r="S51" s="24"/>
      <c r="T51" s="24"/>
      <c r="U51" s="24"/>
      <c r="V51" s="24"/>
      <c r="W51" s="24"/>
      <c r="X51" s="24"/>
    </row>
    <row r="52" spans="5:24">
      <c r="E52" s="6" t="s">
        <v>368</v>
      </c>
      <c r="F52" s="7" t="s">
        <v>19</v>
      </c>
      <c r="G52" s="6" t="s">
        <v>258</v>
      </c>
      <c r="H52" s="190" t="s">
        <v>398</v>
      </c>
      <c r="I52" s="190" t="s">
        <v>236</v>
      </c>
      <c r="J52" s="118">
        <f t="shared" si="10"/>
        <v>47.250340000000008</v>
      </c>
      <c r="K52" s="119">
        <f t="shared" si="11"/>
        <v>47.250340000000008</v>
      </c>
      <c r="L52" s="119">
        <f t="shared" si="12"/>
        <v>0</v>
      </c>
      <c r="M52" s="15"/>
      <c r="N52" s="24"/>
      <c r="O52" s="24"/>
      <c r="P52" s="24">
        <v>20.282080000000001</v>
      </c>
      <c r="Q52" s="24">
        <v>26.968260000000004</v>
      </c>
      <c r="R52" s="24"/>
      <c r="S52" s="24"/>
      <c r="T52" s="24"/>
      <c r="U52" s="24"/>
      <c r="V52" s="24"/>
      <c r="W52" s="24"/>
      <c r="X52" s="24"/>
    </row>
    <row r="53" spans="5:24">
      <c r="E53" s="6" t="s">
        <v>369</v>
      </c>
      <c r="F53" s="7" t="s">
        <v>19</v>
      </c>
      <c r="G53" s="6" t="s">
        <v>261</v>
      </c>
      <c r="H53" s="190" t="s">
        <v>399</v>
      </c>
      <c r="I53" s="190" t="s">
        <v>236</v>
      </c>
      <c r="J53" s="118">
        <f t="shared" si="10"/>
        <v>18.5882541</v>
      </c>
      <c r="K53" s="119">
        <f t="shared" si="11"/>
        <v>18.5882541</v>
      </c>
      <c r="L53" s="119">
        <f t="shared" si="12"/>
        <v>0</v>
      </c>
      <c r="M53" s="15"/>
      <c r="N53" s="24"/>
      <c r="O53" s="24"/>
      <c r="P53" s="24">
        <v>11.602924100000001</v>
      </c>
      <c r="Q53" s="24">
        <v>6.9853300000000003</v>
      </c>
      <c r="R53" s="24"/>
      <c r="S53" s="24"/>
      <c r="T53" s="24"/>
      <c r="U53" s="24"/>
      <c r="V53" s="24"/>
      <c r="W53" s="24"/>
      <c r="X53" s="24"/>
    </row>
    <row r="54" spans="5:24">
      <c r="E54" s="6" t="s">
        <v>369</v>
      </c>
      <c r="F54" s="7" t="s">
        <v>19</v>
      </c>
      <c r="G54" s="6" t="s">
        <v>261</v>
      </c>
      <c r="H54" s="190" t="s">
        <v>399</v>
      </c>
      <c r="I54" s="190" t="s">
        <v>243</v>
      </c>
      <c r="J54" s="118">
        <f t="shared" si="10"/>
        <v>22.90222</v>
      </c>
      <c r="K54" s="119">
        <f t="shared" si="11"/>
        <v>22.90222</v>
      </c>
      <c r="L54" s="119">
        <f t="shared" si="12"/>
        <v>0</v>
      </c>
      <c r="M54" s="15"/>
      <c r="N54" s="24"/>
      <c r="O54" s="24"/>
      <c r="P54" s="24">
        <v>0.71763999999999994</v>
      </c>
      <c r="Q54" s="24"/>
      <c r="R54" s="24">
        <v>22.18458</v>
      </c>
      <c r="S54" s="24"/>
      <c r="T54" s="24"/>
      <c r="U54" s="24"/>
      <c r="V54" s="24"/>
      <c r="W54" s="24"/>
      <c r="X54" s="24"/>
    </row>
    <row r="55" spans="5:24">
      <c r="E55" s="6" t="s">
        <v>369</v>
      </c>
      <c r="F55" s="7" t="s">
        <v>19</v>
      </c>
      <c r="G55" s="6" t="s">
        <v>370</v>
      </c>
      <c r="H55" s="190" t="s">
        <v>400</v>
      </c>
      <c r="I55" s="190" t="s">
        <v>243</v>
      </c>
      <c r="J55" s="118">
        <f t="shared" si="10"/>
        <v>14.355399999999999</v>
      </c>
      <c r="K55" s="119">
        <f t="shared" si="11"/>
        <v>14.355399999999999</v>
      </c>
      <c r="L55" s="119">
        <f t="shared" si="12"/>
        <v>0</v>
      </c>
      <c r="M55" s="15"/>
      <c r="N55" s="24"/>
      <c r="O55" s="24"/>
      <c r="P55" s="24">
        <v>14.355399999999999</v>
      </c>
      <c r="Q55" s="24"/>
      <c r="R55" s="24"/>
      <c r="S55" s="24"/>
      <c r="T55" s="24"/>
      <c r="U55" s="24"/>
      <c r="V55" s="24"/>
      <c r="W55" s="24"/>
      <c r="X55" s="24"/>
    </row>
    <row r="56" spans="5:24">
      <c r="E56" s="6" t="s">
        <v>371</v>
      </c>
      <c r="F56" s="7" t="s">
        <v>19</v>
      </c>
      <c r="G56" s="6" t="s">
        <v>264</v>
      </c>
      <c r="H56" s="190" t="s">
        <v>401</v>
      </c>
      <c r="I56" s="190" t="s">
        <v>243</v>
      </c>
      <c r="J56" s="118">
        <f t="shared" si="10"/>
        <v>37.943170000000002</v>
      </c>
      <c r="K56" s="119">
        <f t="shared" si="11"/>
        <v>37.943170000000002</v>
      </c>
      <c r="L56" s="119">
        <f t="shared" si="12"/>
        <v>0</v>
      </c>
      <c r="M56" s="15"/>
      <c r="N56" s="24"/>
      <c r="O56" s="24"/>
      <c r="P56" s="24">
        <v>6.8090900000000003</v>
      </c>
      <c r="Q56" s="24">
        <v>31.134080000000001</v>
      </c>
      <c r="R56" s="24"/>
      <c r="S56" s="24"/>
      <c r="T56" s="24"/>
      <c r="U56" s="24"/>
      <c r="V56" s="24"/>
      <c r="W56" s="24"/>
      <c r="X56" s="24"/>
    </row>
    <row r="57" spans="5:24">
      <c r="E57" s="6" t="s">
        <v>371</v>
      </c>
      <c r="F57" s="7" t="s">
        <v>19</v>
      </c>
      <c r="G57" s="6" t="s">
        <v>326</v>
      </c>
      <c r="H57" s="190" t="s">
        <v>401</v>
      </c>
      <c r="I57" s="190" t="s">
        <v>243</v>
      </c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 t="s">
        <v>371</v>
      </c>
      <c r="F58" s="7" t="s">
        <v>19</v>
      </c>
      <c r="G58" s="6" t="s">
        <v>261</v>
      </c>
      <c r="H58" s="190" t="s">
        <v>399</v>
      </c>
      <c r="I58" s="190" t="s">
        <v>243</v>
      </c>
      <c r="J58" s="118">
        <f t="shared" si="10"/>
        <v>16.502559999999999</v>
      </c>
      <c r="K58" s="119">
        <f t="shared" si="11"/>
        <v>16.502559999999999</v>
      </c>
      <c r="L58" s="119">
        <f t="shared" si="12"/>
        <v>0</v>
      </c>
      <c r="M58" s="15"/>
      <c r="N58" s="24"/>
      <c r="O58" s="24"/>
      <c r="P58" s="24"/>
      <c r="Q58" s="24">
        <v>16.502559999999999</v>
      </c>
      <c r="R58" s="24"/>
      <c r="S58" s="24"/>
      <c r="T58" s="24"/>
      <c r="U58" s="24"/>
      <c r="V58" s="24"/>
      <c r="W58" s="24"/>
      <c r="X58" s="24"/>
    </row>
    <row r="59" spans="5:24">
      <c r="E59" s="6" t="s">
        <v>371</v>
      </c>
      <c r="F59" s="7" t="s">
        <v>19</v>
      </c>
      <c r="G59" s="6" t="s">
        <v>372</v>
      </c>
      <c r="H59" s="190" t="s">
        <v>402</v>
      </c>
      <c r="I59" s="190" t="s">
        <v>243</v>
      </c>
      <c r="J59" s="118">
        <f t="shared" si="10"/>
        <v>10.17661</v>
      </c>
      <c r="K59" s="119">
        <f t="shared" si="11"/>
        <v>10.17661</v>
      </c>
      <c r="L59" s="119">
        <f t="shared" si="12"/>
        <v>0</v>
      </c>
      <c r="M59" s="15"/>
      <c r="N59" s="24"/>
      <c r="O59" s="24"/>
      <c r="P59" s="24"/>
      <c r="Q59" s="24">
        <v>10.17661</v>
      </c>
      <c r="R59" s="24"/>
      <c r="S59" s="24"/>
      <c r="T59" s="24"/>
      <c r="U59" s="24"/>
      <c r="V59" s="24"/>
      <c r="W59" s="24"/>
      <c r="X59" s="24"/>
    </row>
    <row r="60" spans="5:24">
      <c r="E60" s="6" t="s">
        <v>371</v>
      </c>
      <c r="F60" s="7" t="s">
        <v>19</v>
      </c>
      <c r="G60" s="6" t="s">
        <v>266</v>
      </c>
      <c r="H60" s="190" t="s">
        <v>389</v>
      </c>
      <c r="I60" s="190" t="s">
        <v>243</v>
      </c>
      <c r="J60" s="118">
        <f t="shared" si="10"/>
        <v>59.741109999999999</v>
      </c>
      <c r="K60" s="119">
        <f t="shared" si="11"/>
        <v>59.741109999999999</v>
      </c>
      <c r="L60" s="119">
        <f t="shared" si="12"/>
        <v>0</v>
      </c>
      <c r="M60" s="15"/>
      <c r="N60" s="24"/>
      <c r="O60" s="24"/>
      <c r="P60" s="24"/>
      <c r="Q60" s="24">
        <v>59.741109999999999</v>
      </c>
      <c r="R60" s="24"/>
      <c r="S60" s="24"/>
      <c r="T60" s="24"/>
      <c r="U60" s="24"/>
      <c r="V60" s="24"/>
      <c r="W60" s="24"/>
      <c r="X60" s="24"/>
    </row>
    <row r="61" spans="5:24">
      <c r="E61" s="6" t="s">
        <v>371</v>
      </c>
      <c r="F61" s="7" t="s">
        <v>19</v>
      </c>
      <c r="G61" s="6" t="s">
        <v>267</v>
      </c>
      <c r="H61" s="190" t="s">
        <v>402</v>
      </c>
      <c r="I61" s="190" t="s">
        <v>243</v>
      </c>
      <c r="J61" s="118">
        <f t="shared" si="10"/>
        <v>8.8069600000000001</v>
      </c>
      <c r="K61" s="119">
        <f t="shared" si="11"/>
        <v>8.8069600000000001</v>
      </c>
      <c r="L61" s="119">
        <f t="shared" si="12"/>
        <v>0</v>
      </c>
      <c r="M61" s="15"/>
      <c r="N61" s="24"/>
      <c r="O61" s="24"/>
      <c r="P61" s="24"/>
      <c r="Q61" s="24">
        <v>8.8069600000000001</v>
      </c>
      <c r="R61" s="24"/>
      <c r="S61" s="24"/>
      <c r="T61" s="24"/>
      <c r="U61" s="24"/>
      <c r="V61" s="24"/>
      <c r="W61" s="24"/>
      <c r="X61" s="24"/>
    </row>
    <row r="62" spans="5:24">
      <c r="E62" s="6" t="s">
        <v>371</v>
      </c>
      <c r="F62" s="7" t="s">
        <v>19</v>
      </c>
      <c r="G62" s="6" t="s">
        <v>312</v>
      </c>
      <c r="H62" s="190" t="s">
        <v>403</v>
      </c>
      <c r="I62" s="190" t="s">
        <v>243</v>
      </c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 t="s">
        <v>371</v>
      </c>
      <c r="F63" s="7" t="s">
        <v>19</v>
      </c>
      <c r="G63" s="6" t="s">
        <v>370</v>
      </c>
      <c r="H63" s="190" t="s">
        <v>400</v>
      </c>
      <c r="I63" s="190" t="s">
        <v>243</v>
      </c>
      <c r="J63" s="118">
        <f t="shared" si="10"/>
        <v>30.785179999999997</v>
      </c>
      <c r="K63" s="119">
        <f t="shared" si="11"/>
        <v>30.785179999999997</v>
      </c>
      <c r="L63" s="119">
        <f t="shared" si="12"/>
        <v>0</v>
      </c>
      <c r="M63" s="15"/>
      <c r="N63" s="24"/>
      <c r="O63" s="24"/>
      <c r="P63" s="24">
        <v>3.0412499999999998</v>
      </c>
      <c r="Q63" s="24">
        <v>27.743929999999999</v>
      </c>
      <c r="R63" s="24"/>
      <c r="S63" s="24"/>
      <c r="T63" s="24"/>
      <c r="U63" s="24"/>
      <c r="V63" s="24"/>
      <c r="W63" s="24"/>
      <c r="X63" s="24"/>
    </row>
    <row r="64" spans="5:24">
      <c r="E64" s="6" t="s">
        <v>435</v>
      </c>
      <c r="F64" s="7" t="s">
        <v>19</v>
      </c>
      <c r="G64" s="6" t="s">
        <v>357</v>
      </c>
      <c r="H64" s="190" t="s">
        <v>392</v>
      </c>
      <c r="I64" s="190" t="s">
        <v>236</v>
      </c>
      <c r="J64" s="118">
        <f t="shared" si="10"/>
        <v>7.0387199999999996</v>
      </c>
      <c r="K64" s="119">
        <f t="shared" si="11"/>
        <v>7.0387199999999996</v>
      </c>
      <c r="L64" s="119">
        <f t="shared" si="12"/>
        <v>0</v>
      </c>
      <c r="M64" s="15"/>
      <c r="N64" s="24"/>
      <c r="O64" s="24"/>
      <c r="P64" s="24">
        <v>7.0387199999999996</v>
      </c>
      <c r="Q64" s="24"/>
      <c r="R64" s="24"/>
      <c r="S64" s="24"/>
      <c r="T64" s="24"/>
      <c r="U64" s="24"/>
      <c r="V64" s="24"/>
      <c r="W64" s="24"/>
      <c r="X64" s="24"/>
    </row>
    <row r="65" spans="5:24">
      <c r="E65" s="6" t="s">
        <v>436</v>
      </c>
      <c r="F65" s="7" t="s">
        <v>19</v>
      </c>
      <c r="G65" s="6" t="s">
        <v>420</v>
      </c>
      <c r="H65" s="190" t="s">
        <v>421</v>
      </c>
      <c r="I65" s="190" t="s">
        <v>243</v>
      </c>
      <c r="J65" s="118">
        <f t="shared" si="10"/>
        <v>494.17683</v>
      </c>
      <c r="K65" s="119">
        <f t="shared" si="11"/>
        <v>494.17683</v>
      </c>
      <c r="L65" s="119">
        <f t="shared" si="12"/>
        <v>0</v>
      </c>
      <c r="N65" s="24"/>
      <c r="O65" s="24"/>
      <c r="P65" s="24"/>
      <c r="Q65" s="24"/>
      <c r="R65" s="24">
        <v>494.17683</v>
      </c>
      <c r="S65" s="24"/>
      <c r="T65" s="24"/>
      <c r="U65" s="24"/>
      <c r="V65" s="24"/>
      <c r="W65" s="24"/>
      <c r="X65" s="24"/>
    </row>
    <row r="66" spans="5:24">
      <c r="E66" s="6" t="s">
        <v>373</v>
      </c>
      <c r="F66" s="7" t="s">
        <v>19</v>
      </c>
      <c r="G66" s="6" t="s">
        <v>327</v>
      </c>
      <c r="H66" s="190" t="s">
        <v>404</v>
      </c>
      <c r="I66" s="190" t="s">
        <v>243</v>
      </c>
      <c r="J66" s="118">
        <f t="shared" si="10"/>
        <v>41.484351000000004</v>
      </c>
      <c r="K66" s="119">
        <f t="shared" si="11"/>
        <v>41.484351000000004</v>
      </c>
      <c r="L66" s="119">
        <f t="shared" si="12"/>
        <v>0</v>
      </c>
      <c r="N66" s="24"/>
      <c r="O66" s="24"/>
      <c r="P66" s="24">
        <v>41.484351000000004</v>
      </c>
      <c r="Q66" s="24"/>
      <c r="R66" s="24"/>
      <c r="S66" s="24"/>
      <c r="T66" s="24"/>
      <c r="U66" s="24"/>
      <c r="V66" s="24"/>
      <c r="W66" s="24"/>
      <c r="X66" s="24"/>
    </row>
    <row r="67" spans="5:24">
      <c r="E67" s="6" t="s">
        <v>375</v>
      </c>
      <c r="F67" s="7" t="s">
        <v>19</v>
      </c>
      <c r="G67" s="6" t="s">
        <v>374</v>
      </c>
      <c r="H67" s="190" t="s">
        <v>405</v>
      </c>
      <c r="I67" s="190" t="s">
        <v>236</v>
      </c>
      <c r="J67" s="118">
        <f t="shared" si="10"/>
        <v>91.685039999999987</v>
      </c>
      <c r="K67" s="119">
        <f t="shared" si="11"/>
        <v>91.685039999999987</v>
      </c>
      <c r="L67" s="119">
        <f t="shared" si="12"/>
        <v>0</v>
      </c>
      <c r="N67" s="24"/>
      <c r="O67" s="24"/>
      <c r="P67" s="24">
        <v>91.685039999999987</v>
      </c>
      <c r="Q67" s="24">
        <v>0</v>
      </c>
      <c r="R67" s="24"/>
      <c r="S67" s="24"/>
      <c r="T67" s="24"/>
      <c r="U67" s="24"/>
      <c r="V67" s="24"/>
      <c r="W67" s="24"/>
      <c r="X67" s="24"/>
    </row>
    <row r="68" spans="5:24">
      <c r="E68" s="6" t="s">
        <v>376</v>
      </c>
      <c r="F68" s="7" t="s">
        <v>19</v>
      </c>
      <c r="G68" s="6" t="s">
        <v>374</v>
      </c>
      <c r="H68" s="190" t="s">
        <v>405</v>
      </c>
      <c r="I68" s="190" t="s">
        <v>236</v>
      </c>
      <c r="J68" s="118">
        <f t="shared" si="10"/>
        <v>36.446070000000006</v>
      </c>
      <c r="K68" s="119">
        <f t="shared" si="11"/>
        <v>36.446070000000006</v>
      </c>
      <c r="L68" s="119">
        <f t="shared" si="12"/>
        <v>0</v>
      </c>
      <c r="N68" s="24"/>
      <c r="O68" s="24"/>
      <c r="P68" s="24">
        <v>36.446070000000006</v>
      </c>
      <c r="Q68" s="24"/>
      <c r="R68" s="24"/>
      <c r="S68" s="24"/>
      <c r="T68" s="24"/>
      <c r="U68" s="24"/>
      <c r="V68" s="24"/>
      <c r="W68" s="24"/>
      <c r="X68" s="24"/>
    </row>
    <row r="69" spans="5:24">
      <c r="E69" s="6" t="s">
        <v>377</v>
      </c>
      <c r="F69" s="7" t="s">
        <v>19</v>
      </c>
      <c r="G69" s="6" t="s">
        <v>247</v>
      </c>
      <c r="H69" s="190" t="s">
        <v>395</v>
      </c>
      <c r="I69" s="190" t="s">
        <v>236</v>
      </c>
      <c r="J69" s="118">
        <f t="shared" si="10"/>
        <v>3.3210000000000002</v>
      </c>
      <c r="K69" s="119">
        <f t="shared" si="11"/>
        <v>3.3210000000000002</v>
      </c>
      <c r="L69" s="119">
        <f t="shared" si="12"/>
        <v>0</v>
      </c>
      <c r="N69" s="24"/>
      <c r="O69" s="24"/>
      <c r="P69" s="24">
        <v>3.3210000000000002</v>
      </c>
      <c r="Q69" s="24"/>
      <c r="R69" s="24"/>
      <c r="S69" s="24"/>
      <c r="T69" s="24"/>
      <c r="U69" s="24"/>
      <c r="V69" s="24"/>
      <c r="W69" s="24"/>
      <c r="X69" s="24"/>
    </row>
    <row r="70" spans="5:24">
      <c r="E70" s="6" t="s">
        <v>377</v>
      </c>
      <c r="F70" s="7" t="s">
        <v>19</v>
      </c>
      <c r="G70" s="6" t="s">
        <v>272</v>
      </c>
      <c r="H70" s="190" t="s">
        <v>406</v>
      </c>
      <c r="I70" s="190" t="s">
        <v>236</v>
      </c>
      <c r="J70" s="118">
        <f t="shared" si="10"/>
        <v>28.568059999999999</v>
      </c>
      <c r="K70" s="119">
        <f t="shared" si="11"/>
        <v>28.568059999999999</v>
      </c>
      <c r="L70" s="119">
        <f t="shared" si="12"/>
        <v>0</v>
      </c>
      <c r="N70" s="24"/>
      <c r="O70" s="24"/>
      <c r="P70" s="24"/>
      <c r="Q70" s="24">
        <v>28.568059999999999</v>
      </c>
      <c r="R70" s="24"/>
      <c r="S70" s="24"/>
      <c r="T70" s="24"/>
      <c r="U70" s="24"/>
      <c r="V70" s="24"/>
      <c r="W70" s="24"/>
      <c r="X70" s="24"/>
    </row>
    <row r="71" spans="5:24">
      <c r="E71" s="6" t="s">
        <v>377</v>
      </c>
      <c r="F71" s="7" t="s">
        <v>19</v>
      </c>
      <c r="G71" s="6" t="s">
        <v>252</v>
      </c>
      <c r="H71" s="190" t="s">
        <v>407</v>
      </c>
      <c r="I71" s="190" t="s">
        <v>243</v>
      </c>
      <c r="J71" s="118">
        <f t="shared" si="10"/>
        <v>15.549109999999999</v>
      </c>
      <c r="K71" s="119">
        <f t="shared" si="11"/>
        <v>15.549109999999999</v>
      </c>
      <c r="L71" s="119">
        <f t="shared" si="12"/>
        <v>0</v>
      </c>
      <c r="N71" s="24"/>
      <c r="O71" s="24"/>
      <c r="P71" s="24">
        <v>15.549109999999999</v>
      </c>
      <c r="Q71" s="24"/>
      <c r="R71" s="24"/>
      <c r="S71" s="24"/>
      <c r="T71" s="24"/>
      <c r="U71" s="24"/>
      <c r="V71" s="24"/>
      <c r="W71" s="24"/>
      <c r="X71" s="24"/>
    </row>
    <row r="72" spans="5:24">
      <c r="E72" s="6" t="s">
        <v>246</v>
      </c>
      <c r="F72" s="7" t="s">
        <v>19</v>
      </c>
      <c r="G72" s="6" t="s">
        <v>247</v>
      </c>
      <c r="H72" s="190" t="s">
        <v>395</v>
      </c>
      <c r="I72" s="190" t="s">
        <v>236</v>
      </c>
      <c r="J72" s="118">
        <f t="shared" si="10"/>
        <v>203.42974000000001</v>
      </c>
      <c r="K72" s="119">
        <f t="shared" si="11"/>
        <v>203.42974000000001</v>
      </c>
      <c r="L72" s="119">
        <f t="shared" si="12"/>
        <v>0</v>
      </c>
      <c r="N72" s="24"/>
      <c r="O72" s="24"/>
      <c r="P72" s="24">
        <v>28.142860000000002</v>
      </c>
      <c r="Q72" s="24">
        <v>101.11551</v>
      </c>
      <c r="R72" s="24">
        <v>34.13494</v>
      </c>
      <c r="S72" s="24">
        <v>28.471440000000001</v>
      </c>
      <c r="T72" s="24">
        <v>11.56499</v>
      </c>
      <c r="U72" s="24"/>
      <c r="V72" s="24"/>
      <c r="W72" s="24"/>
      <c r="X72" s="24"/>
    </row>
    <row r="73" spans="5:24">
      <c r="E73" s="6" t="s">
        <v>246</v>
      </c>
      <c r="F73" s="7" t="s">
        <v>19</v>
      </c>
      <c r="G73" s="6" t="s">
        <v>248</v>
      </c>
      <c r="H73" s="190" t="s">
        <v>406</v>
      </c>
      <c r="I73" s="190" t="s">
        <v>236</v>
      </c>
      <c r="J73" s="118">
        <f t="shared" si="10"/>
        <v>14.414259999999999</v>
      </c>
      <c r="K73" s="119">
        <f t="shared" si="11"/>
        <v>14.414259999999999</v>
      </c>
      <c r="L73" s="119">
        <f t="shared" si="12"/>
        <v>0</v>
      </c>
      <c r="N73" s="24"/>
      <c r="O73" s="24"/>
      <c r="P73" s="24">
        <v>9.2678899999999995</v>
      </c>
      <c r="Q73" s="24">
        <v>2.9518399999999998</v>
      </c>
      <c r="R73" s="24">
        <v>2.1945299999999999</v>
      </c>
      <c r="S73" s="24"/>
      <c r="T73" s="24"/>
      <c r="U73" s="24"/>
      <c r="V73" s="24"/>
      <c r="W73" s="24"/>
      <c r="X73" s="24"/>
    </row>
    <row r="74" spans="5:24">
      <c r="E74" s="6" t="s">
        <v>246</v>
      </c>
      <c r="F74" s="7" t="s">
        <v>19</v>
      </c>
      <c r="G74" s="6" t="s">
        <v>249</v>
      </c>
      <c r="H74" s="188" t="s">
        <v>408</v>
      </c>
      <c r="I74" s="188" t="s">
        <v>236</v>
      </c>
      <c r="J74" s="118">
        <f t="shared" si="10"/>
        <v>100.97781000000001</v>
      </c>
      <c r="K74" s="119">
        <f t="shared" si="11"/>
        <v>100.97781000000001</v>
      </c>
      <c r="L74" s="119">
        <f t="shared" si="12"/>
        <v>0</v>
      </c>
      <c r="N74" s="24"/>
      <c r="O74" s="24"/>
      <c r="P74" s="24">
        <v>28.291240000000002</v>
      </c>
      <c r="Q74" s="24">
        <v>21.852800000000002</v>
      </c>
      <c r="R74" s="24">
        <v>11.78504</v>
      </c>
      <c r="S74" s="24">
        <v>8.2418600000000009</v>
      </c>
      <c r="T74" s="24">
        <v>30.80687</v>
      </c>
      <c r="U74" s="24"/>
      <c r="V74" s="24"/>
      <c r="W74" s="24"/>
      <c r="X74" s="24"/>
    </row>
    <row r="75" spans="5:24">
      <c r="E75" s="6" t="s">
        <v>246</v>
      </c>
      <c r="F75" s="7" t="s">
        <v>19</v>
      </c>
      <c r="G75" s="6" t="s">
        <v>250</v>
      </c>
      <c r="H75" s="188" t="s">
        <v>409</v>
      </c>
      <c r="I75" s="188" t="s">
        <v>236</v>
      </c>
      <c r="J75" s="118">
        <f t="shared" si="10"/>
        <v>145.47421</v>
      </c>
      <c r="K75" s="119">
        <f t="shared" si="11"/>
        <v>145.47421</v>
      </c>
      <c r="L75" s="119">
        <f t="shared" si="12"/>
        <v>0</v>
      </c>
      <c r="N75" s="24"/>
      <c r="O75" s="24"/>
      <c r="P75" s="24">
        <v>27.548599999999997</v>
      </c>
      <c r="Q75" s="24"/>
      <c r="R75" s="24">
        <v>9.0353000000000012</v>
      </c>
      <c r="S75" s="24">
        <v>79.699619999999996</v>
      </c>
      <c r="T75" s="24">
        <v>29.19069</v>
      </c>
      <c r="U75" s="24"/>
      <c r="V75" s="24"/>
      <c r="W75" s="24"/>
      <c r="X75" s="24"/>
    </row>
    <row r="76" spans="5:24">
      <c r="E76" s="6" t="s">
        <v>246</v>
      </c>
      <c r="F76" s="7" t="s">
        <v>19</v>
      </c>
      <c r="G76" s="6" t="s">
        <v>293</v>
      </c>
      <c r="H76" s="189" t="s">
        <v>410</v>
      </c>
      <c r="I76" s="189" t="s">
        <v>236</v>
      </c>
      <c r="J76" s="118">
        <f t="shared" si="10"/>
        <v>87.489689999999996</v>
      </c>
      <c r="K76" s="119">
        <f t="shared" si="11"/>
        <v>87.489689999999996</v>
      </c>
      <c r="L76" s="119">
        <f t="shared" si="12"/>
        <v>0</v>
      </c>
      <c r="N76" s="24"/>
      <c r="O76" s="24"/>
      <c r="P76" s="24">
        <v>1.6367799999999999</v>
      </c>
      <c r="Q76" s="24"/>
      <c r="R76" s="24"/>
      <c r="S76" s="24">
        <v>5.9469399999999997</v>
      </c>
      <c r="T76" s="24">
        <v>79.905969999999996</v>
      </c>
      <c r="U76" s="24"/>
      <c r="V76" s="24"/>
      <c r="W76" s="24"/>
      <c r="X76" s="24"/>
    </row>
    <row r="77" spans="5:24">
      <c r="E77" s="6" t="s">
        <v>246</v>
      </c>
      <c r="F77" s="7" t="s">
        <v>19</v>
      </c>
      <c r="G77" s="6" t="s">
        <v>251</v>
      </c>
      <c r="H77" s="190" t="s">
        <v>406</v>
      </c>
      <c r="I77" s="190" t="s">
        <v>236</v>
      </c>
      <c r="J77" s="118">
        <f t="shared" si="10"/>
        <v>43.172259999999994</v>
      </c>
      <c r="K77" s="119">
        <f t="shared" si="11"/>
        <v>43.172259999999994</v>
      </c>
      <c r="L77" s="119">
        <f t="shared" si="12"/>
        <v>0</v>
      </c>
      <c r="N77" s="24"/>
      <c r="O77" s="24"/>
      <c r="P77" s="24">
        <v>23.029699999999998</v>
      </c>
      <c r="Q77" s="24">
        <v>0.81398999999999999</v>
      </c>
      <c r="R77" s="24"/>
      <c r="S77" s="24">
        <v>17.821549999999998</v>
      </c>
      <c r="T77" s="24">
        <v>1.50702</v>
      </c>
      <c r="U77" s="24"/>
      <c r="V77" s="24"/>
      <c r="W77" s="24"/>
      <c r="X77" s="24"/>
    </row>
    <row r="78" spans="5:24">
      <c r="E78" s="6" t="s">
        <v>246</v>
      </c>
      <c r="F78" s="7" t="s">
        <v>19</v>
      </c>
      <c r="G78" s="6" t="s">
        <v>252</v>
      </c>
      <c r="H78" s="190" t="s">
        <v>407</v>
      </c>
      <c r="I78" s="190" t="s">
        <v>236</v>
      </c>
      <c r="J78" s="118">
        <f t="shared" si="10"/>
        <v>37.112909999999999</v>
      </c>
      <c r="K78" s="119">
        <f t="shared" si="11"/>
        <v>37.112909999999999</v>
      </c>
      <c r="L78" s="119">
        <f t="shared" si="12"/>
        <v>0</v>
      </c>
      <c r="N78" s="24"/>
      <c r="O78" s="24"/>
      <c r="P78" s="24">
        <v>1.06447</v>
      </c>
      <c r="Q78" s="24">
        <v>35.269959999999998</v>
      </c>
      <c r="R78" s="24"/>
      <c r="S78" s="24"/>
      <c r="T78" s="24">
        <v>0.77847999999999995</v>
      </c>
      <c r="U78" s="24"/>
      <c r="V78" s="24"/>
      <c r="W78" s="24"/>
      <c r="X78" s="24"/>
    </row>
    <row r="79" spans="5:24">
      <c r="E79" s="6" t="s">
        <v>246</v>
      </c>
      <c r="F79" s="7" t="s">
        <v>19</v>
      </c>
      <c r="G79" s="6" t="s">
        <v>245</v>
      </c>
      <c r="H79" s="190" t="s">
        <v>394</v>
      </c>
      <c r="I79" s="190" t="s">
        <v>236</v>
      </c>
      <c r="J79" s="118">
        <f t="shared" si="10"/>
        <v>96.71575</v>
      </c>
      <c r="K79" s="119">
        <f t="shared" si="11"/>
        <v>96.71575</v>
      </c>
      <c r="L79" s="119">
        <f t="shared" si="12"/>
        <v>0</v>
      </c>
      <c r="N79" s="24"/>
      <c r="O79" s="24"/>
      <c r="P79" s="24">
        <v>10.48762</v>
      </c>
      <c r="Q79" s="24">
        <v>47.803600000000003</v>
      </c>
      <c r="R79" s="24">
        <v>13.62978</v>
      </c>
      <c r="S79" s="24">
        <v>23.734770000000001</v>
      </c>
      <c r="T79" s="24">
        <v>1.0599799999999999</v>
      </c>
      <c r="U79" s="24"/>
      <c r="V79" s="24"/>
      <c r="W79" s="24"/>
      <c r="X79" s="24"/>
    </row>
    <row r="80" spans="5:24">
      <c r="E80" s="6"/>
      <c r="F80" s="7"/>
      <c r="G80" s="6"/>
      <c r="H80" s="190"/>
      <c r="I80" s="190"/>
      <c r="J80" s="118"/>
      <c r="K80" s="119"/>
      <c r="L80" s="119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5:24">
      <c r="E81" s="305" t="s">
        <v>437</v>
      </c>
      <c r="F81" s="7"/>
      <c r="G81" s="6"/>
      <c r="H81" s="190"/>
      <c r="I81" s="190"/>
      <c r="J81" s="118"/>
      <c r="K81" s="119"/>
      <c r="L81" s="119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5:24">
      <c r="E82" s="6" t="s">
        <v>371</v>
      </c>
      <c r="F82" s="7" t="s">
        <v>19</v>
      </c>
      <c r="G82" s="6"/>
      <c r="H82" s="190"/>
      <c r="I82" s="190"/>
      <c r="J82" s="118">
        <f t="shared" ref="J82:J86" si="13">+K82+L82</f>
        <v>24</v>
      </c>
      <c r="K82" s="119">
        <f t="shared" ref="K82:K86" si="14">SUM(N82:Y82)</f>
        <v>24</v>
      </c>
      <c r="L82" s="119">
        <f t="shared" ref="L82:L86" si="15">SUM(AA82:AL82)</f>
        <v>0</v>
      </c>
      <c r="N82" s="24"/>
      <c r="O82" s="24"/>
      <c r="P82" s="306"/>
      <c r="Q82" s="306"/>
      <c r="R82" s="306"/>
      <c r="S82" s="306">
        <v>24</v>
      </c>
      <c r="T82" s="24"/>
      <c r="U82" s="24"/>
      <c r="V82" s="24"/>
      <c r="W82" s="24"/>
      <c r="X82" s="24"/>
    </row>
    <row r="83" spans="5:24">
      <c r="E83" s="6" t="s">
        <v>246</v>
      </c>
      <c r="F83" s="7" t="s">
        <v>19</v>
      </c>
      <c r="G83" s="6"/>
      <c r="H83" s="190"/>
      <c r="I83" s="190"/>
      <c r="J83" s="118">
        <f t="shared" si="13"/>
        <v>86</v>
      </c>
      <c r="K83" s="119">
        <f t="shared" si="14"/>
        <v>86</v>
      </c>
      <c r="L83" s="119">
        <f t="shared" si="15"/>
        <v>0</v>
      </c>
      <c r="N83" s="24"/>
      <c r="O83" s="24"/>
      <c r="P83" s="306">
        <v>69</v>
      </c>
      <c r="Q83" s="306"/>
      <c r="R83" s="306">
        <v>7</v>
      </c>
      <c r="S83" s="306">
        <v>10</v>
      </c>
      <c r="T83" s="24"/>
      <c r="U83" s="24"/>
      <c r="V83" s="24"/>
      <c r="W83" s="24"/>
      <c r="X83" s="24"/>
    </row>
    <row r="84" spans="5:24">
      <c r="E84" s="6" t="s">
        <v>369</v>
      </c>
      <c r="F84" s="7" t="s">
        <v>19</v>
      </c>
      <c r="G84" s="6"/>
      <c r="H84" s="190"/>
      <c r="I84" s="190"/>
      <c r="J84" s="118">
        <f t="shared" si="13"/>
        <v>2</v>
      </c>
      <c r="K84" s="119">
        <f t="shared" si="14"/>
        <v>2</v>
      </c>
      <c r="L84" s="119">
        <f t="shared" si="15"/>
        <v>0</v>
      </c>
      <c r="N84" s="24"/>
      <c r="O84" s="24"/>
      <c r="P84" s="306"/>
      <c r="Q84" s="306">
        <v>2</v>
      </c>
      <c r="R84" s="306"/>
      <c r="S84" s="306"/>
      <c r="T84" s="24"/>
      <c r="U84" s="24"/>
      <c r="V84" s="24"/>
      <c r="W84" s="24"/>
      <c r="X84" s="24"/>
    </row>
    <row r="85" spans="5:24">
      <c r="E85" s="6" t="s">
        <v>373</v>
      </c>
      <c r="F85" s="7" t="s">
        <v>19</v>
      </c>
      <c r="G85" s="6"/>
      <c r="H85" s="190"/>
      <c r="I85" s="190"/>
      <c r="J85" s="118">
        <f t="shared" si="13"/>
        <v>15</v>
      </c>
      <c r="K85" s="119">
        <f t="shared" si="14"/>
        <v>15</v>
      </c>
      <c r="L85" s="119">
        <f t="shared" si="15"/>
        <v>0</v>
      </c>
      <c r="N85" s="24"/>
      <c r="O85" s="24"/>
      <c r="P85" s="306"/>
      <c r="Q85" s="306"/>
      <c r="R85" s="306"/>
      <c r="S85" s="306">
        <v>15</v>
      </c>
      <c r="T85" s="24"/>
      <c r="U85" s="24"/>
      <c r="V85" s="24"/>
      <c r="W85" s="24"/>
      <c r="X85" s="24"/>
    </row>
    <row r="86" spans="5:24">
      <c r="E86" s="6" t="s">
        <v>375</v>
      </c>
      <c r="F86" s="7" t="s">
        <v>19</v>
      </c>
      <c r="G86" s="6"/>
      <c r="H86" s="190"/>
      <c r="I86" s="190"/>
      <c r="J86" s="118">
        <f t="shared" si="13"/>
        <v>301</v>
      </c>
      <c r="K86" s="119">
        <f t="shared" si="14"/>
        <v>301</v>
      </c>
      <c r="L86" s="119">
        <f t="shared" si="15"/>
        <v>0</v>
      </c>
      <c r="N86" s="24"/>
      <c r="O86" s="24"/>
      <c r="P86" s="306">
        <v>160</v>
      </c>
      <c r="Q86" s="306">
        <v>141</v>
      </c>
      <c r="R86" s="306"/>
      <c r="S86" s="306"/>
      <c r="T86" s="24"/>
      <c r="U86" s="24"/>
      <c r="V86" s="24"/>
      <c r="W86" s="24"/>
      <c r="X86" s="24"/>
    </row>
    <row r="87" spans="5:24">
      <c r="E87" s="6"/>
      <c r="F87" s="7"/>
      <c r="G87" s="6"/>
      <c r="H87" s="190"/>
      <c r="I87" s="190"/>
      <c r="J87" s="118"/>
      <c r="K87" s="119"/>
      <c r="L87" s="119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5:24">
      <c r="E88" s="6"/>
      <c r="F88" s="7"/>
      <c r="G88" s="6"/>
      <c r="H88" s="190"/>
      <c r="I88" s="190"/>
      <c r="J88" s="118"/>
      <c r="K88" s="119"/>
      <c r="L88" s="119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5:24">
      <c r="E89" s="6"/>
      <c r="F89" s="7"/>
      <c r="G89" s="6"/>
      <c r="H89" s="190"/>
      <c r="I89" s="190"/>
      <c r="J89" s="118"/>
      <c r="K89" s="119"/>
      <c r="L89" s="119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5:24">
      <c r="E90" s="6"/>
      <c r="F90" s="7"/>
      <c r="G90" s="6"/>
      <c r="H90" s="190"/>
      <c r="I90" s="190"/>
      <c r="J90" s="118"/>
      <c r="K90" s="119"/>
      <c r="L90" s="119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5:24">
      <c r="E91" s="6"/>
      <c r="F91" s="7"/>
      <c r="G91" s="6"/>
      <c r="H91" s="190"/>
      <c r="I91" s="190"/>
      <c r="J91" s="118"/>
      <c r="K91" s="119"/>
      <c r="L91" s="119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5:24">
      <c r="E92" s="13"/>
      <c r="F92" s="7"/>
      <c r="G92" s="6"/>
      <c r="H92" s="12"/>
      <c r="I92" s="12"/>
      <c r="J92" s="118"/>
      <c r="K92" s="119"/>
      <c r="L92" s="119"/>
    </row>
    <row r="93" spans="5:24">
      <c r="E93" s="6"/>
      <c r="F93" s="7"/>
      <c r="G93" s="6"/>
      <c r="H93" s="11"/>
      <c r="I93" s="11"/>
      <c r="J93" s="118"/>
      <c r="K93" s="119"/>
      <c r="L93" s="119"/>
    </row>
    <row r="95" spans="5:24">
      <c r="E95" s="191" t="s">
        <v>320</v>
      </c>
      <c r="F95" s="216">
        <v>46054</v>
      </c>
      <c r="G95" s="192">
        <v>231</v>
      </c>
      <c r="H95" s="271" t="s">
        <v>321</v>
      </c>
    </row>
    <row r="96" spans="5:24">
      <c r="E96" s="195" t="s">
        <v>422</v>
      </c>
      <c r="F96" s="217"/>
      <c r="G96" s="196">
        <v>348</v>
      </c>
      <c r="H96" s="271" t="s">
        <v>321</v>
      </c>
    </row>
    <row r="97" spans="5:25">
      <c r="E97" s="195" t="s">
        <v>423</v>
      </c>
      <c r="F97" s="217"/>
      <c r="G97" s="196">
        <v>151</v>
      </c>
      <c r="H97" s="271" t="s">
        <v>321</v>
      </c>
    </row>
    <row r="98" spans="5:25">
      <c r="E98" s="191" t="s">
        <v>320</v>
      </c>
      <c r="F98" s="216">
        <v>46081</v>
      </c>
      <c r="G98" s="192">
        <v>428</v>
      </c>
      <c r="H98" s="271" t="s">
        <v>321</v>
      </c>
    </row>
    <row r="100" spans="5:25">
      <c r="E100" s="356" t="s">
        <v>324</v>
      </c>
      <c r="F100" s="219"/>
      <c r="G100" s="202"/>
      <c r="H100" s="219" t="s">
        <v>325</v>
      </c>
    </row>
    <row r="101" spans="5:25">
      <c r="E101" s="357" t="s">
        <v>247</v>
      </c>
      <c r="F101" s="286"/>
      <c r="G101" s="287"/>
      <c r="H101" s="359">
        <v>78.679808895099995</v>
      </c>
    </row>
    <row r="102" spans="5:25">
      <c r="E102" s="357" t="s">
        <v>357</v>
      </c>
      <c r="F102" s="286"/>
      <c r="G102" s="287"/>
      <c r="H102" s="359">
        <v>83.971332569399991</v>
      </c>
    </row>
    <row r="103" spans="5:25">
      <c r="E103" s="357" t="s">
        <v>261</v>
      </c>
      <c r="F103" s="286"/>
      <c r="G103" s="287"/>
      <c r="H103" s="359">
        <v>11.945612126450001</v>
      </c>
    </row>
    <row r="104" spans="5:25">
      <c r="E104" s="357" t="s">
        <v>374</v>
      </c>
      <c r="F104" s="286"/>
      <c r="G104" s="287"/>
      <c r="H104" s="359">
        <v>73.404325746879991</v>
      </c>
    </row>
    <row r="105" spans="5:25">
      <c r="E105" s="357" t="s">
        <v>245</v>
      </c>
      <c r="F105" s="286"/>
      <c r="G105" s="287"/>
      <c r="H105" s="359">
        <v>57.231243650540023</v>
      </c>
    </row>
    <row r="106" spans="5:25">
      <c r="E106" s="290"/>
      <c r="F106" s="286"/>
      <c r="G106" s="287"/>
      <c r="H106" s="359"/>
    </row>
    <row r="107" spans="5:25">
      <c r="E107" s="263" t="s">
        <v>344</v>
      </c>
      <c r="F107" s="286"/>
      <c r="G107" s="287"/>
      <c r="H107" s="301">
        <f>SUM(H101:H106)</f>
        <v>305.23232298836996</v>
      </c>
    </row>
    <row r="109" spans="5:25" s="227" customFormat="1">
      <c r="F109" s="278"/>
      <c r="H109" s="280"/>
      <c r="I109" s="280"/>
      <c r="J109" s="280"/>
      <c r="K109" s="281"/>
      <c r="L109" s="281"/>
      <c r="M109" s="281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282"/>
    </row>
    <row r="110" spans="5:25" s="227" customFormat="1" ht="45">
      <c r="E110" s="205"/>
      <c r="F110" s="237"/>
      <c r="G110" s="205"/>
      <c r="H110" s="97" t="s">
        <v>426</v>
      </c>
      <c r="I110" s="54"/>
      <c r="J110" s="54"/>
      <c r="K110" s="281"/>
      <c r="L110" s="281"/>
      <c r="M110" s="281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282"/>
    </row>
    <row r="111" spans="5:25" s="227" customFormat="1">
      <c r="E111" s="205" t="s">
        <v>330</v>
      </c>
      <c r="F111" s="221"/>
      <c r="G111" s="205"/>
      <c r="H111" s="302">
        <f>'W10'!J19</f>
        <v>2342.7469043651663</v>
      </c>
      <c r="I111" s="299"/>
      <c r="J111" s="54"/>
      <c r="K111" s="281"/>
      <c r="L111" s="281"/>
      <c r="M111" s="281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282"/>
    </row>
    <row r="112" spans="5:25" s="227" customFormat="1">
      <c r="E112" s="205" t="s">
        <v>331</v>
      </c>
      <c r="F112" s="221"/>
      <c r="G112" s="205"/>
      <c r="H112" s="302">
        <f>H107</f>
        <v>305.23232298836996</v>
      </c>
      <c r="I112" s="299"/>
      <c r="J112" s="54"/>
      <c r="K112" s="281"/>
      <c r="L112" s="281"/>
      <c r="M112" s="281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282"/>
    </row>
    <row r="113" spans="5:44" s="227" customFormat="1">
      <c r="E113" s="205" t="s">
        <v>332</v>
      </c>
      <c r="F113" s="221"/>
      <c r="G113" s="205"/>
      <c r="H113" s="302">
        <f>J12-'W10'!J12</f>
        <v>47</v>
      </c>
      <c r="I113" s="299"/>
      <c r="J113" s="54"/>
      <c r="K113" s="281"/>
      <c r="L113" s="281"/>
      <c r="M113" s="281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282"/>
    </row>
    <row r="114" spans="5:44" s="227" customFormat="1">
      <c r="E114" s="205" t="s">
        <v>438</v>
      </c>
      <c r="F114" s="221"/>
      <c r="G114" s="205"/>
      <c r="H114" s="302">
        <f>SUM(J82:J86)</f>
        <v>428</v>
      </c>
      <c r="I114" s="299"/>
      <c r="J114" s="54"/>
      <c r="K114" s="281"/>
      <c r="L114" s="281"/>
      <c r="M114" s="281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282"/>
    </row>
    <row r="115" spans="5:44" s="227" customFormat="1">
      <c r="E115" s="205" t="s">
        <v>333</v>
      </c>
      <c r="F115" s="221"/>
      <c r="G115" s="205"/>
      <c r="H115" s="302">
        <f>H111+H112-H113+H114</f>
        <v>3028.9792273535363</v>
      </c>
      <c r="I115" s="299"/>
      <c r="J115" s="54"/>
      <c r="K115" s="281"/>
      <c r="L115" s="281"/>
      <c r="M115" s="281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282"/>
    </row>
    <row r="116" spans="5:44" s="227" customFormat="1">
      <c r="E116" s="205" t="s">
        <v>334</v>
      </c>
      <c r="F116" s="221"/>
      <c r="G116" s="205"/>
      <c r="H116" s="302">
        <f>J19</f>
        <v>2998.0455150999987</v>
      </c>
      <c r="I116" s="300"/>
      <c r="J116" s="54"/>
      <c r="K116" s="281"/>
      <c r="L116" s="281"/>
      <c r="M116" s="281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282"/>
    </row>
    <row r="117" spans="5:44" s="227" customFormat="1">
      <c r="E117" s="205" t="s">
        <v>335</v>
      </c>
      <c r="F117" s="221"/>
      <c r="G117" s="205"/>
      <c r="H117" s="303">
        <f>H115-H116</f>
        <v>30.933712253537578</v>
      </c>
      <c r="I117" s="235" t="s">
        <v>336</v>
      </c>
      <c r="J117" s="54"/>
      <c r="K117" s="281"/>
      <c r="L117" s="281"/>
      <c r="M117" s="281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282"/>
    </row>
    <row r="118" spans="5:44" s="151" customFormat="1">
      <c r="E118" s="205"/>
      <c r="F118" s="237"/>
      <c r="G118" s="205"/>
      <c r="H118" s="54"/>
      <c r="I118" s="54"/>
      <c r="J118" s="54"/>
      <c r="K118" s="260"/>
      <c r="L118" s="260"/>
      <c r="M118" s="260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2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</row>
    <row r="119" spans="5:44">
      <c r="E119" s="205"/>
      <c r="F119" s="237"/>
      <c r="G119" s="205"/>
    </row>
    <row r="120" spans="5:44">
      <c r="E120" s="205"/>
      <c r="F120" s="237"/>
      <c r="G120" s="205"/>
    </row>
    <row r="121" spans="5:44">
      <c r="E121" s="205"/>
      <c r="F121" s="237"/>
      <c r="G121" s="205"/>
    </row>
    <row r="122" spans="5:44">
      <c r="E122" s="205"/>
      <c r="F122" s="237"/>
      <c r="G122" s="205"/>
    </row>
    <row r="123" spans="5:44">
      <c r="E123" s="205"/>
      <c r="F123" s="237"/>
      <c r="G123" s="205"/>
    </row>
    <row r="124" spans="5:44">
      <c r="E124" s="205"/>
      <c r="F124" s="237"/>
      <c r="G124" s="205"/>
    </row>
    <row r="125" spans="5:44">
      <c r="E125" s="205"/>
      <c r="F125" s="237"/>
      <c r="G125" s="205"/>
    </row>
  </sheetData>
  <sheetProtection formatCells="0" formatColumns="0" formatRows="0" insertRows="0" deleteRows="0" autoFilter="0"/>
  <autoFilter ref="E23:AL234" xr:uid="{00000000-0009-0000-0000-00000D000000}"/>
  <mergeCells count="1">
    <mergeCell ref="I4:J4"/>
  </mergeCells>
  <phoneticPr fontId="40"/>
  <dataValidations count="2">
    <dataValidation type="list" allowBlank="1" showInputMessage="1" showErrorMessage="1" sqref="G2" xr:uid="{00000000-0002-0000-0D00-000000000000}">
      <formula1>SOCIETE</formula1>
    </dataValidation>
    <dataValidation type="list" allowBlank="1" showInputMessage="1" showErrorMessage="1" sqref="F24:F93" xr:uid="{1AC25DA2-B3BF-4EFF-879D-A7A05FD72A14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111:H117" unlocked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>
    <tabColor theme="3" tint="0.59999389629810485"/>
    <pageSetUpPr fitToPage="1"/>
  </sheetPr>
  <dimension ref="D1:AL122"/>
  <sheetViews>
    <sheetView showGridLines="0" topLeftCell="A19" zoomScale="93" zoomScaleNormal="93" workbookViewId="0">
      <selection activeCell="G26" sqref="G26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70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March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March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W12</v>
      </c>
      <c r="I9" s="61"/>
      <c r="J9" s="161" t="str">
        <f>+"from "&amp;G6&amp;" 1 until end of "&amp;G4</f>
        <v>from March 1 until end of W12</v>
      </c>
      <c r="K9" s="79"/>
      <c r="L9" s="167" t="str">
        <f>+G6</f>
        <v>March</v>
      </c>
      <c r="M9" s="80"/>
      <c r="N9" s="80"/>
      <c r="O9" s="172" t="str">
        <f>+G4</f>
        <v>W12</v>
      </c>
      <c r="P9" s="173" t="str">
        <f>+VLOOKUP(G4, parameters!$G$9:$I$61,3,0)</f>
        <v>W11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600+320+J10</f>
        <v>1114.7</v>
      </c>
      <c r="I10" s="61"/>
      <c r="J10" s="159">
        <v>194.7</v>
      </c>
      <c r="L10" s="159">
        <f>J10+P17</f>
        <v>948.46661510000013</v>
      </c>
      <c r="N10" s="55"/>
      <c r="O10" s="170">
        <f>+H10+K17</f>
        <v>4082.1920151000004</v>
      </c>
      <c r="P10" s="171" cm="1">
        <f t="array" aca="1" ref="P10" ca="1">INDIRECT(ADDRESS(10,15,,,VLOOKUP($G$4,parameters!$G:$I,3,0)))</f>
        <v>3984.6455650999987</v>
      </c>
      <c r="Q10" s="183">
        <f ca="1">O10-P10</f>
        <v>97.546450000001641</v>
      </c>
      <c r="R10" s="86"/>
    </row>
    <row r="11" spans="5:38" ht="20.45" customHeight="1">
      <c r="E11" s="87" t="s">
        <v>224</v>
      </c>
      <c r="F11" s="88"/>
      <c r="G11" s="89"/>
      <c r="H11" s="16">
        <f>21+J11</f>
        <v>23.52</v>
      </c>
      <c r="I11" s="61"/>
      <c r="J11" s="16">
        <v>2.52</v>
      </c>
      <c r="L11" s="16">
        <f>J11+P18</f>
        <v>4.1831100000000001</v>
      </c>
      <c r="N11" s="55"/>
      <c r="O11" s="152">
        <f>+H11+K18</f>
        <v>31.97326</v>
      </c>
      <c r="P11" s="153" cm="1">
        <f t="array" aca="1" ref="P11" ca="1">INDIRECT(ADDRESS(11,15,,,VLOOKUP($G$4,parameters!$G:$I,3,0)))</f>
        <v>32.399950000000004</v>
      </c>
      <c r="Q11" s="184">
        <f t="shared" ref="Q11:Q12" ca="1" si="0">O11-P11</f>
        <v>-0.42669000000000423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1138.22</v>
      </c>
      <c r="I12" s="61"/>
      <c r="J12" s="126">
        <f>SUM(J10:J11)</f>
        <v>197.22</v>
      </c>
      <c r="K12" s="65"/>
      <c r="L12" s="126">
        <f>SUM(L10:L11)</f>
        <v>952.64972510000018</v>
      </c>
      <c r="M12" s="65"/>
      <c r="N12" s="65"/>
      <c r="O12" s="154">
        <f>SUM(O10:O11)</f>
        <v>4114.1652751000001</v>
      </c>
      <c r="P12" s="155">
        <f ca="1">SUM(P10:P11)</f>
        <v>4017.0455150999987</v>
      </c>
      <c r="Q12" s="156">
        <f t="shared" ca="1" si="0"/>
        <v>97.119760000001406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+SUMIF($F$24:$F$79,"External",$J$24:$J$79)</f>
        <v>2967.4920151000006</v>
      </c>
      <c r="K17" s="108">
        <f>+SUMIF($F$24:$F$79,"External",$K$24:$K$79)</f>
        <v>2967.4920151000006</v>
      </c>
      <c r="L17" s="109">
        <f>+SUMIF($F$24:$F$79,"External",$L$24:$L$79)</f>
        <v>0</v>
      </c>
      <c r="M17" s="110"/>
      <c r="N17" s="111">
        <f t="shared" ref="N17:Y17" si="1">+SUMIF($F$24:$F$79,"External",N$24:N$79)</f>
        <v>0</v>
      </c>
      <c r="O17" s="111">
        <f t="shared" si="1"/>
        <v>0</v>
      </c>
      <c r="P17" s="111">
        <f t="shared" si="1"/>
        <v>753.76661510000008</v>
      </c>
      <c r="Q17" s="111">
        <f t="shared" si="1"/>
        <v>937.38759000000005</v>
      </c>
      <c r="R17" s="111">
        <f t="shared" si="1"/>
        <v>594.14099999999996</v>
      </c>
      <c r="S17" s="111">
        <f t="shared" si="1"/>
        <v>527.38281000000006</v>
      </c>
      <c r="T17" s="111">
        <f t="shared" si="1"/>
        <v>154.81399999999999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+SUMIF($F$24:$F$79,"External",AA$24:AA$79)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+SUMIF($F$24:$F$79,"Group",$J$24:$J$79)</f>
        <v>8.4532600000000002</v>
      </c>
      <c r="K18" s="113">
        <f>+SUMIF($F$24:$F$79,"Group",$K$24:$K$79)</f>
        <v>8.4532600000000002</v>
      </c>
      <c r="L18" s="114">
        <f>SUMIF($F$24:$F$79,"Group",$L$24:$L$79)</f>
        <v>0</v>
      </c>
      <c r="M18" s="110"/>
      <c r="N18" s="114">
        <f t="shared" ref="N18:Y18" si="3">+SUMIF($F$24:$F$79,"Group",N$24:N$79)</f>
        <v>0</v>
      </c>
      <c r="O18" s="114">
        <f t="shared" si="3"/>
        <v>0</v>
      </c>
      <c r="P18" s="114">
        <f t="shared" si="3"/>
        <v>1.6631100000000001</v>
      </c>
      <c r="Q18" s="114">
        <f t="shared" si="3"/>
        <v>6.7901499999999997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+SUMIF($F$24:$F$79,"Group",AA$24:AA$79)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2975.9452751000008</v>
      </c>
      <c r="K19" s="115">
        <f>SUM(K17:K18)</f>
        <v>2975.9452751000008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755.42972510000004</v>
      </c>
      <c r="Q19" s="116">
        <f t="shared" si="5"/>
        <v>944.17774000000009</v>
      </c>
      <c r="R19" s="116">
        <f t="shared" si="5"/>
        <v>594.14099999999996</v>
      </c>
      <c r="S19" s="116">
        <f t="shared" si="5"/>
        <v>527.38281000000006</v>
      </c>
      <c r="T19" s="116">
        <f t="shared" si="5"/>
        <v>154.81399999999999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IF(SUM(J24:J79)=J19,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431</v>
      </c>
      <c r="F24" s="7" t="s">
        <v>19</v>
      </c>
      <c r="G24" s="6" t="s">
        <v>357</v>
      </c>
      <c r="H24" s="187" t="s">
        <v>392</v>
      </c>
      <c r="I24" s="187" t="s">
        <v>439</v>
      </c>
      <c r="J24" s="118">
        <f t="shared" ref="J24:J71" si="7">+K24+L24</f>
        <v>36.705950000000001</v>
      </c>
      <c r="K24" s="119">
        <f t="shared" ref="K24:K71" si="8">SUM(N24:Y24)</f>
        <v>36.705950000000001</v>
      </c>
      <c r="L24" s="119">
        <f t="shared" ref="L24:L71" si="9">SUM(AA24:AL24)</f>
        <v>0</v>
      </c>
      <c r="M24" s="23"/>
      <c r="N24" s="24"/>
      <c r="O24" s="24"/>
      <c r="P24" s="24">
        <v>36.705950000000001</v>
      </c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346</v>
      </c>
      <c r="F25" s="7" t="s">
        <v>19</v>
      </c>
      <c r="G25" s="6" t="s">
        <v>338</v>
      </c>
      <c r="H25" s="188" t="s">
        <v>383</v>
      </c>
      <c r="I25" s="188" t="s">
        <v>380</v>
      </c>
      <c r="J25" s="118">
        <f t="shared" si="7"/>
        <v>1.5283800000000001</v>
      </c>
      <c r="K25" s="119">
        <f t="shared" si="8"/>
        <v>1.5283800000000001</v>
      </c>
      <c r="L25" s="119">
        <f t="shared" si="9"/>
        <v>0</v>
      </c>
      <c r="M25" s="23"/>
      <c r="N25" s="24"/>
      <c r="O25" s="24"/>
      <c r="P25" s="24">
        <v>1.5283800000000001</v>
      </c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>
      <c r="E26" s="6" t="s">
        <v>348</v>
      </c>
      <c r="F26" s="7" t="s">
        <v>19</v>
      </c>
      <c r="G26" s="6" t="s">
        <v>239</v>
      </c>
      <c r="H26" s="188" t="s">
        <v>386</v>
      </c>
      <c r="I26" s="188" t="s">
        <v>439</v>
      </c>
      <c r="J26" s="118">
        <f t="shared" si="7"/>
        <v>7.2912999999999997</v>
      </c>
      <c r="K26" s="119">
        <f t="shared" si="8"/>
        <v>7.2912999999999997</v>
      </c>
      <c r="L26" s="119">
        <f t="shared" si="9"/>
        <v>0</v>
      </c>
      <c r="M26" s="23"/>
      <c r="N26" s="24"/>
      <c r="O26" s="24"/>
      <c r="P26" s="24">
        <v>7.2912999999999997</v>
      </c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349</v>
      </c>
      <c r="F27" s="7" t="s">
        <v>19</v>
      </c>
      <c r="G27" s="6" t="s">
        <v>237</v>
      </c>
      <c r="H27" s="189" t="s">
        <v>385</v>
      </c>
      <c r="I27" s="189" t="s">
        <v>439</v>
      </c>
      <c r="J27" s="118">
        <f t="shared" si="7"/>
        <v>8.0682100000000005</v>
      </c>
      <c r="K27" s="119">
        <f t="shared" si="8"/>
        <v>8.0682100000000005</v>
      </c>
      <c r="L27" s="119">
        <f t="shared" si="9"/>
        <v>0</v>
      </c>
      <c r="M27" s="23"/>
      <c r="N27" s="24"/>
      <c r="O27" s="24"/>
      <c r="P27" s="24">
        <v>8.0682100000000005</v>
      </c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432</v>
      </c>
      <c r="F28" s="7" t="s">
        <v>19</v>
      </c>
      <c r="G28" s="6" t="s">
        <v>357</v>
      </c>
      <c r="H28" s="268" t="s">
        <v>392</v>
      </c>
      <c r="I28" s="268" t="s">
        <v>439</v>
      </c>
      <c r="J28" s="118">
        <f t="shared" si="7"/>
        <v>8.0442499999999999</v>
      </c>
      <c r="K28" s="119">
        <f t="shared" si="8"/>
        <v>8.0442499999999999</v>
      </c>
      <c r="L28" s="119">
        <f t="shared" si="9"/>
        <v>0</v>
      </c>
      <c r="M28" s="23"/>
      <c r="N28" s="24"/>
      <c r="O28" s="24"/>
      <c r="P28" s="24">
        <v>8.0442499999999999</v>
      </c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350</v>
      </c>
      <c r="F29" s="7" t="s">
        <v>19</v>
      </c>
      <c r="G29" s="6" t="s">
        <v>279</v>
      </c>
      <c r="H29" s="268" t="s">
        <v>387</v>
      </c>
      <c r="I29" s="268" t="s">
        <v>380</v>
      </c>
      <c r="J29" s="118">
        <f t="shared" si="7"/>
        <v>307.01274000000001</v>
      </c>
      <c r="K29" s="119">
        <f t="shared" si="8"/>
        <v>307.01274000000001</v>
      </c>
      <c r="L29" s="119">
        <f t="shared" si="9"/>
        <v>0</v>
      </c>
      <c r="M29" s="23"/>
      <c r="N29" s="24"/>
      <c r="O29" s="24"/>
      <c r="P29" s="24"/>
      <c r="Q29" s="24">
        <v>38.80527</v>
      </c>
      <c r="R29" s="24"/>
      <c r="S29" s="24">
        <v>268.20747</v>
      </c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351</v>
      </c>
      <c r="F30" s="7" t="s">
        <v>19</v>
      </c>
      <c r="G30" s="6" t="s">
        <v>282</v>
      </c>
      <c r="H30" s="268" t="s">
        <v>388</v>
      </c>
      <c r="I30" s="268" t="s">
        <v>380</v>
      </c>
      <c r="J30" s="118">
        <f t="shared" si="7"/>
        <v>23.485609999999998</v>
      </c>
      <c r="K30" s="119">
        <f t="shared" si="8"/>
        <v>23.485609999999998</v>
      </c>
      <c r="L30" s="119">
        <f t="shared" si="9"/>
        <v>0</v>
      </c>
      <c r="M30" s="15"/>
      <c r="N30" s="24"/>
      <c r="O30" s="24"/>
      <c r="P30" s="24">
        <v>0.70950000000000002</v>
      </c>
      <c r="Q30" s="24"/>
      <c r="R30" s="24"/>
      <c r="S30" s="24">
        <v>22.776109999999999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353</v>
      </c>
      <c r="F31" s="7" t="s">
        <v>19</v>
      </c>
      <c r="G31" s="6" t="s">
        <v>284</v>
      </c>
      <c r="H31" s="268" t="s">
        <v>383</v>
      </c>
      <c r="I31" s="268" t="s">
        <v>380</v>
      </c>
      <c r="J31" s="118">
        <f t="shared" si="7"/>
        <v>4.5540599999999998</v>
      </c>
      <c r="K31" s="119">
        <f t="shared" si="8"/>
        <v>4.5540599999999998</v>
      </c>
      <c r="L31" s="119">
        <f t="shared" si="9"/>
        <v>0</v>
      </c>
      <c r="M31" s="15"/>
      <c r="N31" s="24"/>
      <c r="O31" s="24"/>
      <c r="P31" s="24">
        <v>4.5540599999999998</v>
      </c>
      <c r="Q31" s="24"/>
      <c r="R31" s="24"/>
      <c r="S31" s="24"/>
      <c r="T31" s="24"/>
      <c r="U31" s="24"/>
      <c r="V31" s="24"/>
      <c r="W31" s="24"/>
      <c r="X31" s="24"/>
    </row>
    <row r="32" spans="4:38">
      <c r="E32" s="6" t="s">
        <v>356</v>
      </c>
      <c r="F32" s="7" t="s">
        <v>17</v>
      </c>
      <c r="G32" s="6" t="s">
        <v>284</v>
      </c>
      <c r="H32" s="268" t="s">
        <v>383</v>
      </c>
      <c r="I32" s="268" t="s">
        <v>380</v>
      </c>
      <c r="J32" s="118">
        <f t="shared" si="7"/>
        <v>6.7901599999999993</v>
      </c>
      <c r="K32" s="119">
        <f t="shared" si="8"/>
        <v>6.7901599999999993</v>
      </c>
      <c r="L32" s="119">
        <f t="shared" si="9"/>
        <v>0</v>
      </c>
      <c r="M32" s="15"/>
      <c r="N32" s="24"/>
      <c r="O32" s="24"/>
      <c r="P32" s="24">
        <v>1.0000000000000001E-5</v>
      </c>
      <c r="Q32" s="24">
        <v>6.7901499999999997</v>
      </c>
      <c r="R32" s="24"/>
      <c r="S32" s="24"/>
      <c r="T32" s="24"/>
      <c r="U32" s="24"/>
      <c r="V32" s="24"/>
      <c r="W32" s="24"/>
      <c r="X32" s="24"/>
    </row>
    <row r="33" spans="5:24">
      <c r="E33" s="6" t="s">
        <v>358</v>
      </c>
      <c r="F33" s="7" t="s">
        <v>17</v>
      </c>
      <c r="G33" s="6" t="s">
        <v>357</v>
      </c>
      <c r="H33" s="268" t="s">
        <v>392</v>
      </c>
      <c r="I33" s="268" t="s">
        <v>439</v>
      </c>
      <c r="J33" s="118">
        <f t="shared" si="7"/>
        <v>1.6631</v>
      </c>
      <c r="K33" s="119">
        <f t="shared" si="8"/>
        <v>1.6631</v>
      </c>
      <c r="L33" s="119">
        <f t="shared" si="9"/>
        <v>0</v>
      </c>
      <c r="M33" s="15"/>
      <c r="N33" s="24"/>
      <c r="O33" s="24"/>
      <c r="P33" s="24">
        <v>1.6631</v>
      </c>
      <c r="Q33" s="24"/>
      <c r="R33" s="24"/>
      <c r="S33" s="24"/>
      <c r="T33" s="24"/>
      <c r="U33" s="24"/>
      <c r="V33" s="24"/>
      <c r="W33" s="24"/>
      <c r="X33" s="24"/>
    </row>
    <row r="34" spans="5:24">
      <c r="E34" s="6" t="s">
        <v>381</v>
      </c>
      <c r="F34" s="7" t="s">
        <v>19</v>
      </c>
      <c r="G34" s="6" t="s">
        <v>245</v>
      </c>
      <c r="H34" s="268" t="s">
        <v>394</v>
      </c>
      <c r="I34" s="268" t="s">
        <v>439</v>
      </c>
      <c r="J34" s="118">
        <f t="shared" si="7"/>
        <v>36.166560000000004</v>
      </c>
      <c r="K34" s="119">
        <f t="shared" si="8"/>
        <v>36.166560000000004</v>
      </c>
      <c r="L34" s="119">
        <f t="shared" si="9"/>
        <v>0</v>
      </c>
      <c r="M34" s="15"/>
      <c r="N34" s="24"/>
      <c r="O34" s="24"/>
      <c r="P34" s="24"/>
      <c r="Q34" s="24"/>
      <c r="R34" s="24">
        <v>13.62978</v>
      </c>
      <c r="S34" s="24">
        <v>22.53678</v>
      </c>
      <c r="T34" s="24"/>
      <c r="U34" s="24"/>
      <c r="V34" s="24"/>
      <c r="W34" s="24"/>
      <c r="X34" s="24"/>
    </row>
    <row r="35" spans="5:24">
      <c r="E35" s="6" t="s">
        <v>382</v>
      </c>
      <c r="F35" s="7" t="s">
        <v>19</v>
      </c>
      <c r="G35" s="6" t="s">
        <v>247</v>
      </c>
      <c r="H35" s="268" t="s">
        <v>395</v>
      </c>
      <c r="I35" s="268" t="s">
        <v>439</v>
      </c>
      <c r="J35" s="118">
        <f t="shared" si="7"/>
        <v>141.83009999999999</v>
      </c>
      <c r="K35" s="119">
        <f t="shared" si="8"/>
        <v>141.83009999999999</v>
      </c>
      <c r="L35" s="119">
        <f t="shared" si="9"/>
        <v>0</v>
      </c>
      <c r="M35" s="15"/>
      <c r="N35" s="24"/>
      <c r="O35" s="24"/>
      <c r="P35" s="24">
        <v>12.615729999999999</v>
      </c>
      <c r="Q35" s="24">
        <v>98.407499999999999</v>
      </c>
      <c r="R35" s="24"/>
      <c r="S35" s="24">
        <v>28.471440000000001</v>
      </c>
      <c r="T35" s="24">
        <v>2.3354300000000001</v>
      </c>
      <c r="U35" s="24"/>
      <c r="V35" s="24"/>
      <c r="W35" s="24"/>
      <c r="X35" s="24"/>
    </row>
    <row r="36" spans="5:24">
      <c r="E36" s="6" t="s">
        <v>382</v>
      </c>
      <c r="F36" s="7" t="s">
        <v>19</v>
      </c>
      <c r="G36" s="6" t="s">
        <v>248</v>
      </c>
      <c r="H36" s="268" t="s">
        <v>406</v>
      </c>
      <c r="I36" s="268" t="s">
        <v>439</v>
      </c>
      <c r="J36" s="118">
        <f t="shared" si="7"/>
        <v>11.717639999999999</v>
      </c>
      <c r="K36" s="119">
        <f t="shared" si="8"/>
        <v>11.717639999999999</v>
      </c>
      <c r="L36" s="119">
        <f t="shared" si="9"/>
        <v>0</v>
      </c>
      <c r="M36" s="15"/>
      <c r="N36" s="24"/>
      <c r="O36" s="24"/>
      <c r="P36" s="24">
        <v>6.5712700000000002</v>
      </c>
      <c r="Q36" s="24">
        <v>2.9518399999999998</v>
      </c>
      <c r="R36" s="24">
        <v>2.1945299999999999</v>
      </c>
      <c r="S36" s="24"/>
      <c r="T36" s="24"/>
      <c r="U36" s="24"/>
      <c r="V36" s="24"/>
      <c r="W36" s="24"/>
      <c r="X36" s="24"/>
    </row>
    <row r="37" spans="5:24">
      <c r="E37" s="6" t="s">
        <v>382</v>
      </c>
      <c r="F37" s="7" t="s">
        <v>19</v>
      </c>
      <c r="G37" s="6" t="s">
        <v>249</v>
      </c>
      <c r="H37" s="268" t="s">
        <v>408</v>
      </c>
      <c r="I37" s="268" t="s">
        <v>439</v>
      </c>
      <c r="J37" s="118">
        <f t="shared" si="7"/>
        <v>91.034660000000002</v>
      </c>
      <c r="K37" s="119">
        <f t="shared" si="8"/>
        <v>91.034660000000002</v>
      </c>
      <c r="L37" s="119">
        <f t="shared" si="9"/>
        <v>0</v>
      </c>
      <c r="M37" s="15"/>
      <c r="N37" s="24"/>
      <c r="O37" s="24"/>
      <c r="P37" s="24">
        <v>22.627000000000002</v>
      </c>
      <c r="Q37" s="24">
        <v>17.573890000000002</v>
      </c>
      <c r="R37" s="24">
        <v>11.78504</v>
      </c>
      <c r="S37" s="24">
        <v>8.2418600000000009</v>
      </c>
      <c r="T37" s="24">
        <v>30.80687</v>
      </c>
      <c r="U37" s="24"/>
      <c r="V37" s="24"/>
      <c r="W37" s="24"/>
      <c r="X37" s="24"/>
    </row>
    <row r="38" spans="5:24">
      <c r="E38" s="6" t="s">
        <v>382</v>
      </c>
      <c r="F38" s="7" t="s">
        <v>19</v>
      </c>
      <c r="G38" s="6" t="s">
        <v>250</v>
      </c>
      <c r="H38" s="268" t="s">
        <v>409</v>
      </c>
      <c r="I38" s="268" t="s">
        <v>439</v>
      </c>
      <c r="J38" s="118">
        <f t="shared" si="7"/>
        <v>139.53832</v>
      </c>
      <c r="K38" s="119">
        <f t="shared" si="8"/>
        <v>139.53832</v>
      </c>
      <c r="L38" s="119">
        <f t="shared" si="9"/>
        <v>0</v>
      </c>
      <c r="M38" s="15"/>
      <c r="N38" s="24"/>
      <c r="O38" s="24"/>
      <c r="P38" s="24">
        <v>28.491759999999999</v>
      </c>
      <c r="Q38" s="24">
        <v>0.36636999999999997</v>
      </c>
      <c r="R38" s="24">
        <v>9.0353000000000012</v>
      </c>
      <c r="S38" s="24">
        <v>72.4542</v>
      </c>
      <c r="T38" s="24">
        <v>29.19069</v>
      </c>
      <c r="U38" s="24"/>
      <c r="V38" s="24"/>
      <c r="W38" s="24"/>
      <c r="X38" s="24"/>
    </row>
    <row r="39" spans="5:24">
      <c r="E39" s="13" t="s">
        <v>382</v>
      </c>
      <c r="F39" s="7" t="s">
        <v>19</v>
      </c>
      <c r="G39" s="6" t="s">
        <v>293</v>
      </c>
      <c r="H39" s="268" t="s">
        <v>410</v>
      </c>
      <c r="I39" s="268" t="s">
        <v>439</v>
      </c>
      <c r="J39" s="118">
        <f t="shared" si="7"/>
        <v>87.963259999999991</v>
      </c>
      <c r="K39" s="119">
        <f t="shared" si="8"/>
        <v>87.963259999999991</v>
      </c>
      <c r="L39" s="119">
        <f t="shared" si="9"/>
        <v>0</v>
      </c>
      <c r="M39" s="15"/>
      <c r="N39" s="24"/>
      <c r="O39" s="24"/>
      <c r="P39" s="24">
        <v>1.6373199999999999</v>
      </c>
      <c r="Q39" s="24">
        <v>0.47303000000000001</v>
      </c>
      <c r="R39" s="24"/>
      <c r="S39" s="24">
        <v>5.9469399999999997</v>
      </c>
      <c r="T39" s="24">
        <v>79.905969999999996</v>
      </c>
      <c r="U39" s="24"/>
      <c r="V39" s="24"/>
      <c r="W39" s="24"/>
      <c r="X39" s="24"/>
    </row>
    <row r="40" spans="5:24">
      <c r="E40" s="6" t="s">
        <v>382</v>
      </c>
      <c r="F40" s="7" t="s">
        <v>19</v>
      </c>
      <c r="G40" s="6" t="s">
        <v>251</v>
      </c>
      <c r="H40" s="188" t="s">
        <v>406</v>
      </c>
      <c r="I40" s="188" t="s">
        <v>439</v>
      </c>
      <c r="J40" s="118">
        <f t="shared" si="7"/>
        <v>61.654669999999996</v>
      </c>
      <c r="K40" s="119">
        <f t="shared" si="8"/>
        <v>61.654669999999996</v>
      </c>
      <c r="L40" s="119">
        <f t="shared" si="9"/>
        <v>0</v>
      </c>
      <c r="M40" s="15"/>
      <c r="N40" s="24"/>
      <c r="O40" s="24"/>
      <c r="P40" s="24">
        <v>24.50451</v>
      </c>
      <c r="Q40" s="24"/>
      <c r="R40" s="24"/>
      <c r="S40" s="24">
        <v>35.643140000000002</v>
      </c>
      <c r="T40" s="24">
        <v>1.50702</v>
      </c>
      <c r="U40" s="24"/>
      <c r="V40" s="24"/>
      <c r="W40" s="24"/>
      <c r="X40" s="24"/>
    </row>
    <row r="41" spans="5:24">
      <c r="E41" s="6" t="s">
        <v>382</v>
      </c>
      <c r="F41" s="7" t="s">
        <v>19</v>
      </c>
      <c r="G41" s="6" t="s">
        <v>252</v>
      </c>
      <c r="H41" s="188" t="s">
        <v>407</v>
      </c>
      <c r="I41" s="188" t="s">
        <v>439</v>
      </c>
      <c r="J41" s="118">
        <f t="shared" si="7"/>
        <v>37.561790000000002</v>
      </c>
      <c r="K41" s="119">
        <f t="shared" si="8"/>
        <v>37.561790000000002</v>
      </c>
      <c r="L41" s="119">
        <f t="shared" si="9"/>
        <v>0</v>
      </c>
      <c r="M41" s="15"/>
      <c r="N41" s="24"/>
      <c r="O41" s="24"/>
      <c r="P41" s="24">
        <v>2.5013700000000001</v>
      </c>
      <c r="Q41" s="24">
        <v>34.281939999999999</v>
      </c>
      <c r="R41" s="24"/>
      <c r="S41" s="24"/>
      <c r="T41" s="24">
        <v>0.77847999999999995</v>
      </c>
      <c r="U41" s="24"/>
      <c r="V41" s="24"/>
      <c r="W41" s="24"/>
      <c r="X41" s="24"/>
    </row>
    <row r="42" spans="5:24">
      <c r="E42" s="6" t="s">
        <v>382</v>
      </c>
      <c r="F42" s="7" t="s">
        <v>19</v>
      </c>
      <c r="G42" s="6" t="s">
        <v>245</v>
      </c>
      <c r="H42" s="189" t="s">
        <v>394</v>
      </c>
      <c r="I42" s="189" t="s">
        <v>439</v>
      </c>
      <c r="J42" s="118">
        <f t="shared" si="7"/>
        <v>59.454160000000009</v>
      </c>
      <c r="K42" s="119">
        <f t="shared" si="8"/>
        <v>59.454160000000009</v>
      </c>
      <c r="L42" s="119">
        <f t="shared" si="9"/>
        <v>0</v>
      </c>
      <c r="M42" s="15"/>
      <c r="N42" s="24"/>
      <c r="O42" s="24"/>
      <c r="P42" s="24">
        <v>48.863580000000006</v>
      </c>
      <c r="Q42" s="24">
        <v>9.5305999999999997</v>
      </c>
      <c r="R42" s="24"/>
      <c r="S42" s="24"/>
      <c r="T42" s="24">
        <v>1.0599799999999999</v>
      </c>
      <c r="U42" s="24"/>
      <c r="V42" s="24"/>
      <c r="W42" s="24"/>
      <c r="X42" s="24"/>
    </row>
    <row r="43" spans="5:24">
      <c r="E43" s="6" t="s">
        <v>360</v>
      </c>
      <c r="F43" s="7" t="s">
        <v>19</v>
      </c>
      <c r="G43" s="6" t="s">
        <v>254</v>
      </c>
      <c r="H43" s="268" t="s">
        <v>393</v>
      </c>
      <c r="I43" s="268" t="s">
        <v>439</v>
      </c>
      <c r="J43" s="118">
        <f t="shared" si="7"/>
        <v>0.28837000000000002</v>
      </c>
      <c r="K43" s="119">
        <f t="shared" si="8"/>
        <v>0.28837000000000002</v>
      </c>
      <c r="L43" s="119">
        <f t="shared" si="9"/>
        <v>0</v>
      </c>
      <c r="M43" s="15"/>
      <c r="N43" s="24"/>
      <c r="O43" s="24"/>
      <c r="P43" s="24">
        <v>0.28837000000000002</v>
      </c>
      <c r="Q43" s="24"/>
      <c r="R43" s="24"/>
      <c r="S43" s="24"/>
      <c r="T43" s="24"/>
      <c r="U43" s="24"/>
      <c r="V43" s="24"/>
      <c r="W43" s="24"/>
      <c r="X43" s="24"/>
    </row>
    <row r="44" spans="5:24">
      <c r="E44" s="6" t="s">
        <v>361</v>
      </c>
      <c r="F44" s="7" t="s">
        <v>19</v>
      </c>
      <c r="G44" s="6" t="s">
        <v>245</v>
      </c>
      <c r="H44" s="268" t="s">
        <v>394</v>
      </c>
      <c r="I44" s="268" t="s">
        <v>439</v>
      </c>
      <c r="J44" s="118">
        <f t="shared" si="7"/>
        <v>155.09715</v>
      </c>
      <c r="K44" s="119">
        <f t="shared" si="8"/>
        <v>155.09715</v>
      </c>
      <c r="L44" s="119">
        <f t="shared" si="9"/>
        <v>0</v>
      </c>
      <c r="M44" s="15"/>
      <c r="N44" s="24"/>
      <c r="O44" s="24"/>
      <c r="P44" s="24"/>
      <c r="Q44" s="24">
        <v>155.09715</v>
      </c>
      <c r="R44" s="24"/>
      <c r="S44" s="24"/>
      <c r="T44" s="24"/>
      <c r="U44" s="24"/>
      <c r="V44" s="24"/>
      <c r="W44" s="24"/>
      <c r="X44" s="24"/>
    </row>
    <row r="45" spans="5:24">
      <c r="E45" s="6" t="s">
        <v>362</v>
      </c>
      <c r="F45" s="7" t="s">
        <v>19</v>
      </c>
      <c r="G45" s="6" t="s">
        <v>247</v>
      </c>
      <c r="H45" s="268" t="s">
        <v>395</v>
      </c>
      <c r="I45" s="268" t="s">
        <v>439</v>
      </c>
      <c r="J45" s="118">
        <f t="shared" si="7"/>
        <v>5.1356000000000002</v>
      </c>
      <c r="K45" s="119">
        <f t="shared" si="8"/>
        <v>5.1356000000000002</v>
      </c>
      <c r="L45" s="119">
        <f t="shared" si="9"/>
        <v>0</v>
      </c>
      <c r="M45" s="15"/>
      <c r="N45" s="24"/>
      <c r="O45" s="24"/>
      <c r="P45" s="24"/>
      <c r="Q45" s="24">
        <v>5.1356000000000002</v>
      </c>
      <c r="R45" s="24"/>
      <c r="S45" s="24"/>
      <c r="T45" s="24"/>
      <c r="U45" s="24"/>
      <c r="V45" s="24"/>
      <c r="W45" s="24"/>
      <c r="X45" s="24"/>
    </row>
    <row r="46" spans="5:24">
      <c r="E46" s="6" t="s">
        <v>434</v>
      </c>
      <c r="F46" s="7" t="s">
        <v>19</v>
      </c>
      <c r="G46" s="6" t="s">
        <v>261</v>
      </c>
      <c r="H46" s="268" t="s">
        <v>399</v>
      </c>
      <c r="I46" s="268" t="s">
        <v>380</v>
      </c>
      <c r="J46" s="118">
        <f t="shared" si="7"/>
        <v>18.97625</v>
      </c>
      <c r="K46" s="119">
        <f t="shared" si="8"/>
        <v>18.97625</v>
      </c>
      <c r="L46" s="119">
        <f t="shared" si="9"/>
        <v>0</v>
      </c>
      <c r="M46" s="15"/>
      <c r="N46" s="24"/>
      <c r="O46" s="24"/>
      <c r="P46" s="24">
        <v>18.97625</v>
      </c>
      <c r="Q46" s="24"/>
      <c r="R46" s="24"/>
      <c r="S46" s="24"/>
      <c r="T46" s="24"/>
      <c r="U46" s="24"/>
      <c r="V46" s="24"/>
      <c r="W46" s="24"/>
      <c r="X46" s="24"/>
    </row>
    <row r="47" spans="5:24">
      <c r="E47" s="6" t="s">
        <v>363</v>
      </c>
      <c r="F47" s="7" t="s">
        <v>19</v>
      </c>
      <c r="G47" s="6" t="s">
        <v>357</v>
      </c>
      <c r="H47" s="268" t="s">
        <v>392</v>
      </c>
      <c r="I47" s="268" t="s">
        <v>439</v>
      </c>
      <c r="J47" s="118">
        <f t="shared" si="7"/>
        <v>41.274099999999997</v>
      </c>
      <c r="K47" s="119">
        <f t="shared" si="8"/>
        <v>41.274099999999997</v>
      </c>
      <c r="L47" s="119">
        <f t="shared" si="9"/>
        <v>0</v>
      </c>
      <c r="M47" s="15"/>
      <c r="N47" s="24"/>
      <c r="O47" s="24"/>
      <c r="P47" s="24">
        <v>9.1045999999999996</v>
      </c>
      <c r="Q47" s="24">
        <v>32.169499999999999</v>
      </c>
      <c r="R47" s="24"/>
      <c r="S47" s="24"/>
      <c r="T47" s="24"/>
      <c r="U47" s="24"/>
      <c r="V47" s="24"/>
      <c r="W47" s="24"/>
      <c r="X47" s="24"/>
    </row>
    <row r="48" spans="5:24">
      <c r="E48" s="6" t="s">
        <v>364</v>
      </c>
      <c r="F48" s="7" t="s">
        <v>19</v>
      </c>
      <c r="G48" s="6" t="s">
        <v>301</v>
      </c>
      <c r="H48" s="268" t="s">
        <v>396</v>
      </c>
      <c r="I48" s="268" t="s">
        <v>439</v>
      </c>
      <c r="J48" s="118">
        <f t="shared" si="7"/>
        <v>99.980339999999998</v>
      </c>
      <c r="K48" s="119">
        <f t="shared" si="8"/>
        <v>99.980339999999998</v>
      </c>
      <c r="L48" s="119">
        <f t="shared" si="9"/>
        <v>0</v>
      </c>
      <c r="M48" s="15"/>
      <c r="N48" s="24"/>
      <c r="O48" s="24"/>
      <c r="P48" s="24"/>
      <c r="Q48" s="24">
        <v>99.980339999999998</v>
      </c>
      <c r="R48" s="24"/>
      <c r="S48" s="24"/>
      <c r="T48" s="24"/>
      <c r="U48" s="24"/>
      <c r="V48" s="24"/>
      <c r="W48" s="24"/>
      <c r="X48" s="24"/>
    </row>
    <row r="49" spans="5:24">
      <c r="E49" s="6" t="s">
        <v>365</v>
      </c>
      <c r="F49" s="7" t="s">
        <v>19</v>
      </c>
      <c r="G49" s="6" t="s">
        <v>282</v>
      </c>
      <c r="H49" s="268" t="s">
        <v>388</v>
      </c>
      <c r="I49" s="268" t="s">
        <v>439</v>
      </c>
      <c r="J49" s="118">
        <f t="shared" si="7"/>
        <v>0.15506</v>
      </c>
      <c r="K49" s="119">
        <f t="shared" si="8"/>
        <v>0.15506</v>
      </c>
      <c r="L49" s="119">
        <f t="shared" si="9"/>
        <v>0</v>
      </c>
      <c r="M49" s="15"/>
      <c r="N49" s="24"/>
      <c r="O49" s="24"/>
      <c r="P49" s="24">
        <v>0.15506</v>
      </c>
      <c r="Q49" s="24"/>
      <c r="R49" s="24"/>
      <c r="S49" s="24"/>
      <c r="T49" s="24"/>
      <c r="U49" s="24"/>
      <c r="V49" s="24"/>
      <c r="W49" s="24"/>
      <c r="X49" s="24"/>
    </row>
    <row r="50" spans="5:24">
      <c r="E50" s="6" t="s">
        <v>365</v>
      </c>
      <c r="F50" s="7" t="s">
        <v>19</v>
      </c>
      <c r="G50" s="6" t="s">
        <v>256</v>
      </c>
      <c r="H50" s="268" t="s">
        <v>397</v>
      </c>
      <c r="I50" s="268" t="s">
        <v>439</v>
      </c>
      <c r="J50" s="118">
        <f t="shared" si="7"/>
        <v>119.77401</v>
      </c>
      <c r="K50" s="119">
        <f t="shared" si="8"/>
        <v>119.77401</v>
      </c>
      <c r="L50" s="119">
        <f t="shared" si="9"/>
        <v>0</v>
      </c>
      <c r="M50" s="15"/>
      <c r="N50" s="24"/>
      <c r="O50" s="24"/>
      <c r="P50" s="24">
        <v>62.474789999999992</v>
      </c>
      <c r="Q50" s="24">
        <v>43.194350000000007</v>
      </c>
      <c r="R50" s="24"/>
      <c r="S50" s="24">
        <v>14.10487</v>
      </c>
      <c r="T50" s="24"/>
      <c r="U50" s="24"/>
      <c r="V50" s="24"/>
      <c r="W50" s="24"/>
      <c r="X50" s="24"/>
    </row>
    <row r="51" spans="5:24">
      <c r="E51" s="6" t="s">
        <v>365</v>
      </c>
      <c r="F51" s="7" t="s">
        <v>19</v>
      </c>
      <c r="G51" s="6" t="s">
        <v>304</v>
      </c>
      <c r="H51" s="268" t="s">
        <v>389</v>
      </c>
      <c r="I51" s="268" t="s">
        <v>380</v>
      </c>
      <c r="J51" s="118">
        <f t="shared" si="7"/>
        <v>16.673770000000001</v>
      </c>
      <c r="K51" s="119">
        <f t="shared" si="8"/>
        <v>16.673770000000001</v>
      </c>
      <c r="L51" s="119">
        <f t="shared" si="9"/>
        <v>0</v>
      </c>
      <c r="M51" s="15"/>
      <c r="N51" s="24"/>
      <c r="O51" s="24"/>
      <c r="P51" s="24"/>
      <c r="Q51" s="24">
        <v>16.673770000000001</v>
      </c>
      <c r="R51" s="24"/>
      <c r="S51" s="24"/>
      <c r="T51" s="24"/>
      <c r="U51" s="24"/>
      <c r="V51" s="24"/>
      <c r="W51" s="24"/>
      <c r="X51" s="24"/>
    </row>
    <row r="52" spans="5:24">
      <c r="E52" s="6" t="s">
        <v>367</v>
      </c>
      <c r="F52" s="7" t="s">
        <v>19</v>
      </c>
      <c r="G52" s="6" t="s">
        <v>258</v>
      </c>
      <c r="H52" s="268" t="s">
        <v>398</v>
      </c>
      <c r="I52" s="268" t="s">
        <v>439</v>
      </c>
      <c r="J52" s="118">
        <f t="shared" si="7"/>
        <v>7.8508599999999999</v>
      </c>
      <c r="K52" s="119">
        <f t="shared" si="8"/>
        <v>7.8508599999999999</v>
      </c>
      <c r="L52" s="119">
        <f t="shared" si="9"/>
        <v>0</v>
      </c>
      <c r="M52" s="15"/>
      <c r="N52" s="24"/>
      <c r="O52" s="24"/>
      <c r="P52" s="24">
        <v>7.8508599999999999</v>
      </c>
      <c r="Q52" s="24"/>
      <c r="R52" s="24"/>
      <c r="S52" s="24"/>
      <c r="T52" s="24"/>
      <c r="U52" s="24"/>
      <c r="V52" s="24"/>
      <c r="W52" s="24"/>
      <c r="X52" s="24"/>
    </row>
    <row r="53" spans="5:24">
      <c r="E53" s="6" t="s">
        <v>368</v>
      </c>
      <c r="F53" s="7" t="s">
        <v>19</v>
      </c>
      <c r="G53" s="6" t="s">
        <v>258</v>
      </c>
      <c r="H53" s="268" t="s">
        <v>398</v>
      </c>
      <c r="I53" s="268" t="s">
        <v>439</v>
      </c>
      <c r="J53" s="118">
        <f t="shared" si="7"/>
        <v>31.689400000000003</v>
      </c>
      <c r="K53" s="119">
        <f t="shared" si="8"/>
        <v>31.689400000000003</v>
      </c>
      <c r="L53" s="119">
        <f t="shared" si="9"/>
        <v>0</v>
      </c>
      <c r="M53" s="15"/>
      <c r="N53" s="24"/>
      <c r="O53" s="24"/>
      <c r="P53" s="24">
        <v>10.14104</v>
      </c>
      <c r="Q53" s="24">
        <v>21.548360000000002</v>
      </c>
      <c r="R53" s="24"/>
      <c r="S53" s="24"/>
      <c r="T53" s="24"/>
      <c r="U53" s="24"/>
      <c r="V53" s="24"/>
      <c r="W53" s="24"/>
      <c r="X53" s="24"/>
    </row>
    <row r="54" spans="5:24">
      <c r="E54" s="6" t="s">
        <v>369</v>
      </c>
      <c r="F54" s="7" t="s">
        <v>19</v>
      </c>
      <c r="G54" s="6" t="s">
        <v>261</v>
      </c>
      <c r="H54" s="268" t="s">
        <v>399</v>
      </c>
      <c r="I54" s="268" t="s">
        <v>439</v>
      </c>
      <c r="J54" s="118">
        <f t="shared" si="7"/>
        <v>18.0709941</v>
      </c>
      <c r="K54" s="119">
        <f t="shared" si="8"/>
        <v>18.0709941</v>
      </c>
      <c r="L54" s="119">
        <f t="shared" si="9"/>
        <v>0</v>
      </c>
      <c r="M54" s="15"/>
      <c r="N54" s="24"/>
      <c r="O54" s="24"/>
      <c r="P54" s="24">
        <v>8.9220641000000001</v>
      </c>
      <c r="Q54" s="24">
        <v>9.14893</v>
      </c>
      <c r="R54" s="24"/>
      <c r="S54" s="24"/>
      <c r="T54" s="24"/>
      <c r="U54" s="24"/>
      <c r="V54" s="24"/>
      <c r="W54" s="24"/>
      <c r="X54" s="24"/>
    </row>
    <row r="55" spans="5:24">
      <c r="E55" s="6" t="s">
        <v>369</v>
      </c>
      <c r="F55" s="7" t="s">
        <v>19</v>
      </c>
      <c r="G55" s="6" t="s">
        <v>261</v>
      </c>
      <c r="H55" s="268" t="s">
        <v>399</v>
      </c>
      <c r="I55" s="268" t="s">
        <v>380</v>
      </c>
      <c r="J55" s="118">
        <f t="shared" si="7"/>
        <v>22.90222</v>
      </c>
      <c r="K55" s="119">
        <f t="shared" si="8"/>
        <v>22.90222</v>
      </c>
      <c r="L55" s="119">
        <f t="shared" si="9"/>
        <v>0</v>
      </c>
      <c r="M55" s="15"/>
      <c r="N55" s="24"/>
      <c r="O55" s="24"/>
      <c r="P55" s="24">
        <v>0.71763999999999994</v>
      </c>
      <c r="Q55" s="24"/>
      <c r="R55" s="24">
        <v>22.18458</v>
      </c>
      <c r="S55" s="24"/>
      <c r="T55" s="24"/>
      <c r="U55" s="24"/>
      <c r="V55" s="24"/>
      <c r="W55" s="24"/>
      <c r="X55" s="24"/>
    </row>
    <row r="56" spans="5:24">
      <c r="E56" s="13" t="s">
        <v>369</v>
      </c>
      <c r="F56" s="7" t="s">
        <v>19</v>
      </c>
      <c r="G56" s="6" t="s">
        <v>370</v>
      </c>
      <c r="H56" s="268" t="s">
        <v>400</v>
      </c>
      <c r="I56" s="268" t="s">
        <v>380</v>
      </c>
      <c r="J56" s="118">
        <f t="shared" si="7"/>
        <v>12.118360000000001</v>
      </c>
      <c r="K56" s="119">
        <f t="shared" si="8"/>
        <v>12.118360000000001</v>
      </c>
      <c r="L56" s="119">
        <f t="shared" si="9"/>
        <v>0</v>
      </c>
      <c r="M56" s="15"/>
      <c r="N56" s="24"/>
      <c r="O56" s="24"/>
      <c r="P56" s="24">
        <v>9.3773300000000006</v>
      </c>
      <c r="Q56" s="24">
        <v>2.7410299999999999</v>
      </c>
      <c r="R56" s="24"/>
      <c r="S56" s="24"/>
      <c r="T56" s="24"/>
      <c r="U56" s="24"/>
      <c r="V56" s="24"/>
      <c r="W56" s="24"/>
      <c r="X56" s="24"/>
    </row>
    <row r="57" spans="5:24">
      <c r="E57" s="6" t="s">
        <v>371</v>
      </c>
      <c r="F57" s="7" t="s">
        <v>19</v>
      </c>
      <c r="G57" s="6" t="s">
        <v>264</v>
      </c>
      <c r="H57" s="268" t="s">
        <v>401</v>
      </c>
      <c r="I57" s="268" t="s">
        <v>380</v>
      </c>
      <c r="J57" s="118">
        <f t="shared" si="7"/>
        <v>37.943170000000002</v>
      </c>
      <c r="K57" s="119">
        <f t="shared" si="8"/>
        <v>37.943170000000002</v>
      </c>
      <c r="L57" s="119">
        <f t="shared" si="9"/>
        <v>0</v>
      </c>
      <c r="N57" s="24"/>
      <c r="O57" s="24"/>
      <c r="P57" s="24">
        <v>6.8090900000000003</v>
      </c>
      <c r="Q57" s="24">
        <v>31.134080000000001</v>
      </c>
      <c r="R57" s="24"/>
      <c r="S57" s="24"/>
      <c r="T57" s="24"/>
      <c r="U57" s="24"/>
      <c r="V57" s="24"/>
      <c r="W57" s="24"/>
      <c r="X57" s="24"/>
    </row>
    <row r="58" spans="5:24">
      <c r="E58" s="6" t="s">
        <v>371</v>
      </c>
      <c r="F58" s="7" t="s">
        <v>19</v>
      </c>
      <c r="G58" s="6" t="s">
        <v>261</v>
      </c>
      <c r="H58" s="268" t="s">
        <v>399</v>
      </c>
      <c r="I58" s="268" t="s">
        <v>380</v>
      </c>
      <c r="J58" s="118">
        <f t="shared" si="7"/>
        <v>16.502559999999999</v>
      </c>
      <c r="K58" s="119">
        <f t="shared" si="8"/>
        <v>16.502559999999999</v>
      </c>
      <c r="L58" s="119">
        <f t="shared" si="9"/>
        <v>0</v>
      </c>
      <c r="N58" s="24"/>
      <c r="O58" s="24"/>
      <c r="P58" s="24"/>
      <c r="Q58" s="24">
        <v>16.502559999999999</v>
      </c>
      <c r="R58" s="24"/>
      <c r="S58" s="24"/>
      <c r="T58" s="24"/>
      <c r="U58" s="24"/>
      <c r="V58" s="24"/>
      <c r="W58" s="24"/>
      <c r="X58" s="24"/>
    </row>
    <row r="59" spans="5:24">
      <c r="E59" s="6" t="s">
        <v>371</v>
      </c>
      <c r="F59" s="7" t="s">
        <v>19</v>
      </c>
      <c r="G59" s="6" t="s">
        <v>372</v>
      </c>
      <c r="H59" s="268" t="s">
        <v>402</v>
      </c>
      <c r="I59" s="268" t="s">
        <v>380</v>
      </c>
      <c r="J59" s="118">
        <f t="shared" si="7"/>
        <v>10.17661</v>
      </c>
      <c r="K59" s="119">
        <f t="shared" si="8"/>
        <v>10.17661</v>
      </c>
      <c r="L59" s="119">
        <f t="shared" si="9"/>
        <v>0</v>
      </c>
      <c r="N59" s="24"/>
      <c r="O59" s="24"/>
      <c r="P59" s="24"/>
      <c r="Q59" s="24">
        <v>10.17661</v>
      </c>
      <c r="R59" s="24"/>
      <c r="S59" s="24"/>
      <c r="T59" s="24"/>
      <c r="U59" s="24"/>
      <c r="V59" s="24"/>
      <c r="W59" s="24"/>
      <c r="X59" s="24"/>
    </row>
    <row r="60" spans="5:24">
      <c r="E60" s="6" t="s">
        <v>371</v>
      </c>
      <c r="F60" s="7" t="s">
        <v>19</v>
      </c>
      <c r="G60" s="6" t="s">
        <v>266</v>
      </c>
      <c r="H60" s="268" t="s">
        <v>389</v>
      </c>
      <c r="I60" s="268" t="s">
        <v>380</v>
      </c>
      <c r="J60" s="118">
        <f t="shared" si="7"/>
        <v>59.741109999999999</v>
      </c>
      <c r="K60" s="119">
        <f t="shared" si="8"/>
        <v>59.741109999999999</v>
      </c>
      <c r="L60" s="119">
        <f t="shared" si="9"/>
        <v>0</v>
      </c>
      <c r="N60" s="24"/>
      <c r="O60" s="24"/>
      <c r="P60" s="24"/>
      <c r="Q60" s="24">
        <v>59.741109999999999</v>
      </c>
      <c r="R60" s="24"/>
      <c r="S60" s="24"/>
      <c r="T60" s="24"/>
      <c r="U60" s="24"/>
      <c r="V60" s="24"/>
      <c r="W60" s="24"/>
      <c r="X60" s="24"/>
    </row>
    <row r="61" spans="5:24">
      <c r="E61" s="13" t="s">
        <v>371</v>
      </c>
      <c r="F61" s="7" t="s">
        <v>19</v>
      </c>
      <c r="G61" s="6" t="s">
        <v>267</v>
      </c>
      <c r="H61" s="268" t="s">
        <v>402</v>
      </c>
      <c r="I61" s="268" t="s">
        <v>380</v>
      </c>
      <c r="J61" s="118">
        <f t="shared" si="7"/>
        <v>8.8069600000000001</v>
      </c>
      <c r="K61" s="119">
        <f t="shared" si="8"/>
        <v>8.8069600000000001</v>
      </c>
      <c r="L61" s="119">
        <f t="shared" si="9"/>
        <v>0</v>
      </c>
      <c r="N61" s="24"/>
      <c r="O61" s="24"/>
      <c r="P61" s="24"/>
      <c r="Q61" s="24">
        <v>8.8069600000000001</v>
      </c>
      <c r="R61" s="24"/>
      <c r="S61" s="24"/>
      <c r="T61" s="24"/>
      <c r="U61" s="24"/>
      <c r="V61" s="24"/>
      <c r="W61" s="24"/>
      <c r="X61" s="24"/>
    </row>
    <row r="62" spans="5:24">
      <c r="E62" s="6" t="s">
        <v>371</v>
      </c>
      <c r="F62" s="7" t="s">
        <v>19</v>
      </c>
      <c r="G62" s="6" t="s">
        <v>370</v>
      </c>
      <c r="H62" s="268" t="s">
        <v>400</v>
      </c>
      <c r="I62" s="268" t="s">
        <v>380</v>
      </c>
      <c r="J62" s="118">
        <f t="shared" si="7"/>
        <v>30.785179999999997</v>
      </c>
      <c r="K62" s="119">
        <f t="shared" si="8"/>
        <v>30.785179999999997</v>
      </c>
      <c r="L62" s="119">
        <f t="shared" si="9"/>
        <v>0</v>
      </c>
      <c r="N62" s="24"/>
      <c r="O62" s="24"/>
      <c r="P62" s="24">
        <v>3.0412499999999998</v>
      </c>
      <c r="Q62" s="24">
        <v>27.743929999999999</v>
      </c>
      <c r="R62" s="24"/>
      <c r="S62" s="24"/>
      <c r="T62" s="24"/>
      <c r="U62" s="24"/>
      <c r="V62" s="24"/>
      <c r="W62" s="24"/>
      <c r="X62" s="24"/>
    </row>
    <row r="63" spans="5:24">
      <c r="E63" s="6" t="s">
        <v>435</v>
      </c>
      <c r="F63" s="7" t="s">
        <v>19</v>
      </c>
      <c r="G63" s="6" t="s">
        <v>357</v>
      </c>
      <c r="H63" s="268" t="s">
        <v>392</v>
      </c>
      <c r="I63" s="268" t="s">
        <v>439</v>
      </c>
      <c r="J63" s="118">
        <f t="shared" si="7"/>
        <v>7.0387199999999996</v>
      </c>
      <c r="K63" s="119">
        <f t="shared" si="8"/>
        <v>7.0387199999999996</v>
      </c>
      <c r="L63" s="119">
        <f t="shared" si="9"/>
        <v>0</v>
      </c>
      <c r="N63" s="24"/>
      <c r="O63" s="24"/>
      <c r="P63" s="24">
        <v>7.0387199999999996</v>
      </c>
      <c r="Q63" s="24"/>
      <c r="R63" s="24"/>
      <c r="S63" s="24"/>
      <c r="T63" s="24"/>
      <c r="U63" s="24"/>
      <c r="V63" s="24"/>
      <c r="W63" s="24"/>
      <c r="X63" s="24"/>
    </row>
    <row r="64" spans="5:24">
      <c r="E64" s="6" t="s">
        <v>436</v>
      </c>
      <c r="F64" s="7" t="s">
        <v>19</v>
      </c>
      <c r="G64" s="6" t="s">
        <v>420</v>
      </c>
      <c r="H64" s="188" t="s">
        <v>421</v>
      </c>
      <c r="I64" s="188" t="s">
        <v>380</v>
      </c>
      <c r="J64" s="118">
        <f t="shared" si="7"/>
        <v>494.17683</v>
      </c>
      <c r="K64" s="119">
        <f t="shared" si="8"/>
        <v>494.17683</v>
      </c>
      <c r="L64" s="119">
        <f t="shared" si="9"/>
        <v>0</v>
      </c>
      <c r="N64" s="24"/>
      <c r="O64" s="24"/>
      <c r="P64" s="24"/>
      <c r="Q64" s="24"/>
      <c r="R64" s="24">
        <v>494.17683</v>
      </c>
      <c r="S64" s="24"/>
      <c r="T64" s="24"/>
      <c r="U64" s="24"/>
      <c r="V64" s="24"/>
      <c r="W64" s="24"/>
      <c r="X64" s="24"/>
    </row>
    <row r="65" spans="5:24">
      <c r="E65" s="6" t="s">
        <v>373</v>
      </c>
      <c r="F65" s="7" t="s">
        <v>19</v>
      </c>
      <c r="G65" s="6" t="s">
        <v>327</v>
      </c>
      <c r="H65" s="188" t="s">
        <v>404</v>
      </c>
      <c r="I65" s="188" t="s">
        <v>380</v>
      </c>
      <c r="J65" s="118">
        <f t="shared" si="7"/>
        <v>41.484351000000004</v>
      </c>
      <c r="K65" s="119">
        <f t="shared" si="8"/>
        <v>41.484351000000004</v>
      </c>
      <c r="L65" s="119">
        <f t="shared" si="9"/>
        <v>0</v>
      </c>
      <c r="N65" s="24"/>
      <c r="O65" s="24"/>
      <c r="P65" s="24">
        <v>41.484351000000004</v>
      </c>
      <c r="Q65" s="24"/>
      <c r="R65" s="24"/>
      <c r="S65" s="24"/>
      <c r="T65" s="24"/>
      <c r="U65" s="24"/>
      <c r="V65" s="24"/>
      <c r="W65" s="24"/>
      <c r="X65" s="24"/>
    </row>
    <row r="66" spans="5:24">
      <c r="E66" s="6" t="s">
        <v>375</v>
      </c>
      <c r="F66" s="7" t="s">
        <v>19</v>
      </c>
      <c r="G66" s="6" t="s">
        <v>374</v>
      </c>
      <c r="H66" s="189" t="s">
        <v>405</v>
      </c>
      <c r="I66" s="189" t="s">
        <v>439</v>
      </c>
      <c r="J66" s="118">
        <f t="shared" si="7"/>
        <v>78.332150000000013</v>
      </c>
      <c r="K66" s="119">
        <f t="shared" si="8"/>
        <v>78.332150000000013</v>
      </c>
      <c r="L66" s="119">
        <f t="shared" si="9"/>
        <v>0</v>
      </c>
      <c r="N66" s="24"/>
      <c r="O66" s="24"/>
      <c r="P66" s="24">
        <v>78.332150000000013</v>
      </c>
      <c r="Q66" s="24">
        <v>0</v>
      </c>
      <c r="R66" s="24"/>
      <c r="S66" s="24"/>
      <c r="T66" s="24"/>
      <c r="U66" s="24"/>
      <c r="V66" s="24"/>
      <c r="W66" s="24"/>
      <c r="X66" s="24"/>
    </row>
    <row r="67" spans="5:24">
      <c r="E67" s="6" t="s">
        <v>376</v>
      </c>
      <c r="F67" s="7" t="s">
        <v>19</v>
      </c>
      <c r="G67" s="6" t="s">
        <v>374</v>
      </c>
      <c r="H67" s="268" t="s">
        <v>405</v>
      </c>
      <c r="I67" s="268" t="s">
        <v>439</v>
      </c>
      <c r="J67" s="118">
        <f t="shared" si="7"/>
        <v>42.985700000000001</v>
      </c>
      <c r="K67" s="119">
        <f t="shared" si="8"/>
        <v>42.985700000000001</v>
      </c>
      <c r="L67" s="119">
        <f t="shared" si="9"/>
        <v>0</v>
      </c>
      <c r="N67" s="24"/>
      <c r="O67" s="24"/>
      <c r="P67" s="24">
        <v>42.985700000000001</v>
      </c>
      <c r="Q67" s="24"/>
      <c r="R67" s="24"/>
      <c r="S67" s="24"/>
      <c r="T67" s="24"/>
      <c r="U67" s="24"/>
      <c r="V67" s="24"/>
      <c r="W67" s="24"/>
      <c r="X67" s="24"/>
    </row>
    <row r="68" spans="5:24">
      <c r="E68" s="6" t="s">
        <v>377</v>
      </c>
      <c r="F68" s="7" t="s">
        <v>19</v>
      </c>
      <c r="G68" s="6" t="s">
        <v>247</v>
      </c>
      <c r="H68" s="268" t="s">
        <v>395</v>
      </c>
      <c r="I68" s="268" t="s">
        <v>439</v>
      </c>
      <c r="J68" s="118">
        <f t="shared" si="7"/>
        <v>3.3210000000000002</v>
      </c>
      <c r="K68" s="119">
        <f t="shared" si="8"/>
        <v>3.3210000000000002</v>
      </c>
      <c r="L68" s="119">
        <f t="shared" si="9"/>
        <v>0</v>
      </c>
      <c r="N68" s="24"/>
      <c r="O68" s="24"/>
      <c r="P68" s="24"/>
      <c r="Q68" s="24">
        <v>3.3210000000000002</v>
      </c>
      <c r="R68" s="24"/>
      <c r="S68" s="24"/>
      <c r="T68" s="24"/>
      <c r="U68" s="24"/>
      <c r="V68" s="24"/>
      <c r="W68" s="24"/>
      <c r="X68" s="24"/>
    </row>
    <row r="69" spans="5:24">
      <c r="E69" s="6" t="s">
        <v>377</v>
      </c>
      <c r="F69" s="7" t="s">
        <v>19</v>
      </c>
      <c r="G69" s="6" t="s">
        <v>272</v>
      </c>
      <c r="H69" s="268" t="s">
        <v>406</v>
      </c>
      <c r="I69" s="268" t="s">
        <v>439</v>
      </c>
      <c r="J69" s="118">
        <f t="shared" si="7"/>
        <v>28.568059999999999</v>
      </c>
      <c r="K69" s="119">
        <f t="shared" si="8"/>
        <v>28.568059999999999</v>
      </c>
      <c r="L69" s="119">
        <f t="shared" si="9"/>
        <v>0</v>
      </c>
      <c r="N69" s="24"/>
      <c r="O69" s="24"/>
      <c r="P69" s="24"/>
      <c r="Q69" s="24">
        <v>28.568059999999999</v>
      </c>
      <c r="R69" s="24"/>
      <c r="S69" s="24"/>
      <c r="T69" s="24"/>
      <c r="U69" s="24"/>
      <c r="V69" s="24"/>
      <c r="W69" s="24"/>
      <c r="X69" s="24"/>
    </row>
    <row r="70" spans="5:24">
      <c r="E70" s="6" t="s">
        <v>377</v>
      </c>
      <c r="F70" s="7" t="s">
        <v>19</v>
      </c>
      <c r="G70" s="6" t="s">
        <v>252</v>
      </c>
      <c r="H70" s="268" t="s">
        <v>407</v>
      </c>
      <c r="I70" s="268" t="s">
        <v>380</v>
      </c>
      <c r="J70" s="118">
        <f t="shared" si="7"/>
        <v>15.549109999999999</v>
      </c>
      <c r="K70" s="119">
        <f t="shared" si="8"/>
        <v>15.549109999999999</v>
      </c>
      <c r="L70" s="119">
        <f t="shared" si="9"/>
        <v>0</v>
      </c>
      <c r="N70" s="24"/>
      <c r="O70" s="24"/>
      <c r="P70" s="24">
        <v>2.3531599999999999</v>
      </c>
      <c r="Q70" s="24">
        <v>13.19595</v>
      </c>
      <c r="R70" s="24"/>
      <c r="S70" s="24"/>
      <c r="T70" s="24"/>
      <c r="U70" s="24"/>
      <c r="V70" s="24"/>
      <c r="W70" s="24"/>
      <c r="X70" s="24"/>
    </row>
    <row r="71" spans="5:24">
      <c r="E71" s="6" t="s">
        <v>246</v>
      </c>
      <c r="F71" s="7" t="s">
        <v>19</v>
      </c>
      <c r="G71" s="6" t="s">
        <v>247</v>
      </c>
      <c r="H71" s="268" t="s">
        <v>395</v>
      </c>
      <c r="I71" s="268" t="s">
        <v>236</v>
      </c>
      <c r="J71" s="118">
        <f t="shared" si="7"/>
        <v>50.48236</v>
      </c>
      <c r="K71" s="119">
        <f t="shared" si="8"/>
        <v>50.48236</v>
      </c>
      <c r="L71" s="119">
        <f t="shared" si="9"/>
        <v>0</v>
      </c>
      <c r="N71" s="24"/>
      <c r="O71" s="24"/>
      <c r="P71" s="24"/>
      <c r="Q71" s="24">
        <v>7.1178600000000003</v>
      </c>
      <c r="R71" s="24">
        <v>34.13494</v>
      </c>
      <c r="S71" s="24"/>
      <c r="T71" s="24">
        <v>9.2295599999999993</v>
      </c>
      <c r="U71" s="24"/>
      <c r="V71" s="24"/>
      <c r="W71" s="24"/>
      <c r="X71" s="24"/>
    </row>
    <row r="72" spans="5:24">
      <c r="E72" s="6"/>
      <c r="F72" s="7"/>
      <c r="G72" s="6"/>
      <c r="H72" s="11"/>
      <c r="I72" s="11"/>
      <c r="J72" s="118"/>
      <c r="K72" s="119"/>
      <c r="L72" s="119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5:24">
      <c r="E73" s="305" t="s">
        <v>437</v>
      </c>
      <c r="F73" s="7"/>
      <c r="G73" s="6"/>
      <c r="H73" s="190"/>
      <c r="I73" s="190"/>
      <c r="J73" s="118"/>
      <c r="K73" s="119"/>
      <c r="L73" s="119"/>
      <c r="N73" s="24"/>
      <c r="O73" s="24"/>
      <c r="P73" s="313"/>
      <c r="Q73" s="313"/>
      <c r="R73" s="313"/>
      <c r="S73" s="313"/>
      <c r="T73" s="313"/>
      <c r="U73" s="24"/>
      <c r="V73" s="24"/>
      <c r="W73" s="24"/>
      <c r="X73" s="24"/>
    </row>
    <row r="74" spans="5:24">
      <c r="E74" s="6" t="s">
        <v>371</v>
      </c>
      <c r="F74" s="7" t="s">
        <v>19</v>
      </c>
      <c r="G74" s="6"/>
      <c r="H74" s="190"/>
      <c r="I74" s="190"/>
      <c r="J74" s="118">
        <f t="shared" ref="J74:J79" si="10">+K74+L74</f>
        <v>24</v>
      </c>
      <c r="K74" s="119">
        <f t="shared" ref="K74:K79" si="11">SUM(N74:Y74)</f>
        <v>24</v>
      </c>
      <c r="L74" s="119">
        <f t="shared" ref="L74:L79" si="12">SUM(AA74:AL74)</f>
        <v>0</v>
      </c>
      <c r="N74" s="24"/>
      <c r="O74" s="24"/>
      <c r="P74" s="313"/>
      <c r="Q74" s="313"/>
      <c r="R74" s="313"/>
      <c r="S74" s="313">
        <v>24</v>
      </c>
      <c r="T74" s="313"/>
      <c r="U74" s="24"/>
      <c r="V74" s="24"/>
      <c r="W74" s="24"/>
      <c r="X74" s="24"/>
    </row>
    <row r="75" spans="5:24">
      <c r="E75" s="6" t="s">
        <v>246</v>
      </c>
      <c r="F75" s="7" t="s">
        <v>19</v>
      </c>
      <c r="G75" s="6"/>
      <c r="H75" s="190"/>
      <c r="I75" s="190"/>
      <c r="J75" s="118">
        <f t="shared" si="10"/>
        <v>86</v>
      </c>
      <c r="K75" s="119">
        <f t="shared" si="11"/>
        <v>86</v>
      </c>
      <c r="L75" s="119">
        <f t="shared" si="12"/>
        <v>0</v>
      </c>
      <c r="N75" s="24"/>
      <c r="O75" s="24"/>
      <c r="P75" s="313">
        <v>69</v>
      </c>
      <c r="Q75" s="313"/>
      <c r="R75" s="313">
        <v>7</v>
      </c>
      <c r="S75" s="313">
        <v>10</v>
      </c>
      <c r="T75" s="313"/>
      <c r="U75" s="24"/>
      <c r="V75" s="24"/>
      <c r="W75" s="24"/>
      <c r="X75" s="24"/>
    </row>
    <row r="76" spans="5:24">
      <c r="E76" s="6" t="s">
        <v>369</v>
      </c>
      <c r="F76" s="7" t="s">
        <v>19</v>
      </c>
      <c r="G76" s="6"/>
      <c r="H76" s="190"/>
      <c r="I76" s="190"/>
      <c r="J76" s="118">
        <f t="shared" si="10"/>
        <v>2</v>
      </c>
      <c r="K76" s="119">
        <f t="shared" si="11"/>
        <v>2</v>
      </c>
      <c r="L76" s="119">
        <f t="shared" si="12"/>
        <v>0</v>
      </c>
      <c r="N76" s="24"/>
      <c r="O76" s="24"/>
      <c r="P76" s="313"/>
      <c r="Q76" s="313">
        <v>2</v>
      </c>
      <c r="R76" s="313"/>
      <c r="S76" s="313"/>
      <c r="T76" s="313"/>
      <c r="U76" s="24"/>
      <c r="V76" s="24"/>
      <c r="W76" s="24"/>
      <c r="X76" s="24"/>
    </row>
    <row r="77" spans="5:24">
      <c r="E77" s="6" t="s">
        <v>373</v>
      </c>
      <c r="F77" s="7" t="s">
        <v>19</v>
      </c>
      <c r="G77" s="6"/>
      <c r="H77" s="190"/>
      <c r="I77" s="190"/>
      <c r="J77" s="118">
        <f t="shared" si="10"/>
        <v>15</v>
      </c>
      <c r="K77" s="119">
        <f t="shared" si="11"/>
        <v>15</v>
      </c>
      <c r="L77" s="119">
        <f t="shared" si="12"/>
        <v>0</v>
      </c>
      <c r="N77" s="24"/>
      <c r="O77" s="24"/>
      <c r="P77" s="313"/>
      <c r="Q77" s="313"/>
      <c r="R77" s="313"/>
      <c r="S77" s="313">
        <v>15</v>
      </c>
      <c r="T77" s="313"/>
      <c r="U77" s="24"/>
      <c r="V77" s="24"/>
      <c r="W77" s="24"/>
      <c r="X77" s="24"/>
    </row>
    <row r="78" spans="5:24">
      <c r="E78" s="6" t="s">
        <v>375</v>
      </c>
      <c r="F78" s="7" t="s">
        <v>19</v>
      </c>
      <c r="G78" s="6"/>
      <c r="H78" s="190"/>
      <c r="I78" s="190"/>
      <c r="J78" s="118">
        <f t="shared" si="10"/>
        <v>301</v>
      </c>
      <c r="K78" s="119">
        <f t="shared" si="11"/>
        <v>301</v>
      </c>
      <c r="L78" s="119">
        <f t="shared" si="12"/>
        <v>0</v>
      </c>
      <c r="N78" s="24"/>
      <c r="O78" s="24"/>
      <c r="P78" s="313">
        <v>160</v>
      </c>
      <c r="Q78" s="313">
        <v>141</v>
      </c>
      <c r="R78" s="313"/>
      <c r="S78" s="313"/>
      <c r="T78" s="313"/>
      <c r="U78" s="24"/>
      <c r="V78" s="24"/>
      <c r="W78" s="24"/>
      <c r="X78" s="24"/>
    </row>
    <row r="79" spans="5:24">
      <c r="E79" s="6"/>
      <c r="F79" s="7"/>
      <c r="G79" s="6"/>
      <c r="H79" s="12"/>
      <c r="I79" s="12"/>
      <c r="J79" s="118">
        <f t="shared" si="10"/>
        <v>0</v>
      </c>
      <c r="K79" s="119">
        <f t="shared" si="11"/>
        <v>0</v>
      </c>
      <c r="L79" s="119">
        <f t="shared" si="12"/>
        <v>0</v>
      </c>
      <c r="N79" s="24"/>
      <c r="O79" s="24"/>
      <c r="P79" s="313"/>
      <c r="Q79" s="313"/>
      <c r="R79" s="313"/>
      <c r="S79" s="313"/>
      <c r="T79" s="313"/>
      <c r="U79" s="24"/>
      <c r="V79" s="24"/>
      <c r="W79" s="24"/>
      <c r="X79" s="24"/>
    </row>
    <row r="82" spans="5:25">
      <c r="E82" s="191" t="s">
        <v>320</v>
      </c>
      <c r="F82" s="216">
        <v>46054</v>
      </c>
      <c r="G82" s="192">
        <v>231</v>
      </c>
      <c r="H82" s="271" t="s">
        <v>321</v>
      </c>
    </row>
    <row r="83" spans="5:25">
      <c r="E83" s="195" t="s">
        <v>422</v>
      </c>
      <c r="F83" s="217"/>
      <c r="G83" s="196">
        <v>348</v>
      </c>
      <c r="H83" s="271" t="s">
        <v>321</v>
      </c>
    </row>
    <row r="84" spans="5:25">
      <c r="E84" s="195" t="s">
        <v>423</v>
      </c>
      <c r="F84" s="217"/>
      <c r="G84" s="196">
        <v>151</v>
      </c>
      <c r="H84" s="271" t="s">
        <v>321</v>
      </c>
    </row>
    <row r="85" spans="5:25">
      <c r="E85" s="191" t="s">
        <v>320</v>
      </c>
      <c r="F85" s="216">
        <v>46081</v>
      </c>
      <c r="G85" s="192">
        <v>428</v>
      </c>
      <c r="H85" s="271" t="s">
        <v>321</v>
      </c>
    </row>
    <row r="87" spans="5:25">
      <c r="E87" s="356" t="s">
        <v>324</v>
      </c>
      <c r="F87" s="219"/>
      <c r="G87" s="202"/>
      <c r="H87" s="219" t="s">
        <v>325</v>
      </c>
    </row>
    <row r="88" spans="5:25">
      <c r="E88" s="357" t="s">
        <v>440</v>
      </c>
      <c r="F88" s="286"/>
      <c r="G88" s="287"/>
      <c r="H88" s="359">
        <v>27.627470000000002</v>
      </c>
    </row>
    <row r="89" spans="5:25">
      <c r="E89" s="357" t="s">
        <v>251</v>
      </c>
      <c r="F89" s="286"/>
      <c r="G89" s="287"/>
      <c r="H89" s="359">
        <v>18.482410000000002</v>
      </c>
    </row>
    <row r="90" spans="5:25">
      <c r="E90" s="290"/>
      <c r="F90" s="286"/>
      <c r="G90" s="287"/>
      <c r="H90" s="359"/>
    </row>
    <row r="91" spans="5:25">
      <c r="E91" s="263" t="s">
        <v>344</v>
      </c>
      <c r="F91" s="286"/>
      <c r="G91" s="287"/>
      <c r="H91" s="301">
        <f>SUM(H88:H90)</f>
        <v>46.109880000000004</v>
      </c>
    </row>
    <row r="93" spans="5:25" hidden="1">
      <c r="E93" s="151"/>
      <c r="F93" s="257"/>
      <c r="G93" s="151"/>
      <c r="H93" s="258"/>
    </row>
    <row r="94" spans="5:25" s="151" customFormat="1" ht="22.5" hidden="1" customHeight="1">
      <c r="F94" s="257"/>
      <c r="H94" s="308" t="s">
        <v>426</v>
      </c>
      <c r="I94" s="258"/>
      <c r="J94" s="258"/>
      <c r="K94" s="260"/>
      <c r="L94" s="260"/>
      <c r="M94" s="260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2"/>
    </row>
    <row r="95" spans="5:25" s="151" customFormat="1" hidden="1">
      <c r="E95" s="151" t="s">
        <v>330</v>
      </c>
      <c r="F95" s="277"/>
      <c r="H95" s="309">
        <f>'W11'!J19</f>
        <v>2998.0455150999987</v>
      </c>
      <c r="I95" s="258"/>
      <c r="J95" s="258"/>
      <c r="K95" s="260"/>
      <c r="L95" s="260"/>
      <c r="M95" s="260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2"/>
    </row>
    <row r="96" spans="5:25" s="151" customFormat="1" hidden="1">
      <c r="E96" s="151" t="s">
        <v>331</v>
      </c>
      <c r="F96" s="277"/>
      <c r="H96" s="309">
        <f>H91</f>
        <v>46.109880000000004</v>
      </c>
      <c r="I96" s="258"/>
      <c r="J96" s="258"/>
      <c r="K96" s="260"/>
      <c r="L96" s="260"/>
      <c r="M96" s="260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2"/>
    </row>
    <row r="97" spans="5:25" s="151" customFormat="1" hidden="1">
      <c r="E97" s="151" t="s">
        <v>332</v>
      </c>
      <c r="F97" s="277"/>
      <c r="H97" s="309">
        <f>J12-'W11'!J12</f>
        <v>119.22</v>
      </c>
      <c r="I97" s="310"/>
      <c r="J97" s="258"/>
      <c r="K97" s="260"/>
      <c r="L97" s="260"/>
      <c r="M97" s="260"/>
      <c r="N97" s="261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2"/>
    </row>
    <row r="98" spans="5:25" s="151" customFormat="1" hidden="1">
      <c r="E98" s="151" t="s">
        <v>333</v>
      </c>
      <c r="F98" s="277"/>
      <c r="H98" s="309">
        <f>H95+H96-H97</f>
        <v>2924.9353950999989</v>
      </c>
      <c r="I98" s="258"/>
      <c r="J98" s="258"/>
      <c r="K98" s="260"/>
      <c r="L98" s="260"/>
      <c r="M98" s="260"/>
      <c r="N98" s="261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2"/>
    </row>
    <row r="99" spans="5:25" s="151" customFormat="1" hidden="1">
      <c r="E99" s="151" t="s">
        <v>334</v>
      </c>
      <c r="F99" s="277"/>
      <c r="H99" s="309">
        <f>J19</f>
        <v>2975.9452751000008</v>
      </c>
      <c r="I99" s="258"/>
      <c r="J99" s="258"/>
      <c r="K99" s="260"/>
      <c r="L99" s="260"/>
      <c r="M99" s="260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2"/>
    </row>
    <row r="100" spans="5:25" s="151" customFormat="1" hidden="1">
      <c r="E100" s="151" t="s">
        <v>335</v>
      </c>
      <c r="F100" s="277"/>
      <c r="H100" s="311">
        <f>H98-H99</f>
        <v>-51.009880000001885</v>
      </c>
      <c r="I100" s="258"/>
      <c r="J100" s="258"/>
      <c r="K100" s="260"/>
      <c r="L100" s="260"/>
      <c r="M100" s="260"/>
      <c r="N100" s="261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2"/>
    </row>
    <row r="101" spans="5:25" hidden="1">
      <c r="E101" s="151"/>
      <c r="F101" s="257"/>
      <c r="G101" s="151"/>
      <c r="H101" s="258"/>
    </row>
    <row r="102" spans="5:25" hidden="1"/>
    <row r="103" spans="5:25">
      <c r="E103" s="205"/>
      <c r="F103" s="237"/>
      <c r="G103" s="205"/>
      <c r="N103" s="238"/>
      <c r="O103" s="238"/>
      <c r="P103" s="238"/>
    </row>
    <row r="104" spans="5:25">
      <c r="E104" s="205"/>
      <c r="F104" s="237"/>
      <c r="G104" s="205"/>
      <c r="N104" s="238"/>
      <c r="O104" s="238"/>
      <c r="P104" s="238"/>
    </row>
    <row r="105" spans="5:25">
      <c r="E105" s="205"/>
      <c r="F105" s="237"/>
      <c r="G105" s="205"/>
      <c r="N105" s="238"/>
      <c r="O105" s="238"/>
      <c r="P105" s="238"/>
    </row>
    <row r="106" spans="5:25">
      <c r="E106" s="205"/>
      <c r="F106" s="237"/>
      <c r="G106" s="205"/>
      <c r="N106" s="238"/>
      <c r="O106" s="238"/>
      <c r="P106" s="238"/>
    </row>
    <row r="107" spans="5:25">
      <c r="E107" s="205"/>
      <c r="F107" s="237"/>
      <c r="G107" s="205"/>
      <c r="N107" s="238"/>
      <c r="O107" s="238"/>
      <c r="P107" s="238"/>
    </row>
    <row r="108" spans="5:25">
      <c r="E108" s="205"/>
      <c r="F108" s="237"/>
      <c r="G108" s="205"/>
      <c r="N108" s="238"/>
      <c r="O108" s="238"/>
      <c r="P108" s="238"/>
    </row>
    <row r="109" spans="5:25">
      <c r="E109" s="205"/>
      <c r="F109" s="237"/>
      <c r="G109" s="205"/>
      <c r="N109" s="238"/>
      <c r="O109" s="238"/>
      <c r="P109" s="238"/>
    </row>
    <row r="110" spans="5:25">
      <c r="E110" s="205"/>
      <c r="F110" s="237"/>
      <c r="G110" s="205"/>
      <c r="N110" s="238"/>
      <c r="O110" s="238"/>
      <c r="P110" s="238"/>
    </row>
    <row r="111" spans="5:25">
      <c r="E111" s="205"/>
      <c r="F111" s="237"/>
      <c r="G111" s="205"/>
      <c r="N111" s="238"/>
      <c r="O111" s="238"/>
      <c r="P111" s="238"/>
    </row>
    <row r="112" spans="5:25">
      <c r="E112" s="205"/>
      <c r="F112" s="237"/>
      <c r="G112" s="205"/>
      <c r="N112" s="238"/>
      <c r="O112" s="238"/>
      <c r="P112" s="238"/>
    </row>
    <row r="113" spans="5:16">
      <c r="E113" s="205"/>
      <c r="F113" s="237"/>
      <c r="G113" s="205"/>
      <c r="N113" s="238"/>
      <c r="O113" s="238"/>
      <c r="P113" s="238"/>
    </row>
    <row r="114" spans="5:16">
      <c r="E114" s="205"/>
      <c r="F114" s="237"/>
      <c r="G114" s="205"/>
      <c r="N114" s="238"/>
      <c r="O114" s="238"/>
      <c r="P114" s="238"/>
    </row>
    <row r="115" spans="5:16">
      <c r="E115" s="205"/>
      <c r="F115" s="237"/>
      <c r="G115" s="205"/>
      <c r="N115" s="238"/>
      <c r="O115" s="238"/>
      <c r="P115" s="238"/>
    </row>
    <row r="116" spans="5:16">
      <c r="E116" s="205"/>
      <c r="F116" s="237"/>
      <c r="G116" s="205"/>
      <c r="N116" s="238"/>
      <c r="O116" s="238"/>
      <c r="P116" s="238"/>
    </row>
    <row r="117" spans="5:16">
      <c r="E117" s="205"/>
      <c r="F117" s="237"/>
      <c r="G117" s="205"/>
      <c r="N117" s="238"/>
      <c r="O117" s="238"/>
      <c r="P117" s="238"/>
    </row>
    <row r="118" spans="5:16">
      <c r="E118" s="205"/>
      <c r="F118" s="237"/>
      <c r="G118" s="205"/>
      <c r="N118" s="238"/>
      <c r="O118" s="238"/>
      <c r="P118" s="238"/>
    </row>
    <row r="119" spans="5:16">
      <c r="E119" s="205"/>
      <c r="F119" s="237"/>
      <c r="G119" s="205"/>
      <c r="N119" s="238"/>
      <c r="O119" s="238"/>
      <c r="P119" s="238"/>
    </row>
    <row r="120" spans="5:16">
      <c r="E120" s="205"/>
      <c r="F120" s="237"/>
      <c r="G120" s="205"/>
      <c r="N120" s="238"/>
      <c r="O120" s="238"/>
      <c r="P120" s="238"/>
    </row>
    <row r="121" spans="5:16">
      <c r="E121" s="205"/>
      <c r="F121" s="237"/>
      <c r="G121" s="205"/>
      <c r="N121" s="238"/>
      <c r="O121" s="238"/>
      <c r="P121" s="238"/>
    </row>
    <row r="122" spans="5:16">
      <c r="E122" s="205"/>
      <c r="F122" s="237"/>
      <c r="G122" s="205"/>
      <c r="N122" s="238"/>
      <c r="O122" s="238"/>
      <c r="P122" s="238"/>
    </row>
  </sheetData>
  <sheetProtection formatCells="0" formatColumns="0" formatRows="0" insertRows="0" deleteRows="0" autoFilter="0"/>
  <autoFilter ref="E23:AL218" xr:uid="{00000000-0009-0000-0000-00000E000000}"/>
  <mergeCells count="1">
    <mergeCell ref="I4:J4"/>
  </mergeCells>
  <phoneticPr fontId="40"/>
  <dataValidations count="2">
    <dataValidation type="list" allowBlank="1" showInputMessage="1" showErrorMessage="1" sqref="G2" xr:uid="{00000000-0002-0000-0E00-000000000000}">
      <formula1>SOCIETE</formula1>
    </dataValidation>
    <dataValidation type="list" allowBlank="1" showInputMessage="1" showErrorMessage="1" sqref="F24:F79" xr:uid="{0A557C40-8451-40A2-B68F-2A5A7C53FFDD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95:H99" unlockedFormula="1"/>
  </ignoredError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>
    <tabColor theme="4" tint="0.39997558519241921"/>
    <pageSetUpPr fitToPage="1"/>
  </sheetPr>
  <dimension ref="D1:AL121"/>
  <sheetViews>
    <sheetView showGridLines="0" topLeftCell="A93" zoomScale="93" zoomScaleNormal="93" workbookViewId="0">
      <selection activeCell="E100" sqref="E100:J111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41.8554687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75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March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March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W13</v>
      </c>
      <c r="I9" s="61"/>
      <c r="J9" s="161" t="str">
        <f>+"from "&amp;G6&amp;" 1 until end of "&amp;G4</f>
        <v>from March 1 until end of W13</v>
      </c>
      <c r="K9" s="79"/>
      <c r="L9" s="167" t="str">
        <f>+G6</f>
        <v>March</v>
      </c>
      <c r="M9" s="80"/>
      <c r="N9" s="80"/>
      <c r="O9" s="172" t="str">
        <f>+G4</f>
        <v>W13</v>
      </c>
      <c r="P9" s="173" t="str">
        <f>+VLOOKUP(G4, parameters!$G$9:$I$61,3,0)</f>
        <v>W12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600+320+J10</f>
        <v>1359</v>
      </c>
      <c r="I10" s="61"/>
      <c r="J10" s="159">
        <v>439</v>
      </c>
      <c r="L10" s="159">
        <f>J10+P17</f>
        <v>668</v>
      </c>
      <c r="N10" s="55"/>
      <c r="O10" s="170">
        <f>+H10+K17</f>
        <v>4715.3463040999995</v>
      </c>
      <c r="P10" s="171" cm="1">
        <f t="array" aca="1" ref="P10" ca="1">INDIRECT(ADDRESS(10,15,,,VLOOKUP($G$4,parameters!$G:$I,3,0)))</f>
        <v>4082.1920151000004</v>
      </c>
      <c r="Q10" s="183">
        <f ca="1">O10-P10</f>
        <v>633.15428899999915</v>
      </c>
      <c r="R10" s="86"/>
    </row>
    <row r="11" spans="5:38" ht="20.45" customHeight="1">
      <c r="E11" s="87" t="s">
        <v>224</v>
      </c>
      <c r="F11" s="88"/>
      <c r="G11" s="89"/>
      <c r="H11" s="16">
        <f>21+J11</f>
        <v>23.52</v>
      </c>
      <c r="I11" s="61"/>
      <c r="J11" s="16">
        <v>2.52</v>
      </c>
      <c r="L11" s="16">
        <f>J11+P18</f>
        <v>2.52</v>
      </c>
      <c r="N11" s="55"/>
      <c r="O11" s="152">
        <f>+H11+K18</f>
        <v>32.183109999999999</v>
      </c>
      <c r="P11" s="153" cm="1">
        <f t="array" aca="1" ref="P11" ca="1">INDIRECT(ADDRESS(11,15,,,VLOOKUP($G$4,parameters!$G:$I,3,0)))</f>
        <v>31.97326</v>
      </c>
      <c r="Q11" s="184">
        <f t="shared" ref="Q11:Q12" ca="1" si="0">O11-P11</f>
        <v>0.20984999999999943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1382.52</v>
      </c>
      <c r="I12" s="61"/>
      <c r="J12" s="126">
        <f>SUM(J10:J11)</f>
        <v>441.52</v>
      </c>
      <c r="K12" s="65"/>
      <c r="L12" s="126">
        <f>SUM(L10:L11)</f>
        <v>670.52</v>
      </c>
      <c r="M12" s="65"/>
      <c r="N12" s="65"/>
      <c r="O12" s="154">
        <f>SUM(O10:O11)</f>
        <v>4747.5294140999995</v>
      </c>
      <c r="P12" s="155">
        <f ca="1">SUM(P10:P11)</f>
        <v>4114.1652751000001</v>
      </c>
      <c r="Q12" s="156">
        <f t="shared" ca="1" si="0"/>
        <v>633.36413899999934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+SUMIF($F$24:$F$96,"External",$J$24:$J$96)</f>
        <v>3356.3463041</v>
      </c>
      <c r="K17" s="108">
        <f>+SUMIF($F$24:$F$96,"External",$K$24:$K$96)</f>
        <v>3356.3463041</v>
      </c>
      <c r="L17" s="109">
        <f>+SUMIF($F$24:$F$96,"External",$L$24:$L$96)</f>
        <v>0</v>
      </c>
      <c r="M17" s="110"/>
      <c r="N17" s="111">
        <f t="shared" ref="N17:Y17" si="1">+SUMIF($F$24:$F$96,"External",N$24:N$96)</f>
        <v>0</v>
      </c>
      <c r="O17" s="111">
        <f t="shared" si="1"/>
        <v>0</v>
      </c>
      <c r="P17" s="111">
        <f t="shared" si="1"/>
        <v>229</v>
      </c>
      <c r="Q17" s="111">
        <f t="shared" si="1"/>
        <v>1234.0214140999999</v>
      </c>
      <c r="R17" s="111">
        <f t="shared" si="1"/>
        <v>584.96417000000008</v>
      </c>
      <c r="S17" s="111">
        <f t="shared" si="1"/>
        <v>1153.6067</v>
      </c>
      <c r="T17" s="111">
        <f t="shared" si="1"/>
        <v>154.75402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+SUMIF($F$24:$F$96,"External",AA$24:AA$96)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+SUMIF($F$24:$F$96,"Group",$J$24:$J$96)</f>
        <v>8.6631099999999996</v>
      </c>
      <c r="K18" s="113">
        <f>+SUMIF($F$24:$F$96,"Group",$K$24:$K$96)</f>
        <v>8.6631099999999996</v>
      </c>
      <c r="L18" s="114">
        <f>SUMIF($F$24:$F$96,"Group",$L$24:$L$96)</f>
        <v>0</v>
      </c>
      <c r="M18" s="110"/>
      <c r="N18" s="114">
        <f t="shared" ref="N18:Y18" si="3">+SUMIF($F$24:$F$96,"Group",N$24:N$96)</f>
        <v>0</v>
      </c>
      <c r="O18" s="114">
        <f t="shared" si="3"/>
        <v>0</v>
      </c>
      <c r="P18" s="114">
        <f t="shared" si="3"/>
        <v>0</v>
      </c>
      <c r="Q18" s="114">
        <f t="shared" si="3"/>
        <v>8.6631099999999996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+SUMIF($F$24:$F$96,"Group",AA$24:AA$96)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3365.0094141</v>
      </c>
      <c r="K19" s="115">
        <f>SUM(K17:K18)</f>
        <v>3365.0094141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229</v>
      </c>
      <c r="Q19" s="116">
        <f t="shared" si="5"/>
        <v>1242.6845240999999</v>
      </c>
      <c r="R19" s="116">
        <f t="shared" si="5"/>
        <v>584.96417000000008</v>
      </c>
      <c r="S19" s="116">
        <f t="shared" si="5"/>
        <v>1153.6067</v>
      </c>
      <c r="T19" s="116">
        <f t="shared" si="5"/>
        <v>154.75402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IF(SUM(J24:J96)=J19,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431</v>
      </c>
      <c r="F24" s="7" t="s">
        <v>19</v>
      </c>
      <c r="G24" s="6" t="s">
        <v>357</v>
      </c>
      <c r="H24" s="187" t="s">
        <v>392</v>
      </c>
      <c r="I24" s="187" t="s">
        <v>439</v>
      </c>
      <c r="J24" s="118">
        <f t="shared" ref="J24" si="7">+K24+L24</f>
        <v>36.705950000000001</v>
      </c>
      <c r="K24" s="119">
        <f t="shared" ref="K24" si="8">SUM(N24:Y24)</f>
        <v>36.705950000000001</v>
      </c>
      <c r="L24" s="119">
        <f t="shared" ref="L24" si="9">SUM(AA24:AL24)</f>
        <v>0</v>
      </c>
      <c r="M24" s="23"/>
      <c r="N24" s="24"/>
      <c r="O24" s="24"/>
      <c r="P24" s="24"/>
      <c r="Q24" s="24">
        <v>36.705950000000001</v>
      </c>
      <c r="R24" s="313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346</v>
      </c>
      <c r="F25" s="7" t="s">
        <v>19</v>
      </c>
      <c r="G25" s="6" t="s">
        <v>235</v>
      </c>
      <c r="H25" s="188" t="s">
        <v>384</v>
      </c>
      <c r="I25" s="188" t="s">
        <v>439</v>
      </c>
      <c r="J25" s="118">
        <f t="shared" ref="J25:J82" si="10">+K25+L25</f>
        <v>0</v>
      </c>
      <c r="K25" s="119">
        <f t="shared" ref="K25:K82" si="11">SUM(N25:Y25)</f>
        <v>0</v>
      </c>
      <c r="L25" s="119">
        <f t="shared" ref="L25:L82" si="12">SUM(AA25:AL25)</f>
        <v>0</v>
      </c>
      <c r="M25" s="23"/>
      <c r="N25" s="24"/>
      <c r="O25" s="24"/>
      <c r="P25" s="24"/>
      <c r="Q25" s="24">
        <v>0</v>
      </c>
      <c r="R25" s="313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346</v>
      </c>
      <c r="F26" s="7" t="s">
        <v>19</v>
      </c>
      <c r="G26" s="6" t="s">
        <v>237</v>
      </c>
      <c r="H26" s="188" t="s">
        <v>385</v>
      </c>
      <c r="I26" s="188" t="s">
        <v>439</v>
      </c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>
        <v>0</v>
      </c>
      <c r="R26" s="313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346</v>
      </c>
      <c r="F27" s="7" t="s">
        <v>19</v>
      </c>
      <c r="G27" s="6" t="s">
        <v>338</v>
      </c>
      <c r="H27" s="188" t="s">
        <v>383</v>
      </c>
      <c r="I27" s="188" t="s">
        <v>380</v>
      </c>
      <c r="J27" s="118">
        <f t="shared" si="10"/>
        <v>1.5283800000000001</v>
      </c>
      <c r="K27" s="119">
        <f t="shared" si="11"/>
        <v>1.5283800000000001</v>
      </c>
      <c r="L27" s="119">
        <f t="shared" si="12"/>
        <v>0</v>
      </c>
      <c r="M27" s="23"/>
      <c r="N27" s="24"/>
      <c r="O27" s="24"/>
      <c r="P27" s="24"/>
      <c r="Q27" s="24">
        <v>1.5283800000000001</v>
      </c>
      <c r="R27" s="313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348</v>
      </c>
      <c r="F28" s="7" t="s">
        <v>19</v>
      </c>
      <c r="G28" s="6" t="s">
        <v>239</v>
      </c>
      <c r="H28" s="188" t="s">
        <v>386</v>
      </c>
      <c r="I28" s="188" t="s">
        <v>439</v>
      </c>
      <c r="J28" s="118">
        <f t="shared" si="10"/>
        <v>7.2912999999999997</v>
      </c>
      <c r="K28" s="119">
        <f t="shared" si="11"/>
        <v>7.2912999999999997</v>
      </c>
      <c r="L28" s="119">
        <f t="shared" si="12"/>
        <v>0</v>
      </c>
      <c r="M28" s="23"/>
      <c r="N28" s="24"/>
      <c r="O28" s="24"/>
      <c r="P28" s="24"/>
      <c r="Q28" s="24">
        <v>7.2912999999999997</v>
      </c>
      <c r="R28" s="313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349</v>
      </c>
      <c r="F29" s="7" t="s">
        <v>19</v>
      </c>
      <c r="G29" s="6" t="s">
        <v>237</v>
      </c>
      <c r="H29" s="189" t="s">
        <v>385</v>
      </c>
      <c r="I29" s="189" t="s">
        <v>439</v>
      </c>
      <c r="J29" s="118">
        <f t="shared" si="10"/>
        <v>8.0682100000000005</v>
      </c>
      <c r="K29" s="119">
        <f t="shared" si="11"/>
        <v>8.0682100000000005</v>
      </c>
      <c r="L29" s="119">
        <f t="shared" si="12"/>
        <v>0</v>
      </c>
      <c r="M29" s="23"/>
      <c r="N29" s="24"/>
      <c r="O29" s="24"/>
      <c r="P29" s="24"/>
      <c r="Q29" s="24">
        <v>8.0682100000000005</v>
      </c>
      <c r="R29" s="313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432</v>
      </c>
      <c r="F30" s="7" t="s">
        <v>19</v>
      </c>
      <c r="G30" s="6" t="s">
        <v>357</v>
      </c>
      <c r="H30" s="190" t="s">
        <v>392</v>
      </c>
      <c r="I30" s="190" t="s">
        <v>439</v>
      </c>
      <c r="J30" s="118">
        <f t="shared" si="10"/>
        <v>8.0442499999999999</v>
      </c>
      <c r="K30" s="119">
        <f t="shared" si="11"/>
        <v>8.0442499999999999</v>
      </c>
      <c r="L30" s="119">
        <f t="shared" si="12"/>
        <v>0</v>
      </c>
      <c r="M30" s="23"/>
      <c r="N30" s="24"/>
      <c r="O30" s="24"/>
      <c r="P30" s="24"/>
      <c r="Q30" s="24">
        <v>8.0442499999999999</v>
      </c>
      <c r="R30" s="313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350</v>
      </c>
      <c r="F31" s="7" t="s">
        <v>19</v>
      </c>
      <c r="G31" s="6" t="s">
        <v>279</v>
      </c>
      <c r="H31" s="190" t="s">
        <v>387</v>
      </c>
      <c r="I31" s="190" t="s">
        <v>380</v>
      </c>
      <c r="J31" s="118">
        <f t="shared" si="10"/>
        <v>307.01274000000001</v>
      </c>
      <c r="K31" s="119">
        <f t="shared" si="11"/>
        <v>307.01274000000001</v>
      </c>
      <c r="L31" s="119">
        <f t="shared" si="12"/>
        <v>0</v>
      </c>
      <c r="M31" s="23"/>
      <c r="N31" s="24"/>
      <c r="O31" s="24"/>
      <c r="P31" s="24"/>
      <c r="Q31" s="24">
        <v>38.80527</v>
      </c>
      <c r="R31" s="313"/>
      <c r="S31" s="24">
        <v>268.20747</v>
      </c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351</v>
      </c>
      <c r="F32" s="7" t="s">
        <v>19</v>
      </c>
      <c r="G32" s="6" t="s">
        <v>282</v>
      </c>
      <c r="H32" s="190" t="s">
        <v>388</v>
      </c>
      <c r="I32" s="190" t="s">
        <v>380</v>
      </c>
      <c r="J32" s="118">
        <f t="shared" si="10"/>
        <v>23.709499999999998</v>
      </c>
      <c r="K32" s="119">
        <f t="shared" si="11"/>
        <v>23.709499999999998</v>
      </c>
      <c r="L32" s="119">
        <f t="shared" si="12"/>
        <v>0</v>
      </c>
      <c r="M32" s="15"/>
      <c r="N32" s="24"/>
      <c r="O32" s="24"/>
      <c r="P32" s="24"/>
      <c r="Q32" s="24">
        <v>0.70950000000000002</v>
      </c>
      <c r="R32" s="313"/>
      <c r="S32" s="24">
        <v>23</v>
      </c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352</v>
      </c>
      <c r="F33" s="7" t="s">
        <v>19</v>
      </c>
      <c r="G33" s="6" t="s">
        <v>340</v>
      </c>
      <c r="H33" s="190" t="s">
        <v>389</v>
      </c>
      <c r="I33" s="190" t="s">
        <v>380</v>
      </c>
      <c r="J33" s="118">
        <f t="shared" si="10"/>
        <v>1.376E-2</v>
      </c>
      <c r="K33" s="119">
        <f t="shared" si="11"/>
        <v>1.376E-2</v>
      </c>
      <c r="L33" s="119">
        <f t="shared" si="12"/>
        <v>0</v>
      </c>
      <c r="M33" s="15"/>
      <c r="N33" s="24"/>
      <c r="O33" s="24"/>
      <c r="P33" s="24"/>
      <c r="Q33" s="24">
        <v>1.376E-2</v>
      </c>
      <c r="R33" s="313"/>
      <c r="S33" s="24"/>
      <c r="T33" s="24"/>
      <c r="U33" s="24"/>
      <c r="V33" s="24"/>
      <c r="W33" s="24"/>
      <c r="X33" s="24"/>
    </row>
    <row r="34" spans="5:24">
      <c r="E34" s="6" t="s">
        <v>353</v>
      </c>
      <c r="F34" s="7" t="s">
        <v>19</v>
      </c>
      <c r="G34" s="6" t="s">
        <v>284</v>
      </c>
      <c r="H34" s="190" t="s">
        <v>383</v>
      </c>
      <c r="I34" s="190" t="s">
        <v>380</v>
      </c>
      <c r="J34" s="118">
        <f t="shared" si="10"/>
        <v>4.5540599999999998</v>
      </c>
      <c r="K34" s="119">
        <f t="shared" si="11"/>
        <v>4.5540599999999998</v>
      </c>
      <c r="L34" s="119">
        <f t="shared" si="12"/>
        <v>0</v>
      </c>
      <c r="M34" s="15"/>
      <c r="N34" s="24"/>
      <c r="O34" s="24"/>
      <c r="P34" s="24"/>
      <c r="Q34" s="24">
        <v>4.5540599999999998</v>
      </c>
      <c r="R34" s="313"/>
      <c r="S34" s="24"/>
      <c r="T34" s="24"/>
      <c r="U34" s="24"/>
      <c r="V34" s="24"/>
      <c r="W34" s="24"/>
      <c r="X34" s="24"/>
    </row>
    <row r="35" spans="5:24">
      <c r="E35" s="6" t="s">
        <v>353</v>
      </c>
      <c r="F35" s="7" t="s">
        <v>19</v>
      </c>
      <c r="G35" s="6" t="s">
        <v>390</v>
      </c>
      <c r="H35" s="190" t="s">
        <v>391</v>
      </c>
      <c r="I35" s="190" t="s">
        <v>380</v>
      </c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>
        <v>0</v>
      </c>
      <c r="R35" s="313"/>
      <c r="S35" s="24"/>
      <c r="T35" s="24"/>
      <c r="U35" s="24"/>
      <c r="V35" s="24"/>
      <c r="W35" s="24"/>
      <c r="X35" s="24"/>
    </row>
    <row r="36" spans="5:24">
      <c r="E36" s="6" t="s">
        <v>356</v>
      </c>
      <c r="F36" s="7" t="s">
        <v>17</v>
      </c>
      <c r="G36" s="6" t="s">
        <v>284</v>
      </c>
      <c r="H36" s="190" t="s">
        <v>383</v>
      </c>
      <c r="I36" s="190" t="s">
        <v>380</v>
      </c>
      <c r="J36" s="118">
        <f t="shared" si="10"/>
        <v>7.0000099999999996</v>
      </c>
      <c r="K36" s="119">
        <f t="shared" si="11"/>
        <v>7.0000099999999996</v>
      </c>
      <c r="L36" s="119">
        <f t="shared" si="12"/>
        <v>0</v>
      </c>
      <c r="M36" s="15"/>
      <c r="N36" s="24"/>
      <c r="O36" s="24"/>
      <c r="P36" s="24"/>
      <c r="Q36" s="24">
        <v>7.0000099999999996</v>
      </c>
      <c r="R36" s="313"/>
      <c r="S36" s="24"/>
      <c r="T36" s="24"/>
      <c r="U36" s="24"/>
      <c r="V36" s="24"/>
      <c r="W36" s="24"/>
      <c r="X36" s="24"/>
    </row>
    <row r="37" spans="5:24">
      <c r="E37" s="6" t="s">
        <v>356</v>
      </c>
      <c r="F37" s="7" t="s">
        <v>17</v>
      </c>
      <c r="G37" s="6" t="s">
        <v>390</v>
      </c>
      <c r="H37" s="190" t="s">
        <v>391</v>
      </c>
      <c r="I37" s="190" t="s">
        <v>380</v>
      </c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>
        <v>0</v>
      </c>
      <c r="R37" s="313"/>
      <c r="S37" s="24"/>
      <c r="T37" s="24"/>
      <c r="U37" s="24"/>
      <c r="V37" s="24"/>
      <c r="W37" s="24"/>
      <c r="X37" s="24"/>
    </row>
    <row r="38" spans="5:24">
      <c r="E38" s="6" t="s">
        <v>433</v>
      </c>
      <c r="F38" s="7" t="s">
        <v>17</v>
      </c>
      <c r="G38" s="6" t="s">
        <v>425</v>
      </c>
      <c r="H38" s="190" t="s">
        <v>428</v>
      </c>
      <c r="I38" s="190" t="s">
        <v>380</v>
      </c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>
        <v>0</v>
      </c>
      <c r="R38" s="313"/>
      <c r="S38" s="24"/>
      <c r="T38" s="24"/>
      <c r="U38" s="24"/>
      <c r="V38" s="24"/>
      <c r="W38" s="24"/>
      <c r="X38" s="24"/>
    </row>
    <row r="39" spans="5:24">
      <c r="E39" s="6" t="s">
        <v>358</v>
      </c>
      <c r="F39" s="7" t="s">
        <v>17</v>
      </c>
      <c r="G39" s="6" t="s">
        <v>357</v>
      </c>
      <c r="H39" s="190" t="s">
        <v>392</v>
      </c>
      <c r="I39" s="190" t="s">
        <v>439</v>
      </c>
      <c r="J39" s="118">
        <f t="shared" si="10"/>
        <v>1.6631</v>
      </c>
      <c r="K39" s="119">
        <f t="shared" si="11"/>
        <v>1.6631</v>
      </c>
      <c r="L39" s="119">
        <f t="shared" si="12"/>
        <v>0</v>
      </c>
      <c r="M39" s="15"/>
      <c r="N39" s="24"/>
      <c r="O39" s="24"/>
      <c r="P39" s="24"/>
      <c r="Q39" s="24">
        <v>1.6631</v>
      </c>
      <c r="R39" s="313"/>
      <c r="S39" s="24"/>
      <c r="T39" s="24"/>
      <c r="U39" s="24"/>
      <c r="V39" s="24"/>
      <c r="W39" s="24"/>
      <c r="X39" s="24"/>
    </row>
    <row r="40" spans="5:24">
      <c r="E40" s="6" t="s">
        <v>381</v>
      </c>
      <c r="F40" s="7" t="s">
        <v>19</v>
      </c>
      <c r="G40" s="6" t="s">
        <v>245</v>
      </c>
      <c r="H40" s="190" t="s">
        <v>394</v>
      </c>
      <c r="I40" s="190" t="s">
        <v>439</v>
      </c>
      <c r="J40" s="118">
        <f t="shared" si="10"/>
        <v>36.166560000000004</v>
      </c>
      <c r="K40" s="119">
        <f t="shared" si="11"/>
        <v>36.166560000000004</v>
      </c>
      <c r="L40" s="119">
        <f t="shared" si="12"/>
        <v>0</v>
      </c>
      <c r="M40" s="15"/>
      <c r="N40" s="24"/>
      <c r="O40" s="24"/>
      <c r="P40" s="24"/>
      <c r="Q40" s="24">
        <v>0</v>
      </c>
      <c r="R40" s="313">
        <v>13.62978</v>
      </c>
      <c r="S40" s="24">
        <v>22.53678</v>
      </c>
      <c r="T40" s="24"/>
      <c r="U40" s="24"/>
      <c r="V40" s="24"/>
      <c r="W40" s="24"/>
      <c r="X40" s="24"/>
    </row>
    <row r="41" spans="5:24">
      <c r="E41" s="6" t="s">
        <v>382</v>
      </c>
      <c r="F41" s="7" t="s">
        <v>19</v>
      </c>
      <c r="G41" s="6" t="s">
        <v>247</v>
      </c>
      <c r="H41" s="190" t="s">
        <v>395</v>
      </c>
      <c r="I41" s="190" t="s">
        <v>439</v>
      </c>
      <c r="J41" s="118">
        <f t="shared" si="10"/>
        <v>119.8301</v>
      </c>
      <c r="K41" s="119">
        <f t="shared" si="11"/>
        <v>119.8301</v>
      </c>
      <c r="L41" s="119">
        <f t="shared" si="12"/>
        <v>0</v>
      </c>
      <c r="M41" s="15"/>
      <c r="N41" s="24"/>
      <c r="O41" s="24"/>
      <c r="P41" s="24"/>
      <c r="Q41" s="24">
        <v>89.023229999999998</v>
      </c>
      <c r="R41" s="313"/>
      <c r="S41" s="24">
        <v>28.471440000000001</v>
      </c>
      <c r="T41" s="24">
        <v>2.3354300000000001</v>
      </c>
      <c r="U41" s="24"/>
      <c r="V41" s="24"/>
      <c r="W41" s="24"/>
      <c r="X41" s="24"/>
    </row>
    <row r="42" spans="5:24">
      <c r="E42" s="6" t="s">
        <v>382</v>
      </c>
      <c r="F42" s="7" t="s">
        <v>19</v>
      </c>
      <c r="G42" s="6" t="s">
        <v>248</v>
      </c>
      <c r="H42" s="190" t="s">
        <v>406</v>
      </c>
      <c r="I42" s="190" t="s">
        <v>439</v>
      </c>
      <c r="J42" s="118">
        <f t="shared" si="10"/>
        <v>10.717639999999999</v>
      </c>
      <c r="K42" s="119">
        <f t="shared" si="11"/>
        <v>10.717639999999999</v>
      </c>
      <c r="L42" s="119">
        <f t="shared" si="12"/>
        <v>0</v>
      </c>
      <c r="M42" s="15"/>
      <c r="N42" s="24"/>
      <c r="O42" s="24"/>
      <c r="P42" s="24"/>
      <c r="Q42" s="24">
        <v>8.5231099999999991</v>
      </c>
      <c r="R42" s="313">
        <v>2.1945299999999999</v>
      </c>
      <c r="S42" s="24"/>
      <c r="T42" s="24"/>
      <c r="U42" s="24"/>
      <c r="V42" s="24"/>
      <c r="W42" s="24"/>
      <c r="X42" s="24"/>
    </row>
    <row r="43" spans="5:24">
      <c r="E43" s="6" t="s">
        <v>382</v>
      </c>
      <c r="F43" s="7" t="s">
        <v>19</v>
      </c>
      <c r="G43" s="6" t="s">
        <v>249</v>
      </c>
      <c r="H43" s="190" t="s">
        <v>406</v>
      </c>
      <c r="I43" s="190" t="s">
        <v>439</v>
      </c>
      <c r="J43" s="118">
        <f t="shared" si="10"/>
        <v>59.034660000000002</v>
      </c>
      <c r="K43" s="119">
        <f t="shared" si="11"/>
        <v>59.034660000000002</v>
      </c>
      <c r="L43" s="119">
        <f t="shared" si="12"/>
        <v>0</v>
      </c>
      <c r="M43" s="15"/>
      <c r="N43" s="24"/>
      <c r="O43" s="24"/>
      <c r="P43" s="24"/>
      <c r="Q43" s="24">
        <v>8.2008900000000047</v>
      </c>
      <c r="R43" s="313">
        <v>11.78504</v>
      </c>
      <c r="S43" s="24">
        <v>8.2418600000000009</v>
      </c>
      <c r="T43" s="24">
        <v>30.80687</v>
      </c>
      <c r="U43" s="24"/>
      <c r="V43" s="24"/>
      <c r="W43" s="24"/>
      <c r="X43" s="24"/>
    </row>
    <row r="44" spans="5:24">
      <c r="E44" s="6" t="s">
        <v>382</v>
      </c>
      <c r="F44" s="7" t="s">
        <v>19</v>
      </c>
      <c r="G44" s="6" t="s">
        <v>250</v>
      </c>
      <c r="H44" s="190" t="s">
        <v>409</v>
      </c>
      <c r="I44" s="190" t="s">
        <v>439</v>
      </c>
      <c r="J44" s="118">
        <f t="shared" si="10"/>
        <v>86.681950000000001</v>
      </c>
      <c r="K44" s="119">
        <f t="shared" si="11"/>
        <v>86.681950000000001</v>
      </c>
      <c r="L44" s="119">
        <f t="shared" si="12"/>
        <v>0</v>
      </c>
      <c r="M44" s="15"/>
      <c r="N44" s="24"/>
      <c r="O44" s="24"/>
      <c r="P44" s="24"/>
      <c r="Q44" s="24">
        <v>1.760000000000872E-3</v>
      </c>
      <c r="R44" s="313">
        <v>3.5300000000001219E-2</v>
      </c>
      <c r="S44" s="24">
        <v>57.4542</v>
      </c>
      <c r="T44" s="24">
        <v>29.19069</v>
      </c>
      <c r="U44" s="24"/>
      <c r="V44" s="24"/>
      <c r="W44" s="24"/>
      <c r="X44" s="24"/>
    </row>
    <row r="45" spans="5:24">
      <c r="E45" s="6" t="s">
        <v>382</v>
      </c>
      <c r="F45" s="7" t="s">
        <v>19</v>
      </c>
      <c r="G45" s="6" t="s">
        <v>293</v>
      </c>
      <c r="H45" s="190" t="s">
        <v>410</v>
      </c>
      <c r="I45" s="190" t="s">
        <v>439</v>
      </c>
      <c r="J45" s="118">
        <f t="shared" si="10"/>
        <v>84.490229999999997</v>
      </c>
      <c r="K45" s="119">
        <f t="shared" si="11"/>
        <v>84.490229999999997</v>
      </c>
      <c r="L45" s="119">
        <f t="shared" si="12"/>
        <v>0</v>
      </c>
      <c r="M45" s="15"/>
      <c r="N45" s="24"/>
      <c r="O45" s="24"/>
      <c r="P45" s="24"/>
      <c r="Q45" s="24">
        <v>-0.36268000000000011</v>
      </c>
      <c r="R45" s="313"/>
      <c r="S45" s="24">
        <v>4.9469399999999997</v>
      </c>
      <c r="T45" s="24">
        <v>79.905969999999996</v>
      </c>
      <c r="U45" s="24"/>
      <c r="V45" s="24"/>
      <c r="W45" s="24"/>
      <c r="X45" s="24"/>
    </row>
    <row r="46" spans="5:24">
      <c r="E46" s="6" t="s">
        <v>382</v>
      </c>
      <c r="F46" s="7" t="s">
        <v>19</v>
      </c>
      <c r="G46" s="6" t="s">
        <v>251</v>
      </c>
      <c r="H46" s="188" t="s">
        <v>406</v>
      </c>
      <c r="I46" s="188" t="s">
        <v>439</v>
      </c>
      <c r="J46" s="118">
        <f t="shared" si="10"/>
        <v>54.654669999999996</v>
      </c>
      <c r="K46" s="119">
        <f t="shared" si="11"/>
        <v>54.654669999999996</v>
      </c>
      <c r="L46" s="119">
        <f t="shared" si="12"/>
        <v>0</v>
      </c>
      <c r="M46" s="15"/>
      <c r="N46" s="24"/>
      <c r="O46" s="24"/>
      <c r="P46" s="24"/>
      <c r="Q46" s="24">
        <v>17.50451</v>
      </c>
      <c r="R46" s="313"/>
      <c r="S46" s="24">
        <v>35.643140000000002</v>
      </c>
      <c r="T46" s="24">
        <v>1.50702</v>
      </c>
      <c r="U46" s="24"/>
      <c r="V46" s="24"/>
      <c r="W46" s="24"/>
      <c r="X46" s="24"/>
    </row>
    <row r="47" spans="5:24">
      <c r="E47" s="6" t="s">
        <v>382</v>
      </c>
      <c r="F47" s="7" t="s">
        <v>19</v>
      </c>
      <c r="G47" s="6" t="s">
        <v>252</v>
      </c>
      <c r="H47" s="188" t="s">
        <v>407</v>
      </c>
      <c r="I47" s="188" t="s">
        <v>439</v>
      </c>
      <c r="J47" s="118">
        <f t="shared" si="10"/>
        <v>35.561790000000002</v>
      </c>
      <c r="K47" s="119">
        <f t="shared" si="11"/>
        <v>35.561790000000002</v>
      </c>
      <c r="L47" s="119">
        <f t="shared" si="12"/>
        <v>0</v>
      </c>
      <c r="M47" s="15"/>
      <c r="N47" s="24"/>
      <c r="O47" s="24"/>
      <c r="P47" s="24"/>
      <c r="Q47" s="24">
        <v>34.78331</v>
      </c>
      <c r="R47" s="313"/>
      <c r="S47" s="24"/>
      <c r="T47" s="24">
        <v>0.77847999999999995</v>
      </c>
      <c r="U47" s="24"/>
      <c r="V47" s="24"/>
      <c r="W47" s="24"/>
      <c r="X47" s="24"/>
    </row>
    <row r="48" spans="5:24">
      <c r="E48" s="6" t="s">
        <v>382</v>
      </c>
      <c r="F48" s="7" t="s">
        <v>19</v>
      </c>
      <c r="G48" s="6" t="s">
        <v>245</v>
      </c>
      <c r="H48" s="189" t="s">
        <v>394</v>
      </c>
      <c r="I48" s="189" t="s">
        <v>439</v>
      </c>
      <c r="J48" s="118">
        <f t="shared" si="10"/>
        <v>9.3941800000000057</v>
      </c>
      <c r="K48" s="119">
        <f t="shared" si="11"/>
        <v>9.3941800000000057</v>
      </c>
      <c r="L48" s="119">
        <f t="shared" si="12"/>
        <v>0</v>
      </c>
      <c r="M48" s="15"/>
      <c r="N48" s="24"/>
      <c r="O48" s="24"/>
      <c r="P48" s="24"/>
      <c r="Q48" s="24">
        <v>8.3941800000000057</v>
      </c>
      <c r="R48" s="313"/>
      <c r="S48" s="24"/>
      <c r="T48" s="24">
        <v>1</v>
      </c>
      <c r="U48" s="24"/>
      <c r="V48" s="24"/>
      <c r="W48" s="24"/>
      <c r="X48" s="24"/>
    </row>
    <row r="49" spans="5:24">
      <c r="E49" s="6" t="s">
        <v>360</v>
      </c>
      <c r="F49" s="7" t="s">
        <v>19</v>
      </c>
      <c r="G49" s="6" t="s">
        <v>254</v>
      </c>
      <c r="H49" s="190" t="s">
        <v>393</v>
      </c>
      <c r="I49" s="190" t="s">
        <v>439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>
        <v>0</v>
      </c>
      <c r="R49" s="313"/>
      <c r="S49" s="24"/>
      <c r="T49" s="24"/>
      <c r="U49" s="24"/>
      <c r="V49" s="24"/>
      <c r="W49" s="24"/>
      <c r="X49" s="24"/>
    </row>
    <row r="50" spans="5:24">
      <c r="E50" s="6" t="s">
        <v>361</v>
      </c>
      <c r="F50" s="7" t="s">
        <v>19</v>
      </c>
      <c r="G50" s="6" t="s">
        <v>245</v>
      </c>
      <c r="H50" s="190" t="s">
        <v>394</v>
      </c>
      <c r="I50" s="190" t="s">
        <v>439</v>
      </c>
      <c r="J50" s="118">
        <f t="shared" si="10"/>
        <v>155</v>
      </c>
      <c r="K50" s="119">
        <f t="shared" si="11"/>
        <v>155</v>
      </c>
      <c r="L50" s="119">
        <f t="shared" si="12"/>
        <v>0</v>
      </c>
      <c r="M50" s="15"/>
      <c r="N50" s="24"/>
      <c r="O50" s="24"/>
      <c r="P50" s="24"/>
      <c r="Q50" s="24">
        <v>155</v>
      </c>
      <c r="R50" s="313"/>
      <c r="S50" s="24"/>
      <c r="T50" s="24"/>
      <c r="U50" s="24"/>
      <c r="V50" s="24"/>
      <c r="W50" s="24"/>
      <c r="X50" s="24"/>
    </row>
    <row r="51" spans="5:24">
      <c r="E51" s="6" t="s">
        <v>362</v>
      </c>
      <c r="F51" s="7" t="s">
        <v>19</v>
      </c>
      <c r="G51" s="6" t="s">
        <v>247</v>
      </c>
      <c r="H51" s="190" t="s">
        <v>395</v>
      </c>
      <c r="I51" s="190" t="s">
        <v>439</v>
      </c>
      <c r="J51" s="118">
        <f t="shared" si="10"/>
        <v>5</v>
      </c>
      <c r="K51" s="119">
        <f t="shared" si="11"/>
        <v>5</v>
      </c>
      <c r="L51" s="119">
        <f t="shared" si="12"/>
        <v>0</v>
      </c>
      <c r="M51" s="15"/>
      <c r="N51" s="24"/>
      <c r="O51" s="24"/>
      <c r="P51" s="24"/>
      <c r="Q51" s="24">
        <v>5</v>
      </c>
      <c r="R51" s="313"/>
      <c r="S51" s="24"/>
      <c r="T51" s="24"/>
      <c r="U51" s="24"/>
      <c r="V51" s="24"/>
      <c r="W51" s="24"/>
      <c r="X51" s="24"/>
    </row>
    <row r="52" spans="5:24">
      <c r="E52" s="6" t="s">
        <v>434</v>
      </c>
      <c r="F52" s="7" t="s">
        <v>19</v>
      </c>
      <c r="G52" s="6" t="s">
        <v>261</v>
      </c>
      <c r="H52" s="190" t="s">
        <v>399</v>
      </c>
      <c r="I52" s="190" t="s">
        <v>380</v>
      </c>
      <c r="J52" s="118">
        <f t="shared" si="10"/>
        <v>18.97625</v>
      </c>
      <c r="K52" s="119">
        <f t="shared" si="11"/>
        <v>18.97625</v>
      </c>
      <c r="L52" s="119">
        <f t="shared" si="12"/>
        <v>0</v>
      </c>
      <c r="M52" s="15"/>
      <c r="N52" s="24"/>
      <c r="O52" s="24"/>
      <c r="P52" s="24"/>
      <c r="Q52" s="24">
        <v>18.97625</v>
      </c>
      <c r="R52" s="313"/>
      <c r="S52" s="24"/>
      <c r="T52" s="24"/>
      <c r="U52" s="24"/>
      <c r="V52" s="24"/>
      <c r="W52" s="24"/>
      <c r="X52" s="24"/>
    </row>
    <row r="53" spans="5:24">
      <c r="E53" s="6" t="s">
        <v>363</v>
      </c>
      <c r="F53" s="7" t="s">
        <v>19</v>
      </c>
      <c r="G53" s="6" t="s">
        <v>357</v>
      </c>
      <c r="H53" s="190" t="s">
        <v>392</v>
      </c>
      <c r="I53" s="190" t="s">
        <v>439</v>
      </c>
      <c r="J53" s="118">
        <f t="shared" si="10"/>
        <v>0.10459999999999958</v>
      </c>
      <c r="K53" s="119">
        <f t="shared" si="11"/>
        <v>0.10459999999999958</v>
      </c>
      <c r="L53" s="119">
        <f t="shared" si="12"/>
        <v>0</v>
      </c>
      <c r="M53" s="15"/>
      <c r="N53" s="24"/>
      <c r="O53" s="24"/>
      <c r="P53" s="24"/>
      <c r="Q53" s="24">
        <v>0.10459999999999958</v>
      </c>
      <c r="R53" s="313"/>
      <c r="S53" s="24"/>
      <c r="T53" s="24"/>
      <c r="U53" s="24"/>
      <c r="V53" s="24"/>
      <c r="W53" s="24"/>
      <c r="X53" s="24"/>
    </row>
    <row r="54" spans="5:24">
      <c r="E54" s="6" t="s">
        <v>364</v>
      </c>
      <c r="F54" s="7" t="s">
        <v>19</v>
      </c>
      <c r="G54" s="6" t="s">
        <v>301</v>
      </c>
      <c r="H54" s="190" t="s">
        <v>396</v>
      </c>
      <c r="I54" s="190" t="s">
        <v>439</v>
      </c>
      <c r="J54" s="118">
        <f t="shared" si="10"/>
        <v>100</v>
      </c>
      <c r="K54" s="119">
        <f t="shared" si="11"/>
        <v>100</v>
      </c>
      <c r="L54" s="119">
        <f t="shared" si="12"/>
        <v>0</v>
      </c>
      <c r="M54" s="15"/>
      <c r="N54" s="24"/>
      <c r="O54" s="24"/>
      <c r="P54" s="24"/>
      <c r="Q54" s="24">
        <v>100</v>
      </c>
      <c r="R54" s="313"/>
      <c r="S54" s="24"/>
      <c r="T54" s="24"/>
      <c r="U54" s="24"/>
      <c r="V54" s="24"/>
      <c r="W54" s="24"/>
      <c r="X54" s="24"/>
    </row>
    <row r="55" spans="5:24">
      <c r="E55" s="6" t="s">
        <v>365</v>
      </c>
      <c r="F55" s="7" t="s">
        <v>19</v>
      </c>
      <c r="G55" s="6" t="s">
        <v>282</v>
      </c>
      <c r="H55" s="190" t="s">
        <v>388</v>
      </c>
      <c r="I55" s="190" t="s">
        <v>439</v>
      </c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>
        <v>0</v>
      </c>
      <c r="R55" s="313"/>
      <c r="S55" s="24"/>
      <c r="T55" s="24"/>
      <c r="U55" s="24"/>
      <c r="V55" s="24"/>
      <c r="W55" s="24"/>
      <c r="X55" s="24"/>
    </row>
    <row r="56" spans="5:24">
      <c r="E56" s="6" t="s">
        <v>365</v>
      </c>
      <c r="F56" s="7" t="s">
        <v>19</v>
      </c>
      <c r="G56" s="6" t="s">
        <v>256</v>
      </c>
      <c r="H56" s="190" t="s">
        <v>397</v>
      </c>
      <c r="I56" s="190" t="s">
        <v>439</v>
      </c>
      <c r="J56" s="118">
        <f t="shared" si="10"/>
        <v>96.774010000000004</v>
      </c>
      <c r="K56" s="119">
        <f t="shared" si="11"/>
        <v>96.774010000000004</v>
      </c>
      <c r="L56" s="119">
        <f t="shared" si="12"/>
        <v>0</v>
      </c>
      <c r="M56" s="15"/>
      <c r="N56" s="24"/>
      <c r="O56" s="24"/>
      <c r="P56" s="24"/>
      <c r="Q56" s="24">
        <v>82.669139999999999</v>
      </c>
      <c r="R56" s="313"/>
      <c r="S56" s="24">
        <v>14.10487</v>
      </c>
      <c r="T56" s="24"/>
      <c r="U56" s="24"/>
      <c r="V56" s="24"/>
      <c r="W56" s="24"/>
      <c r="X56" s="24"/>
    </row>
    <row r="57" spans="5:24">
      <c r="E57" s="6" t="s">
        <v>365</v>
      </c>
      <c r="F57" s="7" t="s">
        <v>19</v>
      </c>
      <c r="G57" s="6" t="s">
        <v>282</v>
      </c>
      <c r="H57" s="190" t="s">
        <v>388</v>
      </c>
      <c r="I57" s="190" t="s">
        <v>380</v>
      </c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>
        <v>0</v>
      </c>
      <c r="R57" s="313"/>
      <c r="S57" s="24"/>
      <c r="T57" s="24"/>
      <c r="U57" s="24"/>
      <c r="V57" s="24"/>
      <c r="W57" s="24"/>
      <c r="X57" s="24"/>
    </row>
    <row r="58" spans="5:24">
      <c r="E58" s="6" t="s">
        <v>365</v>
      </c>
      <c r="F58" s="7" t="s">
        <v>19</v>
      </c>
      <c r="G58" s="6" t="s">
        <v>366</v>
      </c>
      <c r="H58" s="190" t="s">
        <v>389</v>
      </c>
      <c r="I58" s="190" t="s">
        <v>380</v>
      </c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>
        <v>0</v>
      </c>
      <c r="R58" s="313"/>
      <c r="S58" s="24"/>
      <c r="T58" s="24"/>
      <c r="U58" s="24"/>
      <c r="V58" s="24"/>
      <c r="W58" s="24"/>
      <c r="X58" s="24"/>
    </row>
    <row r="59" spans="5:24">
      <c r="E59" s="6" t="s">
        <v>365</v>
      </c>
      <c r="F59" s="7" t="s">
        <v>19</v>
      </c>
      <c r="G59" s="6" t="s">
        <v>304</v>
      </c>
      <c r="H59" s="190" t="s">
        <v>389</v>
      </c>
      <c r="I59" s="190" t="s">
        <v>380</v>
      </c>
      <c r="J59" s="118">
        <f t="shared" si="10"/>
        <v>17</v>
      </c>
      <c r="K59" s="119">
        <f t="shared" si="11"/>
        <v>17</v>
      </c>
      <c r="L59" s="119">
        <f t="shared" si="12"/>
        <v>0</v>
      </c>
      <c r="M59" s="15"/>
      <c r="N59" s="24"/>
      <c r="O59" s="24"/>
      <c r="P59" s="24"/>
      <c r="Q59" s="24">
        <v>17</v>
      </c>
      <c r="R59" s="313"/>
      <c r="S59" s="24"/>
      <c r="T59" s="24"/>
      <c r="U59" s="24"/>
      <c r="V59" s="24"/>
      <c r="W59" s="24"/>
      <c r="X59" s="24"/>
    </row>
    <row r="60" spans="5:24">
      <c r="E60" s="6" t="s">
        <v>367</v>
      </c>
      <c r="F60" s="7" t="s">
        <v>19</v>
      </c>
      <c r="G60" s="6" t="s">
        <v>258</v>
      </c>
      <c r="H60" s="190" t="s">
        <v>398</v>
      </c>
      <c r="I60" s="190" t="s">
        <v>439</v>
      </c>
      <c r="J60" s="118">
        <f t="shared" si="10"/>
        <v>3.8508599999999999</v>
      </c>
      <c r="K60" s="119">
        <f t="shared" si="11"/>
        <v>3.8508599999999999</v>
      </c>
      <c r="L60" s="119">
        <f t="shared" si="12"/>
        <v>0</v>
      </c>
      <c r="M60" s="15"/>
      <c r="N60" s="24"/>
      <c r="O60" s="24"/>
      <c r="P60" s="24"/>
      <c r="Q60" s="24">
        <v>3.8508599999999999</v>
      </c>
      <c r="R60" s="313"/>
      <c r="S60" s="24"/>
      <c r="T60" s="24"/>
      <c r="U60" s="24"/>
      <c r="V60" s="24"/>
      <c r="W60" s="24"/>
      <c r="X60" s="24"/>
    </row>
    <row r="61" spans="5:24">
      <c r="E61" s="6" t="s">
        <v>368</v>
      </c>
      <c r="F61" s="7" t="s">
        <v>19</v>
      </c>
      <c r="G61" s="6" t="s">
        <v>258</v>
      </c>
      <c r="H61" s="190" t="s">
        <v>398</v>
      </c>
      <c r="I61" s="190" t="s">
        <v>439</v>
      </c>
      <c r="J61" s="118">
        <f t="shared" si="10"/>
        <v>25.689400000000003</v>
      </c>
      <c r="K61" s="119">
        <f t="shared" si="11"/>
        <v>25.689400000000003</v>
      </c>
      <c r="L61" s="119">
        <f t="shared" si="12"/>
        <v>0</v>
      </c>
      <c r="M61" s="15"/>
      <c r="N61" s="24"/>
      <c r="O61" s="24"/>
      <c r="P61" s="24"/>
      <c r="Q61" s="24">
        <v>25.689400000000003</v>
      </c>
      <c r="R61" s="313"/>
      <c r="S61" s="24"/>
      <c r="T61" s="24"/>
      <c r="U61" s="24"/>
      <c r="V61" s="24"/>
      <c r="W61" s="24"/>
      <c r="X61" s="24"/>
    </row>
    <row r="62" spans="5:24">
      <c r="E62" s="6" t="s">
        <v>369</v>
      </c>
      <c r="F62" s="7" t="s">
        <v>19</v>
      </c>
      <c r="G62" s="6" t="s">
        <v>261</v>
      </c>
      <c r="H62" s="190" t="s">
        <v>399</v>
      </c>
      <c r="I62" s="190" t="s">
        <v>439</v>
      </c>
      <c r="J62" s="118">
        <f t="shared" si="10"/>
        <v>16.0709941</v>
      </c>
      <c r="K62" s="119">
        <f t="shared" si="11"/>
        <v>16.0709941</v>
      </c>
      <c r="L62" s="119">
        <f t="shared" si="12"/>
        <v>0</v>
      </c>
      <c r="M62" s="15"/>
      <c r="N62" s="24"/>
      <c r="O62" s="24"/>
      <c r="P62" s="24"/>
      <c r="Q62" s="24">
        <v>16.0709941</v>
      </c>
      <c r="R62" s="313"/>
      <c r="S62" s="24"/>
      <c r="T62" s="24"/>
      <c r="U62" s="24"/>
      <c r="V62" s="24"/>
      <c r="W62" s="24"/>
      <c r="X62" s="24"/>
    </row>
    <row r="63" spans="5:24">
      <c r="E63" s="6" t="s">
        <v>369</v>
      </c>
      <c r="F63" s="7" t="s">
        <v>19</v>
      </c>
      <c r="G63" s="6" t="s">
        <v>261</v>
      </c>
      <c r="H63" s="190" t="s">
        <v>399</v>
      </c>
      <c r="I63" s="190" t="s">
        <v>380</v>
      </c>
      <c r="J63" s="118">
        <f t="shared" si="10"/>
        <v>22.90222</v>
      </c>
      <c r="K63" s="119">
        <f t="shared" si="11"/>
        <v>22.90222</v>
      </c>
      <c r="L63" s="119">
        <f t="shared" si="12"/>
        <v>0</v>
      </c>
      <c r="M63" s="15"/>
      <c r="N63" s="24"/>
      <c r="O63" s="24"/>
      <c r="P63" s="24"/>
      <c r="Q63" s="24">
        <v>0.71763999999999994</v>
      </c>
      <c r="R63" s="313">
        <v>22.18458</v>
      </c>
      <c r="S63" s="24"/>
      <c r="T63" s="24"/>
      <c r="U63" s="24"/>
      <c r="V63" s="24"/>
      <c r="W63" s="24"/>
      <c r="X63" s="24"/>
    </row>
    <row r="64" spans="5:24">
      <c r="E64" s="6" t="s">
        <v>369</v>
      </c>
      <c r="F64" s="7" t="s">
        <v>19</v>
      </c>
      <c r="G64" s="6" t="s">
        <v>370</v>
      </c>
      <c r="H64" s="190" t="s">
        <v>400</v>
      </c>
      <c r="I64" s="190" t="s">
        <v>380</v>
      </c>
      <c r="J64" s="118">
        <f t="shared" si="10"/>
        <v>12</v>
      </c>
      <c r="K64" s="119">
        <f t="shared" si="11"/>
        <v>12</v>
      </c>
      <c r="L64" s="119">
        <f t="shared" si="12"/>
        <v>0</v>
      </c>
      <c r="M64" s="15"/>
      <c r="N64" s="24"/>
      <c r="O64" s="24"/>
      <c r="P64" s="24"/>
      <c r="Q64" s="24">
        <v>12</v>
      </c>
      <c r="R64" s="313"/>
      <c r="S64" s="24"/>
      <c r="T64" s="24"/>
      <c r="U64" s="24"/>
      <c r="V64" s="24"/>
      <c r="W64" s="24"/>
      <c r="X64" s="24"/>
    </row>
    <row r="65" spans="5:24">
      <c r="E65" s="6" t="s">
        <v>371</v>
      </c>
      <c r="F65" s="7" t="s">
        <v>19</v>
      </c>
      <c r="G65" s="6" t="s">
        <v>264</v>
      </c>
      <c r="H65" s="190" t="s">
        <v>401</v>
      </c>
      <c r="I65" s="190" t="s">
        <v>380</v>
      </c>
      <c r="J65" s="118">
        <f t="shared" si="10"/>
        <v>34.809089999999998</v>
      </c>
      <c r="K65" s="119">
        <f t="shared" si="11"/>
        <v>34.809089999999998</v>
      </c>
      <c r="L65" s="119">
        <f t="shared" si="12"/>
        <v>0</v>
      </c>
      <c r="N65" s="24"/>
      <c r="O65" s="24"/>
      <c r="P65" s="24"/>
      <c r="Q65" s="24">
        <v>34.809089999999998</v>
      </c>
      <c r="R65" s="24"/>
      <c r="S65" s="24"/>
      <c r="T65" s="24"/>
      <c r="U65" s="24"/>
      <c r="V65" s="24"/>
      <c r="W65" s="24"/>
      <c r="X65" s="24"/>
    </row>
    <row r="66" spans="5:24">
      <c r="E66" s="6" t="s">
        <v>371</v>
      </c>
      <c r="F66" s="7" t="s">
        <v>19</v>
      </c>
      <c r="G66" s="6" t="s">
        <v>326</v>
      </c>
      <c r="H66" s="190" t="s">
        <v>401</v>
      </c>
      <c r="I66" s="190" t="s">
        <v>380</v>
      </c>
      <c r="J66" s="118">
        <f t="shared" si="10"/>
        <v>0</v>
      </c>
      <c r="K66" s="119">
        <f t="shared" si="11"/>
        <v>0</v>
      </c>
      <c r="L66" s="119">
        <f t="shared" si="12"/>
        <v>0</v>
      </c>
      <c r="N66" s="24"/>
      <c r="O66" s="24"/>
      <c r="P66" s="24"/>
      <c r="Q66" s="24">
        <v>0</v>
      </c>
      <c r="R66" s="24"/>
      <c r="S66" s="24"/>
      <c r="T66" s="24"/>
      <c r="U66" s="24"/>
      <c r="V66" s="24"/>
      <c r="W66" s="24"/>
      <c r="X66" s="24"/>
    </row>
    <row r="67" spans="5:24">
      <c r="E67" s="6" t="s">
        <v>371</v>
      </c>
      <c r="F67" s="7" t="s">
        <v>19</v>
      </c>
      <c r="G67" s="6" t="s">
        <v>261</v>
      </c>
      <c r="H67" s="190" t="s">
        <v>399</v>
      </c>
      <c r="I67" s="190" t="s">
        <v>380</v>
      </c>
      <c r="J67" s="118">
        <f t="shared" si="10"/>
        <v>16.502559999999999</v>
      </c>
      <c r="K67" s="119">
        <f t="shared" si="11"/>
        <v>16.502559999999999</v>
      </c>
      <c r="L67" s="119">
        <f t="shared" si="12"/>
        <v>0</v>
      </c>
      <c r="N67" s="24"/>
      <c r="O67" s="24"/>
      <c r="P67" s="24"/>
      <c r="Q67" s="24">
        <v>16.502559999999999</v>
      </c>
      <c r="R67" s="24"/>
      <c r="S67" s="24"/>
      <c r="T67" s="24"/>
      <c r="U67" s="24"/>
      <c r="V67" s="24"/>
      <c r="W67" s="24"/>
      <c r="X67" s="24"/>
    </row>
    <row r="68" spans="5:24">
      <c r="E68" s="6" t="s">
        <v>371</v>
      </c>
      <c r="F68" s="7" t="s">
        <v>19</v>
      </c>
      <c r="G68" s="6" t="s">
        <v>372</v>
      </c>
      <c r="H68" s="190" t="s">
        <v>402</v>
      </c>
      <c r="I68" s="190" t="s">
        <v>380</v>
      </c>
      <c r="J68" s="118">
        <f t="shared" si="10"/>
        <v>10</v>
      </c>
      <c r="K68" s="119">
        <f t="shared" si="11"/>
        <v>10</v>
      </c>
      <c r="L68" s="119">
        <f t="shared" si="12"/>
        <v>0</v>
      </c>
      <c r="N68" s="24"/>
      <c r="O68" s="24"/>
      <c r="P68" s="24"/>
      <c r="Q68" s="24">
        <v>10</v>
      </c>
      <c r="R68" s="24"/>
      <c r="S68" s="24"/>
      <c r="T68" s="24"/>
      <c r="U68" s="24"/>
      <c r="V68" s="24"/>
      <c r="W68" s="24"/>
      <c r="X68" s="24"/>
    </row>
    <row r="69" spans="5:24">
      <c r="E69" s="6" t="s">
        <v>371</v>
      </c>
      <c r="F69" s="7" t="s">
        <v>19</v>
      </c>
      <c r="G69" s="6" t="s">
        <v>266</v>
      </c>
      <c r="H69" s="190" t="s">
        <v>389</v>
      </c>
      <c r="I69" s="190" t="s">
        <v>380</v>
      </c>
      <c r="J69" s="118">
        <f t="shared" si="10"/>
        <v>60</v>
      </c>
      <c r="K69" s="119">
        <f t="shared" si="11"/>
        <v>60</v>
      </c>
      <c r="L69" s="119">
        <f t="shared" si="12"/>
        <v>0</v>
      </c>
      <c r="N69" s="24"/>
      <c r="O69" s="24"/>
      <c r="P69" s="24"/>
      <c r="Q69" s="24">
        <v>60</v>
      </c>
      <c r="R69" s="24"/>
      <c r="S69" s="24"/>
      <c r="T69" s="24"/>
      <c r="U69" s="24"/>
      <c r="V69" s="24"/>
      <c r="W69" s="24"/>
      <c r="X69" s="24"/>
    </row>
    <row r="70" spans="5:24">
      <c r="E70" s="6" t="s">
        <v>371</v>
      </c>
      <c r="F70" s="7" t="s">
        <v>19</v>
      </c>
      <c r="G70" s="6" t="s">
        <v>267</v>
      </c>
      <c r="H70" s="190" t="s">
        <v>402</v>
      </c>
      <c r="I70" s="190" t="s">
        <v>380</v>
      </c>
      <c r="J70" s="118">
        <f t="shared" si="10"/>
        <v>9</v>
      </c>
      <c r="K70" s="119">
        <f t="shared" si="11"/>
        <v>9</v>
      </c>
      <c r="L70" s="119">
        <f t="shared" si="12"/>
        <v>0</v>
      </c>
      <c r="N70" s="24"/>
      <c r="O70" s="24"/>
      <c r="P70" s="24"/>
      <c r="Q70" s="24">
        <v>9</v>
      </c>
      <c r="R70" s="24"/>
      <c r="S70" s="24"/>
      <c r="T70" s="24"/>
      <c r="U70" s="24"/>
      <c r="V70" s="24"/>
      <c r="W70" s="24"/>
      <c r="X70" s="24"/>
    </row>
    <row r="71" spans="5:24">
      <c r="E71" s="6" t="s">
        <v>371</v>
      </c>
      <c r="F71" s="7" t="s">
        <v>19</v>
      </c>
      <c r="G71" s="6" t="s">
        <v>312</v>
      </c>
      <c r="H71" s="190" t="s">
        <v>403</v>
      </c>
      <c r="I71" s="190" t="s">
        <v>380</v>
      </c>
      <c r="J71" s="118">
        <f t="shared" si="10"/>
        <v>0</v>
      </c>
      <c r="K71" s="119">
        <f t="shared" si="11"/>
        <v>0</v>
      </c>
      <c r="L71" s="119">
        <f t="shared" si="12"/>
        <v>0</v>
      </c>
      <c r="N71" s="24"/>
      <c r="O71" s="24"/>
      <c r="P71" s="24"/>
      <c r="Q71" s="24">
        <v>0</v>
      </c>
      <c r="R71" s="24"/>
      <c r="S71" s="24"/>
      <c r="T71" s="24"/>
      <c r="U71" s="24"/>
      <c r="V71" s="24"/>
      <c r="W71" s="24"/>
      <c r="X71" s="24"/>
    </row>
    <row r="72" spans="5:24">
      <c r="E72" s="6" t="s">
        <v>371</v>
      </c>
      <c r="F72" s="7" t="s">
        <v>19</v>
      </c>
      <c r="G72" s="6" t="s">
        <v>370</v>
      </c>
      <c r="H72" s="190" t="s">
        <v>400</v>
      </c>
      <c r="I72" s="190" t="s">
        <v>380</v>
      </c>
      <c r="J72" s="118">
        <f t="shared" si="10"/>
        <v>28</v>
      </c>
      <c r="K72" s="119">
        <f t="shared" si="11"/>
        <v>28</v>
      </c>
      <c r="L72" s="119">
        <f t="shared" si="12"/>
        <v>0</v>
      </c>
      <c r="N72" s="24"/>
      <c r="O72" s="24"/>
      <c r="P72" s="24"/>
      <c r="Q72" s="24">
        <v>28</v>
      </c>
      <c r="R72" s="24"/>
      <c r="S72" s="24"/>
      <c r="T72" s="24"/>
      <c r="U72" s="24"/>
      <c r="V72" s="24"/>
      <c r="W72" s="24"/>
      <c r="X72" s="24"/>
    </row>
    <row r="73" spans="5:24">
      <c r="E73" s="6" t="s">
        <v>435</v>
      </c>
      <c r="F73" s="7" t="s">
        <v>19</v>
      </c>
      <c r="G73" s="6" t="s">
        <v>357</v>
      </c>
      <c r="H73" s="190" t="s">
        <v>392</v>
      </c>
      <c r="I73" s="190" t="s">
        <v>439</v>
      </c>
      <c r="J73" s="118">
        <f t="shared" si="10"/>
        <v>7.0387199999999996</v>
      </c>
      <c r="K73" s="119">
        <f t="shared" si="11"/>
        <v>7.0387199999999996</v>
      </c>
      <c r="L73" s="119">
        <f t="shared" si="12"/>
        <v>0</v>
      </c>
      <c r="N73" s="24"/>
      <c r="O73" s="24"/>
      <c r="P73" s="24"/>
      <c r="Q73" s="24">
        <v>7.0387199999999996</v>
      </c>
      <c r="R73" s="24"/>
      <c r="S73" s="24"/>
      <c r="T73" s="24"/>
      <c r="U73" s="24"/>
      <c r="V73" s="24"/>
      <c r="W73" s="24"/>
      <c r="X73" s="24"/>
    </row>
    <row r="74" spans="5:24">
      <c r="E74" s="6" t="s">
        <v>436</v>
      </c>
      <c r="F74" s="7" t="s">
        <v>19</v>
      </c>
      <c r="G74" s="6" t="s">
        <v>420</v>
      </c>
      <c r="H74" s="188" t="s">
        <v>421</v>
      </c>
      <c r="I74" s="188" t="s">
        <v>380</v>
      </c>
      <c r="J74" s="118">
        <f t="shared" si="10"/>
        <v>494</v>
      </c>
      <c r="K74" s="119">
        <f t="shared" si="11"/>
        <v>494</v>
      </c>
      <c r="L74" s="119">
        <f t="shared" si="12"/>
        <v>0</v>
      </c>
      <c r="N74" s="24"/>
      <c r="O74" s="24"/>
      <c r="P74" s="24"/>
      <c r="Q74" s="24">
        <v>0</v>
      </c>
      <c r="R74" s="24">
        <v>494</v>
      </c>
      <c r="S74" s="24"/>
      <c r="T74" s="24"/>
      <c r="U74" s="24"/>
      <c r="V74" s="24"/>
      <c r="W74" s="24"/>
      <c r="X74" s="24"/>
    </row>
    <row r="75" spans="5:24">
      <c r="E75" s="6" t="s">
        <v>373</v>
      </c>
      <c r="F75" s="7" t="s">
        <v>19</v>
      </c>
      <c r="G75" s="6" t="s">
        <v>327</v>
      </c>
      <c r="H75" s="188" t="s">
        <v>404</v>
      </c>
      <c r="I75" s="188" t="s">
        <v>380</v>
      </c>
      <c r="J75" s="118">
        <f t="shared" si="10"/>
        <v>41</v>
      </c>
      <c r="K75" s="119">
        <f t="shared" si="11"/>
        <v>41</v>
      </c>
      <c r="L75" s="119">
        <f t="shared" si="12"/>
        <v>0</v>
      </c>
      <c r="N75" s="24"/>
      <c r="O75" s="24"/>
      <c r="P75" s="24"/>
      <c r="Q75" s="24">
        <v>41</v>
      </c>
      <c r="R75" s="24"/>
      <c r="S75" s="24"/>
      <c r="T75" s="24"/>
      <c r="U75" s="24"/>
      <c r="V75" s="24"/>
      <c r="W75" s="24"/>
      <c r="X75" s="24"/>
    </row>
    <row r="76" spans="5:24">
      <c r="E76" s="6" t="s">
        <v>375</v>
      </c>
      <c r="F76" s="7" t="s">
        <v>19</v>
      </c>
      <c r="G76" s="6" t="s">
        <v>374</v>
      </c>
      <c r="H76" s="189" t="s">
        <v>405</v>
      </c>
      <c r="I76" s="189" t="s">
        <v>439</v>
      </c>
      <c r="J76" s="118">
        <f t="shared" si="10"/>
        <v>78.332150000000013</v>
      </c>
      <c r="K76" s="119">
        <f t="shared" si="11"/>
        <v>78.332150000000013</v>
      </c>
      <c r="L76" s="119">
        <f t="shared" si="12"/>
        <v>0</v>
      </c>
      <c r="N76" s="24"/>
      <c r="O76" s="24"/>
      <c r="P76" s="24"/>
      <c r="Q76" s="24">
        <v>78.332150000000013</v>
      </c>
      <c r="R76" s="24"/>
      <c r="S76" s="24"/>
      <c r="T76" s="24"/>
      <c r="U76" s="24"/>
      <c r="V76" s="24"/>
      <c r="W76" s="24"/>
      <c r="X76" s="24"/>
    </row>
    <row r="77" spans="5:24">
      <c r="E77" s="6" t="s">
        <v>376</v>
      </c>
      <c r="F77" s="7" t="s">
        <v>19</v>
      </c>
      <c r="G77" s="6" t="s">
        <v>374</v>
      </c>
      <c r="H77" s="190" t="s">
        <v>405</v>
      </c>
      <c r="I77" s="190" t="s">
        <v>439</v>
      </c>
      <c r="J77" s="118">
        <f t="shared" si="10"/>
        <v>43</v>
      </c>
      <c r="K77" s="119">
        <f t="shared" si="11"/>
        <v>43</v>
      </c>
      <c r="L77" s="119">
        <f t="shared" si="12"/>
        <v>0</v>
      </c>
      <c r="N77" s="24"/>
      <c r="O77" s="24"/>
      <c r="P77" s="24"/>
      <c r="Q77" s="24">
        <v>43</v>
      </c>
      <c r="R77" s="24"/>
      <c r="S77" s="24"/>
      <c r="T77" s="24"/>
      <c r="U77" s="24"/>
      <c r="V77" s="24"/>
      <c r="W77" s="24"/>
      <c r="X77" s="24"/>
    </row>
    <row r="78" spans="5:24">
      <c r="E78" s="6" t="s">
        <v>377</v>
      </c>
      <c r="F78" s="7" t="s">
        <v>19</v>
      </c>
      <c r="G78" s="6" t="s">
        <v>247</v>
      </c>
      <c r="H78" s="190" t="s">
        <v>395</v>
      </c>
      <c r="I78" s="190" t="s">
        <v>439</v>
      </c>
      <c r="J78" s="118">
        <f t="shared" si="10"/>
        <v>3</v>
      </c>
      <c r="K78" s="119">
        <f t="shared" si="11"/>
        <v>3</v>
      </c>
      <c r="L78" s="119">
        <f t="shared" si="12"/>
        <v>0</v>
      </c>
      <c r="N78" s="24"/>
      <c r="O78" s="24"/>
      <c r="P78" s="24"/>
      <c r="Q78" s="24">
        <v>3</v>
      </c>
      <c r="R78" s="24"/>
      <c r="S78" s="24"/>
      <c r="T78" s="24"/>
      <c r="U78" s="24"/>
      <c r="V78" s="24"/>
      <c r="W78" s="24"/>
      <c r="X78" s="24"/>
    </row>
    <row r="79" spans="5:24">
      <c r="E79" s="6" t="s">
        <v>377</v>
      </c>
      <c r="F79" s="7" t="s">
        <v>19</v>
      </c>
      <c r="G79" s="6" t="s">
        <v>272</v>
      </c>
      <c r="H79" s="190" t="s">
        <v>406</v>
      </c>
      <c r="I79" s="190" t="s">
        <v>439</v>
      </c>
      <c r="J79" s="118">
        <f t="shared" si="10"/>
        <v>29</v>
      </c>
      <c r="K79" s="119">
        <f t="shared" si="11"/>
        <v>29</v>
      </c>
      <c r="L79" s="119">
        <f t="shared" si="12"/>
        <v>0</v>
      </c>
      <c r="N79" s="24"/>
      <c r="O79" s="24"/>
      <c r="P79" s="24"/>
      <c r="Q79" s="24">
        <v>29</v>
      </c>
      <c r="R79" s="24"/>
      <c r="S79" s="24"/>
      <c r="T79" s="24"/>
      <c r="U79" s="24"/>
      <c r="V79" s="24"/>
      <c r="W79" s="24"/>
      <c r="X79" s="24"/>
    </row>
    <row r="80" spans="5:24">
      <c r="E80" s="6" t="s">
        <v>377</v>
      </c>
      <c r="F80" s="7" t="s">
        <v>19</v>
      </c>
      <c r="G80" s="6" t="s">
        <v>252</v>
      </c>
      <c r="H80" s="190" t="s">
        <v>407</v>
      </c>
      <c r="I80" s="190" t="s">
        <v>380</v>
      </c>
      <c r="J80" s="118">
        <f t="shared" si="10"/>
        <v>15.353159999999999</v>
      </c>
      <c r="K80" s="119">
        <f t="shared" si="11"/>
        <v>15.353159999999999</v>
      </c>
      <c r="L80" s="119">
        <f t="shared" si="12"/>
        <v>0</v>
      </c>
      <c r="N80" s="24"/>
      <c r="O80" s="24"/>
      <c r="P80" s="24"/>
      <c r="Q80" s="24">
        <v>15.353159999999999</v>
      </c>
      <c r="R80" s="24"/>
      <c r="S80" s="24"/>
      <c r="T80" s="24"/>
      <c r="U80" s="24"/>
      <c r="V80" s="24"/>
      <c r="W80" s="24"/>
      <c r="X80" s="24"/>
    </row>
    <row r="81" spans="5:24">
      <c r="E81" s="6" t="s">
        <v>246</v>
      </c>
      <c r="F81" s="7" t="s">
        <v>19</v>
      </c>
      <c r="G81" s="6" t="s">
        <v>247</v>
      </c>
      <c r="H81" s="190" t="s">
        <v>395</v>
      </c>
      <c r="I81" s="190" t="s">
        <v>236</v>
      </c>
      <c r="J81" s="118">
        <f t="shared" si="10"/>
        <v>50.48236</v>
      </c>
      <c r="K81" s="119">
        <f t="shared" si="11"/>
        <v>50.48236</v>
      </c>
      <c r="L81" s="119">
        <f t="shared" si="12"/>
        <v>0</v>
      </c>
      <c r="N81" s="24"/>
      <c r="O81" s="24"/>
      <c r="P81" s="24"/>
      <c r="Q81" s="24">
        <v>7.1178600000000003</v>
      </c>
      <c r="R81" s="24">
        <v>34.13494</v>
      </c>
      <c r="S81" s="24"/>
      <c r="T81" s="24">
        <v>9.2295599999999993</v>
      </c>
      <c r="U81" s="24"/>
      <c r="V81" s="24"/>
      <c r="W81" s="24"/>
      <c r="X81" s="24"/>
    </row>
    <row r="82" spans="5:24">
      <c r="E82" s="6" t="s">
        <v>441</v>
      </c>
      <c r="F82" s="7" t="s">
        <v>19</v>
      </c>
      <c r="G82" s="6" t="s">
        <v>442</v>
      </c>
      <c r="H82" s="6" t="s">
        <v>443</v>
      </c>
      <c r="I82" s="190" t="s">
        <v>236</v>
      </c>
      <c r="J82" s="118">
        <f t="shared" si="10"/>
        <v>642</v>
      </c>
      <c r="K82" s="119">
        <f t="shared" si="11"/>
        <v>642</v>
      </c>
      <c r="L82" s="119">
        <f t="shared" si="12"/>
        <v>0</v>
      </c>
      <c r="N82" s="24"/>
      <c r="O82" s="24"/>
      <c r="P82" s="24"/>
      <c r="Q82" s="24"/>
      <c r="R82" s="24"/>
      <c r="S82" s="24">
        <v>642</v>
      </c>
      <c r="T82" s="24"/>
      <c r="U82" s="24"/>
      <c r="V82" s="24"/>
      <c r="W82" s="24"/>
      <c r="X82" s="24"/>
    </row>
    <row r="83" spans="5:24">
      <c r="E83" s="305" t="s">
        <v>437</v>
      </c>
      <c r="F83" s="7"/>
      <c r="G83" s="6"/>
      <c r="H83" s="190"/>
      <c r="I83" s="190"/>
      <c r="J83" s="118"/>
      <c r="K83" s="119"/>
      <c r="L83" s="119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5:24">
      <c r="E84" s="6" t="s">
        <v>371</v>
      </c>
      <c r="F84" s="7" t="s">
        <v>19</v>
      </c>
      <c r="G84" s="6"/>
      <c r="H84" s="190"/>
      <c r="I84" s="190"/>
      <c r="J84" s="118">
        <f t="shared" ref="J84:J88" si="13">+K84+L84</f>
        <v>24</v>
      </c>
      <c r="K84" s="119">
        <f t="shared" ref="K84:K88" si="14">SUM(N84:Y84)</f>
        <v>24</v>
      </c>
      <c r="L84" s="119">
        <f t="shared" ref="L84:L88" si="15">SUM(AA84:AL84)</f>
        <v>0</v>
      </c>
      <c r="N84" s="24"/>
      <c r="O84" s="24"/>
      <c r="P84" s="24"/>
      <c r="Q84" s="24"/>
      <c r="R84" s="24"/>
      <c r="S84" s="24">
        <v>24</v>
      </c>
      <c r="T84" s="24"/>
      <c r="U84" s="24"/>
      <c r="V84" s="24"/>
      <c r="W84" s="24"/>
      <c r="X84" s="24"/>
    </row>
    <row r="85" spans="5:24">
      <c r="E85" s="6" t="s">
        <v>246</v>
      </c>
      <c r="F85" s="7" t="s">
        <v>19</v>
      </c>
      <c r="G85" s="6"/>
      <c r="H85" s="190"/>
      <c r="I85" s="190"/>
      <c r="J85" s="118">
        <f t="shared" si="13"/>
        <v>86</v>
      </c>
      <c r="K85" s="119">
        <f t="shared" si="14"/>
        <v>86</v>
      </c>
      <c r="L85" s="119">
        <f t="shared" si="15"/>
        <v>0</v>
      </c>
      <c r="N85" s="24"/>
      <c r="O85" s="24"/>
      <c r="P85" s="24">
        <v>69</v>
      </c>
      <c r="Q85" s="24"/>
      <c r="R85" s="24">
        <v>7</v>
      </c>
      <c r="S85" s="24">
        <v>10</v>
      </c>
      <c r="T85" s="24"/>
      <c r="U85" s="24"/>
      <c r="V85" s="24"/>
      <c r="W85" s="24"/>
      <c r="X85" s="24"/>
    </row>
    <row r="86" spans="5:24">
      <c r="E86" s="6" t="s">
        <v>369</v>
      </c>
      <c r="F86" s="7" t="s">
        <v>19</v>
      </c>
      <c r="G86" s="6"/>
      <c r="H86" s="190"/>
      <c r="I86" s="190"/>
      <c r="J86" s="118">
        <f t="shared" si="13"/>
        <v>2</v>
      </c>
      <c r="K86" s="119">
        <f t="shared" si="14"/>
        <v>2</v>
      </c>
      <c r="L86" s="119">
        <f t="shared" si="15"/>
        <v>0</v>
      </c>
      <c r="N86" s="24"/>
      <c r="O86" s="24"/>
      <c r="P86" s="24"/>
      <c r="Q86" s="24">
        <v>2</v>
      </c>
      <c r="R86" s="24"/>
      <c r="S86" s="24"/>
      <c r="T86" s="24"/>
      <c r="U86" s="24"/>
      <c r="V86" s="24"/>
      <c r="W86" s="24"/>
      <c r="X86" s="24"/>
    </row>
    <row r="87" spans="5:24">
      <c r="E87" s="6" t="s">
        <v>373</v>
      </c>
      <c r="F87" s="7" t="s">
        <v>19</v>
      </c>
      <c r="G87" s="6"/>
      <c r="H87" s="190"/>
      <c r="I87" s="190"/>
      <c r="J87" s="118">
        <f t="shared" si="13"/>
        <v>15</v>
      </c>
      <c r="K87" s="119">
        <f t="shared" si="14"/>
        <v>15</v>
      </c>
      <c r="L87" s="119">
        <f t="shared" si="15"/>
        <v>0</v>
      </c>
      <c r="N87" s="24"/>
      <c r="O87" s="24"/>
      <c r="P87" s="24"/>
      <c r="Q87" s="24"/>
      <c r="R87" s="24"/>
      <c r="S87" s="24">
        <v>15</v>
      </c>
      <c r="T87" s="24"/>
      <c r="U87" s="24"/>
      <c r="V87" s="24"/>
      <c r="W87" s="24"/>
      <c r="X87" s="24"/>
    </row>
    <row r="88" spans="5:24">
      <c r="E88" s="6" t="s">
        <v>375</v>
      </c>
      <c r="F88" s="7" t="s">
        <v>19</v>
      </c>
      <c r="G88" s="6"/>
      <c r="H88" s="190"/>
      <c r="I88" s="190"/>
      <c r="J88" s="118">
        <f t="shared" si="13"/>
        <v>301</v>
      </c>
      <c r="K88" s="119">
        <f t="shared" si="14"/>
        <v>301</v>
      </c>
      <c r="L88" s="119">
        <f t="shared" si="15"/>
        <v>0</v>
      </c>
      <c r="N88" s="24"/>
      <c r="O88" s="24"/>
      <c r="P88" s="24">
        <v>160</v>
      </c>
      <c r="Q88" s="24">
        <v>141</v>
      </c>
      <c r="R88" s="24"/>
      <c r="S88" s="24"/>
      <c r="T88" s="24"/>
      <c r="U88" s="24"/>
      <c r="V88" s="24"/>
      <c r="W88" s="24"/>
      <c r="X88" s="24"/>
    </row>
    <row r="89" spans="5:24">
      <c r="E89" s="6"/>
      <c r="F89" s="7"/>
      <c r="G89" s="6"/>
      <c r="H89" s="11"/>
      <c r="I89" s="11"/>
      <c r="J89" s="118">
        <f t="shared" ref="J89:J96" si="16">+K89+L89</f>
        <v>0</v>
      </c>
      <c r="K89" s="119">
        <f t="shared" ref="K89:K96" si="17">SUM(N89:Y89)</f>
        <v>0</v>
      </c>
      <c r="L89" s="119">
        <f t="shared" ref="L89:L96" si="18">SUM(AA89:AL89)</f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5:24">
      <c r="E90" s="6"/>
      <c r="F90" s="7"/>
      <c r="G90" s="6"/>
      <c r="H90" s="12"/>
      <c r="I90" s="12"/>
      <c r="J90" s="118">
        <f t="shared" si="16"/>
        <v>0</v>
      </c>
      <c r="K90" s="119">
        <f t="shared" si="17"/>
        <v>0</v>
      </c>
      <c r="L90" s="119">
        <f t="shared" si="18"/>
        <v>0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5:24">
      <c r="E91" s="6"/>
      <c r="F91" s="7"/>
      <c r="G91" s="6"/>
      <c r="H91" s="12"/>
      <c r="I91" s="12"/>
      <c r="J91" s="118">
        <f t="shared" si="16"/>
        <v>0</v>
      </c>
      <c r="K91" s="119">
        <f t="shared" si="17"/>
        <v>0</v>
      </c>
      <c r="L91" s="119">
        <f t="shared" si="18"/>
        <v>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5:24">
      <c r="E92" s="13"/>
      <c r="F92" s="7"/>
      <c r="G92" s="6"/>
      <c r="H92" s="12"/>
      <c r="I92" s="12"/>
      <c r="J92" s="118">
        <f t="shared" si="16"/>
        <v>0</v>
      </c>
      <c r="K92" s="119">
        <f t="shared" si="17"/>
        <v>0</v>
      </c>
      <c r="L92" s="119">
        <f t="shared" si="18"/>
        <v>0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5:24">
      <c r="E93" s="6"/>
      <c r="F93" s="7"/>
      <c r="G93" s="6"/>
      <c r="H93" s="9"/>
      <c r="I93" s="9"/>
      <c r="J93" s="118">
        <f t="shared" si="16"/>
        <v>0</v>
      </c>
      <c r="K93" s="119">
        <f t="shared" si="17"/>
        <v>0</v>
      </c>
      <c r="L93" s="119">
        <f t="shared" si="18"/>
        <v>0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5:24">
      <c r="E94" s="6"/>
      <c r="F94" s="7"/>
      <c r="G94" s="6"/>
      <c r="H94" s="9"/>
      <c r="I94" s="9"/>
      <c r="J94" s="118">
        <f t="shared" si="16"/>
        <v>0</v>
      </c>
      <c r="K94" s="119">
        <f t="shared" si="17"/>
        <v>0</v>
      </c>
      <c r="L94" s="119">
        <f t="shared" si="18"/>
        <v>0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5:24">
      <c r="E95" s="6"/>
      <c r="F95" s="7"/>
      <c r="G95" s="6"/>
      <c r="H95" s="10"/>
      <c r="I95" s="10"/>
      <c r="J95" s="118">
        <f t="shared" si="16"/>
        <v>0</v>
      </c>
      <c r="K95" s="119">
        <f t="shared" si="17"/>
        <v>0</v>
      </c>
      <c r="L95" s="119">
        <f t="shared" si="18"/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5:24">
      <c r="E96" s="6"/>
      <c r="F96" s="7"/>
      <c r="G96" s="6"/>
      <c r="H96" s="11"/>
      <c r="I96" s="11"/>
      <c r="J96" s="118">
        <f t="shared" si="16"/>
        <v>0</v>
      </c>
      <c r="K96" s="119">
        <f t="shared" si="17"/>
        <v>0</v>
      </c>
      <c r="L96" s="119">
        <f t="shared" si="18"/>
        <v>0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4:11">
      <c r="E97" s="356" t="s">
        <v>324</v>
      </c>
      <c r="F97" s="314"/>
      <c r="G97" s="315"/>
      <c r="H97" s="316" t="s">
        <v>444</v>
      </c>
    </row>
    <row r="98" spans="4:11">
      <c r="E98" s="315" t="s">
        <v>445</v>
      </c>
      <c r="F98" s="314"/>
      <c r="G98" s="315"/>
      <c r="H98" s="316">
        <v>642</v>
      </c>
    </row>
    <row r="99" spans="4:11">
      <c r="H99" s="291"/>
      <c r="I99" s="291"/>
      <c r="J99" s="291"/>
      <c r="K99" s="292"/>
    </row>
    <row r="100" spans="4:11">
      <c r="E100" s="151"/>
      <c r="F100" s="257"/>
      <c r="G100" s="151"/>
      <c r="H100" s="258"/>
      <c r="I100" s="258"/>
      <c r="J100" s="291"/>
      <c r="K100" s="292"/>
    </row>
    <row r="101" spans="4:11">
      <c r="D101" s="151"/>
      <c r="E101" s="151" t="s">
        <v>330</v>
      </c>
      <c r="F101" s="277"/>
      <c r="G101" s="151"/>
      <c r="H101" s="283">
        <f>'W12'!J19</f>
        <v>2975.9452751000008</v>
      </c>
      <c r="I101" s="258"/>
      <c r="J101" s="291"/>
      <c r="K101" s="292"/>
    </row>
    <row r="102" spans="4:11">
      <c r="D102" s="151"/>
      <c r="E102" s="151" t="s">
        <v>331</v>
      </c>
      <c r="F102" s="277"/>
      <c r="G102" s="151"/>
      <c r="H102" s="283">
        <f>H98</f>
        <v>642</v>
      </c>
      <c r="I102" s="258"/>
      <c r="J102" s="291"/>
      <c r="K102" s="292"/>
    </row>
    <row r="103" spans="4:11">
      <c r="D103" s="151"/>
      <c r="E103" s="151" t="s">
        <v>332</v>
      </c>
      <c r="F103" s="277"/>
      <c r="G103" s="151"/>
      <c r="H103" s="283">
        <f>J12-'W12'!J12</f>
        <v>244.29999999999998</v>
      </c>
      <c r="I103" s="258"/>
      <c r="J103" s="291"/>
      <c r="K103" s="292"/>
    </row>
    <row r="104" spans="4:11">
      <c r="D104" s="151"/>
      <c r="E104" s="151" t="s">
        <v>333</v>
      </c>
      <c r="F104" s="277"/>
      <c r="G104" s="151"/>
      <c r="H104" s="283">
        <f>H101+H102-H103</f>
        <v>3373.6452751000006</v>
      </c>
      <c r="I104" s="258"/>
      <c r="J104" s="291"/>
      <c r="K104" s="292"/>
    </row>
    <row r="105" spans="4:11">
      <c r="D105" s="151"/>
      <c r="E105" s="151" t="s">
        <v>334</v>
      </c>
      <c r="F105" s="277"/>
      <c r="G105" s="151"/>
      <c r="H105" s="283">
        <f>J19</f>
        <v>3365.0094141</v>
      </c>
      <c r="I105" s="258"/>
      <c r="J105" s="291"/>
      <c r="K105" s="292"/>
    </row>
    <row r="106" spans="4:11">
      <c r="D106" s="151"/>
      <c r="E106" s="151" t="s">
        <v>335</v>
      </c>
      <c r="F106" s="277"/>
      <c r="G106" s="151"/>
      <c r="H106" s="284">
        <f>H104-H105</f>
        <v>8.6358610000006593</v>
      </c>
      <c r="I106" s="259" t="s">
        <v>336</v>
      </c>
      <c r="J106" s="291"/>
      <c r="K106" s="292"/>
    </row>
    <row r="107" spans="4:11">
      <c r="D107" s="151"/>
      <c r="E107" s="151"/>
      <c r="F107" s="277"/>
      <c r="G107" s="151"/>
      <c r="H107" s="283"/>
      <c r="I107" s="258" t="s">
        <v>337</v>
      </c>
      <c r="J107" s="291"/>
      <c r="K107" s="292"/>
    </row>
    <row r="108" spans="4:11">
      <c r="H108" s="291"/>
      <c r="I108" s="291"/>
      <c r="J108" s="291"/>
      <c r="K108" s="292"/>
    </row>
    <row r="109" spans="4:11">
      <c r="H109" s="291"/>
      <c r="I109" s="291"/>
      <c r="J109" s="291"/>
      <c r="K109" s="292"/>
    </row>
    <row r="110" spans="4:11">
      <c r="H110" s="291"/>
      <c r="I110" s="291"/>
      <c r="J110" s="291"/>
      <c r="K110" s="292"/>
    </row>
    <row r="111" spans="4:11">
      <c r="H111" s="291"/>
      <c r="I111" s="291"/>
      <c r="J111" s="291"/>
      <c r="K111" s="292"/>
    </row>
    <row r="112" spans="4:11">
      <c r="H112" s="291"/>
      <c r="I112" s="291"/>
      <c r="J112" s="291"/>
      <c r="K112" s="292"/>
    </row>
    <row r="113" spans="8:11">
      <c r="H113" s="291"/>
      <c r="I113" s="291"/>
      <c r="J113" s="291"/>
      <c r="K113" s="292"/>
    </row>
    <row r="114" spans="8:11">
      <c r="H114" s="291"/>
      <c r="I114" s="291"/>
      <c r="J114" s="291"/>
      <c r="K114" s="292"/>
    </row>
    <row r="115" spans="8:11">
      <c r="H115" s="291"/>
      <c r="I115" s="291"/>
      <c r="J115" s="291"/>
      <c r="K115" s="292"/>
    </row>
    <row r="116" spans="8:11">
      <c r="H116" s="291"/>
      <c r="I116" s="291"/>
      <c r="J116" s="291"/>
      <c r="K116" s="292"/>
    </row>
    <row r="117" spans="8:11">
      <c r="H117" s="291"/>
      <c r="I117" s="291"/>
      <c r="J117" s="291"/>
      <c r="K117" s="292"/>
    </row>
    <row r="118" spans="8:11">
      <c r="H118" s="291"/>
      <c r="I118" s="291"/>
      <c r="J118" s="291"/>
      <c r="K118" s="292"/>
    </row>
    <row r="119" spans="8:11">
      <c r="H119" s="291"/>
      <c r="I119" s="291"/>
      <c r="J119" s="291"/>
      <c r="K119" s="292"/>
    </row>
    <row r="120" spans="8:11">
      <c r="H120" s="291"/>
      <c r="I120" s="291"/>
      <c r="J120" s="291"/>
      <c r="K120" s="292"/>
    </row>
    <row r="121" spans="8:11">
      <c r="H121" s="291"/>
      <c r="I121" s="291"/>
      <c r="J121" s="291"/>
      <c r="K121" s="292"/>
    </row>
  </sheetData>
  <sheetProtection formatCells="0" formatColumns="0" formatRows="0" insertRows="0" deleteRows="0" autoFilter="0"/>
  <autoFilter ref="E23:AL241" xr:uid="{00000000-0009-0000-0000-00000F000000}"/>
  <mergeCells count="1">
    <mergeCell ref="I4:J4"/>
  </mergeCells>
  <phoneticPr fontId="40"/>
  <dataValidations count="2">
    <dataValidation type="list" allowBlank="1" showInputMessage="1" showErrorMessage="1" sqref="G2" xr:uid="{00000000-0002-0000-0F00-000000000000}">
      <formula1>SOCIETE</formula1>
    </dataValidation>
    <dataValidation type="list" allowBlank="1" showInputMessage="1" showErrorMessage="1" sqref="F24:F96" xr:uid="{C3D7E6A9-5FFF-4EDB-82BF-C1FFC981FDA2}">
      <formula1>Liste</formula1>
    </dataValidation>
  </dataValidations>
  <pageMargins left="0.17" right="0.17" top="0.37" bottom="0.23" header="0.31496062992125984" footer="0.16"/>
  <pageSetup paperSize="9" scale="47" orientation="landscape" r:id="rId1"/>
  <ignoredErrors>
    <ignoredError sqref="H101:H106" unlockedFormula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7">
    <tabColor theme="4" tint="-0.499984740745262"/>
    <pageSetUpPr fitToPage="1"/>
  </sheetPr>
  <dimension ref="D1:AL121"/>
  <sheetViews>
    <sheetView showGridLines="0" topLeftCell="B85" zoomScale="70" zoomScaleNormal="70" workbookViewId="0">
      <selection activeCell="H104" sqref="H104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.85546875" style="54" customWidth="1"/>
    <col min="9" max="9" width="17.28515625" style="54" customWidth="1"/>
    <col min="10" max="10" width="14.85546875" style="54" customWidth="1"/>
    <col min="11" max="11" width="14.85546875" style="55" customWidth="1"/>
    <col min="12" max="12" width="17.570312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78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April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April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W14</v>
      </c>
      <c r="I9" s="61"/>
      <c r="J9" s="161" t="str">
        <f>+"from "&amp;G6&amp;" 1 until end of "&amp;G4</f>
        <v>from April 1 until end of W14</v>
      </c>
      <c r="K9" s="79"/>
      <c r="L9" s="167" t="str">
        <f>+G6</f>
        <v>April</v>
      </c>
      <c r="M9" s="80"/>
      <c r="N9" s="80"/>
      <c r="O9" s="172" t="str">
        <f>+G4</f>
        <v>W14</v>
      </c>
      <c r="P9" s="173" t="str">
        <f>+VLOOKUP(G4, parameters!$G$9:$I$61,3,0)</f>
        <v>W13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600+320+783+J10</f>
        <v>1709.5</v>
      </c>
      <c r="I10" s="61"/>
      <c r="J10" s="159">
        <v>6.5</v>
      </c>
      <c r="L10" s="159">
        <f>J10+Q17</f>
        <v>455.05010614499997</v>
      </c>
      <c r="N10" s="55"/>
      <c r="O10" s="170">
        <f>+H10+K17</f>
        <v>4798.3574321730002</v>
      </c>
      <c r="P10" s="171" cm="1">
        <f t="array" aca="1" ref="P10" ca="1">INDIRECT(ADDRESS(10,15,,,VLOOKUP($G$4,parameters!$G:$I,3,0)))</f>
        <v>4715.3463040999995</v>
      </c>
      <c r="Q10" s="183">
        <f ca="1">O10-P10</f>
        <v>83.011128073000691</v>
      </c>
      <c r="R10" s="86"/>
    </row>
    <row r="11" spans="5:38" ht="20.45" customHeight="1">
      <c r="E11" s="87" t="s">
        <v>224</v>
      </c>
      <c r="F11" s="88"/>
      <c r="G11" s="89"/>
      <c r="H11" s="16">
        <f>13+8+3</f>
        <v>24</v>
      </c>
      <c r="I11" s="61"/>
      <c r="J11" s="16">
        <v>0</v>
      </c>
      <c r="L11" s="16">
        <f>J11+Q18</f>
        <v>0</v>
      </c>
      <c r="N11" s="55"/>
      <c r="O11" s="152">
        <f>+H11+K18</f>
        <v>33</v>
      </c>
      <c r="P11" s="153" cm="1">
        <f t="array" aca="1" ref="P11" ca="1">INDIRECT(ADDRESS(11,15,,,VLOOKUP($G$4,parameters!$G:$I,3,0)))</f>
        <v>32.183109999999999</v>
      </c>
      <c r="Q11" s="184">
        <f ca="1">O11-P11</f>
        <v>0.81689000000000078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1733.5</v>
      </c>
      <c r="I12" s="61"/>
      <c r="J12" s="126">
        <f>SUM(J10:J11)</f>
        <v>6.5</v>
      </c>
      <c r="K12" s="65"/>
      <c r="L12" s="126">
        <f>SUM(L10:L11)</f>
        <v>455.05010614499997</v>
      </c>
      <c r="M12" s="65"/>
      <c r="N12" s="65"/>
      <c r="O12" s="154">
        <f>SUM(O10:O11)</f>
        <v>4831.3574321730002</v>
      </c>
      <c r="P12" s="155">
        <f ca="1">SUM(P10:P11)</f>
        <v>4747.5294140999995</v>
      </c>
      <c r="Q12" s="156">
        <f ca="1">O12-P12</f>
        <v>83.828018073000749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+SUMIF($F$24:$F$80,"External",$J$24:$J$80)</f>
        <v>3088.8574321730002</v>
      </c>
      <c r="K17" s="108">
        <f>+SUMIF($F$24:$F$80,"External",$K$24:$K$80)</f>
        <v>3088.8574321730002</v>
      </c>
      <c r="L17" s="109">
        <f>+SUMIF($F$24:$F$80,"External",$L$24:$L$80)</f>
        <v>0</v>
      </c>
      <c r="M17" s="110"/>
      <c r="N17" s="111">
        <f t="shared" ref="N17:Y17" si="0">+SUMIF($F$24:$F$80,"External",N$24:N$80)</f>
        <v>0</v>
      </c>
      <c r="O17" s="111">
        <f t="shared" si="0"/>
        <v>0</v>
      </c>
      <c r="P17" s="111">
        <f t="shared" si="0"/>
        <v>0</v>
      </c>
      <c r="Q17" s="111">
        <f t="shared" si="0"/>
        <v>448.55010614499997</v>
      </c>
      <c r="R17" s="111">
        <f t="shared" si="0"/>
        <v>568</v>
      </c>
      <c r="S17" s="111">
        <f t="shared" si="0"/>
        <v>1259.8012680080001</v>
      </c>
      <c r="T17" s="111">
        <f t="shared" si="0"/>
        <v>812.50605801999995</v>
      </c>
      <c r="U17" s="111">
        <f t="shared" si="0"/>
        <v>0</v>
      </c>
      <c r="V17" s="111">
        <f t="shared" si="0"/>
        <v>0</v>
      </c>
      <c r="W17" s="111">
        <f t="shared" si="0"/>
        <v>0</v>
      </c>
      <c r="X17" s="111">
        <f t="shared" si="0"/>
        <v>0</v>
      </c>
      <c r="Y17" s="111">
        <f t="shared" si="0"/>
        <v>0</v>
      </c>
      <c r="Z17" s="112"/>
      <c r="AA17" s="111">
        <f t="shared" ref="AA17:AL17" si="1">+SUMIF($F$24:$F$80,"External",AA$24:AA$80)</f>
        <v>0</v>
      </c>
      <c r="AB17" s="111">
        <f t="shared" si="1"/>
        <v>0</v>
      </c>
      <c r="AC17" s="111">
        <f t="shared" si="1"/>
        <v>0</v>
      </c>
      <c r="AD17" s="111">
        <f t="shared" si="1"/>
        <v>0</v>
      </c>
      <c r="AE17" s="111">
        <f t="shared" si="1"/>
        <v>0</v>
      </c>
      <c r="AF17" s="111">
        <f t="shared" si="1"/>
        <v>0</v>
      </c>
      <c r="AG17" s="111">
        <f t="shared" si="1"/>
        <v>0</v>
      </c>
      <c r="AH17" s="111">
        <f t="shared" si="1"/>
        <v>0</v>
      </c>
      <c r="AI17" s="111">
        <f t="shared" si="1"/>
        <v>0</v>
      </c>
      <c r="AJ17" s="111">
        <f t="shared" si="1"/>
        <v>0</v>
      </c>
      <c r="AK17" s="111">
        <f t="shared" si="1"/>
        <v>0</v>
      </c>
      <c r="AL17" s="111">
        <f t="shared" si="1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+SUMIF($F$24:$F$80,"Group",$J$24:$J$80)</f>
        <v>9</v>
      </c>
      <c r="K18" s="113">
        <f>+SUMIF($F$24:$F$80,"Group",$K$24:$K$80)</f>
        <v>9</v>
      </c>
      <c r="L18" s="114">
        <f>SUMIF($F$24:$F$80,"Group",$L$24:$L$80)</f>
        <v>0</v>
      </c>
      <c r="M18" s="110"/>
      <c r="N18" s="114">
        <f t="shared" ref="N18:Y18" si="2">+SUMIF($F$24:$F$80,"Group",N$24:N$80)</f>
        <v>0</v>
      </c>
      <c r="O18" s="114">
        <f t="shared" si="2"/>
        <v>0</v>
      </c>
      <c r="P18" s="114">
        <f t="shared" si="2"/>
        <v>0</v>
      </c>
      <c r="Q18" s="114">
        <f t="shared" si="2"/>
        <v>0</v>
      </c>
      <c r="R18" s="114">
        <f t="shared" si="2"/>
        <v>7</v>
      </c>
      <c r="S18" s="114">
        <f t="shared" si="2"/>
        <v>2</v>
      </c>
      <c r="T18" s="114">
        <f t="shared" si="2"/>
        <v>0</v>
      </c>
      <c r="U18" s="114">
        <f t="shared" si="2"/>
        <v>0</v>
      </c>
      <c r="V18" s="114">
        <f t="shared" si="2"/>
        <v>0</v>
      </c>
      <c r="W18" s="114">
        <f t="shared" si="2"/>
        <v>0</v>
      </c>
      <c r="X18" s="114">
        <f t="shared" si="2"/>
        <v>0</v>
      </c>
      <c r="Y18" s="114">
        <f t="shared" si="2"/>
        <v>0</v>
      </c>
      <c r="Z18" s="112"/>
      <c r="AA18" s="114">
        <f t="shared" ref="AA18:AL18" si="3">+SUMIF($F$24:$F$80,"Group",AA$24:AA$80)</f>
        <v>0</v>
      </c>
      <c r="AB18" s="114">
        <f t="shared" si="3"/>
        <v>0</v>
      </c>
      <c r="AC18" s="114">
        <f t="shared" si="3"/>
        <v>0</v>
      </c>
      <c r="AD18" s="114">
        <f t="shared" si="3"/>
        <v>0</v>
      </c>
      <c r="AE18" s="114">
        <f t="shared" si="3"/>
        <v>0</v>
      </c>
      <c r="AF18" s="114">
        <f t="shared" si="3"/>
        <v>0</v>
      </c>
      <c r="AG18" s="114">
        <f t="shared" si="3"/>
        <v>0</v>
      </c>
      <c r="AH18" s="114">
        <f t="shared" si="3"/>
        <v>0</v>
      </c>
      <c r="AI18" s="114">
        <f t="shared" si="3"/>
        <v>0</v>
      </c>
      <c r="AJ18" s="114">
        <f t="shared" si="3"/>
        <v>0</v>
      </c>
      <c r="AK18" s="114">
        <f t="shared" si="3"/>
        <v>0</v>
      </c>
      <c r="AL18" s="114">
        <f t="shared" si="3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3097.8574321730002</v>
      </c>
      <c r="K19" s="115">
        <f>SUM(K17:K18)</f>
        <v>3097.8574321730002</v>
      </c>
      <c r="L19" s="116">
        <f>SUM(L17:L18)</f>
        <v>0</v>
      </c>
      <c r="M19" s="117"/>
      <c r="N19" s="116">
        <f>SUM(N17:N18)</f>
        <v>0</v>
      </c>
      <c r="O19" s="116">
        <f t="shared" ref="O19:Y19" si="4">SUM(O17:O18)</f>
        <v>0</v>
      </c>
      <c r="P19" s="116">
        <f t="shared" si="4"/>
        <v>0</v>
      </c>
      <c r="Q19" s="116">
        <f t="shared" si="4"/>
        <v>448.55010614499997</v>
      </c>
      <c r="R19" s="116">
        <f t="shared" si="4"/>
        <v>575</v>
      </c>
      <c r="S19" s="116">
        <f t="shared" si="4"/>
        <v>1261.8012680080001</v>
      </c>
      <c r="T19" s="116">
        <f t="shared" si="4"/>
        <v>812.50605801999995</v>
      </c>
      <c r="U19" s="116">
        <f t="shared" si="4"/>
        <v>0</v>
      </c>
      <c r="V19" s="116">
        <f t="shared" si="4"/>
        <v>0</v>
      </c>
      <c r="W19" s="116">
        <f t="shared" si="4"/>
        <v>0</v>
      </c>
      <c r="X19" s="116">
        <f t="shared" si="4"/>
        <v>0</v>
      </c>
      <c r="Y19" s="116">
        <f t="shared" si="4"/>
        <v>0</v>
      </c>
      <c r="Z19" s="112"/>
      <c r="AA19" s="116">
        <f t="shared" ref="AA19:AL19" si="5">SUM(AA17:AA18)</f>
        <v>0</v>
      </c>
      <c r="AB19" s="116">
        <f t="shared" si="5"/>
        <v>0</v>
      </c>
      <c r="AC19" s="116">
        <f t="shared" si="5"/>
        <v>0</v>
      </c>
      <c r="AD19" s="116">
        <f t="shared" si="5"/>
        <v>0</v>
      </c>
      <c r="AE19" s="116">
        <f t="shared" si="5"/>
        <v>0</v>
      </c>
      <c r="AF19" s="116">
        <f t="shared" si="5"/>
        <v>0</v>
      </c>
      <c r="AG19" s="116">
        <f t="shared" si="5"/>
        <v>0</v>
      </c>
      <c r="AH19" s="116">
        <f t="shared" si="5"/>
        <v>0</v>
      </c>
      <c r="AI19" s="116">
        <f t="shared" si="5"/>
        <v>0</v>
      </c>
      <c r="AJ19" s="116">
        <f t="shared" si="5"/>
        <v>0</v>
      </c>
      <c r="AK19" s="116">
        <f t="shared" si="5"/>
        <v>0</v>
      </c>
      <c r="AL19" s="116">
        <f t="shared" si="5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431</v>
      </c>
      <c r="F24" s="7" t="s">
        <v>19</v>
      </c>
      <c r="G24" s="6" t="s">
        <v>357</v>
      </c>
      <c r="H24" s="187" t="s">
        <v>392</v>
      </c>
      <c r="I24" s="187" t="s">
        <v>439</v>
      </c>
      <c r="J24" s="118">
        <f t="shared" ref="J24" si="6">+K24+L24</f>
        <v>37.137873861000003</v>
      </c>
      <c r="K24" s="119">
        <f t="shared" ref="K24" si="7">SUM(N24:Y24)</f>
        <v>37.137873861000003</v>
      </c>
      <c r="L24" s="119">
        <f t="shared" ref="L24" si="8">SUM(AA24:AL24)</f>
        <v>0</v>
      </c>
      <c r="M24" s="23"/>
      <c r="N24" s="24"/>
      <c r="O24" s="24"/>
      <c r="P24" s="24"/>
      <c r="Q24" s="24">
        <v>33.043926560999999</v>
      </c>
      <c r="R24" s="24"/>
      <c r="S24" s="24">
        <v>4.0939473</v>
      </c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346</v>
      </c>
      <c r="F25" s="7" t="s">
        <v>19</v>
      </c>
      <c r="G25" s="6" t="s">
        <v>338</v>
      </c>
      <c r="H25" s="188" t="s">
        <v>383</v>
      </c>
      <c r="I25" s="188" t="s">
        <v>380</v>
      </c>
      <c r="J25" s="118">
        <f t="shared" ref="J25:J69" si="9">+K25+L25</f>
        <v>2</v>
      </c>
      <c r="K25" s="119">
        <f t="shared" ref="K25:K69" si="10">SUM(N25:Y25)</f>
        <v>2</v>
      </c>
      <c r="L25" s="119">
        <f t="shared" ref="L25:L69" si="11">SUM(AA25:AL25)</f>
        <v>0</v>
      </c>
      <c r="M25" s="23"/>
      <c r="N25" s="24"/>
      <c r="O25" s="24"/>
      <c r="P25" s="24"/>
      <c r="Q25" s="24">
        <v>2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>
      <c r="E26" s="6" t="s">
        <v>348</v>
      </c>
      <c r="F26" s="7" t="s">
        <v>19</v>
      </c>
      <c r="G26" s="6" t="s">
        <v>239</v>
      </c>
      <c r="H26" s="190" t="s">
        <v>386</v>
      </c>
      <c r="I26" s="190" t="s">
        <v>439</v>
      </c>
      <c r="J26" s="118">
        <f t="shared" si="9"/>
        <v>7</v>
      </c>
      <c r="K26" s="119">
        <f t="shared" si="10"/>
        <v>7</v>
      </c>
      <c r="L26" s="119">
        <f t="shared" si="11"/>
        <v>0</v>
      </c>
      <c r="M26" s="23"/>
      <c r="N26" s="24"/>
      <c r="O26" s="24"/>
      <c r="P26" s="24"/>
      <c r="Q26" s="24"/>
      <c r="R26" s="24">
        <v>7</v>
      </c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349</v>
      </c>
      <c r="F27" s="7" t="s">
        <v>19</v>
      </c>
      <c r="G27" s="6" t="s">
        <v>237</v>
      </c>
      <c r="H27" s="190" t="s">
        <v>385</v>
      </c>
      <c r="I27" s="190" t="s">
        <v>439</v>
      </c>
      <c r="J27" s="118">
        <f t="shared" si="9"/>
        <v>8.1389031840000001</v>
      </c>
      <c r="K27" s="119">
        <f t="shared" si="10"/>
        <v>8.1389031840000001</v>
      </c>
      <c r="L27" s="119">
        <f t="shared" si="11"/>
        <v>0</v>
      </c>
      <c r="M27" s="23"/>
      <c r="N27" s="24"/>
      <c r="O27" s="24"/>
      <c r="P27" s="24"/>
      <c r="Q27" s="24">
        <v>8.1389031840000001</v>
      </c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432</v>
      </c>
      <c r="F28" s="7" t="s">
        <v>19</v>
      </c>
      <c r="G28" s="6" t="s">
        <v>357</v>
      </c>
      <c r="H28" s="190" t="s">
        <v>392</v>
      </c>
      <c r="I28" s="190" t="s">
        <v>439</v>
      </c>
      <c r="J28" s="118">
        <f t="shared" si="9"/>
        <v>8</v>
      </c>
      <c r="K28" s="119">
        <f t="shared" si="10"/>
        <v>8</v>
      </c>
      <c r="L28" s="119">
        <f t="shared" si="11"/>
        <v>0</v>
      </c>
      <c r="M28" s="15"/>
      <c r="N28" s="24"/>
      <c r="O28" s="24"/>
      <c r="P28" s="24"/>
      <c r="Q28" s="24"/>
      <c r="R28" s="313"/>
      <c r="S28" s="24">
        <v>8</v>
      </c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350</v>
      </c>
      <c r="F29" s="7" t="s">
        <v>19</v>
      </c>
      <c r="G29" s="6" t="s">
        <v>279</v>
      </c>
      <c r="H29" s="190" t="s">
        <v>387</v>
      </c>
      <c r="I29" s="190" t="s">
        <v>380</v>
      </c>
      <c r="J29" s="118">
        <f t="shared" si="9"/>
        <v>307</v>
      </c>
      <c r="K29" s="119">
        <f t="shared" si="10"/>
        <v>307</v>
      </c>
      <c r="L29" s="119">
        <f t="shared" si="11"/>
        <v>0</v>
      </c>
      <c r="M29" s="15"/>
      <c r="N29" s="24"/>
      <c r="O29" s="24"/>
      <c r="P29" s="24"/>
      <c r="Q29" s="24"/>
      <c r="R29" s="24"/>
      <c r="S29" s="24">
        <f>307/2</f>
        <v>153.5</v>
      </c>
      <c r="T29" s="24">
        <f>307/2</f>
        <v>153.5</v>
      </c>
      <c r="U29" s="24"/>
      <c r="V29" s="24"/>
      <c r="W29" s="24"/>
      <c r="X29" s="24"/>
    </row>
    <row r="30" spans="4:38">
      <c r="E30" s="6" t="s">
        <v>351</v>
      </c>
      <c r="F30" s="7" t="s">
        <v>19</v>
      </c>
      <c r="G30" s="6" t="s">
        <v>282</v>
      </c>
      <c r="H30" s="190" t="s">
        <v>388</v>
      </c>
      <c r="I30" s="190" t="s">
        <v>380</v>
      </c>
      <c r="J30" s="118">
        <f t="shared" si="9"/>
        <v>24</v>
      </c>
      <c r="K30" s="119">
        <f t="shared" si="10"/>
        <v>24</v>
      </c>
      <c r="L30" s="119">
        <f t="shared" si="11"/>
        <v>0</v>
      </c>
      <c r="M30" s="15"/>
      <c r="N30" s="24"/>
      <c r="O30" s="24"/>
      <c r="P30" s="24"/>
      <c r="Q30" s="24"/>
      <c r="R30" s="24"/>
      <c r="S30" s="24">
        <v>24</v>
      </c>
      <c r="T30" s="24"/>
      <c r="U30" s="24"/>
      <c r="V30" s="24"/>
      <c r="W30" s="24"/>
      <c r="X30" s="24"/>
    </row>
    <row r="31" spans="4:38">
      <c r="E31" s="6" t="s">
        <v>446</v>
      </c>
      <c r="F31" s="7" t="s">
        <v>19</v>
      </c>
      <c r="G31" s="6" t="s">
        <v>284</v>
      </c>
      <c r="H31" s="190" t="s">
        <v>383</v>
      </c>
      <c r="I31" s="190" t="s">
        <v>380</v>
      </c>
      <c r="J31" s="118">
        <f t="shared" si="9"/>
        <v>6</v>
      </c>
      <c r="K31" s="119">
        <f t="shared" si="10"/>
        <v>6</v>
      </c>
      <c r="L31" s="119">
        <f t="shared" si="11"/>
        <v>0</v>
      </c>
      <c r="M31" s="15"/>
      <c r="N31" s="24"/>
      <c r="O31" s="24"/>
      <c r="P31" s="24"/>
      <c r="Q31" s="24"/>
      <c r="R31" s="24">
        <v>5</v>
      </c>
      <c r="S31" s="24">
        <v>1</v>
      </c>
      <c r="T31" s="24"/>
      <c r="U31" s="24"/>
      <c r="V31" s="24"/>
      <c r="W31" s="24"/>
      <c r="X31" s="24"/>
    </row>
    <row r="32" spans="4:38">
      <c r="E32" s="6" t="s">
        <v>356</v>
      </c>
      <c r="F32" s="7" t="s">
        <v>17</v>
      </c>
      <c r="G32" s="6" t="s">
        <v>284</v>
      </c>
      <c r="H32" s="190" t="s">
        <v>383</v>
      </c>
      <c r="I32" s="190" t="s">
        <v>380</v>
      </c>
      <c r="J32" s="118">
        <f t="shared" si="9"/>
        <v>7</v>
      </c>
      <c r="K32" s="119">
        <f t="shared" si="10"/>
        <v>7</v>
      </c>
      <c r="L32" s="119">
        <f t="shared" si="11"/>
        <v>0</v>
      </c>
      <c r="M32" s="15"/>
      <c r="N32" s="24"/>
      <c r="O32" s="24"/>
      <c r="P32" s="24"/>
      <c r="Q32" s="24"/>
      <c r="R32" s="24">
        <v>7</v>
      </c>
      <c r="S32" s="24"/>
      <c r="T32" s="24"/>
      <c r="U32" s="24"/>
      <c r="V32" s="24"/>
      <c r="W32" s="24"/>
      <c r="X32" s="24"/>
    </row>
    <row r="33" spans="5:24">
      <c r="E33" s="6" t="s">
        <v>358</v>
      </c>
      <c r="F33" s="7" t="s">
        <v>17</v>
      </c>
      <c r="G33" s="6" t="s">
        <v>357</v>
      </c>
      <c r="H33" s="190" t="s">
        <v>392</v>
      </c>
      <c r="I33" s="190" t="s">
        <v>439</v>
      </c>
      <c r="J33" s="118">
        <f t="shared" si="9"/>
        <v>2</v>
      </c>
      <c r="K33" s="119">
        <f t="shared" si="10"/>
        <v>2</v>
      </c>
      <c r="L33" s="119">
        <f t="shared" si="11"/>
        <v>0</v>
      </c>
      <c r="M33" s="15"/>
      <c r="N33" s="24"/>
      <c r="O33" s="24"/>
      <c r="P33" s="24"/>
      <c r="Q33" s="24"/>
      <c r="R33" s="24"/>
      <c r="S33" s="24">
        <v>2</v>
      </c>
      <c r="T33" s="24"/>
      <c r="U33" s="24"/>
      <c r="V33" s="24"/>
      <c r="W33" s="24"/>
      <c r="X33" s="24"/>
    </row>
    <row r="34" spans="5:24">
      <c r="E34" s="6" t="s">
        <v>381</v>
      </c>
      <c r="F34" s="7" t="s">
        <v>19</v>
      </c>
      <c r="G34" s="6" t="s">
        <v>245</v>
      </c>
      <c r="H34" s="190" t="s">
        <v>394</v>
      </c>
      <c r="I34" s="190" t="s">
        <v>439</v>
      </c>
      <c r="J34" s="118">
        <f t="shared" si="9"/>
        <v>42</v>
      </c>
      <c r="K34" s="119">
        <f t="shared" si="10"/>
        <v>42</v>
      </c>
      <c r="L34" s="119">
        <f t="shared" si="11"/>
        <v>0</v>
      </c>
      <c r="M34" s="15"/>
      <c r="N34" s="24"/>
      <c r="O34" s="24"/>
      <c r="P34" s="24"/>
      <c r="Q34" s="24">
        <v>6</v>
      </c>
      <c r="R34" s="24">
        <v>36</v>
      </c>
      <c r="S34" s="24"/>
      <c r="T34" s="24"/>
      <c r="U34" s="24"/>
      <c r="V34" s="24"/>
      <c r="W34" s="24"/>
      <c r="X34" s="24"/>
    </row>
    <row r="35" spans="5:24">
      <c r="E35" s="6" t="s">
        <v>382</v>
      </c>
      <c r="F35" s="7" t="s">
        <v>19</v>
      </c>
      <c r="G35" s="6" t="s">
        <v>247</v>
      </c>
      <c r="H35" s="188" t="s">
        <v>395</v>
      </c>
      <c r="I35" s="188" t="s">
        <v>439</v>
      </c>
      <c r="J35" s="118">
        <f t="shared" si="9"/>
        <v>173</v>
      </c>
      <c r="K35" s="119">
        <f t="shared" si="10"/>
        <v>173</v>
      </c>
      <c r="L35" s="119">
        <f t="shared" si="11"/>
        <v>0</v>
      </c>
      <c r="M35" s="15"/>
      <c r="N35" s="24"/>
      <c r="O35" s="24"/>
      <c r="P35" s="24"/>
      <c r="Q35" s="24">
        <v>63</v>
      </c>
      <c r="R35" s="24">
        <v>60</v>
      </c>
      <c r="S35" s="24">
        <v>50</v>
      </c>
      <c r="T35" s="24"/>
      <c r="U35" s="24"/>
      <c r="V35" s="24"/>
      <c r="W35" s="24"/>
      <c r="X35" s="24"/>
    </row>
    <row r="36" spans="5:24">
      <c r="E36" s="6" t="s">
        <v>382</v>
      </c>
      <c r="F36" s="7" t="s">
        <v>19</v>
      </c>
      <c r="G36" s="6" t="s">
        <v>248</v>
      </c>
      <c r="H36" s="188" t="s">
        <v>406</v>
      </c>
      <c r="I36" s="188" t="s">
        <v>439</v>
      </c>
      <c r="J36" s="118">
        <f t="shared" si="9"/>
        <v>9</v>
      </c>
      <c r="K36" s="119">
        <f t="shared" si="10"/>
        <v>9</v>
      </c>
      <c r="L36" s="119">
        <f t="shared" si="11"/>
        <v>0</v>
      </c>
      <c r="M36" s="15"/>
      <c r="N36" s="24"/>
      <c r="O36" s="24"/>
      <c r="P36" s="24"/>
      <c r="Q36" s="24"/>
      <c r="R36" s="24">
        <v>9</v>
      </c>
      <c r="S36" s="24">
        <v>0</v>
      </c>
      <c r="T36" s="24"/>
      <c r="U36" s="24"/>
      <c r="V36" s="24"/>
      <c r="W36" s="24"/>
      <c r="X36" s="24"/>
    </row>
    <row r="37" spans="5:24">
      <c r="E37" s="6" t="s">
        <v>382</v>
      </c>
      <c r="F37" s="7" t="s">
        <v>19</v>
      </c>
      <c r="G37" s="6" t="s">
        <v>249</v>
      </c>
      <c r="H37" s="189" t="s">
        <v>406</v>
      </c>
      <c r="I37" s="189" t="s">
        <v>439</v>
      </c>
      <c r="J37" s="118">
        <f t="shared" si="9"/>
        <v>75</v>
      </c>
      <c r="K37" s="119">
        <f t="shared" si="10"/>
        <v>75</v>
      </c>
      <c r="L37" s="119">
        <f t="shared" si="11"/>
        <v>0</v>
      </c>
      <c r="M37" s="15"/>
      <c r="N37" s="24"/>
      <c r="O37" s="24"/>
      <c r="P37" s="24"/>
      <c r="Q37" s="24">
        <v>22</v>
      </c>
      <c r="R37" s="24"/>
      <c r="S37" s="24">
        <v>13</v>
      </c>
      <c r="T37" s="24">
        <v>40</v>
      </c>
      <c r="U37" s="24"/>
      <c r="V37" s="24"/>
      <c r="W37" s="24"/>
      <c r="X37" s="24"/>
    </row>
    <row r="38" spans="5:24">
      <c r="E38" s="6" t="s">
        <v>382</v>
      </c>
      <c r="F38" s="7" t="s">
        <v>19</v>
      </c>
      <c r="G38" s="6" t="s">
        <v>250</v>
      </c>
      <c r="H38" s="190" t="s">
        <v>409</v>
      </c>
      <c r="I38" s="190" t="s">
        <v>439</v>
      </c>
      <c r="J38" s="118">
        <f t="shared" si="9"/>
        <v>105</v>
      </c>
      <c r="K38" s="119">
        <f t="shared" si="10"/>
        <v>105</v>
      </c>
      <c r="L38" s="119">
        <f t="shared" si="11"/>
        <v>0</v>
      </c>
      <c r="M38" s="15"/>
      <c r="N38" s="24"/>
      <c r="O38" s="24"/>
      <c r="P38" s="24"/>
      <c r="Q38" s="24">
        <v>28</v>
      </c>
      <c r="R38" s="24"/>
      <c r="S38" s="24">
        <v>77</v>
      </c>
      <c r="T38" s="24"/>
      <c r="U38" s="24"/>
      <c r="V38" s="24"/>
      <c r="W38" s="24"/>
      <c r="X38" s="24"/>
    </row>
    <row r="39" spans="5:24">
      <c r="E39" s="6" t="s">
        <v>382</v>
      </c>
      <c r="F39" s="7" t="s">
        <v>19</v>
      </c>
      <c r="G39" s="6" t="s">
        <v>293</v>
      </c>
      <c r="H39" s="190" t="s">
        <v>410</v>
      </c>
      <c r="I39" s="190" t="s">
        <v>439</v>
      </c>
      <c r="J39" s="118">
        <f t="shared" si="9"/>
        <v>88</v>
      </c>
      <c r="K39" s="119">
        <f t="shared" si="10"/>
        <v>88</v>
      </c>
      <c r="L39" s="119">
        <f t="shared" si="11"/>
        <v>0</v>
      </c>
      <c r="M39" s="15"/>
      <c r="N39" s="24"/>
      <c r="O39" s="24"/>
      <c r="P39" s="24"/>
      <c r="Q39" s="24">
        <v>34</v>
      </c>
      <c r="R39" s="24"/>
      <c r="S39" s="24">
        <v>13</v>
      </c>
      <c r="T39" s="24">
        <v>41</v>
      </c>
      <c r="U39" s="24"/>
      <c r="V39" s="24"/>
      <c r="W39" s="24"/>
      <c r="X39" s="24"/>
    </row>
    <row r="40" spans="5:24">
      <c r="E40" s="6" t="s">
        <v>382</v>
      </c>
      <c r="F40" s="7" t="s">
        <v>19</v>
      </c>
      <c r="G40" s="6" t="s">
        <v>251</v>
      </c>
      <c r="H40" s="190" t="s">
        <v>406</v>
      </c>
      <c r="I40" s="190" t="s">
        <v>439</v>
      </c>
      <c r="J40" s="118">
        <f t="shared" si="9"/>
        <v>51.943126596000013</v>
      </c>
      <c r="K40" s="119">
        <f t="shared" si="10"/>
        <v>51.943126596000013</v>
      </c>
      <c r="L40" s="119">
        <f t="shared" si="11"/>
        <v>0</v>
      </c>
      <c r="M40" s="15"/>
      <c r="N40" s="24"/>
      <c r="O40" s="24"/>
      <c r="P40" s="24"/>
      <c r="Q40" s="24"/>
      <c r="R40" s="24">
        <v>22</v>
      </c>
      <c r="S40" s="24">
        <v>29.94312659600001</v>
      </c>
      <c r="T40" s="24"/>
      <c r="U40" s="24"/>
      <c r="V40" s="24"/>
      <c r="W40" s="24"/>
      <c r="X40" s="24"/>
    </row>
    <row r="41" spans="5:24">
      <c r="E41" s="6" t="s">
        <v>382</v>
      </c>
      <c r="F41" s="7" t="s">
        <v>19</v>
      </c>
      <c r="G41" s="6" t="s">
        <v>447</v>
      </c>
      <c r="H41" s="190" t="s">
        <v>448</v>
      </c>
      <c r="I41" s="190" t="s">
        <v>439</v>
      </c>
      <c r="J41" s="118">
        <f t="shared" si="9"/>
        <v>18</v>
      </c>
      <c r="K41" s="119">
        <f t="shared" si="10"/>
        <v>18</v>
      </c>
      <c r="L41" s="119">
        <f t="shared" si="11"/>
        <v>0</v>
      </c>
      <c r="M41" s="15"/>
      <c r="N41" s="24"/>
      <c r="O41" s="24"/>
      <c r="P41" s="24"/>
      <c r="Q41" s="24">
        <v>18</v>
      </c>
      <c r="R41" s="24"/>
      <c r="S41" s="24"/>
      <c r="T41" s="24"/>
      <c r="U41" s="24"/>
      <c r="V41" s="24"/>
      <c r="W41" s="24"/>
      <c r="X41" s="24"/>
    </row>
    <row r="42" spans="5:24">
      <c r="E42" s="6" t="s">
        <v>382</v>
      </c>
      <c r="F42" s="7" t="s">
        <v>19</v>
      </c>
      <c r="G42" s="6" t="s">
        <v>252</v>
      </c>
      <c r="H42" s="190" t="s">
        <v>407</v>
      </c>
      <c r="I42" s="190" t="s">
        <v>439</v>
      </c>
      <c r="J42" s="118">
        <f t="shared" si="9"/>
        <v>36.006058019999998</v>
      </c>
      <c r="K42" s="119">
        <f t="shared" si="10"/>
        <v>36.006058019999998</v>
      </c>
      <c r="L42" s="119">
        <f t="shared" si="11"/>
        <v>0</v>
      </c>
      <c r="M42" s="15"/>
      <c r="N42" s="24"/>
      <c r="O42" s="24"/>
      <c r="P42" s="24"/>
      <c r="Q42" s="24"/>
      <c r="R42" s="24">
        <v>26</v>
      </c>
      <c r="S42" s="24"/>
      <c r="T42" s="24">
        <v>10.006058019999999</v>
      </c>
      <c r="U42" s="24"/>
      <c r="V42" s="24"/>
      <c r="W42" s="24"/>
      <c r="X42" s="24"/>
    </row>
    <row r="43" spans="5:24">
      <c r="E43" s="6" t="s">
        <v>361</v>
      </c>
      <c r="F43" s="7" t="s">
        <v>19</v>
      </c>
      <c r="G43" s="6" t="s">
        <v>245</v>
      </c>
      <c r="H43" s="190" t="s">
        <v>394</v>
      </c>
      <c r="I43" s="190" t="s">
        <v>439</v>
      </c>
      <c r="J43" s="118">
        <f t="shared" si="9"/>
        <v>150</v>
      </c>
      <c r="K43" s="119">
        <f t="shared" si="10"/>
        <v>150</v>
      </c>
      <c r="L43" s="119">
        <f t="shared" si="11"/>
        <v>0</v>
      </c>
      <c r="M43" s="15"/>
      <c r="N43" s="24"/>
      <c r="O43" s="24"/>
      <c r="P43" s="24"/>
      <c r="Q43" s="24"/>
      <c r="R43" s="24">
        <v>75</v>
      </c>
      <c r="S43" s="24">
        <v>75</v>
      </c>
      <c r="T43" s="24"/>
      <c r="U43" s="24"/>
      <c r="V43" s="24"/>
      <c r="W43" s="24"/>
      <c r="X43" s="24"/>
    </row>
    <row r="44" spans="5:24">
      <c r="E44" s="6" t="s">
        <v>362</v>
      </c>
      <c r="F44" s="7" t="s">
        <v>19</v>
      </c>
      <c r="G44" s="6" t="s">
        <v>247</v>
      </c>
      <c r="H44" s="190" t="s">
        <v>395</v>
      </c>
      <c r="I44" s="190" t="s">
        <v>439</v>
      </c>
      <c r="J44" s="118">
        <f t="shared" si="9"/>
        <v>5</v>
      </c>
      <c r="K44" s="119">
        <f t="shared" si="10"/>
        <v>5</v>
      </c>
      <c r="L44" s="119">
        <f t="shared" si="11"/>
        <v>0</v>
      </c>
      <c r="M44" s="15"/>
      <c r="N44" s="24"/>
      <c r="O44" s="24"/>
      <c r="P44" s="24"/>
      <c r="Q44" s="24"/>
      <c r="R44" s="24">
        <v>5</v>
      </c>
      <c r="S44" s="24"/>
      <c r="T44" s="24"/>
      <c r="U44" s="24"/>
      <c r="V44" s="24"/>
      <c r="W44" s="24"/>
      <c r="X44" s="24"/>
    </row>
    <row r="45" spans="5:24">
      <c r="E45" s="6" t="s">
        <v>434</v>
      </c>
      <c r="F45" s="7" t="s">
        <v>19</v>
      </c>
      <c r="G45" s="6" t="s">
        <v>261</v>
      </c>
      <c r="H45" s="190" t="s">
        <v>399</v>
      </c>
      <c r="I45" s="190" t="s">
        <v>380</v>
      </c>
      <c r="J45" s="118">
        <f t="shared" si="9"/>
        <v>19.264194112000002</v>
      </c>
      <c r="K45" s="119">
        <f t="shared" si="10"/>
        <v>19.264194112000002</v>
      </c>
      <c r="L45" s="119">
        <f t="shared" si="11"/>
        <v>0</v>
      </c>
      <c r="M45" s="15"/>
      <c r="N45" s="24"/>
      <c r="O45" s="24"/>
      <c r="P45" s="24"/>
      <c r="Q45" s="24">
        <v>1</v>
      </c>
      <c r="R45" s="24"/>
      <c r="S45" s="24">
        <v>18.264194112000002</v>
      </c>
      <c r="T45" s="24"/>
      <c r="U45" s="24"/>
      <c r="V45" s="24"/>
      <c r="W45" s="24"/>
      <c r="X45" s="24"/>
    </row>
    <row r="46" spans="5:24">
      <c r="E46" s="6" t="s">
        <v>363</v>
      </c>
      <c r="F46" s="7" t="s">
        <v>19</v>
      </c>
      <c r="G46" s="6" t="s">
        <v>357</v>
      </c>
      <c r="H46" s="190" t="s">
        <v>392</v>
      </c>
      <c r="I46" s="190" t="s">
        <v>439</v>
      </c>
      <c r="J46" s="118">
        <f t="shared" si="9"/>
        <v>2</v>
      </c>
      <c r="K46" s="119">
        <f t="shared" si="10"/>
        <v>2</v>
      </c>
      <c r="L46" s="119">
        <f t="shared" si="11"/>
        <v>0</v>
      </c>
      <c r="M46" s="15"/>
      <c r="N46" s="24"/>
      <c r="O46" s="24"/>
      <c r="P46" s="24"/>
      <c r="Q46" s="24">
        <v>2</v>
      </c>
      <c r="R46" s="24"/>
      <c r="S46" s="24"/>
      <c r="T46" s="24"/>
      <c r="U46" s="24"/>
      <c r="V46" s="24"/>
      <c r="W46" s="24"/>
      <c r="X46" s="24"/>
    </row>
    <row r="47" spans="5:24">
      <c r="E47" s="6" t="s">
        <v>364</v>
      </c>
      <c r="F47" s="7" t="s">
        <v>19</v>
      </c>
      <c r="G47" s="6" t="s">
        <v>301</v>
      </c>
      <c r="H47" s="190" t="s">
        <v>396</v>
      </c>
      <c r="I47" s="190" t="s">
        <v>439</v>
      </c>
      <c r="J47" s="118">
        <f t="shared" si="9"/>
        <v>99</v>
      </c>
      <c r="K47" s="119">
        <f t="shared" si="10"/>
        <v>99</v>
      </c>
      <c r="L47" s="119">
        <f t="shared" si="11"/>
        <v>0</v>
      </c>
      <c r="M47" s="15"/>
      <c r="N47" s="24"/>
      <c r="O47" s="24"/>
      <c r="P47" s="24"/>
      <c r="Q47" s="24">
        <v>99</v>
      </c>
      <c r="R47" s="24"/>
      <c r="S47" s="24"/>
      <c r="T47" s="24"/>
      <c r="U47" s="24"/>
      <c r="V47" s="24"/>
      <c r="W47" s="24"/>
      <c r="X47" s="24"/>
    </row>
    <row r="48" spans="5:24">
      <c r="E48" s="6" t="s">
        <v>365</v>
      </c>
      <c r="F48" s="7" t="s">
        <v>19</v>
      </c>
      <c r="G48" s="6" t="s">
        <v>256</v>
      </c>
      <c r="H48" s="190" t="s">
        <v>397</v>
      </c>
      <c r="I48" s="190" t="s">
        <v>439</v>
      </c>
      <c r="J48" s="118">
        <f t="shared" si="9"/>
        <v>89</v>
      </c>
      <c r="K48" s="119">
        <f t="shared" si="10"/>
        <v>89</v>
      </c>
      <c r="L48" s="119">
        <f t="shared" si="11"/>
        <v>0</v>
      </c>
      <c r="M48" s="15"/>
      <c r="N48" s="24"/>
      <c r="O48" s="24"/>
      <c r="P48" s="24"/>
      <c r="Q48" s="24">
        <v>44</v>
      </c>
      <c r="R48" s="24"/>
      <c r="S48" s="24">
        <v>45</v>
      </c>
      <c r="T48" s="24"/>
      <c r="U48" s="24"/>
      <c r="V48" s="24"/>
      <c r="W48" s="24"/>
      <c r="X48" s="24"/>
    </row>
    <row r="49" spans="5:25">
      <c r="E49" s="6" t="s">
        <v>365</v>
      </c>
      <c r="F49" s="7" t="s">
        <v>19</v>
      </c>
      <c r="G49" s="6" t="s">
        <v>304</v>
      </c>
      <c r="H49" s="190" t="s">
        <v>389</v>
      </c>
      <c r="I49" s="190" t="s">
        <v>380</v>
      </c>
      <c r="J49" s="118">
        <f t="shared" si="9"/>
        <v>17</v>
      </c>
      <c r="K49" s="119">
        <f t="shared" si="10"/>
        <v>17</v>
      </c>
      <c r="L49" s="119">
        <f t="shared" si="11"/>
        <v>0</v>
      </c>
      <c r="M49" s="15"/>
      <c r="N49" s="24"/>
      <c r="O49" s="24"/>
      <c r="P49" s="24"/>
      <c r="Q49" s="24">
        <v>17</v>
      </c>
      <c r="R49" s="24"/>
      <c r="S49" s="24"/>
      <c r="T49" s="24"/>
      <c r="U49" s="24"/>
      <c r="V49" s="24"/>
      <c r="W49" s="24"/>
      <c r="X49" s="24"/>
    </row>
    <row r="50" spans="5:25">
      <c r="E50" s="6" t="s">
        <v>367</v>
      </c>
      <c r="F50" s="7" t="s">
        <v>19</v>
      </c>
      <c r="G50" s="6" t="s">
        <v>258</v>
      </c>
      <c r="H50" s="190" t="s">
        <v>398</v>
      </c>
      <c r="I50" s="190" t="s">
        <v>439</v>
      </c>
      <c r="J50" s="118">
        <f t="shared" si="9"/>
        <v>4</v>
      </c>
      <c r="K50" s="119">
        <f t="shared" si="10"/>
        <v>4</v>
      </c>
      <c r="L50" s="119">
        <f t="shared" si="11"/>
        <v>0</v>
      </c>
      <c r="N50" s="24"/>
      <c r="O50" s="24"/>
      <c r="P50" s="24"/>
      <c r="Q50" s="24">
        <v>4</v>
      </c>
      <c r="R50" s="24"/>
      <c r="S50" s="24"/>
      <c r="T50" s="24"/>
      <c r="U50" s="24"/>
      <c r="V50" s="24"/>
      <c r="W50" s="24"/>
      <c r="X50" s="24"/>
      <c r="Y50" s="24"/>
    </row>
    <row r="51" spans="5:25">
      <c r="E51" s="6" t="s">
        <v>368</v>
      </c>
      <c r="F51" s="7" t="s">
        <v>19</v>
      </c>
      <c r="G51" s="6" t="s">
        <v>258</v>
      </c>
      <c r="H51" s="190" t="s">
        <v>398</v>
      </c>
      <c r="I51" s="190" t="s">
        <v>439</v>
      </c>
      <c r="J51" s="118">
        <f t="shared" si="9"/>
        <v>20</v>
      </c>
      <c r="K51" s="119">
        <f t="shared" si="10"/>
        <v>20</v>
      </c>
      <c r="L51" s="119">
        <f t="shared" si="11"/>
        <v>0</v>
      </c>
      <c r="N51" s="24"/>
      <c r="O51" s="24"/>
      <c r="P51" s="24"/>
      <c r="Q51" s="24">
        <v>0</v>
      </c>
      <c r="R51" s="24">
        <v>20</v>
      </c>
      <c r="S51" s="24"/>
      <c r="T51" s="24"/>
      <c r="U51" s="24"/>
      <c r="V51" s="24"/>
      <c r="W51" s="24"/>
      <c r="X51" s="24"/>
      <c r="Y51" s="24"/>
    </row>
    <row r="52" spans="5:25">
      <c r="E52" s="6" t="s">
        <v>369</v>
      </c>
      <c r="F52" s="7" t="s">
        <v>19</v>
      </c>
      <c r="G52" s="6" t="s">
        <v>261</v>
      </c>
      <c r="H52" s="190" t="s">
        <v>399</v>
      </c>
      <c r="I52" s="190" t="s">
        <v>439</v>
      </c>
      <c r="J52" s="118">
        <f t="shared" si="9"/>
        <v>11</v>
      </c>
      <c r="K52" s="119">
        <f t="shared" si="10"/>
        <v>11</v>
      </c>
      <c r="L52" s="119">
        <f t="shared" si="11"/>
        <v>0</v>
      </c>
      <c r="N52" s="24"/>
      <c r="O52" s="24"/>
      <c r="P52" s="24"/>
      <c r="Q52" s="24"/>
      <c r="R52" s="24"/>
      <c r="S52" s="24">
        <v>11</v>
      </c>
      <c r="T52" s="24"/>
      <c r="U52" s="24"/>
      <c r="V52" s="24"/>
      <c r="W52" s="24"/>
      <c r="X52" s="24"/>
      <c r="Y52" s="24"/>
    </row>
    <row r="53" spans="5:25">
      <c r="E53" s="6" t="s">
        <v>369</v>
      </c>
      <c r="F53" s="7" t="s">
        <v>19</v>
      </c>
      <c r="G53" s="6" t="s">
        <v>261</v>
      </c>
      <c r="H53" s="190" t="s">
        <v>399</v>
      </c>
      <c r="I53" s="190" t="s">
        <v>380</v>
      </c>
      <c r="J53" s="118">
        <f t="shared" si="9"/>
        <v>23</v>
      </c>
      <c r="K53" s="119">
        <f t="shared" si="10"/>
        <v>23</v>
      </c>
      <c r="L53" s="119">
        <f t="shared" si="11"/>
        <v>0</v>
      </c>
      <c r="N53" s="24"/>
      <c r="O53" s="24"/>
      <c r="P53" s="24"/>
      <c r="Q53" s="24"/>
      <c r="R53" s="24"/>
      <c r="S53" s="24">
        <v>23</v>
      </c>
      <c r="T53" s="24"/>
      <c r="U53" s="24"/>
      <c r="V53" s="24"/>
      <c r="W53" s="24"/>
      <c r="X53" s="24"/>
      <c r="Y53" s="24"/>
    </row>
    <row r="54" spans="5:25">
      <c r="E54" s="6" t="s">
        <v>369</v>
      </c>
      <c r="F54" s="7" t="s">
        <v>19</v>
      </c>
      <c r="G54" s="6" t="s">
        <v>370</v>
      </c>
      <c r="H54" s="190" t="s">
        <v>400</v>
      </c>
      <c r="I54" s="190" t="s">
        <v>380</v>
      </c>
      <c r="J54" s="118">
        <f t="shared" si="9"/>
        <v>8.3672763999999997</v>
      </c>
      <c r="K54" s="119">
        <f t="shared" si="10"/>
        <v>8.3672763999999997</v>
      </c>
      <c r="L54" s="119">
        <f t="shared" si="11"/>
        <v>0</v>
      </c>
      <c r="N54" s="24"/>
      <c r="O54" s="24"/>
      <c r="P54" s="24"/>
      <c r="Q54" s="24">
        <v>1.3672764000000002</v>
      </c>
      <c r="R54" s="24"/>
      <c r="S54" s="24">
        <v>7</v>
      </c>
      <c r="T54" s="24"/>
      <c r="U54" s="24"/>
      <c r="V54" s="24"/>
      <c r="W54" s="24"/>
      <c r="X54" s="24"/>
      <c r="Y54" s="24"/>
    </row>
    <row r="55" spans="5:25">
      <c r="E55" s="6" t="s">
        <v>371</v>
      </c>
      <c r="F55" s="7" t="s">
        <v>19</v>
      </c>
      <c r="G55" s="6" t="s">
        <v>264</v>
      </c>
      <c r="H55" s="190" t="s">
        <v>401</v>
      </c>
      <c r="I55" s="190" t="s">
        <v>380</v>
      </c>
      <c r="J55" s="118">
        <f t="shared" si="9"/>
        <v>28</v>
      </c>
      <c r="K55" s="119">
        <f t="shared" si="10"/>
        <v>28</v>
      </c>
      <c r="L55" s="119">
        <f t="shared" si="11"/>
        <v>0</v>
      </c>
      <c r="N55" s="24"/>
      <c r="O55" s="24"/>
      <c r="P55" s="24"/>
      <c r="Q55" s="24">
        <v>28</v>
      </c>
      <c r="R55" s="24"/>
      <c r="S55" s="24">
        <v>0</v>
      </c>
      <c r="T55" s="24"/>
      <c r="U55" s="24"/>
      <c r="V55" s="24"/>
      <c r="W55" s="24"/>
      <c r="X55" s="24"/>
      <c r="Y55" s="24"/>
    </row>
    <row r="56" spans="5:25">
      <c r="E56" s="6" t="s">
        <v>371</v>
      </c>
      <c r="F56" s="7" t="s">
        <v>19</v>
      </c>
      <c r="G56" s="6" t="s">
        <v>261</v>
      </c>
      <c r="H56" s="190" t="s">
        <v>399</v>
      </c>
      <c r="I56" s="190" t="s">
        <v>380</v>
      </c>
      <c r="J56" s="118">
        <f t="shared" si="9"/>
        <v>17</v>
      </c>
      <c r="K56" s="119">
        <f t="shared" si="10"/>
        <v>17</v>
      </c>
      <c r="L56" s="119">
        <f t="shared" si="11"/>
        <v>0</v>
      </c>
      <c r="N56" s="24"/>
      <c r="O56" s="24"/>
      <c r="P56" s="24"/>
      <c r="Q56" s="24"/>
      <c r="R56" s="24"/>
      <c r="S56" s="24">
        <v>17</v>
      </c>
      <c r="T56" s="24"/>
      <c r="U56" s="24"/>
      <c r="V56" s="24"/>
      <c r="W56" s="24"/>
      <c r="X56" s="24"/>
      <c r="Y56" s="24"/>
    </row>
    <row r="57" spans="5:25">
      <c r="E57" s="6" t="s">
        <v>371</v>
      </c>
      <c r="F57" s="7" t="s">
        <v>19</v>
      </c>
      <c r="G57" s="6" t="s">
        <v>372</v>
      </c>
      <c r="H57" s="190" t="s">
        <v>402</v>
      </c>
      <c r="I57" s="188" t="s">
        <v>380</v>
      </c>
      <c r="J57" s="118">
        <f t="shared" si="9"/>
        <v>11</v>
      </c>
      <c r="K57" s="119">
        <f t="shared" si="10"/>
        <v>11</v>
      </c>
      <c r="L57" s="119">
        <f t="shared" si="11"/>
        <v>0</v>
      </c>
      <c r="N57" s="24"/>
      <c r="O57" s="24"/>
      <c r="P57" s="24"/>
      <c r="Q57" s="24"/>
      <c r="R57" s="24"/>
      <c r="S57" s="24">
        <v>11</v>
      </c>
      <c r="T57" s="24"/>
      <c r="U57" s="24"/>
      <c r="V57" s="24"/>
      <c r="W57" s="24"/>
      <c r="X57" s="24"/>
      <c r="Y57" s="24"/>
    </row>
    <row r="58" spans="5:25">
      <c r="E58" s="6" t="s">
        <v>371</v>
      </c>
      <c r="F58" s="7" t="s">
        <v>19</v>
      </c>
      <c r="G58" s="6" t="s">
        <v>266</v>
      </c>
      <c r="H58" s="188" t="s">
        <v>389</v>
      </c>
      <c r="I58" s="188" t="s">
        <v>380</v>
      </c>
      <c r="J58" s="118">
        <f t="shared" si="9"/>
        <v>60</v>
      </c>
      <c r="K58" s="119">
        <f t="shared" si="10"/>
        <v>60</v>
      </c>
      <c r="L58" s="119">
        <f t="shared" si="11"/>
        <v>0</v>
      </c>
      <c r="N58" s="24"/>
      <c r="O58" s="24"/>
      <c r="P58" s="24"/>
      <c r="Q58" s="24"/>
      <c r="R58" s="24">
        <v>60</v>
      </c>
      <c r="S58" s="24"/>
      <c r="T58" s="24"/>
      <c r="U58" s="24"/>
      <c r="V58" s="24"/>
      <c r="W58" s="24"/>
      <c r="X58" s="24"/>
      <c r="Y58" s="24"/>
    </row>
    <row r="59" spans="5:25">
      <c r="E59" s="6" t="s">
        <v>371</v>
      </c>
      <c r="F59" s="7" t="s">
        <v>19</v>
      </c>
      <c r="G59" s="6" t="s">
        <v>267</v>
      </c>
      <c r="H59" s="189" t="s">
        <v>402</v>
      </c>
      <c r="I59" s="189" t="s">
        <v>380</v>
      </c>
      <c r="J59" s="118">
        <f t="shared" si="9"/>
        <v>9</v>
      </c>
      <c r="K59" s="119">
        <f t="shared" si="10"/>
        <v>9</v>
      </c>
      <c r="L59" s="119">
        <f t="shared" si="11"/>
        <v>0</v>
      </c>
      <c r="N59" s="24"/>
      <c r="O59" s="24"/>
      <c r="P59" s="24"/>
      <c r="Q59" s="24">
        <v>9</v>
      </c>
      <c r="R59" s="24"/>
      <c r="S59" s="24"/>
      <c r="T59" s="24"/>
      <c r="U59" s="24"/>
      <c r="V59" s="24"/>
      <c r="W59" s="24"/>
      <c r="X59" s="24"/>
      <c r="Y59" s="24"/>
    </row>
    <row r="60" spans="5:25">
      <c r="E60" s="6" t="s">
        <v>371</v>
      </c>
      <c r="F60" s="7" t="s">
        <v>19</v>
      </c>
      <c r="G60" s="6" t="s">
        <v>370</v>
      </c>
      <c r="H60" s="190" t="s">
        <v>400</v>
      </c>
      <c r="I60" s="190" t="s">
        <v>380</v>
      </c>
      <c r="J60" s="118">
        <f t="shared" si="9"/>
        <v>28</v>
      </c>
      <c r="K60" s="119">
        <f t="shared" si="10"/>
        <v>28</v>
      </c>
      <c r="L60" s="119">
        <f t="shared" si="11"/>
        <v>0</v>
      </c>
      <c r="N60" s="24"/>
      <c r="O60" s="24"/>
      <c r="P60" s="24"/>
      <c r="Q60" s="24"/>
      <c r="R60" s="24">
        <v>28</v>
      </c>
      <c r="S60" s="24"/>
      <c r="T60" s="24"/>
      <c r="U60" s="24"/>
      <c r="V60" s="24"/>
      <c r="W60" s="24"/>
      <c r="X60" s="24"/>
      <c r="Y60" s="24"/>
    </row>
    <row r="61" spans="5:25">
      <c r="E61" s="6" t="s">
        <v>435</v>
      </c>
      <c r="F61" s="7" t="s">
        <v>19</v>
      </c>
      <c r="G61" s="6" t="s">
        <v>357</v>
      </c>
      <c r="H61" s="190" t="s">
        <v>392</v>
      </c>
      <c r="I61" s="190" t="s">
        <v>439</v>
      </c>
      <c r="J61" s="118">
        <f t="shared" si="9"/>
        <v>7</v>
      </c>
      <c r="K61" s="119">
        <f t="shared" si="10"/>
        <v>7</v>
      </c>
      <c r="L61" s="119">
        <f t="shared" si="11"/>
        <v>0</v>
      </c>
      <c r="N61" s="24"/>
      <c r="O61" s="24"/>
      <c r="P61" s="24"/>
      <c r="Q61" s="24"/>
      <c r="R61" s="24">
        <v>7</v>
      </c>
      <c r="S61" s="24"/>
      <c r="T61" s="24"/>
      <c r="U61" s="24"/>
      <c r="V61" s="24"/>
      <c r="W61" s="24"/>
      <c r="X61" s="24"/>
      <c r="Y61" s="24"/>
    </row>
    <row r="62" spans="5:25">
      <c r="E62" s="6" t="s">
        <v>436</v>
      </c>
      <c r="F62" s="7" t="s">
        <v>19</v>
      </c>
      <c r="G62" s="6" t="s">
        <v>420</v>
      </c>
      <c r="H62" s="190" t="s">
        <v>421</v>
      </c>
      <c r="I62" s="190" t="s">
        <v>380</v>
      </c>
      <c r="J62" s="118">
        <f t="shared" si="9"/>
        <v>494</v>
      </c>
      <c r="K62" s="119">
        <f t="shared" si="10"/>
        <v>494</v>
      </c>
      <c r="L62" s="119">
        <f t="shared" si="11"/>
        <v>0</v>
      </c>
      <c r="N62" s="24"/>
      <c r="O62" s="24"/>
      <c r="P62" s="24"/>
      <c r="Q62" s="24"/>
      <c r="R62" s="24"/>
      <c r="S62" s="24">
        <f>494/2</f>
        <v>247</v>
      </c>
      <c r="T62" s="24">
        <f>494/2</f>
        <v>247</v>
      </c>
      <c r="U62" s="24"/>
      <c r="V62" s="24"/>
      <c r="W62" s="24"/>
      <c r="X62" s="24"/>
      <c r="Y62" s="24"/>
    </row>
    <row r="63" spans="5:25">
      <c r="E63" s="6" t="s">
        <v>373</v>
      </c>
      <c r="F63" s="7" t="s">
        <v>19</v>
      </c>
      <c r="G63" s="6" t="s">
        <v>327</v>
      </c>
      <c r="H63" s="190" t="s">
        <v>404</v>
      </c>
      <c r="I63" s="190" t="s">
        <v>380</v>
      </c>
      <c r="J63" s="118">
        <f t="shared" si="9"/>
        <v>41</v>
      </c>
      <c r="K63" s="119">
        <f t="shared" si="10"/>
        <v>41</v>
      </c>
      <c r="L63" s="119">
        <f t="shared" si="11"/>
        <v>0</v>
      </c>
      <c r="N63" s="24"/>
      <c r="O63" s="24"/>
      <c r="P63" s="24"/>
      <c r="Q63" s="24"/>
      <c r="R63" s="24">
        <v>41</v>
      </c>
      <c r="S63" s="24"/>
      <c r="T63" s="24"/>
      <c r="U63" s="24"/>
      <c r="V63" s="24"/>
      <c r="W63" s="24"/>
      <c r="X63" s="24"/>
      <c r="Y63" s="24"/>
    </row>
    <row r="64" spans="5:25">
      <c r="E64" s="6" t="s">
        <v>375</v>
      </c>
      <c r="F64" s="7" t="s">
        <v>19</v>
      </c>
      <c r="G64" s="6" t="s">
        <v>374</v>
      </c>
      <c r="H64" s="190" t="s">
        <v>405</v>
      </c>
      <c r="I64" s="190" t="s">
        <v>439</v>
      </c>
      <c r="J64" s="118">
        <f t="shared" si="9"/>
        <v>35</v>
      </c>
      <c r="K64" s="119">
        <f t="shared" si="10"/>
        <v>35</v>
      </c>
      <c r="L64" s="119">
        <f t="shared" si="11"/>
        <v>0</v>
      </c>
      <c r="N64" s="24"/>
      <c r="O64" s="24"/>
      <c r="P64" s="24"/>
      <c r="Q64" s="24"/>
      <c r="R64" s="24">
        <v>33</v>
      </c>
      <c r="S64" s="24">
        <v>2</v>
      </c>
      <c r="T64" s="24"/>
      <c r="U64" s="24"/>
      <c r="V64" s="24"/>
      <c r="W64" s="24"/>
      <c r="X64" s="24"/>
      <c r="Y64" s="24"/>
    </row>
    <row r="65" spans="5:25">
      <c r="E65" s="6" t="s">
        <v>376</v>
      </c>
      <c r="F65" s="7" t="s">
        <v>19</v>
      </c>
      <c r="G65" s="6" t="s">
        <v>374</v>
      </c>
      <c r="H65" s="317" t="s">
        <v>405</v>
      </c>
      <c r="I65" s="190" t="s">
        <v>439</v>
      </c>
      <c r="J65" s="118">
        <f t="shared" si="9"/>
        <v>43</v>
      </c>
      <c r="K65" s="119">
        <f t="shared" si="10"/>
        <v>43</v>
      </c>
      <c r="L65" s="119">
        <f t="shared" si="11"/>
        <v>0</v>
      </c>
      <c r="N65" s="24"/>
      <c r="O65" s="24"/>
      <c r="P65" s="24"/>
      <c r="Q65" s="24"/>
      <c r="R65" s="24">
        <v>43</v>
      </c>
      <c r="S65" s="24"/>
      <c r="T65" s="24"/>
      <c r="U65" s="24"/>
      <c r="V65" s="24"/>
      <c r="W65" s="24"/>
      <c r="X65" s="24"/>
      <c r="Y65" s="24"/>
    </row>
    <row r="66" spans="5:25">
      <c r="E66" s="6" t="s">
        <v>377</v>
      </c>
      <c r="F66" s="7" t="s">
        <v>19</v>
      </c>
      <c r="G66" s="6" t="s">
        <v>247</v>
      </c>
      <c r="H66" s="190" t="s">
        <v>395</v>
      </c>
      <c r="I66" s="190" t="s">
        <v>439</v>
      </c>
      <c r="J66" s="118">
        <f t="shared" si="9"/>
        <v>3</v>
      </c>
      <c r="K66" s="119">
        <f t="shared" si="10"/>
        <v>3</v>
      </c>
      <c r="L66" s="119">
        <f t="shared" si="11"/>
        <v>0</v>
      </c>
      <c r="N66" s="24"/>
      <c r="O66" s="24"/>
      <c r="P66" s="24"/>
      <c r="Q66" s="24"/>
      <c r="R66" s="24"/>
      <c r="S66" s="24">
        <v>3</v>
      </c>
      <c r="T66" s="24"/>
      <c r="U66" s="24"/>
      <c r="V66" s="24"/>
      <c r="W66" s="24"/>
      <c r="X66" s="24"/>
      <c r="Y66" s="24"/>
    </row>
    <row r="67" spans="5:25">
      <c r="E67" s="6" t="s">
        <v>377</v>
      </c>
      <c r="F67" s="7" t="s">
        <v>19</v>
      </c>
      <c r="G67" s="6" t="s">
        <v>272</v>
      </c>
      <c r="H67" s="190" t="s">
        <v>406</v>
      </c>
      <c r="I67" s="190" t="s">
        <v>439</v>
      </c>
      <c r="J67" s="118">
        <f t="shared" si="9"/>
        <v>29</v>
      </c>
      <c r="K67" s="119">
        <f t="shared" si="10"/>
        <v>29</v>
      </c>
      <c r="L67" s="119">
        <f t="shared" si="11"/>
        <v>0</v>
      </c>
      <c r="N67" s="24"/>
      <c r="O67" s="24"/>
      <c r="P67" s="24"/>
      <c r="Q67" s="24">
        <v>29</v>
      </c>
      <c r="R67" s="24"/>
      <c r="S67" s="24">
        <v>0</v>
      </c>
      <c r="T67" s="24"/>
      <c r="U67" s="24"/>
      <c r="V67" s="24"/>
      <c r="W67" s="24"/>
      <c r="X67" s="24"/>
      <c r="Y67" s="24"/>
    </row>
    <row r="68" spans="5:25">
      <c r="E68" s="6" t="s">
        <v>377</v>
      </c>
      <c r="F68" s="7" t="s">
        <v>19</v>
      </c>
      <c r="G68" s="6" t="s">
        <v>252</v>
      </c>
      <c r="H68" s="190" t="s">
        <v>407</v>
      </c>
      <c r="I68" s="190" t="s">
        <v>380</v>
      </c>
      <c r="J68" s="118">
        <f t="shared" si="9"/>
        <v>15</v>
      </c>
      <c r="K68" s="119">
        <f t="shared" si="10"/>
        <v>15</v>
      </c>
      <c r="L68" s="119">
        <f t="shared" si="11"/>
        <v>0</v>
      </c>
      <c r="N68" s="24"/>
      <c r="O68" s="24"/>
      <c r="P68" s="24"/>
      <c r="Q68" s="24"/>
      <c r="R68" s="24">
        <v>15</v>
      </c>
      <c r="S68" s="24"/>
      <c r="T68" s="24"/>
      <c r="U68" s="24"/>
      <c r="V68" s="24"/>
      <c r="W68" s="24"/>
      <c r="X68" s="24"/>
      <c r="Y68" s="24"/>
    </row>
    <row r="69" spans="5:25">
      <c r="E69" s="6" t="s">
        <v>441</v>
      </c>
      <c r="F69" s="7" t="s">
        <v>19</v>
      </c>
      <c r="G69" s="6" t="s">
        <v>442</v>
      </c>
      <c r="H69" s="190" t="s">
        <v>443</v>
      </c>
      <c r="I69" s="190" t="s">
        <v>236</v>
      </c>
      <c r="J69" s="118">
        <f t="shared" si="9"/>
        <v>642</v>
      </c>
      <c r="K69" s="119">
        <f t="shared" si="10"/>
        <v>642</v>
      </c>
      <c r="L69" s="119">
        <f t="shared" si="11"/>
        <v>0</v>
      </c>
      <c r="N69" s="24"/>
      <c r="O69" s="24"/>
      <c r="P69" s="24"/>
      <c r="Q69" s="24"/>
      <c r="R69" s="24"/>
      <c r="S69" s="24">
        <f>642/2</f>
        <v>321</v>
      </c>
      <c r="T69" s="24">
        <f>642/2</f>
        <v>321</v>
      </c>
      <c r="U69" s="24"/>
      <c r="V69" s="24"/>
      <c r="W69" s="24"/>
      <c r="X69" s="24"/>
      <c r="Y69" s="24"/>
    </row>
    <row r="70" spans="5:25">
      <c r="E70" s="6"/>
      <c r="F70" s="7"/>
      <c r="G70" s="6"/>
      <c r="H70" s="190"/>
      <c r="I70" s="190"/>
      <c r="J70" s="118">
        <f t="shared" ref="J70:J80" si="12">+K70+L70</f>
        <v>0</v>
      </c>
      <c r="K70" s="119">
        <f t="shared" ref="K70:K80" si="13">SUM(N70:Y70)</f>
        <v>0</v>
      </c>
      <c r="L70" s="119">
        <f t="shared" ref="L70:L80" si="14">SUM(AA70:AL70)</f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5:25">
      <c r="E71" s="345" t="s">
        <v>449</v>
      </c>
      <c r="F71" s="7"/>
      <c r="G71" s="6"/>
      <c r="H71" s="9"/>
      <c r="I71" s="9"/>
      <c r="J71" s="118">
        <f t="shared" si="12"/>
        <v>0</v>
      </c>
      <c r="K71" s="119">
        <f t="shared" si="13"/>
        <v>0</v>
      </c>
      <c r="L71" s="119">
        <f t="shared" si="14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5:25">
      <c r="E72" s="6"/>
      <c r="F72" s="7"/>
      <c r="G72" s="6"/>
      <c r="H72" s="9"/>
      <c r="I72" s="9"/>
      <c r="J72" s="118">
        <f t="shared" si="12"/>
        <v>0</v>
      </c>
      <c r="K72" s="119">
        <f t="shared" si="13"/>
        <v>0</v>
      </c>
      <c r="L72" s="119">
        <f t="shared" si="14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5:25" s="340" customFormat="1">
      <c r="E73" s="305" t="s">
        <v>450</v>
      </c>
      <c r="F73" s="341" t="s">
        <v>19</v>
      </c>
      <c r="G73" s="305"/>
      <c r="H73" s="342"/>
      <c r="I73" s="342"/>
      <c r="J73" s="343">
        <f t="shared" si="12"/>
        <v>14</v>
      </c>
      <c r="K73" s="339">
        <f t="shared" si="13"/>
        <v>14</v>
      </c>
      <c r="L73" s="339">
        <f t="shared" si="14"/>
        <v>0</v>
      </c>
      <c r="M73" s="281"/>
      <c r="N73" s="344"/>
      <c r="O73" s="344"/>
      <c r="P73" s="344"/>
      <c r="Q73" s="344"/>
      <c r="R73" s="344">
        <v>14</v>
      </c>
      <c r="S73" s="344"/>
      <c r="T73" s="344"/>
      <c r="U73" s="344"/>
      <c r="V73" s="344"/>
      <c r="W73" s="344"/>
      <c r="X73" s="344"/>
      <c r="Y73" s="344"/>
    </row>
    <row r="74" spans="5:25" s="340" customFormat="1">
      <c r="E74" s="305" t="s">
        <v>451</v>
      </c>
      <c r="F74" s="341" t="s">
        <v>19</v>
      </c>
      <c r="G74" s="305"/>
      <c r="H74" s="12"/>
      <c r="I74" s="12"/>
      <c r="J74" s="343">
        <f t="shared" si="12"/>
        <v>12</v>
      </c>
      <c r="K74" s="339">
        <f t="shared" si="13"/>
        <v>12</v>
      </c>
      <c r="L74" s="339">
        <f t="shared" si="14"/>
        <v>0</v>
      </c>
      <c r="M74" s="281"/>
      <c r="N74" s="344"/>
      <c r="O74" s="344"/>
      <c r="P74" s="344"/>
      <c r="Q74" s="344"/>
      <c r="R74" s="344">
        <v>12</v>
      </c>
      <c r="S74" s="344"/>
      <c r="T74" s="344"/>
      <c r="U74" s="344"/>
      <c r="V74" s="344"/>
      <c r="W74" s="344"/>
      <c r="X74" s="344"/>
      <c r="Y74" s="344"/>
    </row>
    <row r="75" spans="5:25" s="340" customFormat="1">
      <c r="E75" s="305" t="s">
        <v>371</v>
      </c>
      <c r="F75" s="341" t="s">
        <v>19</v>
      </c>
      <c r="G75" s="305"/>
      <c r="H75" s="12"/>
      <c r="I75" s="12"/>
      <c r="J75" s="343">
        <f t="shared" si="12"/>
        <v>24</v>
      </c>
      <c r="K75" s="339">
        <f t="shared" si="13"/>
        <v>24</v>
      </c>
      <c r="L75" s="339">
        <f t="shared" si="14"/>
        <v>0</v>
      </c>
      <c r="M75" s="281"/>
      <c r="N75" s="344"/>
      <c r="O75" s="344"/>
      <c r="P75" s="344"/>
      <c r="Q75" s="344"/>
      <c r="R75" s="344"/>
      <c r="S75" s="344">
        <v>24</v>
      </c>
      <c r="T75" s="344"/>
      <c r="U75" s="344"/>
      <c r="V75" s="344"/>
      <c r="W75" s="344"/>
      <c r="X75" s="344"/>
      <c r="Y75" s="344"/>
    </row>
    <row r="76" spans="5:25" s="340" customFormat="1">
      <c r="E76" s="305" t="s">
        <v>246</v>
      </c>
      <c r="F76" s="341" t="s">
        <v>19</v>
      </c>
      <c r="G76" s="305"/>
      <c r="H76" s="12"/>
      <c r="I76" s="12"/>
      <c r="J76" s="343">
        <f t="shared" si="12"/>
        <v>74</v>
      </c>
      <c r="K76" s="339">
        <f t="shared" si="13"/>
        <v>74</v>
      </c>
      <c r="L76" s="339">
        <f t="shared" si="14"/>
        <v>0</v>
      </c>
      <c r="M76" s="281"/>
      <c r="N76" s="344"/>
      <c r="O76" s="344"/>
      <c r="P76" s="344"/>
      <c r="Q76" s="344"/>
      <c r="R76" s="344">
        <v>50</v>
      </c>
      <c r="S76" s="344">
        <v>24</v>
      </c>
      <c r="T76" s="344"/>
      <c r="U76" s="344"/>
      <c r="V76" s="344"/>
      <c r="W76" s="344"/>
      <c r="X76" s="344"/>
      <c r="Y76" s="344"/>
    </row>
    <row r="77" spans="5:25" s="340" customFormat="1">
      <c r="E77" s="305" t="s">
        <v>374</v>
      </c>
      <c r="F77" s="341" t="s">
        <v>19</v>
      </c>
      <c r="G77" s="305"/>
      <c r="H77" s="12"/>
      <c r="I77" s="12"/>
      <c r="J77" s="343">
        <f t="shared" si="12"/>
        <v>58</v>
      </c>
      <c r="K77" s="339">
        <f t="shared" si="13"/>
        <v>58</v>
      </c>
      <c r="L77" s="339">
        <f t="shared" si="14"/>
        <v>0</v>
      </c>
      <c r="M77" s="281"/>
      <c r="N77" s="344"/>
      <c r="O77" s="344"/>
      <c r="P77" s="344"/>
      <c r="Q77" s="344"/>
      <c r="R77" s="344"/>
      <c r="S77" s="344">
        <v>58</v>
      </c>
      <c r="T77" s="344"/>
      <c r="U77" s="344"/>
      <c r="V77" s="344"/>
      <c r="W77" s="344"/>
      <c r="X77" s="344"/>
      <c r="Y77" s="344"/>
    </row>
    <row r="78" spans="5:25" s="340" customFormat="1">
      <c r="E78" s="305"/>
      <c r="F78" s="341"/>
      <c r="G78" s="305"/>
      <c r="H78" s="12"/>
      <c r="I78" s="12"/>
      <c r="J78" s="343">
        <f t="shared" si="12"/>
        <v>0</v>
      </c>
      <c r="K78" s="339">
        <f t="shared" si="13"/>
        <v>0</v>
      </c>
      <c r="L78" s="339">
        <f t="shared" si="14"/>
        <v>0</v>
      </c>
      <c r="M78" s="281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</row>
    <row r="79" spans="5:25" s="340" customFormat="1">
      <c r="E79" s="305"/>
      <c r="F79" s="341"/>
      <c r="G79" s="305"/>
      <c r="H79" s="12"/>
      <c r="I79" s="12"/>
      <c r="J79" s="343">
        <f t="shared" si="12"/>
        <v>0</v>
      </c>
      <c r="K79" s="339">
        <f t="shared" si="13"/>
        <v>0</v>
      </c>
      <c r="L79" s="339">
        <f t="shared" si="14"/>
        <v>0</v>
      </c>
      <c r="M79" s="281"/>
      <c r="N79" s="344"/>
      <c r="O79" s="344"/>
      <c r="P79" s="344"/>
      <c r="Q79" s="344"/>
      <c r="R79" s="344"/>
      <c r="S79" s="344"/>
      <c r="T79" s="344"/>
      <c r="U79" s="344"/>
      <c r="V79" s="344"/>
      <c r="W79" s="344"/>
      <c r="X79" s="344"/>
      <c r="Y79" s="344"/>
    </row>
    <row r="80" spans="5:25" s="340" customFormat="1">
      <c r="E80" s="305"/>
      <c r="F80" s="341"/>
      <c r="G80" s="305"/>
      <c r="H80" s="12"/>
      <c r="I80" s="12"/>
      <c r="J80" s="343">
        <f t="shared" si="12"/>
        <v>0</v>
      </c>
      <c r="K80" s="339">
        <f t="shared" si="13"/>
        <v>0</v>
      </c>
      <c r="L80" s="339">
        <f t="shared" si="14"/>
        <v>0</v>
      </c>
      <c r="M80" s="281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  <c r="Y80" s="344"/>
    </row>
    <row r="82" spans="5:8">
      <c r="E82" s="191" t="s">
        <v>320</v>
      </c>
      <c r="F82" s="216">
        <v>46082</v>
      </c>
      <c r="G82" s="192">
        <v>428</v>
      </c>
      <c r="H82" s="271" t="s">
        <v>321</v>
      </c>
    </row>
    <row r="83" spans="5:8">
      <c r="E83" s="195" t="s">
        <v>452</v>
      </c>
      <c r="F83" s="217"/>
      <c r="G83" s="196">
        <v>59</v>
      </c>
      <c r="H83" s="271" t="s">
        <v>321</v>
      </c>
    </row>
    <row r="84" spans="5:8">
      <c r="E84" s="195" t="s">
        <v>453</v>
      </c>
      <c r="F84" s="217"/>
      <c r="G84" s="196">
        <v>305</v>
      </c>
      <c r="H84" s="271" t="s">
        <v>321</v>
      </c>
    </row>
    <row r="85" spans="5:8">
      <c r="E85" s="191" t="s">
        <v>320</v>
      </c>
      <c r="F85" s="216">
        <v>46112</v>
      </c>
      <c r="G85" s="192">
        <f>G82+G83-G84</f>
        <v>182</v>
      </c>
      <c r="H85" s="271" t="s">
        <v>321</v>
      </c>
    </row>
    <row r="86" spans="5:8">
      <c r="E86" s="318"/>
      <c r="F86" s="319"/>
      <c r="G86" s="320"/>
      <c r="H86" s="321"/>
    </row>
    <row r="87" spans="5:8">
      <c r="E87" s="356" t="s">
        <v>324</v>
      </c>
      <c r="F87" s="219"/>
      <c r="G87" s="202"/>
      <c r="H87" s="219" t="s">
        <v>325</v>
      </c>
    </row>
    <row r="88" spans="5:8">
      <c r="E88" s="332" t="s">
        <v>284</v>
      </c>
      <c r="F88" s="324"/>
      <c r="G88" s="324"/>
      <c r="H88" s="325">
        <v>1</v>
      </c>
    </row>
    <row r="89" spans="5:8">
      <c r="E89" s="332" t="s">
        <v>247</v>
      </c>
      <c r="F89" s="324"/>
      <c r="G89" s="324"/>
      <c r="H89" s="325">
        <v>10</v>
      </c>
    </row>
    <row r="90" spans="5:8">
      <c r="E90" s="333" t="s">
        <v>249</v>
      </c>
      <c r="F90" s="324"/>
      <c r="G90" s="324"/>
      <c r="H90" s="325">
        <v>30</v>
      </c>
    </row>
    <row r="91" spans="5:8">
      <c r="E91" s="334" t="s">
        <v>261</v>
      </c>
      <c r="F91" s="326"/>
      <c r="G91" s="326"/>
      <c r="H91" s="330">
        <v>1</v>
      </c>
    </row>
    <row r="92" spans="5:8">
      <c r="E92" s="335" t="s">
        <v>454</v>
      </c>
      <c r="F92" s="327"/>
      <c r="G92" s="328"/>
      <c r="H92" s="331">
        <v>28</v>
      </c>
    </row>
    <row r="93" spans="5:8">
      <c r="E93" s="335" t="s">
        <v>293</v>
      </c>
      <c r="F93" s="327"/>
      <c r="G93" s="328"/>
      <c r="H93" s="331">
        <v>4</v>
      </c>
    </row>
    <row r="94" spans="5:8">
      <c r="E94" s="335" t="s">
        <v>447</v>
      </c>
      <c r="F94" s="327"/>
      <c r="G94" s="328"/>
      <c r="H94" s="331">
        <v>18</v>
      </c>
    </row>
    <row r="95" spans="5:8">
      <c r="E95" s="335" t="s">
        <v>374</v>
      </c>
      <c r="F95" s="327"/>
      <c r="G95" s="328"/>
      <c r="H95" s="331">
        <v>4</v>
      </c>
    </row>
    <row r="96" spans="5:8">
      <c r="E96" s="198"/>
      <c r="F96" s="322"/>
      <c r="G96" s="323"/>
      <c r="H96" s="272"/>
    </row>
    <row r="97" spans="5:25">
      <c r="E97" s="263" t="s">
        <v>344</v>
      </c>
      <c r="F97" s="286"/>
      <c r="G97" s="287"/>
      <c r="H97" s="301">
        <f>SUM(H89:H96)</f>
        <v>95</v>
      </c>
    </row>
    <row r="98" spans="5:25">
      <c r="E98" s="318"/>
      <c r="F98" s="319"/>
      <c r="G98" s="320"/>
      <c r="H98" s="329"/>
      <c r="I98" s="291"/>
    </row>
    <row r="99" spans="5:25" s="336" customFormat="1">
      <c r="E99" s="347"/>
      <c r="F99" s="348"/>
      <c r="G99" s="349"/>
      <c r="H99" s="350"/>
      <c r="I99" s="280"/>
      <c r="J99" s="280"/>
      <c r="K99" s="281"/>
      <c r="L99" s="281"/>
      <c r="M99" s="281"/>
      <c r="N99" s="73"/>
      <c r="O99" s="73"/>
      <c r="P99" s="73"/>
      <c r="Q99" s="73"/>
      <c r="R99" s="337"/>
      <c r="S99" s="337"/>
      <c r="T99" s="337"/>
      <c r="U99" s="337"/>
      <c r="V99" s="337"/>
      <c r="W99" s="337"/>
      <c r="X99" s="337"/>
      <c r="Y99" s="338"/>
    </row>
    <row r="100" spans="5:25" s="336" customFormat="1">
      <c r="E100" s="227"/>
      <c r="F100" s="278"/>
      <c r="G100" s="227"/>
      <c r="H100" s="280"/>
      <c r="I100" s="280"/>
      <c r="J100" s="351"/>
      <c r="K100" s="281"/>
      <c r="L100" s="281"/>
      <c r="M100" s="281"/>
      <c r="N100" s="73"/>
      <c r="O100" s="73"/>
      <c r="P100" s="73"/>
      <c r="Q100" s="73"/>
      <c r="R100" s="337"/>
      <c r="S100" s="337"/>
      <c r="T100" s="337"/>
      <c r="U100" s="337"/>
      <c r="V100" s="337"/>
      <c r="W100" s="337"/>
      <c r="X100" s="337"/>
      <c r="Y100" s="338"/>
    </row>
    <row r="101" spans="5:25" s="151" customFormat="1">
      <c r="E101" s="227" t="s">
        <v>330</v>
      </c>
      <c r="F101" s="294"/>
      <c r="G101" s="227"/>
      <c r="H101" s="295">
        <f>'W13'!J19</f>
        <v>3365.0094141</v>
      </c>
      <c r="I101" s="280"/>
      <c r="J101" s="280"/>
      <c r="K101" s="281"/>
      <c r="L101" s="281"/>
      <c r="M101" s="281"/>
      <c r="N101" s="73"/>
      <c r="O101" s="73"/>
      <c r="P101" s="73"/>
      <c r="Q101" s="73"/>
      <c r="R101" s="261"/>
      <c r="S101" s="261"/>
      <c r="T101" s="261"/>
      <c r="U101" s="261"/>
      <c r="V101" s="261"/>
      <c r="W101" s="261"/>
      <c r="X101" s="261"/>
      <c r="Y101" s="262"/>
    </row>
    <row r="102" spans="5:25" s="151" customFormat="1">
      <c r="E102" s="227" t="s">
        <v>331</v>
      </c>
      <c r="F102" s="294"/>
      <c r="G102" s="227"/>
      <c r="H102" s="295">
        <f>H97</f>
        <v>95</v>
      </c>
      <c r="I102" s="280"/>
      <c r="J102" s="280"/>
      <c r="K102" s="281"/>
      <c r="L102" s="281"/>
      <c r="M102" s="281"/>
      <c r="N102" s="73"/>
      <c r="O102" s="73"/>
      <c r="P102" s="73"/>
      <c r="Q102" s="73"/>
      <c r="R102" s="261"/>
      <c r="S102" s="261"/>
      <c r="T102" s="261"/>
      <c r="U102" s="261"/>
      <c r="V102" s="261"/>
      <c r="W102" s="261"/>
      <c r="X102" s="261"/>
      <c r="Y102" s="262"/>
    </row>
    <row r="103" spans="5:25" s="151" customFormat="1">
      <c r="E103" s="227" t="s">
        <v>332</v>
      </c>
      <c r="F103" s="294"/>
      <c r="G103" s="227"/>
      <c r="H103" s="295">
        <f>J12</f>
        <v>6.5</v>
      </c>
      <c r="I103" s="280"/>
      <c r="J103" s="280"/>
      <c r="K103" s="281"/>
      <c r="L103" s="281"/>
      <c r="M103" s="281"/>
      <c r="N103" s="73"/>
      <c r="O103" s="73"/>
      <c r="P103" s="73"/>
      <c r="Q103" s="73"/>
      <c r="R103" s="261"/>
      <c r="S103" s="261"/>
      <c r="T103" s="261"/>
      <c r="U103" s="261"/>
      <c r="V103" s="261"/>
      <c r="W103" s="261"/>
      <c r="X103" s="261"/>
      <c r="Y103" s="262"/>
    </row>
    <row r="104" spans="5:25" s="151" customFormat="1">
      <c r="E104" s="227" t="s">
        <v>455</v>
      </c>
      <c r="F104" s="294"/>
      <c r="G104" s="227"/>
      <c r="H104" s="295">
        <f>H12-'W13'!H12</f>
        <v>350.98</v>
      </c>
      <c r="I104" s="280"/>
      <c r="J104" s="280"/>
      <c r="K104" s="281"/>
      <c r="L104" s="281"/>
      <c r="M104" s="281"/>
      <c r="N104" s="73"/>
      <c r="O104" s="73"/>
      <c r="P104" s="73"/>
      <c r="Q104" s="73"/>
      <c r="R104" s="261"/>
      <c r="S104" s="261"/>
      <c r="T104" s="261"/>
      <c r="U104" s="261"/>
      <c r="V104" s="261"/>
      <c r="W104" s="261"/>
      <c r="X104" s="261"/>
      <c r="Y104" s="262"/>
    </row>
    <row r="105" spans="5:25" s="151" customFormat="1">
      <c r="E105" s="227" t="s">
        <v>333</v>
      </c>
      <c r="F105" s="294"/>
      <c r="G105" s="227"/>
      <c r="H105" s="295">
        <f>H101+H102-H103-H104</f>
        <v>3102.5294140999999</v>
      </c>
      <c r="I105" s="295"/>
      <c r="J105" s="280"/>
      <c r="K105" s="281"/>
      <c r="L105" s="281"/>
      <c r="M105" s="281"/>
      <c r="N105" s="73"/>
      <c r="O105" s="73"/>
      <c r="P105" s="73"/>
      <c r="Q105" s="73"/>
      <c r="R105" s="261"/>
      <c r="S105" s="261"/>
      <c r="T105" s="261"/>
      <c r="U105" s="261"/>
      <c r="V105" s="261"/>
      <c r="W105" s="261"/>
      <c r="X105" s="261"/>
      <c r="Y105" s="262"/>
    </row>
    <row r="106" spans="5:25" s="151" customFormat="1">
      <c r="E106" s="227" t="s">
        <v>334</v>
      </c>
      <c r="F106" s="294"/>
      <c r="G106" s="227"/>
      <c r="H106" s="295">
        <f>J19</f>
        <v>3097.8574321730002</v>
      </c>
      <c r="I106" s="280"/>
      <c r="J106" s="280"/>
      <c r="K106" s="281"/>
      <c r="L106" s="281"/>
      <c r="M106" s="281"/>
      <c r="N106" s="73"/>
      <c r="O106" s="73"/>
      <c r="P106" s="73"/>
      <c r="Q106" s="73"/>
      <c r="R106" s="261"/>
      <c r="S106" s="261"/>
      <c r="T106" s="261"/>
      <c r="U106" s="261"/>
      <c r="V106" s="261"/>
      <c r="W106" s="261"/>
      <c r="X106" s="261"/>
      <c r="Y106" s="262"/>
    </row>
    <row r="107" spans="5:25" s="151" customFormat="1">
      <c r="E107" s="227" t="s">
        <v>335</v>
      </c>
      <c r="F107" s="294"/>
      <c r="G107" s="227"/>
      <c r="H107" s="296">
        <f>H105-H106</f>
        <v>4.671981926999706</v>
      </c>
      <c r="I107" s="279" t="s">
        <v>336</v>
      </c>
      <c r="J107" s="280"/>
      <c r="K107" s="281"/>
      <c r="L107" s="281"/>
      <c r="M107" s="281"/>
      <c r="N107" s="73"/>
      <c r="O107" s="73"/>
      <c r="P107" s="73"/>
      <c r="Q107" s="73"/>
      <c r="R107" s="261"/>
      <c r="S107" s="261"/>
      <c r="T107" s="261"/>
      <c r="U107" s="261"/>
      <c r="V107" s="261"/>
      <c r="W107" s="261"/>
      <c r="X107" s="261"/>
      <c r="Y107" s="262"/>
    </row>
    <row r="108" spans="5:25" s="151" customFormat="1">
      <c r="E108" s="227"/>
      <c r="F108" s="278"/>
      <c r="G108" s="227"/>
      <c r="H108" s="280"/>
      <c r="I108" s="280"/>
      <c r="J108" s="280"/>
      <c r="K108" s="281"/>
      <c r="L108" s="281"/>
      <c r="M108" s="281"/>
      <c r="N108" s="73"/>
      <c r="O108" s="73"/>
      <c r="P108" s="73"/>
      <c r="Q108" s="73"/>
      <c r="R108" s="261"/>
      <c r="S108" s="261"/>
      <c r="T108" s="261"/>
      <c r="U108" s="261"/>
      <c r="V108" s="261"/>
      <c r="W108" s="261"/>
      <c r="X108" s="261"/>
      <c r="Y108" s="262"/>
    </row>
    <row r="109" spans="5:25">
      <c r="E109" s="227"/>
      <c r="F109" s="278"/>
      <c r="G109" s="227"/>
      <c r="H109" s="280"/>
      <c r="I109" s="280"/>
      <c r="J109" s="280"/>
      <c r="K109" s="281"/>
      <c r="L109" s="281"/>
      <c r="M109" s="281"/>
      <c r="N109" s="73"/>
      <c r="O109" s="73"/>
      <c r="P109" s="73"/>
      <c r="Q109" s="73"/>
    </row>
    <row r="110" spans="5:25">
      <c r="E110" s="227"/>
      <c r="F110" s="278"/>
      <c r="G110" s="227"/>
      <c r="H110" s="280"/>
      <c r="I110" s="280"/>
      <c r="J110" s="280"/>
      <c r="K110" s="281"/>
      <c r="L110" s="281"/>
      <c r="M110" s="281"/>
      <c r="N110" s="73"/>
      <c r="O110" s="73"/>
      <c r="P110" s="73"/>
      <c r="Q110" s="73"/>
    </row>
    <row r="111" spans="5:25">
      <c r="E111" s="227"/>
      <c r="F111" s="278"/>
      <c r="G111" s="227"/>
      <c r="H111" s="280"/>
      <c r="I111" s="280"/>
      <c r="J111" s="280"/>
      <c r="K111" s="281"/>
      <c r="L111" s="281"/>
      <c r="M111" s="281"/>
      <c r="N111" s="73"/>
      <c r="O111" s="73"/>
      <c r="P111" s="73"/>
      <c r="Q111" s="73"/>
    </row>
    <row r="112" spans="5:25">
      <c r="E112" s="227"/>
      <c r="F112" s="278"/>
      <c r="G112" s="227"/>
      <c r="H112" s="280"/>
      <c r="I112" s="280"/>
      <c r="J112" s="280"/>
      <c r="K112" s="281"/>
      <c r="L112" s="281"/>
      <c r="M112" s="281"/>
      <c r="N112" s="73"/>
      <c r="O112" s="73"/>
      <c r="P112" s="73"/>
      <c r="Q112" s="73"/>
    </row>
    <row r="113" spans="5:17">
      <c r="E113" s="227"/>
      <c r="F113" s="278"/>
      <c r="G113" s="227"/>
      <c r="H113" s="280"/>
      <c r="I113" s="280"/>
      <c r="J113" s="280"/>
      <c r="K113" s="281"/>
      <c r="L113" s="281"/>
      <c r="M113" s="281"/>
      <c r="N113" s="73"/>
      <c r="O113" s="73"/>
      <c r="P113" s="73"/>
      <c r="Q113" s="73"/>
    </row>
    <row r="114" spans="5:17">
      <c r="E114" s="227"/>
      <c r="F114" s="278"/>
      <c r="G114" s="227"/>
      <c r="H114" s="280"/>
      <c r="I114" s="280"/>
      <c r="J114" s="280"/>
      <c r="K114" s="281"/>
      <c r="L114" s="281"/>
      <c r="M114" s="281"/>
      <c r="N114" s="73"/>
      <c r="O114" s="73"/>
      <c r="P114" s="73"/>
      <c r="Q114" s="73"/>
    </row>
    <row r="115" spans="5:17">
      <c r="E115" s="227"/>
      <c r="F115" s="278"/>
      <c r="G115" s="227"/>
      <c r="H115" s="280"/>
      <c r="I115" s="280"/>
      <c r="J115" s="280"/>
      <c r="K115" s="281"/>
      <c r="L115" s="281"/>
      <c r="M115" s="281"/>
      <c r="N115" s="73"/>
      <c r="O115" s="73"/>
      <c r="P115" s="73"/>
      <c r="Q115" s="73"/>
    </row>
    <row r="116" spans="5:17">
      <c r="E116" s="227"/>
      <c r="F116" s="278"/>
      <c r="G116" s="227"/>
      <c r="H116" s="280"/>
      <c r="I116" s="280"/>
      <c r="J116" s="280"/>
      <c r="K116" s="281"/>
      <c r="L116" s="281"/>
      <c r="M116" s="281"/>
      <c r="N116" s="73"/>
      <c r="O116" s="73"/>
      <c r="P116" s="73"/>
      <c r="Q116" s="73"/>
    </row>
    <row r="117" spans="5:17">
      <c r="E117" s="227"/>
      <c r="F117" s="278"/>
      <c r="G117" s="227"/>
      <c r="H117" s="280"/>
      <c r="I117" s="280"/>
      <c r="J117" s="280"/>
      <c r="K117" s="281"/>
      <c r="L117" s="281"/>
      <c r="M117" s="281"/>
      <c r="N117" s="73"/>
      <c r="O117" s="73"/>
      <c r="P117" s="73"/>
      <c r="Q117" s="73"/>
    </row>
    <row r="118" spans="5:17">
      <c r="E118" s="227"/>
      <c r="F118" s="278"/>
      <c r="G118" s="227"/>
      <c r="H118" s="280"/>
      <c r="I118" s="280"/>
      <c r="J118" s="280"/>
      <c r="K118" s="281"/>
      <c r="L118" s="281"/>
      <c r="M118" s="281"/>
      <c r="N118" s="73"/>
      <c r="O118" s="73"/>
      <c r="P118" s="73"/>
    </row>
    <row r="119" spans="5:17">
      <c r="E119" s="227"/>
      <c r="F119" s="278"/>
      <c r="G119" s="227"/>
      <c r="H119" s="280"/>
      <c r="I119" s="280"/>
      <c r="J119" s="280"/>
      <c r="K119" s="281"/>
      <c r="L119" s="281"/>
      <c r="M119" s="281"/>
      <c r="N119" s="73"/>
      <c r="O119" s="73"/>
      <c r="P119" s="73"/>
    </row>
    <row r="120" spans="5:17">
      <c r="E120" s="227"/>
      <c r="F120" s="278"/>
      <c r="G120" s="227"/>
      <c r="H120" s="280"/>
      <c r="I120" s="280"/>
      <c r="J120" s="280"/>
      <c r="K120" s="281"/>
      <c r="L120" s="281"/>
      <c r="M120" s="281"/>
      <c r="N120" s="73"/>
      <c r="O120" s="73"/>
      <c r="P120" s="73"/>
    </row>
    <row r="121" spans="5:17">
      <c r="E121" s="227"/>
      <c r="F121" s="278"/>
      <c r="G121" s="227"/>
      <c r="H121" s="280"/>
      <c r="I121" s="280"/>
    </row>
  </sheetData>
  <sheetProtection formatCells="0" formatColumns="0" formatRows="0" insertRows="0" deleteRows="0" autoFilter="0"/>
  <autoFilter ref="E23:AL240" xr:uid="{00000000-0009-0000-0000-000010000000}"/>
  <mergeCells count="1">
    <mergeCell ref="I4:J4"/>
  </mergeCells>
  <phoneticPr fontId="40"/>
  <dataValidations disablePrompts="1" count="2">
    <dataValidation type="list" allowBlank="1" showInputMessage="1" showErrorMessage="1" sqref="G2" xr:uid="{00000000-0002-0000-1000-000000000000}">
      <formula1>SOCIETE</formula1>
    </dataValidation>
    <dataValidation type="list" allowBlank="1" showInputMessage="1" showErrorMessage="1" sqref="F24:F80" xr:uid="{47E4FF50-56CB-4D77-8D9E-0783AA9056E5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101:H102 H103:H107" unlocked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>
    <tabColor theme="4" tint="-0.499984740745262"/>
    <pageSetUpPr fitToPage="1"/>
  </sheetPr>
  <dimension ref="D1:AL119"/>
  <sheetViews>
    <sheetView showGridLines="0" topLeftCell="A82" zoomScale="87" zoomScaleNormal="87" workbookViewId="0">
      <selection activeCell="H10" sqref="H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36.42578125" style="54" bestFit="1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81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April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April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W15</v>
      </c>
      <c r="I9" s="61"/>
      <c r="J9" s="161" t="str">
        <f>+"from "&amp;G6&amp;" 1 until end of "&amp;G4</f>
        <v>from April 1 until end of W15</v>
      </c>
      <c r="K9" s="79"/>
      <c r="L9" s="167" t="str">
        <f>+G6</f>
        <v>April</v>
      </c>
      <c r="M9" s="80"/>
      <c r="N9" s="80"/>
      <c r="O9" s="172" t="str">
        <f>+G4</f>
        <v>W15</v>
      </c>
      <c r="P9" s="173" t="str">
        <f>+VLOOKUP(G4, parameters!$G$9:$I$61,3,0)</f>
        <v>W14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600+320+798+J10</f>
        <v>1777.37</v>
      </c>
      <c r="I10" s="61"/>
      <c r="J10" s="159">
        <f>59.37</f>
        <v>59.37</v>
      </c>
      <c r="L10" s="16">
        <f>Q17+J10</f>
        <v>493.92010614499998</v>
      </c>
      <c r="N10" s="55"/>
      <c r="O10" s="170">
        <f>+H10+K17</f>
        <v>4956.2274321730001</v>
      </c>
      <c r="P10" s="171" cm="1">
        <f t="array" aca="1" ref="P10" ca="1">INDIRECT(ADDRESS(10,15,,,VLOOKUP($G$4,parameters!$G:$I,3,0)))</f>
        <v>4798.3574321730002</v>
      </c>
      <c r="Q10" s="183">
        <f ca="1">O10-P10</f>
        <v>157.86999999999989</v>
      </c>
      <c r="R10" s="86"/>
    </row>
    <row r="11" spans="5:38" ht="20.45" customHeight="1">
      <c r="E11" s="87" t="s">
        <v>224</v>
      </c>
      <c r="F11" s="88"/>
      <c r="G11" s="89"/>
      <c r="H11" s="16">
        <f>13+8+3+J11</f>
        <v>24</v>
      </c>
      <c r="I11" s="61"/>
      <c r="J11" s="16">
        <v>0</v>
      </c>
      <c r="L11" s="16">
        <f>Q18+J11</f>
        <v>0</v>
      </c>
      <c r="N11" s="55"/>
      <c r="O11" s="152">
        <f>+H11+K18</f>
        <v>27</v>
      </c>
      <c r="P11" s="153" cm="1">
        <f t="array" aca="1" ref="P11" ca="1">INDIRECT(ADDRESS(11,15,,,VLOOKUP($G$4,parameters!$G:$I,3,0)))</f>
        <v>33</v>
      </c>
      <c r="Q11" s="184">
        <f t="shared" ref="Q11:Q12" ca="1" si="0">O11-P11</f>
        <v>-6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1801.37</v>
      </c>
      <c r="I12" s="293"/>
      <c r="J12" s="126">
        <f>SUM(J10:J11)</f>
        <v>59.37</v>
      </c>
      <c r="K12" s="65"/>
      <c r="L12" s="126">
        <f>SUM(L10:L11)</f>
        <v>493.92010614499998</v>
      </c>
      <c r="M12" s="65"/>
      <c r="N12" s="65"/>
      <c r="O12" s="154">
        <f>SUM(O10:O11)</f>
        <v>4983.2274321730001</v>
      </c>
      <c r="P12" s="155">
        <f ca="1">SUM(P10:P11)</f>
        <v>4831.3574321730002</v>
      </c>
      <c r="Q12" s="156">
        <f t="shared" ca="1" si="0"/>
        <v>151.86999999999989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+SUMIF($F$24:$F$81,"External",$J$24:$J$81)</f>
        <v>3178.8574321730002</v>
      </c>
      <c r="K17" s="108">
        <f>+SUMIF($F$24:$F$81,"External",$K$24:$K$81)</f>
        <v>3178.8574321730002</v>
      </c>
      <c r="L17" s="109">
        <f>+SUMIF($F$24:$F$81,"External",$L$24:$L$81)</f>
        <v>0</v>
      </c>
      <c r="M17" s="110"/>
      <c r="N17" s="111">
        <f t="shared" ref="N17:Y17" si="1">+SUMIF($F$24:$F$81,"External",N$24:N$81)</f>
        <v>0</v>
      </c>
      <c r="O17" s="111">
        <f t="shared" si="1"/>
        <v>0</v>
      </c>
      <c r="P17" s="111">
        <f t="shared" si="1"/>
        <v>0</v>
      </c>
      <c r="Q17" s="111">
        <f t="shared" si="1"/>
        <v>434.55010614499997</v>
      </c>
      <c r="R17" s="111">
        <f t="shared" si="1"/>
        <v>596</v>
      </c>
      <c r="S17" s="111">
        <f t="shared" si="1"/>
        <v>1335.8012680080001</v>
      </c>
      <c r="T17" s="111">
        <f t="shared" si="1"/>
        <v>812.50605801999995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+SUMIF($F$24:$F$81,"External",AA$24:AA$81)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+SUMIF($F$24:$F$81,"Group",$J$24:$J$81)</f>
        <v>3</v>
      </c>
      <c r="K18" s="113">
        <f>+SUMIF($F$24:$F$81,"Group",$K$24:$K$81)</f>
        <v>3</v>
      </c>
      <c r="L18" s="114">
        <f>SUMIF($F$24:$F$81,"Group",$L$24:$L$81)</f>
        <v>0</v>
      </c>
      <c r="M18" s="110"/>
      <c r="N18" s="114">
        <f t="shared" ref="N18:Y18" si="3">+SUMIF($F$24:$F$81,"Group",N$24:N$81)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1</v>
      </c>
      <c r="S18" s="114">
        <f t="shared" si="3"/>
        <v>2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+SUMIF($F$24:$F$81,"Group",AA$24:AA$81)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3181.8574321730002</v>
      </c>
      <c r="K19" s="115">
        <f>SUM(K17:K18)</f>
        <v>3181.8574321730002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434.55010614499997</v>
      </c>
      <c r="R19" s="116">
        <f t="shared" si="5"/>
        <v>597</v>
      </c>
      <c r="S19" s="116">
        <f t="shared" si="5"/>
        <v>1337.8012680080001</v>
      </c>
      <c r="T19" s="116">
        <f t="shared" si="5"/>
        <v>812.50605801999995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187" t="s">
        <v>431</v>
      </c>
      <c r="F24" s="187" t="s">
        <v>19</v>
      </c>
      <c r="G24" s="187" t="s">
        <v>357</v>
      </c>
      <c r="H24" s="187" t="s">
        <v>392</v>
      </c>
      <c r="I24" s="187" t="s">
        <v>439</v>
      </c>
      <c r="J24" s="118">
        <f t="shared" ref="J24" si="7">+K24+L24</f>
        <v>37.137873861000003</v>
      </c>
      <c r="K24" s="119">
        <f t="shared" ref="K24" si="8">SUM(N24:Y24)</f>
        <v>37.137873861000003</v>
      </c>
      <c r="L24" s="119">
        <f t="shared" ref="L24" si="9">SUM(AA24:AL24)</f>
        <v>0</v>
      </c>
      <c r="M24" s="23"/>
      <c r="N24" s="24"/>
      <c r="O24" s="24"/>
      <c r="P24" s="24"/>
      <c r="Q24" s="24">
        <v>33.043926560999999</v>
      </c>
      <c r="R24" s="24"/>
      <c r="S24" s="24">
        <v>4.0939473</v>
      </c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187" t="s">
        <v>346</v>
      </c>
      <c r="F25" s="187" t="s">
        <v>19</v>
      </c>
      <c r="G25" s="187" t="s">
        <v>338</v>
      </c>
      <c r="H25" s="188" t="s">
        <v>383</v>
      </c>
      <c r="I25" s="188" t="s">
        <v>380</v>
      </c>
      <c r="J25" s="118">
        <f t="shared" ref="J25:J73" si="10">+K25+L25</f>
        <v>2</v>
      </c>
      <c r="K25" s="119">
        <f t="shared" ref="K25:K73" si="11">SUM(N25:Y25)</f>
        <v>2</v>
      </c>
      <c r="L25" s="119">
        <f t="shared" ref="L25:L73" si="12">SUM(AA25:AL25)</f>
        <v>0</v>
      </c>
      <c r="M25" s="23"/>
      <c r="N25" s="24"/>
      <c r="O25" s="24"/>
      <c r="P25" s="24"/>
      <c r="Q25" s="24">
        <v>2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187" t="s">
        <v>348</v>
      </c>
      <c r="F26" s="187" t="s">
        <v>19</v>
      </c>
      <c r="G26" s="187" t="s">
        <v>239</v>
      </c>
      <c r="H26" s="188" t="s">
        <v>386</v>
      </c>
      <c r="I26" s="188" t="s">
        <v>439</v>
      </c>
      <c r="J26" s="118">
        <f t="shared" si="10"/>
        <v>4</v>
      </c>
      <c r="K26" s="119">
        <f t="shared" si="11"/>
        <v>4</v>
      </c>
      <c r="L26" s="119">
        <f t="shared" si="12"/>
        <v>0</v>
      </c>
      <c r="M26" s="23"/>
      <c r="N26" s="24"/>
      <c r="O26" s="24"/>
      <c r="P26" s="24"/>
      <c r="Q26" s="24"/>
      <c r="R26" s="24">
        <v>4</v>
      </c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187" t="s">
        <v>349</v>
      </c>
      <c r="F27" s="187" t="s">
        <v>19</v>
      </c>
      <c r="G27" s="187" t="s">
        <v>237</v>
      </c>
      <c r="H27" s="188" t="s">
        <v>385</v>
      </c>
      <c r="I27" s="188" t="s">
        <v>439</v>
      </c>
      <c r="J27" s="118">
        <f t="shared" si="10"/>
        <v>8.1389031840000001</v>
      </c>
      <c r="K27" s="119">
        <f t="shared" si="11"/>
        <v>8.1389031840000001</v>
      </c>
      <c r="L27" s="119">
        <f t="shared" si="12"/>
        <v>0</v>
      </c>
      <c r="M27" s="23"/>
      <c r="N27" s="24"/>
      <c r="O27" s="24"/>
      <c r="P27" s="24"/>
      <c r="Q27" s="24">
        <v>8.1389031840000001</v>
      </c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187" t="s">
        <v>432</v>
      </c>
      <c r="F28" s="187" t="s">
        <v>19</v>
      </c>
      <c r="G28" s="187" t="s">
        <v>357</v>
      </c>
      <c r="H28" s="188" t="s">
        <v>392</v>
      </c>
      <c r="I28" s="188" t="s">
        <v>439</v>
      </c>
      <c r="J28" s="118">
        <f t="shared" si="10"/>
        <v>8</v>
      </c>
      <c r="K28" s="119">
        <f t="shared" si="11"/>
        <v>8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>
        <v>8</v>
      </c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187" t="s">
        <v>350</v>
      </c>
      <c r="F29" s="187" t="s">
        <v>19</v>
      </c>
      <c r="G29" s="187" t="s">
        <v>279</v>
      </c>
      <c r="H29" s="189" t="s">
        <v>387</v>
      </c>
      <c r="I29" s="189" t="s">
        <v>380</v>
      </c>
      <c r="J29" s="118">
        <f t="shared" si="10"/>
        <v>307</v>
      </c>
      <c r="K29" s="119">
        <f t="shared" si="11"/>
        <v>307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>
        <v>153.5</v>
      </c>
      <c r="T29" s="24">
        <v>153.5</v>
      </c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187" t="s">
        <v>351</v>
      </c>
      <c r="F30" s="187" t="s">
        <v>19</v>
      </c>
      <c r="G30" s="187" t="s">
        <v>282</v>
      </c>
      <c r="H30" s="190" t="s">
        <v>388</v>
      </c>
      <c r="I30" s="190" t="s">
        <v>380</v>
      </c>
      <c r="J30" s="118">
        <f t="shared" si="10"/>
        <v>24</v>
      </c>
      <c r="K30" s="119">
        <f t="shared" si="11"/>
        <v>24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24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187" t="s">
        <v>446</v>
      </c>
      <c r="F31" s="187" t="s">
        <v>19</v>
      </c>
      <c r="G31" s="187" t="s">
        <v>284</v>
      </c>
      <c r="H31" s="190" t="s">
        <v>383</v>
      </c>
      <c r="I31" s="190" t="s">
        <v>380</v>
      </c>
      <c r="J31" s="118">
        <f t="shared" si="10"/>
        <v>6</v>
      </c>
      <c r="K31" s="119">
        <f t="shared" si="11"/>
        <v>6</v>
      </c>
      <c r="L31" s="119">
        <f t="shared" si="12"/>
        <v>0</v>
      </c>
      <c r="M31" s="23"/>
      <c r="N31" s="24"/>
      <c r="O31" s="24"/>
      <c r="P31" s="24"/>
      <c r="Q31" s="24"/>
      <c r="R31" s="24">
        <v>5</v>
      </c>
      <c r="S31" s="24">
        <v>1</v>
      </c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187" t="s">
        <v>356</v>
      </c>
      <c r="F32" s="187" t="s">
        <v>17</v>
      </c>
      <c r="G32" s="187" t="s">
        <v>425</v>
      </c>
      <c r="H32" s="190" t="s">
        <v>456</v>
      </c>
      <c r="I32" s="190" t="s">
        <v>380</v>
      </c>
      <c r="J32" s="118">
        <f t="shared" si="10"/>
        <v>1</v>
      </c>
      <c r="K32" s="119">
        <f t="shared" si="11"/>
        <v>1</v>
      </c>
      <c r="L32" s="119">
        <f t="shared" si="12"/>
        <v>0</v>
      </c>
      <c r="M32" s="15"/>
      <c r="N32" s="24"/>
      <c r="O32" s="24"/>
      <c r="P32" s="24"/>
      <c r="Q32" s="24"/>
      <c r="R32" s="24">
        <v>1</v>
      </c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187" t="s">
        <v>358</v>
      </c>
      <c r="F33" s="187" t="s">
        <v>17</v>
      </c>
      <c r="G33" s="187" t="s">
        <v>357</v>
      </c>
      <c r="H33" s="190" t="s">
        <v>392</v>
      </c>
      <c r="I33" s="190" t="s">
        <v>439</v>
      </c>
      <c r="J33" s="118">
        <f t="shared" si="10"/>
        <v>2</v>
      </c>
      <c r="K33" s="119">
        <f t="shared" si="11"/>
        <v>2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>
        <v>2</v>
      </c>
      <c r="T33" s="24"/>
      <c r="U33" s="24"/>
      <c r="V33" s="24"/>
      <c r="W33" s="24"/>
      <c r="X33" s="24"/>
      <c r="Y33" s="24"/>
    </row>
    <row r="34" spans="5:25">
      <c r="E34" s="187" t="s">
        <v>382</v>
      </c>
      <c r="F34" s="187" t="s">
        <v>19</v>
      </c>
      <c r="G34" s="187" t="s">
        <v>245</v>
      </c>
      <c r="H34" s="190" t="s">
        <v>394</v>
      </c>
      <c r="I34" s="190" t="s">
        <v>439</v>
      </c>
      <c r="J34" s="118">
        <f t="shared" si="10"/>
        <v>38</v>
      </c>
      <c r="K34" s="119">
        <f t="shared" si="11"/>
        <v>38</v>
      </c>
      <c r="L34" s="119">
        <f t="shared" si="12"/>
        <v>0</v>
      </c>
      <c r="M34" s="15"/>
      <c r="N34" s="24"/>
      <c r="O34" s="24"/>
      <c r="P34" s="24"/>
      <c r="Q34" s="24">
        <v>2</v>
      </c>
      <c r="R34" s="24">
        <v>36</v>
      </c>
      <c r="S34" s="24"/>
      <c r="T34" s="24"/>
      <c r="U34" s="24"/>
      <c r="V34" s="24"/>
      <c r="W34" s="24"/>
      <c r="X34" s="24"/>
      <c r="Y34" s="24"/>
    </row>
    <row r="35" spans="5:25">
      <c r="E35" s="187" t="s">
        <v>382</v>
      </c>
      <c r="F35" s="187" t="s">
        <v>19</v>
      </c>
      <c r="G35" s="187" t="s">
        <v>247</v>
      </c>
      <c r="H35" s="190" t="s">
        <v>395</v>
      </c>
      <c r="I35" s="190" t="s">
        <v>439</v>
      </c>
      <c r="J35" s="118">
        <f t="shared" si="10"/>
        <v>169</v>
      </c>
      <c r="K35" s="119">
        <f t="shared" si="11"/>
        <v>169</v>
      </c>
      <c r="L35" s="119">
        <f t="shared" si="12"/>
        <v>0</v>
      </c>
      <c r="M35" s="15"/>
      <c r="N35" s="24"/>
      <c r="O35" s="24"/>
      <c r="P35" s="24"/>
      <c r="Q35" s="24">
        <v>59</v>
      </c>
      <c r="R35" s="24">
        <v>60</v>
      </c>
      <c r="S35" s="24">
        <v>50</v>
      </c>
      <c r="T35" s="24"/>
      <c r="U35" s="24"/>
      <c r="V35" s="24"/>
      <c r="W35" s="24"/>
      <c r="X35" s="24"/>
      <c r="Y35" s="24"/>
    </row>
    <row r="36" spans="5:25">
      <c r="E36" s="187" t="s">
        <v>382</v>
      </c>
      <c r="F36" s="187" t="s">
        <v>19</v>
      </c>
      <c r="G36" s="187" t="s">
        <v>248</v>
      </c>
      <c r="H36" s="190" t="s">
        <v>406</v>
      </c>
      <c r="I36" s="190" t="s">
        <v>439</v>
      </c>
      <c r="J36" s="118">
        <f t="shared" si="10"/>
        <v>9</v>
      </c>
      <c r="K36" s="119">
        <f t="shared" si="11"/>
        <v>9</v>
      </c>
      <c r="L36" s="119">
        <f t="shared" si="12"/>
        <v>0</v>
      </c>
      <c r="M36" s="15"/>
      <c r="N36" s="24"/>
      <c r="O36" s="24"/>
      <c r="P36" s="24"/>
      <c r="Q36" s="24"/>
      <c r="R36" s="24">
        <v>9</v>
      </c>
      <c r="S36" s="24"/>
      <c r="T36" s="24"/>
      <c r="U36" s="24"/>
      <c r="V36" s="24"/>
      <c r="W36" s="24"/>
      <c r="X36" s="24"/>
      <c r="Y36" s="24"/>
    </row>
    <row r="37" spans="5:25">
      <c r="E37" s="187" t="s">
        <v>382</v>
      </c>
      <c r="F37" s="187" t="s">
        <v>19</v>
      </c>
      <c r="G37" s="187" t="s">
        <v>249</v>
      </c>
      <c r="H37" s="190" t="s">
        <v>406</v>
      </c>
      <c r="I37" s="190" t="s">
        <v>439</v>
      </c>
      <c r="J37" s="118">
        <f t="shared" si="10"/>
        <v>80</v>
      </c>
      <c r="K37" s="119">
        <f t="shared" si="11"/>
        <v>80</v>
      </c>
      <c r="L37" s="119">
        <f t="shared" si="12"/>
        <v>0</v>
      </c>
      <c r="M37" s="15"/>
      <c r="N37" s="24"/>
      <c r="O37" s="24"/>
      <c r="P37" s="24"/>
      <c r="Q37" s="24">
        <v>27</v>
      </c>
      <c r="R37" s="24"/>
      <c r="S37" s="24">
        <v>13</v>
      </c>
      <c r="T37" s="24">
        <v>40</v>
      </c>
      <c r="U37" s="24"/>
      <c r="V37" s="24"/>
      <c r="W37" s="24"/>
      <c r="X37" s="24"/>
      <c r="Y37" s="24"/>
    </row>
    <row r="38" spans="5:25">
      <c r="E38" s="187" t="s">
        <v>382</v>
      </c>
      <c r="F38" s="187" t="s">
        <v>19</v>
      </c>
      <c r="G38" s="187" t="s">
        <v>250</v>
      </c>
      <c r="H38" s="190" t="s">
        <v>409</v>
      </c>
      <c r="I38" s="190" t="s">
        <v>439</v>
      </c>
      <c r="J38" s="118">
        <f t="shared" si="10"/>
        <v>124</v>
      </c>
      <c r="K38" s="119">
        <f t="shared" si="11"/>
        <v>124</v>
      </c>
      <c r="L38" s="119">
        <f t="shared" si="12"/>
        <v>0</v>
      </c>
      <c r="M38" s="15"/>
      <c r="N38" s="24"/>
      <c r="O38" s="24"/>
      <c r="P38" s="24"/>
      <c r="Q38" s="24">
        <v>27</v>
      </c>
      <c r="R38" s="24">
        <v>20</v>
      </c>
      <c r="S38" s="24">
        <v>77</v>
      </c>
      <c r="T38" s="24"/>
      <c r="U38" s="24"/>
      <c r="V38" s="24"/>
      <c r="W38" s="24"/>
      <c r="X38" s="24"/>
      <c r="Y38" s="24"/>
    </row>
    <row r="39" spans="5:25">
      <c r="E39" s="187" t="s">
        <v>382</v>
      </c>
      <c r="F39" s="187" t="s">
        <v>19</v>
      </c>
      <c r="G39" s="187" t="s">
        <v>293</v>
      </c>
      <c r="H39" s="190" t="s">
        <v>410</v>
      </c>
      <c r="I39" s="190" t="s">
        <v>439</v>
      </c>
      <c r="J39" s="118">
        <f t="shared" si="10"/>
        <v>85</v>
      </c>
      <c r="K39" s="119">
        <f t="shared" si="11"/>
        <v>85</v>
      </c>
      <c r="L39" s="119">
        <f t="shared" si="12"/>
        <v>0</v>
      </c>
      <c r="M39" s="15"/>
      <c r="N39" s="24"/>
      <c r="O39" s="24"/>
      <c r="P39" s="24"/>
      <c r="Q39" s="24">
        <v>31</v>
      </c>
      <c r="R39" s="24"/>
      <c r="S39" s="24">
        <v>13</v>
      </c>
      <c r="T39" s="24">
        <v>41</v>
      </c>
      <c r="U39" s="24"/>
      <c r="V39" s="24"/>
      <c r="W39" s="24"/>
      <c r="X39" s="24"/>
      <c r="Y39" s="24"/>
    </row>
    <row r="40" spans="5:25">
      <c r="E40" s="187" t="s">
        <v>382</v>
      </c>
      <c r="F40" s="187" t="s">
        <v>19</v>
      </c>
      <c r="G40" s="187" t="s">
        <v>251</v>
      </c>
      <c r="H40" s="190" t="s">
        <v>406</v>
      </c>
      <c r="I40" s="190" t="s">
        <v>439</v>
      </c>
      <c r="J40" s="118">
        <f t="shared" si="10"/>
        <v>49.943126596000013</v>
      </c>
      <c r="K40" s="119">
        <f t="shared" si="11"/>
        <v>49.943126596000013</v>
      </c>
      <c r="L40" s="119">
        <f t="shared" si="12"/>
        <v>0</v>
      </c>
      <c r="M40" s="15"/>
      <c r="N40" s="24"/>
      <c r="O40" s="24"/>
      <c r="P40" s="24"/>
      <c r="Q40" s="24"/>
      <c r="R40" s="24">
        <v>20</v>
      </c>
      <c r="S40" s="24">
        <v>29.94312659600001</v>
      </c>
      <c r="T40" s="24"/>
      <c r="U40" s="24"/>
      <c r="V40" s="24"/>
      <c r="W40" s="24"/>
      <c r="X40" s="24"/>
      <c r="Y40" s="24"/>
    </row>
    <row r="41" spans="5:25">
      <c r="E41" s="187" t="s">
        <v>382</v>
      </c>
      <c r="F41" s="187" t="s">
        <v>19</v>
      </c>
      <c r="G41" s="187" t="s">
        <v>447</v>
      </c>
      <c r="H41" s="190" t="s">
        <v>448</v>
      </c>
      <c r="I41" s="190" t="s">
        <v>439</v>
      </c>
      <c r="J41" s="118">
        <f t="shared" si="10"/>
        <v>30</v>
      </c>
      <c r="K41" s="119">
        <f t="shared" si="11"/>
        <v>30</v>
      </c>
      <c r="L41" s="119">
        <f t="shared" si="12"/>
        <v>0</v>
      </c>
      <c r="M41" s="15"/>
      <c r="N41" s="24"/>
      <c r="O41" s="24"/>
      <c r="P41" s="24"/>
      <c r="Q41" s="24">
        <v>17</v>
      </c>
      <c r="R41" s="24">
        <v>13</v>
      </c>
      <c r="S41" s="24"/>
      <c r="T41" s="24"/>
      <c r="U41" s="24"/>
      <c r="V41" s="24"/>
      <c r="W41" s="24"/>
      <c r="X41" s="24"/>
      <c r="Y41" s="24"/>
    </row>
    <row r="42" spans="5:25">
      <c r="E42" s="187" t="s">
        <v>382</v>
      </c>
      <c r="F42" s="187" t="s">
        <v>19</v>
      </c>
      <c r="G42" s="187" t="s">
        <v>252</v>
      </c>
      <c r="H42" s="190" t="s">
        <v>407</v>
      </c>
      <c r="I42" s="190" t="s">
        <v>439</v>
      </c>
      <c r="J42" s="118">
        <f t="shared" si="10"/>
        <v>36.006058019999998</v>
      </c>
      <c r="K42" s="119">
        <f t="shared" si="11"/>
        <v>36.006058019999998</v>
      </c>
      <c r="L42" s="119">
        <f t="shared" si="12"/>
        <v>0</v>
      </c>
      <c r="M42" s="15"/>
      <c r="N42" s="24"/>
      <c r="O42" s="24"/>
      <c r="P42" s="24"/>
      <c r="Q42" s="24"/>
      <c r="R42" s="24">
        <v>26</v>
      </c>
      <c r="S42" s="24"/>
      <c r="T42" s="24">
        <v>10.006058019999999</v>
      </c>
      <c r="U42" s="24"/>
      <c r="V42" s="24"/>
      <c r="W42" s="24"/>
      <c r="X42" s="24"/>
      <c r="Y42" s="24"/>
    </row>
    <row r="43" spans="5:25">
      <c r="E43" s="187" t="s">
        <v>361</v>
      </c>
      <c r="F43" s="187" t="s">
        <v>19</v>
      </c>
      <c r="G43" s="187" t="s">
        <v>245</v>
      </c>
      <c r="H43" s="187" t="s">
        <v>394</v>
      </c>
      <c r="I43" s="187" t="s">
        <v>439</v>
      </c>
      <c r="J43" s="118">
        <f t="shared" si="10"/>
        <v>150</v>
      </c>
      <c r="K43" s="119">
        <f t="shared" si="11"/>
        <v>150</v>
      </c>
      <c r="L43" s="119">
        <f t="shared" si="12"/>
        <v>0</v>
      </c>
      <c r="M43" s="15"/>
      <c r="N43" s="24"/>
      <c r="O43" s="24"/>
      <c r="P43" s="24"/>
      <c r="Q43" s="24"/>
      <c r="R43" s="24">
        <v>75</v>
      </c>
      <c r="S43" s="24">
        <v>75</v>
      </c>
      <c r="T43" s="24"/>
      <c r="U43" s="24"/>
      <c r="V43" s="24"/>
      <c r="W43" s="24"/>
      <c r="X43" s="24"/>
      <c r="Y43" s="24"/>
    </row>
    <row r="44" spans="5:25">
      <c r="E44" s="187" t="s">
        <v>362</v>
      </c>
      <c r="F44" s="187" t="s">
        <v>19</v>
      </c>
      <c r="G44" s="187" t="s">
        <v>247</v>
      </c>
      <c r="H44" s="187" t="s">
        <v>395</v>
      </c>
      <c r="I44" s="187" t="s">
        <v>439</v>
      </c>
      <c r="J44" s="118">
        <f t="shared" si="10"/>
        <v>5</v>
      </c>
      <c r="K44" s="119">
        <f t="shared" si="11"/>
        <v>5</v>
      </c>
      <c r="L44" s="119">
        <f t="shared" si="12"/>
        <v>0</v>
      </c>
      <c r="M44" s="15"/>
      <c r="N44" s="24"/>
      <c r="O44" s="24"/>
      <c r="P44" s="24"/>
      <c r="Q44" s="24"/>
      <c r="R44" s="24">
        <v>5</v>
      </c>
      <c r="S44" s="24"/>
      <c r="T44" s="24"/>
      <c r="U44" s="24"/>
      <c r="V44" s="24"/>
      <c r="W44" s="24"/>
      <c r="X44" s="24"/>
      <c r="Y44" s="24"/>
    </row>
    <row r="45" spans="5:25">
      <c r="E45" s="187" t="s">
        <v>457</v>
      </c>
      <c r="F45" s="187" t="s">
        <v>19</v>
      </c>
      <c r="G45" s="187" t="s">
        <v>374</v>
      </c>
      <c r="H45" s="187" t="s">
        <v>317</v>
      </c>
      <c r="I45" s="187" t="s">
        <v>439</v>
      </c>
      <c r="J45" s="118">
        <f t="shared" si="10"/>
        <v>77</v>
      </c>
      <c r="K45" s="119">
        <f t="shared" si="11"/>
        <v>77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>
        <v>77</v>
      </c>
      <c r="T45" s="24"/>
      <c r="U45" s="24"/>
      <c r="V45" s="24"/>
      <c r="W45" s="24"/>
      <c r="X45" s="24"/>
      <c r="Y45" s="24"/>
    </row>
    <row r="46" spans="5:25">
      <c r="E46" s="187" t="s">
        <v>434</v>
      </c>
      <c r="F46" s="187" t="s">
        <v>19</v>
      </c>
      <c r="G46" s="187" t="s">
        <v>261</v>
      </c>
      <c r="H46" s="187" t="s">
        <v>399</v>
      </c>
      <c r="I46" s="187" t="s">
        <v>380</v>
      </c>
      <c r="J46" s="118">
        <f t="shared" si="10"/>
        <v>19.264194112000002</v>
      </c>
      <c r="K46" s="119">
        <f t="shared" si="11"/>
        <v>19.264194112000002</v>
      </c>
      <c r="L46" s="119">
        <f t="shared" si="12"/>
        <v>0</v>
      </c>
      <c r="M46" s="15"/>
      <c r="N46" s="24"/>
      <c r="O46" s="24"/>
      <c r="P46" s="24"/>
      <c r="Q46" s="24">
        <v>1</v>
      </c>
      <c r="R46" s="24"/>
      <c r="S46" s="24">
        <v>18.264194112000002</v>
      </c>
      <c r="T46" s="24"/>
      <c r="U46" s="24"/>
      <c r="V46" s="24"/>
      <c r="W46" s="24"/>
      <c r="X46" s="24"/>
      <c r="Y46" s="24"/>
    </row>
    <row r="47" spans="5:25">
      <c r="E47" s="187" t="s">
        <v>363</v>
      </c>
      <c r="F47" s="187" t="s">
        <v>19</v>
      </c>
      <c r="G47" s="187" t="s">
        <v>357</v>
      </c>
      <c r="H47" s="187" t="s">
        <v>392</v>
      </c>
      <c r="I47" s="187" t="s">
        <v>439</v>
      </c>
      <c r="J47" s="118">
        <f t="shared" si="10"/>
        <v>2</v>
      </c>
      <c r="K47" s="119">
        <f t="shared" si="11"/>
        <v>2</v>
      </c>
      <c r="L47" s="119">
        <f t="shared" si="12"/>
        <v>0</v>
      </c>
      <c r="M47" s="15"/>
      <c r="N47" s="24"/>
      <c r="O47" s="24"/>
      <c r="P47" s="24"/>
      <c r="Q47" s="24">
        <v>2</v>
      </c>
      <c r="R47" s="24"/>
      <c r="S47" s="24"/>
      <c r="T47" s="24"/>
      <c r="U47" s="24"/>
      <c r="V47" s="24"/>
      <c r="W47" s="24"/>
      <c r="X47" s="24"/>
      <c r="Y47" s="24"/>
    </row>
    <row r="48" spans="5:25">
      <c r="E48" s="187" t="s">
        <v>364</v>
      </c>
      <c r="F48" s="187" t="s">
        <v>19</v>
      </c>
      <c r="G48" s="187" t="s">
        <v>301</v>
      </c>
      <c r="H48" s="187" t="s">
        <v>396</v>
      </c>
      <c r="I48" s="187" t="s">
        <v>439</v>
      </c>
      <c r="J48" s="118">
        <f t="shared" si="10"/>
        <v>99</v>
      </c>
      <c r="K48" s="119">
        <f t="shared" si="11"/>
        <v>99</v>
      </c>
      <c r="L48" s="119">
        <f t="shared" si="12"/>
        <v>0</v>
      </c>
      <c r="M48" s="15"/>
      <c r="N48" s="24"/>
      <c r="O48" s="24"/>
      <c r="P48" s="24"/>
      <c r="Q48" s="24">
        <v>99</v>
      </c>
      <c r="R48" s="24"/>
      <c r="S48" s="24"/>
      <c r="T48" s="24"/>
      <c r="U48" s="24"/>
      <c r="V48" s="24"/>
      <c r="W48" s="24"/>
      <c r="X48" s="24"/>
      <c r="Y48" s="24"/>
    </row>
    <row r="49" spans="5:25">
      <c r="E49" s="187" t="s">
        <v>365</v>
      </c>
      <c r="F49" s="187" t="s">
        <v>19</v>
      </c>
      <c r="G49" s="187" t="s">
        <v>256</v>
      </c>
      <c r="H49" s="187" t="s">
        <v>397</v>
      </c>
      <c r="I49" s="187" t="s">
        <v>439</v>
      </c>
      <c r="J49" s="118">
        <f t="shared" si="10"/>
        <v>81</v>
      </c>
      <c r="K49" s="119">
        <f t="shared" si="11"/>
        <v>81</v>
      </c>
      <c r="L49" s="119">
        <f t="shared" si="12"/>
        <v>0</v>
      </c>
      <c r="M49" s="15"/>
      <c r="N49" s="24"/>
      <c r="O49" s="24"/>
      <c r="P49" s="24"/>
      <c r="Q49" s="24">
        <v>36</v>
      </c>
      <c r="R49" s="24"/>
      <c r="S49" s="24">
        <v>45</v>
      </c>
      <c r="T49" s="24"/>
      <c r="U49" s="24"/>
      <c r="V49" s="24"/>
      <c r="W49" s="24"/>
      <c r="X49" s="24"/>
      <c r="Y49" s="24"/>
    </row>
    <row r="50" spans="5:25">
      <c r="E50" s="187" t="s">
        <v>365</v>
      </c>
      <c r="F50" s="187" t="s">
        <v>19</v>
      </c>
      <c r="G50" s="187" t="s">
        <v>304</v>
      </c>
      <c r="H50" s="190" t="s">
        <v>389</v>
      </c>
      <c r="I50" s="190" t="s">
        <v>380</v>
      </c>
      <c r="J50" s="118">
        <f t="shared" si="10"/>
        <v>17</v>
      </c>
      <c r="K50" s="119">
        <f t="shared" si="11"/>
        <v>17</v>
      </c>
      <c r="L50" s="119">
        <f t="shared" si="12"/>
        <v>0</v>
      </c>
      <c r="M50" s="15"/>
      <c r="N50" s="24"/>
      <c r="O50" s="24"/>
      <c r="P50" s="24"/>
      <c r="Q50" s="24">
        <v>17</v>
      </c>
      <c r="R50" s="24"/>
      <c r="S50" s="24"/>
      <c r="T50" s="24"/>
      <c r="U50" s="24"/>
      <c r="V50" s="24"/>
      <c r="W50" s="24"/>
      <c r="X50" s="24"/>
      <c r="Y50" s="24"/>
    </row>
    <row r="51" spans="5:25">
      <c r="E51" s="187" t="s">
        <v>365</v>
      </c>
      <c r="F51" s="187" t="s">
        <v>19</v>
      </c>
      <c r="G51" s="187" t="s">
        <v>458</v>
      </c>
      <c r="H51" s="190" t="s">
        <v>305</v>
      </c>
      <c r="I51" s="190" t="s">
        <v>439</v>
      </c>
      <c r="J51" s="118">
        <f t="shared" si="10"/>
        <v>2</v>
      </c>
      <c r="K51" s="119">
        <f t="shared" si="11"/>
        <v>2</v>
      </c>
      <c r="L51" s="119">
        <f t="shared" si="12"/>
        <v>0</v>
      </c>
      <c r="M51" s="15"/>
      <c r="N51" s="24"/>
      <c r="O51" s="24"/>
      <c r="P51" s="24"/>
      <c r="Q51" s="24">
        <v>1</v>
      </c>
      <c r="R51" s="24">
        <v>1</v>
      </c>
      <c r="S51" s="24"/>
      <c r="T51" s="24"/>
      <c r="U51" s="24"/>
      <c r="V51" s="24"/>
      <c r="W51" s="24"/>
      <c r="X51" s="24"/>
      <c r="Y51" s="24"/>
    </row>
    <row r="52" spans="5:25">
      <c r="E52" s="187" t="s">
        <v>367</v>
      </c>
      <c r="F52" s="187" t="s">
        <v>19</v>
      </c>
      <c r="G52" s="187" t="s">
        <v>258</v>
      </c>
      <c r="H52" s="190" t="s">
        <v>398</v>
      </c>
      <c r="I52" s="190" t="s">
        <v>439</v>
      </c>
      <c r="J52" s="118">
        <f t="shared" si="10"/>
        <v>4</v>
      </c>
      <c r="K52" s="119">
        <f t="shared" si="11"/>
        <v>4</v>
      </c>
      <c r="L52" s="119">
        <f t="shared" si="12"/>
        <v>0</v>
      </c>
      <c r="M52" s="15"/>
      <c r="N52" s="24"/>
      <c r="O52" s="24"/>
      <c r="P52" s="24"/>
      <c r="Q52" s="24">
        <v>4</v>
      </c>
      <c r="R52" s="24"/>
      <c r="S52" s="24"/>
      <c r="T52" s="24"/>
      <c r="U52" s="24"/>
      <c r="V52" s="24"/>
      <c r="W52" s="24"/>
      <c r="X52" s="24"/>
      <c r="Y52" s="24"/>
    </row>
    <row r="53" spans="5:25">
      <c r="E53" s="187" t="s">
        <v>368</v>
      </c>
      <c r="F53" s="187" t="s">
        <v>19</v>
      </c>
      <c r="G53" s="187" t="s">
        <v>258</v>
      </c>
      <c r="H53" s="190" t="s">
        <v>398</v>
      </c>
      <c r="I53" s="190" t="s">
        <v>439</v>
      </c>
      <c r="J53" s="118">
        <f t="shared" si="10"/>
        <v>14</v>
      </c>
      <c r="K53" s="119">
        <f t="shared" si="11"/>
        <v>14</v>
      </c>
      <c r="L53" s="119">
        <f t="shared" si="12"/>
        <v>0</v>
      </c>
      <c r="M53" s="15"/>
      <c r="N53" s="24"/>
      <c r="O53" s="24"/>
      <c r="P53" s="24"/>
      <c r="Q53" s="24">
        <v>0</v>
      </c>
      <c r="R53" s="24">
        <v>14</v>
      </c>
      <c r="S53" s="24"/>
      <c r="T53" s="24"/>
      <c r="U53" s="24"/>
      <c r="V53" s="24"/>
      <c r="W53" s="24"/>
      <c r="X53" s="24"/>
      <c r="Y53" s="24"/>
    </row>
    <row r="54" spans="5:25">
      <c r="E54" s="187" t="s">
        <v>369</v>
      </c>
      <c r="F54" s="187" t="s">
        <v>19</v>
      </c>
      <c r="G54" s="187" t="s">
        <v>261</v>
      </c>
      <c r="H54" s="190" t="s">
        <v>399</v>
      </c>
      <c r="I54" s="190" t="s">
        <v>439</v>
      </c>
      <c r="J54" s="118">
        <f t="shared" si="10"/>
        <v>11</v>
      </c>
      <c r="K54" s="119">
        <f t="shared" si="11"/>
        <v>11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>
        <v>11</v>
      </c>
      <c r="T54" s="24"/>
      <c r="U54" s="24"/>
      <c r="V54" s="24"/>
      <c r="W54" s="24"/>
      <c r="X54" s="24"/>
      <c r="Y54" s="24"/>
    </row>
    <row r="55" spans="5:25">
      <c r="E55" s="187" t="s">
        <v>369</v>
      </c>
      <c r="F55" s="187" t="s">
        <v>19</v>
      </c>
      <c r="G55" s="187" t="s">
        <v>261</v>
      </c>
      <c r="H55" s="190" t="s">
        <v>399</v>
      </c>
      <c r="I55" s="190" t="s">
        <v>380</v>
      </c>
      <c r="J55" s="118">
        <f t="shared" si="10"/>
        <v>23</v>
      </c>
      <c r="K55" s="119">
        <f t="shared" si="11"/>
        <v>23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23</v>
      </c>
      <c r="T55" s="24"/>
      <c r="U55" s="24"/>
      <c r="V55" s="24"/>
      <c r="W55" s="24"/>
      <c r="X55" s="24"/>
      <c r="Y55" s="24"/>
    </row>
    <row r="56" spans="5:25">
      <c r="E56" s="187" t="s">
        <v>369</v>
      </c>
      <c r="F56" s="187" t="s">
        <v>19</v>
      </c>
      <c r="G56" s="187" t="s">
        <v>370</v>
      </c>
      <c r="H56" s="190" t="s">
        <v>400</v>
      </c>
      <c r="I56" s="190" t="s">
        <v>380</v>
      </c>
      <c r="J56" s="118">
        <f t="shared" si="10"/>
        <v>8.3672763999999997</v>
      </c>
      <c r="K56" s="119">
        <f t="shared" si="11"/>
        <v>8.3672763999999997</v>
      </c>
      <c r="L56" s="119">
        <f t="shared" si="12"/>
        <v>0</v>
      </c>
      <c r="M56" s="15"/>
      <c r="N56" s="24"/>
      <c r="O56" s="24"/>
      <c r="P56" s="24"/>
      <c r="Q56" s="24">
        <v>1.3672764000000002</v>
      </c>
      <c r="R56" s="24"/>
      <c r="S56" s="24">
        <v>7</v>
      </c>
      <c r="T56" s="24"/>
      <c r="U56" s="24"/>
      <c r="V56" s="24"/>
      <c r="W56" s="24"/>
      <c r="X56" s="24"/>
      <c r="Y56" s="24"/>
    </row>
    <row r="57" spans="5:25">
      <c r="E57" s="187" t="s">
        <v>371</v>
      </c>
      <c r="F57" s="187" t="s">
        <v>19</v>
      </c>
      <c r="G57" s="187" t="s">
        <v>264</v>
      </c>
      <c r="H57" s="190" t="s">
        <v>401</v>
      </c>
      <c r="I57" s="190" t="s">
        <v>380</v>
      </c>
      <c r="J57" s="118">
        <f t="shared" si="10"/>
        <v>27</v>
      </c>
      <c r="K57" s="119">
        <f t="shared" si="11"/>
        <v>27</v>
      </c>
      <c r="L57" s="119">
        <f t="shared" si="12"/>
        <v>0</v>
      </c>
      <c r="M57" s="15"/>
      <c r="N57" s="24"/>
      <c r="O57" s="24"/>
      <c r="P57" s="24"/>
      <c r="Q57" s="24">
        <v>27</v>
      </c>
      <c r="R57" s="24"/>
      <c r="S57" s="24"/>
      <c r="T57" s="24"/>
      <c r="U57" s="24"/>
      <c r="V57" s="24"/>
      <c r="W57" s="24"/>
      <c r="X57" s="24"/>
      <c r="Y57" s="24"/>
    </row>
    <row r="58" spans="5:25">
      <c r="E58" s="187" t="s">
        <v>371</v>
      </c>
      <c r="F58" s="187" t="s">
        <v>19</v>
      </c>
      <c r="G58" s="187" t="s">
        <v>261</v>
      </c>
      <c r="H58" s="190" t="s">
        <v>399</v>
      </c>
      <c r="I58" s="190" t="s">
        <v>380</v>
      </c>
      <c r="J58" s="118">
        <f t="shared" si="10"/>
        <v>17</v>
      </c>
      <c r="K58" s="119">
        <f t="shared" si="11"/>
        <v>17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>
        <v>17</v>
      </c>
      <c r="T58" s="24"/>
      <c r="U58" s="24"/>
      <c r="V58" s="24"/>
      <c r="W58" s="24"/>
      <c r="X58" s="24"/>
      <c r="Y58" s="24"/>
    </row>
    <row r="59" spans="5:25">
      <c r="E59" s="187" t="s">
        <v>371</v>
      </c>
      <c r="F59" s="187" t="s">
        <v>19</v>
      </c>
      <c r="G59" s="187" t="s">
        <v>372</v>
      </c>
      <c r="H59" s="190" t="s">
        <v>402</v>
      </c>
      <c r="I59" s="190" t="s">
        <v>380</v>
      </c>
      <c r="J59" s="118">
        <f t="shared" si="10"/>
        <v>10</v>
      </c>
      <c r="K59" s="119">
        <f t="shared" si="11"/>
        <v>10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>
        <v>10</v>
      </c>
      <c r="T59" s="24"/>
      <c r="U59" s="24"/>
      <c r="V59" s="24"/>
      <c r="W59" s="24"/>
      <c r="X59" s="24"/>
      <c r="Y59" s="24"/>
    </row>
    <row r="60" spans="5:25">
      <c r="E60" s="187" t="s">
        <v>371</v>
      </c>
      <c r="F60" s="187" t="s">
        <v>19</v>
      </c>
      <c r="G60" s="187" t="s">
        <v>266</v>
      </c>
      <c r="H60" s="190" t="s">
        <v>389</v>
      </c>
      <c r="I60" s="190" t="s">
        <v>380</v>
      </c>
      <c r="J60" s="118">
        <f t="shared" si="10"/>
        <v>60</v>
      </c>
      <c r="K60" s="119">
        <f t="shared" si="11"/>
        <v>60</v>
      </c>
      <c r="L60" s="119">
        <f t="shared" si="12"/>
        <v>0</v>
      </c>
      <c r="M60" s="15"/>
      <c r="N60" s="24"/>
      <c r="O60" s="24"/>
      <c r="P60" s="24"/>
      <c r="Q60" s="24"/>
      <c r="R60" s="24">
        <v>60</v>
      </c>
      <c r="S60" s="24"/>
      <c r="T60" s="24"/>
      <c r="U60" s="24"/>
      <c r="V60" s="24"/>
      <c r="W60" s="24"/>
      <c r="X60" s="24"/>
      <c r="Y60" s="24"/>
    </row>
    <row r="61" spans="5:25">
      <c r="E61" s="187" t="s">
        <v>371</v>
      </c>
      <c r="F61" s="187" t="s">
        <v>19</v>
      </c>
      <c r="G61" s="187" t="s">
        <v>267</v>
      </c>
      <c r="H61" s="190" t="s">
        <v>402</v>
      </c>
      <c r="I61" s="190" t="s">
        <v>380</v>
      </c>
      <c r="J61" s="118">
        <f t="shared" si="10"/>
        <v>9</v>
      </c>
      <c r="K61" s="119">
        <f t="shared" si="11"/>
        <v>9</v>
      </c>
      <c r="L61" s="119">
        <f t="shared" si="12"/>
        <v>0</v>
      </c>
      <c r="M61" s="15"/>
      <c r="N61" s="24"/>
      <c r="O61" s="24"/>
      <c r="P61" s="24"/>
      <c r="Q61" s="24">
        <v>9</v>
      </c>
      <c r="R61" s="24"/>
      <c r="S61" s="24"/>
      <c r="T61" s="24"/>
      <c r="U61" s="24"/>
      <c r="V61" s="24"/>
      <c r="W61" s="24"/>
      <c r="X61" s="24"/>
      <c r="Y61" s="24"/>
    </row>
    <row r="62" spans="5:25">
      <c r="E62" s="187" t="s">
        <v>371</v>
      </c>
      <c r="F62" s="187" t="s">
        <v>19</v>
      </c>
      <c r="G62" s="187" t="s">
        <v>370</v>
      </c>
      <c r="H62" s="187" t="s">
        <v>400</v>
      </c>
      <c r="I62" s="187" t="s">
        <v>380</v>
      </c>
      <c r="J62" s="118">
        <f t="shared" si="10"/>
        <v>28</v>
      </c>
      <c r="K62" s="119">
        <f t="shared" si="11"/>
        <v>28</v>
      </c>
      <c r="L62" s="119">
        <f t="shared" si="12"/>
        <v>0</v>
      </c>
      <c r="M62" s="15"/>
      <c r="N62" s="24"/>
      <c r="O62" s="24"/>
      <c r="P62" s="24"/>
      <c r="Q62" s="24"/>
      <c r="R62" s="24">
        <v>28</v>
      </c>
      <c r="S62" s="24"/>
      <c r="T62" s="24"/>
      <c r="U62" s="24"/>
      <c r="V62" s="24"/>
      <c r="W62" s="24"/>
      <c r="X62" s="24"/>
      <c r="Y62" s="24"/>
    </row>
    <row r="63" spans="5:25">
      <c r="E63" s="187" t="s">
        <v>435</v>
      </c>
      <c r="F63" s="187" t="s">
        <v>19</v>
      </c>
      <c r="G63" s="187" t="s">
        <v>357</v>
      </c>
      <c r="H63" s="187" t="s">
        <v>392</v>
      </c>
      <c r="I63" s="187" t="s">
        <v>439</v>
      </c>
      <c r="J63" s="118">
        <f t="shared" si="10"/>
        <v>7</v>
      </c>
      <c r="K63" s="119">
        <f t="shared" si="11"/>
        <v>7</v>
      </c>
      <c r="L63" s="119">
        <f t="shared" si="12"/>
        <v>0</v>
      </c>
      <c r="M63" s="15"/>
      <c r="N63" s="24"/>
      <c r="O63" s="24"/>
      <c r="P63" s="24"/>
      <c r="Q63" s="24"/>
      <c r="R63" s="24">
        <v>7</v>
      </c>
      <c r="S63" s="24"/>
      <c r="T63" s="24"/>
      <c r="U63" s="24"/>
      <c r="V63" s="24"/>
      <c r="W63" s="24"/>
      <c r="X63" s="24"/>
      <c r="Y63" s="24"/>
    </row>
    <row r="64" spans="5:25">
      <c r="E64" s="187" t="s">
        <v>436</v>
      </c>
      <c r="F64" s="187" t="s">
        <v>19</v>
      </c>
      <c r="G64" s="187" t="s">
        <v>420</v>
      </c>
      <c r="H64" s="187" t="s">
        <v>421</v>
      </c>
      <c r="I64" s="187" t="s">
        <v>380</v>
      </c>
      <c r="J64" s="118">
        <f t="shared" si="10"/>
        <v>494</v>
      </c>
      <c r="K64" s="119">
        <f t="shared" si="11"/>
        <v>494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>
        <v>247</v>
      </c>
      <c r="T64" s="24">
        <v>247</v>
      </c>
      <c r="U64" s="24"/>
      <c r="V64" s="24"/>
      <c r="W64" s="24"/>
      <c r="X64" s="24"/>
      <c r="Y64" s="24"/>
    </row>
    <row r="65" spans="5:25">
      <c r="E65" s="187" t="s">
        <v>373</v>
      </c>
      <c r="F65" s="187" t="s">
        <v>19</v>
      </c>
      <c r="G65" s="187" t="s">
        <v>327</v>
      </c>
      <c r="H65" s="187" t="s">
        <v>404</v>
      </c>
      <c r="I65" s="187" t="s">
        <v>380</v>
      </c>
      <c r="J65" s="118">
        <f t="shared" si="10"/>
        <v>42</v>
      </c>
      <c r="K65" s="119">
        <f t="shared" si="11"/>
        <v>42</v>
      </c>
      <c r="L65" s="119">
        <f t="shared" si="12"/>
        <v>0</v>
      </c>
      <c r="N65" s="24"/>
      <c r="O65" s="24"/>
      <c r="P65" s="24"/>
      <c r="Q65" s="24">
        <v>1</v>
      </c>
      <c r="R65" s="24">
        <v>41</v>
      </c>
      <c r="S65" s="24"/>
      <c r="T65" s="24"/>
      <c r="U65" s="24"/>
      <c r="V65" s="24"/>
      <c r="W65" s="24"/>
      <c r="X65" s="24"/>
      <c r="Y65" s="24"/>
    </row>
    <row r="66" spans="5:25">
      <c r="E66" s="187" t="s">
        <v>375</v>
      </c>
      <c r="F66" s="187" t="s">
        <v>19</v>
      </c>
      <c r="G66" s="187" t="s">
        <v>374</v>
      </c>
      <c r="H66" s="187" t="s">
        <v>405</v>
      </c>
      <c r="I66" s="187" t="s">
        <v>439</v>
      </c>
      <c r="J66" s="118">
        <f t="shared" si="10"/>
        <v>36</v>
      </c>
      <c r="K66" s="119">
        <f t="shared" si="11"/>
        <v>36</v>
      </c>
      <c r="L66" s="119">
        <f t="shared" si="12"/>
        <v>0</v>
      </c>
      <c r="N66" s="24"/>
      <c r="O66" s="24"/>
      <c r="P66" s="24"/>
      <c r="Q66" s="24">
        <v>1</v>
      </c>
      <c r="R66" s="24">
        <v>33</v>
      </c>
      <c r="S66" s="24">
        <v>2</v>
      </c>
      <c r="T66" s="24"/>
      <c r="U66" s="24"/>
      <c r="V66" s="24"/>
      <c r="W66" s="24"/>
      <c r="X66" s="24"/>
      <c r="Y66" s="24"/>
    </row>
    <row r="67" spans="5:25">
      <c r="E67" s="187" t="s">
        <v>376</v>
      </c>
      <c r="F67" s="187" t="s">
        <v>19</v>
      </c>
      <c r="G67" s="187" t="s">
        <v>374</v>
      </c>
      <c r="H67" s="187" t="s">
        <v>405</v>
      </c>
      <c r="I67" s="187" t="s">
        <v>439</v>
      </c>
      <c r="J67" s="118">
        <f t="shared" si="10"/>
        <v>43</v>
      </c>
      <c r="K67" s="119">
        <f t="shared" si="11"/>
        <v>43</v>
      </c>
      <c r="L67" s="119">
        <f t="shared" si="12"/>
        <v>0</v>
      </c>
      <c r="N67" s="24"/>
      <c r="O67" s="24"/>
      <c r="P67" s="24"/>
      <c r="Q67" s="24"/>
      <c r="R67" s="24">
        <v>43</v>
      </c>
      <c r="S67" s="24"/>
      <c r="T67" s="24"/>
      <c r="U67" s="24"/>
      <c r="V67" s="24"/>
      <c r="W67" s="24"/>
      <c r="X67" s="24"/>
      <c r="Y67" s="24"/>
    </row>
    <row r="68" spans="5:25">
      <c r="E68" s="187" t="s">
        <v>377</v>
      </c>
      <c r="F68" s="187" t="s">
        <v>19</v>
      </c>
      <c r="G68" s="187" t="s">
        <v>247</v>
      </c>
      <c r="H68" s="187" t="s">
        <v>395</v>
      </c>
      <c r="I68" s="187" t="s">
        <v>439</v>
      </c>
      <c r="J68" s="118">
        <f t="shared" si="10"/>
        <v>3</v>
      </c>
      <c r="K68" s="119">
        <f t="shared" si="11"/>
        <v>3</v>
      </c>
      <c r="L68" s="119">
        <f t="shared" si="12"/>
        <v>0</v>
      </c>
      <c r="N68" s="24"/>
      <c r="O68" s="24"/>
      <c r="P68" s="24"/>
      <c r="Q68" s="24"/>
      <c r="R68" s="24"/>
      <c r="S68" s="24">
        <v>3</v>
      </c>
      <c r="T68" s="24"/>
      <c r="U68" s="24"/>
      <c r="V68" s="24"/>
      <c r="W68" s="24"/>
      <c r="X68" s="24"/>
      <c r="Y68" s="24"/>
    </row>
    <row r="69" spans="5:25">
      <c r="E69" s="187" t="s">
        <v>377</v>
      </c>
      <c r="F69" s="187" t="s">
        <v>19</v>
      </c>
      <c r="G69" s="187" t="s">
        <v>272</v>
      </c>
      <c r="H69" s="187" t="s">
        <v>406</v>
      </c>
      <c r="I69" s="187" t="s">
        <v>439</v>
      </c>
      <c r="J69" s="118">
        <f t="shared" si="10"/>
        <v>29</v>
      </c>
      <c r="K69" s="119">
        <f t="shared" si="11"/>
        <v>29</v>
      </c>
      <c r="L69" s="119">
        <f t="shared" si="12"/>
        <v>0</v>
      </c>
      <c r="N69" s="24"/>
      <c r="O69" s="24"/>
      <c r="P69" s="24"/>
      <c r="Q69" s="24">
        <v>29</v>
      </c>
      <c r="R69" s="24"/>
      <c r="S69" s="24">
        <v>0</v>
      </c>
      <c r="T69" s="24"/>
      <c r="U69" s="24"/>
      <c r="V69" s="24"/>
      <c r="W69" s="24"/>
      <c r="X69" s="24"/>
      <c r="Y69" s="24"/>
    </row>
    <row r="70" spans="5:25">
      <c r="E70" s="187" t="s">
        <v>377</v>
      </c>
      <c r="F70" s="187" t="s">
        <v>19</v>
      </c>
      <c r="G70" s="187" t="s">
        <v>252</v>
      </c>
      <c r="H70" s="190" t="s">
        <v>407</v>
      </c>
      <c r="I70" s="190" t="s">
        <v>380</v>
      </c>
      <c r="J70" s="118">
        <f t="shared" si="10"/>
        <v>15</v>
      </c>
      <c r="K70" s="119">
        <f t="shared" si="11"/>
        <v>15</v>
      </c>
      <c r="L70" s="119">
        <f t="shared" si="12"/>
        <v>0</v>
      </c>
      <c r="N70" s="24"/>
      <c r="O70" s="24"/>
      <c r="P70" s="24"/>
      <c r="Q70" s="24"/>
      <c r="R70" s="24">
        <v>15</v>
      </c>
      <c r="S70" s="24"/>
      <c r="T70" s="24"/>
      <c r="U70" s="24"/>
      <c r="V70" s="24"/>
      <c r="W70" s="24"/>
      <c r="X70" s="24"/>
      <c r="Y70" s="24"/>
    </row>
    <row r="71" spans="5:25">
      <c r="E71" s="187" t="s">
        <v>459</v>
      </c>
      <c r="F71" s="187" t="s">
        <v>19</v>
      </c>
      <c r="G71" s="187" t="s">
        <v>460</v>
      </c>
      <c r="H71" s="190" t="s">
        <v>461</v>
      </c>
      <c r="I71" s="190" t="s">
        <v>439</v>
      </c>
      <c r="J71" s="118">
        <f t="shared" si="10"/>
        <v>5</v>
      </c>
      <c r="K71" s="119">
        <f t="shared" si="11"/>
        <v>5</v>
      </c>
      <c r="L71" s="119">
        <f t="shared" si="12"/>
        <v>0</v>
      </c>
      <c r="N71" s="24"/>
      <c r="O71" s="24"/>
      <c r="P71" s="24"/>
      <c r="Q71" s="24"/>
      <c r="R71" s="24">
        <v>5</v>
      </c>
      <c r="S71" s="24"/>
      <c r="T71" s="24"/>
      <c r="U71" s="24"/>
      <c r="V71" s="24"/>
      <c r="W71" s="24"/>
      <c r="X71" s="24"/>
      <c r="Y71" s="24"/>
    </row>
    <row r="72" spans="5:25">
      <c r="E72" s="187" t="s">
        <v>441</v>
      </c>
      <c r="F72" s="187" t="s">
        <v>19</v>
      </c>
      <c r="G72" s="187" t="s">
        <v>442</v>
      </c>
      <c r="H72" s="190" t="s">
        <v>443</v>
      </c>
      <c r="I72" s="190" t="s">
        <v>236</v>
      </c>
      <c r="J72" s="118">
        <f t="shared" si="10"/>
        <v>642</v>
      </c>
      <c r="K72" s="119">
        <f t="shared" si="11"/>
        <v>642</v>
      </c>
      <c r="L72" s="119">
        <f t="shared" si="12"/>
        <v>0</v>
      </c>
      <c r="N72" s="24"/>
      <c r="O72" s="24"/>
      <c r="P72" s="24"/>
      <c r="Q72" s="24"/>
      <c r="R72" s="24"/>
      <c r="S72" s="24">
        <v>321</v>
      </c>
      <c r="T72" s="24">
        <v>321</v>
      </c>
      <c r="U72" s="24"/>
      <c r="V72" s="24"/>
      <c r="W72" s="24"/>
      <c r="X72" s="24"/>
      <c r="Y72" s="24"/>
    </row>
    <row r="73" spans="5:25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5:25">
      <c r="E74" s="305" t="s">
        <v>449</v>
      </c>
      <c r="F74" s="341"/>
      <c r="G74" s="305"/>
      <c r="H74" s="346"/>
      <c r="I74" s="346"/>
      <c r="J74" s="343">
        <v>0</v>
      </c>
      <c r="K74" s="339">
        <v>0</v>
      </c>
      <c r="L74" s="339">
        <v>0</v>
      </c>
      <c r="M74" s="281"/>
      <c r="N74" s="344"/>
      <c r="O74" s="344"/>
      <c r="P74" s="344"/>
      <c r="Q74" s="344"/>
      <c r="R74" s="344"/>
      <c r="S74" s="344"/>
      <c r="T74" s="344"/>
      <c r="U74" s="344"/>
      <c r="V74" s="344"/>
      <c r="W74" s="24"/>
      <c r="X74" s="24"/>
      <c r="Y74" s="24"/>
    </row>
    <row r="75" spans="5:25">
      <c r="E75" s="305"/>
      <c r="F75" s="341"/>
      <c r="G75" s="305"/>
      <c r="H75" s="346"/>
      <c r="I75" s="346"/>
      <c r="J75" s="343">
        <v>0</v>
      </c>
      <c r="K75" s="339">
        <v>0</v>
      </c>
      <c r="L75" s="339">
        <v>0</v>
      </c>
      <c r="M75" s="281"/>
      <c r="N75" s="344"/>
      <c r="O75" s="344"/>
      <c r="P75" s="344"/>
      <c r="Q75" s="344"/>
      <c r="R75" s="344"/>
      <c r="S75" s="344"/>
      <c r="T75" s="344"/>
      <c r="U75" s="344"/>
      <c r="V75" s="344"/>
      <c r="W75" s="24"/>
      <c r="X75" s="24"/>
      <c r="Y75" s="24"/>
    </row>
    <row r="76" spans="5:25">
      <c r="E76" s="305" t="s">
        <v>450</v>
      </c>
      <c r="F76" s="341" t="s">
        <v>19</v>
      </c>
      <c r="G76" s="305"/>
      <c r="H76" s="342"/>
      <c r="I76" s="342"/>
      <c r="J76" s="343">
        <v>14</v>
      </c>
      <c r="K76" s="339">
        <v>14</v>
      </c>
      <c r="L76" s="339">
        <v>0</v>
      </c>
      <c r="M76" s="281"/>
      <c r="N76" s="344"/>
      <c r="O76" s="344"/>
      <c r="P76" s="344"/>
      <c r="Q76" s="344"/>
      <c r="R76" s="344">
        <v>14</v>
      </c>
      <c r="S76" s="344"/>
      <c r="T76" s="344"/>
      <c r="U76" s="344"/>
      <c r="V76" s="344"/>
      <c r="W76" s="24"/>
      <c r="X76" s="24"/>
      <c r="Y76" s="24"/>
    </row>
    <row r="77" spans="5:25">
      <c r="E77" s="305" t="s">
        <v>451</v>
      </c>
      <c r="F77" s="341" t="s">
        <v>19</v>
      </c>
      <c r="G77" s="305"/>
      <c r="H77" s="12"/>
      <c r="I77" s="12"/>
      <c r="J77" s="343">
        <v>12</v>
      </c>
      <c r="K77" s="339">
        <v>12</v>
      </c>
      <c r="L77" s="339">
        <v>0</v>
      </c>
      <c r="M77" s="281"/>
      <c r="N77" s="344"/>
      <c r="O77" s="344"/>
      <c r="P77" s="344"/>
      <c r="Q77" s="344"/>
      <c r="R77" s="344">
        <v>12</v>
      </c>
      <c r="S77" s="344"/>
      <c r="T77" s="344"/>
      <c r="U77" s="344"/>
      <c r="V77" s="344"/>
      <c r="W77" s="24"/>
      <c r="X77" s="24"/>
      <c r="Y77" s="24"/>
    </row>
    <row r="78" spans="5:25">
      <c r="E78" s="305" t="s">
        <v>371</v>
      </c>
      <c r="F78" s="341" t="s">
        <v>19</v>
      </c>
      <c r="G78" s="305"/>
      <c r="H78" s="12"/>
      <c r="I78" s="12"/>
      <c r="J78" s="343">
        <v>24</v>
      </c>
      <c r="K78" s="339">
        <v>24</v>
      </c>
      <c r="L78" s="339">
        <v>0</v>
      </c>
      <c r="M78" s="281"/>
      <c r="N78" s="344"/>
      <c r="O78" s="344"/>
      <c r="P78" s="344"/>
      <c r="Q78" s="344"/>
      <c r="R78" s="344"/>
      <c r="S78" s="344">
        <v>24</v>
      </c>
      <c r="T78" s="344"/>
      <c r="U78" s="344"/>
      <c r="V78" s="344"/>
      <c r="W78" s="24"/>
      <c r="X78" s="24"/>
      <c r="Y78" s="24"/>
    </row>
    <row r="79" spans="5:25">
      <c r="E79" s="305" t="s">
        <v>246</v>
      </c>
      <c r="F79" s="341" t="s">
        <v>19</v>
      </c>
      <c r="G79" s="305"/>
      <c r="H79" s="12"/>
      <c r="I79" s="12"/>
      <c r="J79" s="343">
        <v>74</v>
      </c>
      <c r="K79" s="339">
        <v>74</v>
      </c>
      <c r="L79" s="339">
        <v>0</v>
      </c>
      <c r="M79" s="281"/>
      <c r="N79" s="344"/>
      <c r="O79" s="344"/>
      <c r="P79" s="344"/>
      <c r="Q79" s="344"/>
      <c r="R79" s="344">
        <v>50</v>
      </c>
      <c r="S79" s="344">
        <v>24</v>
      </c>
      <c r="T79" s="344"/>
      <c r="U79" s="344"/>
      <c r="V79" s="344"/>
      <c r="W79" s="24"/>
      <c r="X79" s="24"/>
      <c r="Y79" s="24"/>
    </row>
    <row r="80" spans="5:25">
      <c r="E80" s="305" t="s">
        <v>374</v>
      </c>
      <c r="F80" s="341" t="s">
        <v>19</v>
      </c>
      <c r="G80" s="305"/>
      <c r="H80" s="12"/>
      <c r="I80" s="12"/>
      <c r="J80" s="343">
        <v>58</v>
      </c>
      <c r="K80" s="339">
        <v>58</v>
      </c>
      <c r="L80" s="339">
        <v>0</v>
      </c>
      <c r="M80" s="281"/>
      <c r="N80" s="344"/>
      <c r="O80" s="344"/>
      <c r="P80" s="344"/>
      <c r="Q80" s="344"/>
      <c r="R80" s="344"/>
      <c r="S80" s="344">
        <v>58</v>
      </c>
      <c r="T80" s="344"/>
      <c r="U80" s="344"/>
      <c r="V80" s="344"/>
      <c r="W80" s="24"/>
      <c r="X80" s="24"/>
      <c r="Y80" s="24"/>
    </row>
    <row r="81" spans="5:25">
      <c r="E81" s="305"/>
      <c r="F81" s="341"/>
      <c r="G81" s="305"/>
      <c r="H81" s="12"/>
      <c r="I81" s="12"/>
      <c r="J81" s="343">
        <v>0</v>
      </c>
      <c r="K81" s="339">
        <v>0</v>
      </c>
      <c r="L81" s="339">
        <v>0</v>
      </c>
      <c r="M81" s="281"/>
      <c r="N81" s="344"/>
      <c r="O81" s="344"/>
      <c r="P81" s="344"/>
      <c r="Q81" s="344"/>
      <c r="R81" s="344"/>
      <c r="S81" s="344"/>
      <c r="T81" s="344"/>
      <c r="U81" s="344"/>
      <c r="V81" s="344"/>
      <c r="W81" s="24"/>
      <c r="X81" s="24"/>
      <c r="Y81" s="24"/>
    </row>
    <row r="82" spans="5:25">
      <c r="E82" s="191" t="s">
        <v>320</v>
      </c>
      <c r="F82" s="216">
        <v>46082</v>
      </c>
      <c r="G82" s="192">
        <v>428</v>
      </c>
      <c r="H82" s="271" t="s">
        <v>321</v>
      </c>
    </row>
    <row r="83" spans="5:25">
      <c r="E83" s="195" t="s">
        <v>452</v>
      </c>
      <c r="F83" s="217"/>
      <c r="G83" s="196">
        <v>59</v>
      </c>
      <c r="H83" s="271" t="s">
        <v>321</v>
      </c>
    </row>
    <row r="84" spans="5:25">
      <c r="E84" s="195" t="s">
        <v>453</v>
      </c>
      <c r="F84" s="217"/>
      <c r="G84" s="196">
        <v>305</v>
      </c>
      <c r="H84" s="271" t="s">
        <v>321</v>
      </c>
    </row>
    <row r="85" spans="5:25">
      <c r="E85" s="191" t="s">
        <v>320</v>
      </c>
      <c r="F85" s="216">
        <v>46112</v>
      </c>
      <c r="G85" s="192">
        <f>G82+G83-G84</f>
        <v>182</v>
      </c>
      <c r="H85" s="271" t="s">
        <v>321</v>
      </c>
    </row>
    <row r="87" spans="5:25">
      <c r="E87" s="356" t="s">
        <v>324</v>
      </c>
      <c r="F87" s="219"/>
      <c r="G87" s="202"/>
      <c r="H87" s="219" t="s">
        <v>325</v>
      </c>
    </row>
    <row r="88" spans="5:25">
      <c r="E88" s="332" t="s">
        <v>249</v>
      </c>
      <c r="F88" s="324"/>
      <c r="G88" s="324"/>
      <c r="H88" s="352">
        <v>11.301591539</v>
      </c>
    </row>
    <row r="89" spans="5:25">
      <c r="E89" s="332" t="s">
        <v>454</v>
      </c>
      <c r="F89" s="324"/>
      <c r="G89" s="324"/>
      <c r="H89" s="325">
        <v>20</v>
      </c>
    </row>
    <row r="90" spans="5:25">
      <c r="E90" s="333" t="s">
        <v>447</v>
      </c>
      <c r="F90" s="324"/>
      <c r="G90" s="324"/>
      <c r="H90" s="325">
        <v>13</v>
      </c>
    </row>
    <row r="91" spans="5:25">
      <c r="E91" s="334" t="s">
        <v>374</v>
      </c>
      <c r="F91" s="326"/>
      <c r="G91" s="326"/>
      <c r="H91" s="330">
        <v>78</v>
      </c>
    </row>
    <row r="92" spans="5:25">
      <c r="E92" s="335" t="s">
        <v>458</v>
      </c>
      <c r="F92" s="327"/>
      <c r="G92" s="328"/>
      <c r="H92" s="331">
        <v>2</v>
      </c>
    </row>
    <row r="93" spans="5:25">
      <c r="E93" s="335" t="s">
        <v>462</v>
      </c>
      <c r="F93" s="327"/>
      <c r="G93" s="328"/>
      <c r="H93" s="331">
        <v>1</v>
      </c>
    </row>
    <row r="94" spans="5:25">
      <c r="E94" s="335" t="s">
        <v>463</v>
      </c>
      <c r="F94" s="327"/>
      <c r="G94" s="328"/>
      <c r="H94" s="331">
        <v>1</v>
      </c>
    </row>
    <row r="95" spans="5:25">
      <c r="E95" s="335" t="s">
        <v>464</v>
      </c>
      <c r="F95" s="327"/>
      <c r="G95" s="328"/>
      <c r="H95" s="331">
        <v>5</v>
      </c>
    </row>
    <row r="96" spans="5:25">
      <c r="E96" s="198"/>
      <c r="F96" s="322"/>
      <c r="G96" s="323"/>
      <c r="H96" s="272"/>
    </row>
    <row r="97" spans="5:25">
      <c r="E97" s="263" t="s">
        <v>344</v>
      </c>
      <c r="F97" s="286"/>
      <c r="G97" s="287"/>
      <c r="H97" s="301">
        <f>SUM(H88:H96)</f>
        <v>131.30159153900001</v>
      </c>
    </row>
    <row r="99" spans="5:25" s="227" customFormat="1" hidden="1">
      <c r="E99" s="227" t="s">
        <v>330</v>
      </c>
      <c r="F99" s="294"/>
      <c r="H99" s="295">
        <f>'W14'!J17</f>
        <v>3088.8574321730002</v>
      </c>
      <c r="I99" s="280"/>
      <c r="J99" s="280"/>
      <c r="K99" s="281"/>
      <c r="L99" s="281"/>
      <c r="M99" s="281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282"/>
    </row>
    <row r="100" spans="5:25" s="227" customFormat="1" hidden="1">
      <c r="E100" s="227" t="s">
        <v>331</v>
      </c>
      <c r="F100" s="294"/>
      <c r="H100" s="295">
        <f>H97</f>
        <v>131.30159153900001</v>
      </c>
      <c r="I100" s="280"/>
      <c r="J100" s="280"/>
      <c r="K100" s="281"/>
      <c r="L100" s="281"/>
      <c r="M100" s="281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282"/>
    </row>
    <row r="101" spans="5:25" s="227" customFormat="1" hidden="1">
      <c r="E101" s="227" t="s">
        <v>332</v>
      </c>
      <c r="F101" s="294"/>
      <c r="H101" s="295">
        <f>J12-'W14'!J12</f>
        <v>52.87</v>
      </c>
      <c r="I101" s="280"/>
      <c r="J101" s="280"/>
      <c r="K101" s="281"/>
      <c r="L101" s="281"/>
      <c r="M101" s="281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282"/>
    </row>
    <row r="102" spans="5:25" s="227" customFormat="1" hidden="1">
      <c r="E102" s="227" t="s">
        <v>333</v>
      </c>
      <c r="F102" s="294"/>
      <c r="H102" s="295">
        <f>H99+H100-H101</f>
        <v>3167.2890237120005</v>
      </c>
      <c r="I102" s="295"/>
      <c r="J102" s="280"/>
      <c r="K102" s="281"/>
      <c r="L102" s="281"/>
      <c r="M102" s="281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282"/>
    </row>
    <row r="103" spans="5:25" s="227" customFormat="1" hidden="1">
      <c r="E103" s="227" t="s">
        <v>334</v>
      </c>
      <c r="F103" s="294"/>
      <c r="H103" s="295">
        <f>J19</f>
        <v>3181.8574321730002</v>
      </c>
      <c r="I103" s="280"/>
      <c r="J103" s="280"/>
      <c r="K103" s="281"/>
      <c r="L103" s="281"/>
      <c r="M103" s="281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282"/>
    </row>
    <row r="104" spans="5:25" s="227" customFormat="1" hidden="1">
      <c r="E104" s="227" t="s">
        <v>335</v>
      </c>
      <c r="F104" s="294"/>
      <c r="H104" s="296">
        <f>H102-H103</f>
        <v>-14.568408460999763</v>
      </c>
      <c r="I104" s="279" t="s">
        <v>336</v>
      </c>
      <c r="J104" s="280"/>
      <c r="K104" s="281"/>
      <c r="L104" s="281"/>
      <c r="M104" s="281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282"/>
    </row>
    <row r="105" spans="5:25" s="227" customFormat="1">
      <c r="E105" s="205"/>
      <c r="F105" s="237"/>
      <c r="G105" s="205"/>
      <c r="H105" s="54"/>
      <c r="I105" s="54"/>
      <c r="J105" s="54"/>
      <c r="K105" s="55"/>
      <c r="L105" s="55"/>
      <c r="M105" s="281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282"/>
    </row>
    <row r="106" spans="5:25">
      <c r="E106" s="205"/>
      <c r="F106" s="237"/>
      <c r="G106" s="205"/>
    </row>
    <row r="107" spans="5:25">
      <c r="E107" s="205"/>
      <c r="F107" s="237"/>
      <c r="G107" s="205"/>
    </row>
    <row r="108" spans="5:25">
      <c r="E108" s="205"/>
      <c r="F108" s="237"/>
      <c r="G108" s="205"/>
    </row>
    <row r="109" spans="5:25">
      <c r="E109" s="205"/>
      <c r="F109" s="237"/>
      <c r="G109" s="205"/>
    </row>
    <row r="110" spans="5:25">
      <c r="E110" s="205"/>
      <c r="F110" s="237"/>
      <c r="G110" s="205"/>
    </row>
    <row r="111" spans="5:25">
      <c r="E111" s="205"/>
      <c r="F111" s="237"/>
      <c r="G111" s="205"/>
    </row>
    <row r="112" spans="5:25">
      <c r="E112" s="205"/>
      <c r="F112" s="237"/>
      <c r="G112" s="205"/>
    </row>
    <row r="113" spans="5:7">
      <c r="E113" s="205"/>
      <c r="F113" s="237"/>
      <c r="G113" s="205"/>
    </row>
    <row r="114" spans="5:7">
      <c r="E114" s="205"/>
      <c r="F114" s="237"/>
      <c r="G114" s="205"/>
    </row>
    <row r="115" spans="5:7">
      <c r="E115" s="205"/>
      <c r="F115" s="237"/>
      <c r="G115" s="205"/>
    </row>
    <row r="116" spans="5:7">
      <c r="E116" s="205"/>
      <c r="F116" s="237"/>
      <c r="G116" s="205"/>
    </row>
    <row r="117" spans="5:7">
      <c r="E117" s="205"/>
      <c r="F117" s="237"/>
      <c r="G117" s="205"/>
    </row>
    <row r="118" spans="5:7">
      <c r="E118" s="205"/>
      <c r="F118" s="237"/>
      <c r="G118" s="205"/>
    </row>
    <row r="119" spans="5:7">
      <c r="E119" s="205"/>
      <c r="F119" s="237"/>
      <c r="G119" s="205"/>
    </row>
  </sheetData>
  <sheetProtection formatCells="0" formatColumns="0" formatRows="0" insertRows="0" deleteRows="0" autoFilter="0"/>
  <autoFilter ref="E23:AL225" xr:uid="{00000000-0009-0000-0000-000011000000}"/>
  <mergeCells count="1">
    <mergeCell ref="I4:J4"/>
  </mergeCells>
  <phoneticPr fontId="40"/>
  <dataValidations count="2">
    <dataValidation type="list" allowBlank="1" showInputMessage="1" showErrorMessage="1" sqref="G2" xr:uid="{00000000-0002-0000-1100-000000000000}">
      <formula1>SOCIETE</formula1>
    </dataValidation>
    <dataValidation type="list" allowBlank="1" showInputMessage="1" showErrorMessage="1" sqref="F24:F81" xr:uid="{48E0C7FE-9042-4FF8-AE2A-A8CE87917368}">
      <formula1>Liste</formula1>
    </dataValidation>
  </dataValidations>
  <pageMargins left="0.17" right="0.17" top="0.37" bottom="0.23" header="0.31496062992125984" footer="0.16"/>
  <pageSetup paperSize="9" scale="48" orientation="landscape" r:id="rId1"/>
  <ignoredErrors>
    <ignoredError sqref="H97" unlockedFormula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9">
    <tabColor theme="4" tint="-0.499984740745262"/>
    <pageSetUpPr fitToPage="1"/>
  </sheetPr>
  <dimension ref="D1:AL133"/>
  <sheetViews>
    <sheetView showGridLines="0" topLeftCell="D100" zoomScale="80" zoomScaleNormal="80" workbookViewId="0">
      <selection activeCell="J106" sqref="J106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.8554687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hidden="1" customWidth="1"/>
    <col min="15" max="16" width="12.140625" style="56" hidden="1" customWidth="1"/>
    <col min="17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84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April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April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W16</v>
      </c>
      <c r="I9" s="61"/>
      <c r="J9" s="161" t="str">
        <f>+"from "&amp;G6&amp;" 1 until end of "&amp;G4</f>
        <v>from April 1 until end of W16</v>
      </c>
      <c r="K9" s="79"/>
      <c r="L9" s="167" t="str">
        <f>+G6</f>
        <v>April</v>
      </c>
      <c r="M9" s="80"/>
      <c r="N9" s="80"/>
      <c r="O9" s="172" t="str">
        <f>+G4</f>
        <v>W16</v>
      </c>
      <c r="P9" s="173" t="str">
        <f>+VLOOKUP(G4, parameters!$G$9:$I$61,3,0)</f>
        <v>W15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600+320+798-1+J10</f>
        <v>1891</v>
      </c>
      <c r="I10" s="61"/>
      <c r="J10" s="159">
        <v>174</v>
      </c>
      <c r="L10" s="16">
        <f>Q17+J10</f>
        <v>580.78289680099999</v>
      </c>
      <c r="N10" s="55"/>
      <c r="O10" s="170">
        <f>+H10+K17</f>
        <v>5170.5940988830007</v>
      </c>
      <c r="P10" s="171" cm="1">
        <f t="array" aca="1" ref="P10" ca="1">INDIRECT(ADDRESS(10,15,,,VLOOKUP($G$4,parameters!$G:$I,3,0)))</f>
        <v>4956.2274321730001</v>
      </c>
      <c r="Q10" s="183">
        <f ca="1">O10-P10</f>
        <v>214.36666671000057</v>
      </c>
      <c r="R10" s="86"/>
    </row>
    <row r="11" spans="5:38" ht="20.45" customHeight="1">
      <c r="E11" s="87" t="s">
        <v>224</v>
      </c>
      <c r="F11" s="88"/>
      <c r="G11" s="89"/>
      <c r="H11" s="16">
        <f>13+8+3+J11</f>
        <v>27</v>
      </c>
      <c r="I11" s="61"/>
      <c r="J11" s="16">
        <v>3</v>
      </c>
      <c r="L11" s="16">
        <f>Q18+J11</f>
        <v>3</v>
      </c>
      <c r="N11" s="55"/>
      <c r="O11" s="152">
        <f>+H11+K18</f>
        <v>33.703122499999999</v>
      </c>
      <c r="P11" s="153" cm="1">
        <f t="array" aca="1" ref="P11" ca="1">INDIRECT(ADDRESS(11,15,,,VLOOKUP($G$4,parameters!$G:$I,3,0)))</f>
        <v>27</v>
      </c>
      <c r="Q11" s="184">
        <f t="shared" ref="Q11:Q12" ca="1" si="0">O11-P11</f>
        <v>6.7031224999999992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1918</v>
      </c>
      <c r="I12" s="293"/>
      <c r="J12" s="126">
        <f>SUM(J10:J11)</f>
        <v>177</v>
      </c>
      <c r="K12" s="65"/>
      <c r="L12" s="126">
        <f>SUM(L10:L11)</f>
        <v>583.78289680099999</v>
      </c>
      <c r="M12" s="65"/>
      <c r="N12" s="65"/>
      <c r="O12" s="154">
        <f>SUM(O10:O11)</f>
        <v>5204.2972213830008</v>
      </c>
      <c r="P12" s="155">
        <f ca="1">SUM(P10:P11)</f>
        <v>4983.2274321730001</v>
      </c>
      <c r="Q12" s="156">
        <f t="shared" ca="1" si="0"/>
        <v>221.06978921000064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+SUMIF($F$24:$F$90,"External",$J$24:$J$90)</f>
        <v>3279.5940988830002</v>
      </c>
      <c r="K17" s="108">
        <f>+SUMIF($F$24:$F$90,"External",$K$24:$K$90)</f>
        <v>3279.5940988830002</v>
      </c>
      <c r="L17" s="109">
        <f>+SUMIF($F$24:$F$90,"External",$L$24:$L$90)</f>
        <v>0</v>
      </c>
      <c r="M17" s="110"/>
      <c r="N17" s="111">
        <f t="shared" ref="N17:Y17" si="1">+SUMIF($F$24:$F$90,"External",N$24:N$90)</f>
        <v>0</v>
      </c>
      <c r="O17" s="111">
        <f t="shared" si="1"/>
        <v>0</v>
      </c>
      <c r="P17" s="111">
        <f t="shared" si="1"/>
        <v>0</v>
      </c>
      <c r="Q17" s="111">
        <f t="shared" si="1"/>
        <v>406.78289680099999</v>
      </c>
      <c r="R17" s="111">
        <f t="shared" si="1"/>
        <v>520.28685286200005</v>
      </c>
      <c r="S17" s="111">
        <f t="shared" si="1"/>
        <v>561.99082817699991</v>
      </c>
      <c r="T17" s="111">
        <f t="shared" si="1"/>
        <v>1258.8546115900003</v>
      </c>
      <c r="U17" s="111">
        <f t="shared" si="1"/>
        <v>231.714699712</v>
      </c>
      <c r="V17" s="111">
        <f t="shared" si="1"/>
        <v>299.96420974100005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+SUMIF($F$24:$F$90,"External",AA$24:AA$90)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+SUMIF($F$24:$F$90,"Group",$J$24:$J$90)</f>
        <v>6.703122500000001</v>
      </c>
      <c r="K18" s="113">
        <f>+SUMIF($F$24:$F$90,"Group",$K$24:$K$90)</f>
        <v>6.703122500000001</v>
      </c>
      <c r="L18" s="114">
        <f>SUMIF($F$24:$F$90,"Group",$L$24:$L$90)</f>
        <v>0</v>
      </c>
      <c r="M18" s="110"/>
      <c r="N18" s="114">
        <f t="shared" ref="N18:Y18" si="3">+SUMIF($F$24:$F$90,"Group",N$24:N$90)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6.703122500000001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+SUMIF($F$24:$F$90,"Group",AA$24:AA$90)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3286.2972213830003</v>
      </c>
      <c r="K19" s="115">
        <f>SUM(K17:K18)</f>
        <v>3286.2972213830003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406.78289680099999</v>
      </c>
      <c r="R19" s="116">
        <f t="shared" si="5"/>
        <v>520.28685286200005</v>
      </c>
      <c r="S19" s="116">
        <f t="shared" si="5"/>
        <v>568.69395067699986</v>
      </c>
      <c r="T19" s="116">
        <f t="shared" si="5"/>
        <v>1258.8546115900003</v>
      </c>
      <c r="U19" s="116">
        <f t="shared" si="5"/>
        <v>231.714699712</v>
      </c>
      <c r="V19" s="116">
        <f t="shared" si="5"/>
        <v>299.96420974100005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94" t="s">
        <v>345</v>
      </c>
      <c r="F23" s="107" t="s">
        <v>188</v>
      </c>
      <c r="G23" s="94" t="s">
        <v>324</v>
      </c>
      <c r="H23" s="232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465</v>
      </c>
      <c r="F24" s="7" t="s">
        <v>19</v>
      </c>
      <c r="G24" s="187" t="s">
        <v>357</v>
      </c>
      <c r="H24" s="187" t="s">
        <v>299</v>
      </c>
      <c r="I24" s="187" t="s">
        <v>466</v>
      </c>
      <c r="J24" s="354">
        <f t="shared" ref="J24" si="7">+K24+L24</f>
        <v>1.0433861760000001</v>
      </c>
      <c r="K24" s="355">
        <f t="shared" ref="K24" si="8">SUM(N24:Y24)</f>
        <v>1.0433861760000001</v>
      </c>
      <c r="L24" s="355">
        <f t="shared" ref="L24" si="9">SUM(AA24:AL24)</f>
        <v>0</v>
      </c>
      <c r="M24" s="23"/>
      <c r="N24" s="24"/>
      <c r="O24" s="24"/>
      <c r="P24" s="24"/>
      <c r="Q24" s="24"/>
      <c r="R24" s="24"/>
      <c r="S24" s="24">
        <v>1.0433861760000001</v>
      </c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467</v>
      </c>
      <c r="F25" s="7" t="s">
        <v>19</v>
      </c>
      <c r="G25" s="6" t="s">
        <v>237</v>
      </c>
      <c r="H25" s="188" t="s">
        <v>277</v>
      </c>
      <c r="I25" s="188" t="s">
        <v>466</v>
      </c>
      <c r="J25" s="354">
        <f t="shared" ref="J25:J87" si="10">+K25+L25</f>
        <v>5.0559082999999996</v>
      </c>
      <c r="K25" s="355">
        <f t="shared" ref="K25:K87" si="11">SUM(N25:Y25)</f>
        <v>5.0559082999999996</v>
      </c>
      <c r="L25" s="355">
        <f t="shared" ref="L25:L87" si="12">SUM(AA25:AL25)</f>
        <v>0</v>
      </c>
      <c r="M25" s="23"/>
      <c r="N25" s="24"/>
      <c r="O25" s="24"/>
      <c r="P25" s="24"/>
      <c r="Q25" s="24">
        <v>5.0559082999999996</v>
      </c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468</v>
      </c>
      <c r="F26" s="7" t="s">
        <v>19</v>
      </c>
      <c r="G26" s="187" t="s">
        <v>239</v>
      </c>
      <c r="H26" s="188" t="s">
        <v>278</v>
      </c>
      <c r="I26" s="188" t="s">
        <v>466</v>
      </c>
      <c r="J26" s="354">
        <f t="shared" si="10"/>
        <v>10.620589304999999</v>
      </c>
      <c r="K26" s="355">
        <f t="shared" si="11"/>
        <v>10.620589304999999</v>
      </c>
      <c r="L26" s="355">
        <f t="shared" si="12"/>
        <v>0</v>
      </c>
      <c r="M26" s="23"/>
      <c r="N26" s="24"/>
      <c r="O26" s="24"/>
      <c r="P26" s="24"/>
      <c r="Q26" s="24">
        <v>4.1713155999999998</v>
      </c>
      <c r="R26" s="24">
        <v>1.6548602190000001</v>
      </c>
      <c r="S26" s="24">
        <v>4.7944134859999998</v>
      </c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469</v>
      </c>
      <c r="F27" s="7" t="s">
        <v>19</v>
      </c>
      <c r="G27" s="6" t="s">
        <v>237</v>
      </c>
      <c r="H27" s="188" t="s">
        <v>277</v>
      </c>
      <c r="I27" s="188" t="s">
        <v>466</v>
      </c>
      <c r="J27" s="354">
        <f t="shared" si="10"/>
        <v>8.2520863759999994</v>
      </c>
      <c r="K27" s="355">
        <f t="shared" si="11"/>
        <v>8.2520863759999994</v>
      </c>
      <c r="L27" s="355">
        <f t="shared" si="12"/>
        <v>0</v>
      </c>
      <c r="M27" s="23"/>
      <c r="N27" s="24"/>
      <c r="O27" s="24"/>
      <c r="P27" s="24"/>
      <c r="Q27" s="24"/>
      <c r="R27" s="24">
        <v>8.2520863759999994</v>
      </c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470</v>
      </c>
      <c r="F28" s="7" t="s">
        <v>19</v>
      </c>
      <c r="G28" s="6" t="s">
        <v>471</v>
      </c>
      <c r="H28" s="188" t="s">
        <v>280</v>
      </c>
      <c r="I28" s="188" t="s">
        <v>472</v>
      </c>
      <c r="J28" s="354">
        <f t="shared" si="10"/>
        <v>193.32546404600004</v>
      </c>
      <c r="K28" s="355">
        <f t="shared" si="11"/>
        <v>193.32546404600004</v>
      </c>
      <c r="L28" s="355">
        <f t="shared" si="12"/>
        <v>0</v>
      </c>
      <c r="M28" s="23"/>
      <c r="N28" s="24"/>
      <c r="O28" s="24"/>
      <c r="P28" s="24"/>
      <c r="Q28" s="24"/>
      <c r="R28" s="24"/>
      <c r="S28" s="24"/>
      <c r="T28" s="24">
        <v>160.71338566300003</v>
      </c>
      <c r="U28" s="24">
        <v>32.612078382999997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89" t="s">
        <v>283</v>
      </c>
      <c r="I29" s="189" t="s">
        <v>472</v>
      </c>
      <c r="J29" s="354">
        <f t="shared" si="10"/>
        <v>23.816704992999998</v>
      </c>
      <c r="K29" s="355">
        <f t="shared" si="11"/>
        <v>23.816704992999998</v>
      </c>
      <c r="L29" s="355">
        <f t="shared" si="12"/>
        <v>0</v>
      </c>
      <c r="M29" s="23"/>
      <c r="N29" s="24"/>
      <c r="O29" s="24"/>
      <c r="P29" s="24"/>
      <c r="Q29" s="24"/>
      <c r="R29" s="24">
        <v>0.52151288699999998</v>
      </c>
      <c r="S29" s="24">
        <v>20.966974448999999</v>
      </c>
      <c r="T29" s="24">
        <v>2.3282176569999997</v>
      </c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446</v>
      </c>
      <c r="F30" s="7" t="s">
        <v>19</v>
      </c>
      <c r="G30" s="6" t="s">
        <v>284</v>
      </c>
      <c r="H30" s="190" t="s">
        <v>286</v>
      </c>
      <c r="I30" s="190" t="s">
        <v>472</v>
      </c>
      <c r="J30" s="354">
        <f t="shared" si="10"/>
        <v>1.9376309709999999</v>
      </c>
      <c r="K30" s="355">
        <f t="shared" si="11"/>
        <v>1.9376309709999999</v>
      </c>
      <c r="L30" s="355">
        <f t="shared" si="12"/>
        <v>0</v>
      </c>
      <c r="M30" s="23"/>
      <c r="N30" s="24"/>
      <c r="O30" s="24"/>
      <c r="P30" s="24"/>
      <c r="Q30" s="24">
        <v>0.95564427099999993</v>
      </c>
      <c r="R30" s="24"/>
      <c r="S30" s="24">
        <v>0.9819867000000001</v>
      </c>
      <c r="T30" s="24">
        <v>0</v>
      </c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7" t="s">
        <v>19</v>
      </c>
      <c r="G31" s="6" t="s">
        <v>284</v>
      </c>
      <c r="H31" s="190" t="s">
        <v>339</v>
      </c>
      <c r="I31" s="190" t="s">
        <v>472</v>
      </c>
      <c r="J31" s="354">
        <f t="shared" si="10"/>
        <v>3.9761750900000004</v>
      </c>
      <c r="K31" s="355">
        <f t="shared" si="11"/>
        <v>3.9761750900000004</v>
      </c>
      <c r="L31" s="355">
        <f t="shared" si="12"/>
        <v>0</v>
      </c>
      <c r="M31" s="23"/>
      <c r="N31" s="24"/>
      <c r="O31" s="24"/>
      <c r="P31" s="24"/>
      <c r="Q31" s="24">
        <v>1.946447416</v>
      </c>
      <c r="R31" s="24"/>
      <c r="S31" s="24">
        <v>1.673907255</v>
      </c>
      <c r="T31" s="24">
        <v>0.355820419</v>
      </c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7" t="s">
        <v>17</v>
      </c>
      <c r="G32" s="6" t="s">
        <v>284</v>
      </c>
      <c r="H32" s="190" t="s">
        <v>286</v>
      </c>
      <c r="I32" s="190" t="s">
        <v>472</v>
      </c>
      <c r="J32" s="354">
        <f t="shared" si="10"/>
        <v>6.703122500000001</v>
      </c>
      <c r="K32" s="355">
        <f t="shared" si="11"/>
        <v>6.703122500000001</v>
      </c>
      <c r="L32" s="355">
        <f t="shared" si="12"/>
        <v>0</v>
      </c>
      <c r="M32" s="15"/>
      <c r="N32" s="24"/>
      <c r="O32" s="24"/>
      <c r="P32" s="24"/>
      <c r="Q32" s="24"/>
      <c r="R32" s="24"/>
      <c r="S32" s="24">
        <v>6.703122500000001</v>
      </c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 t="s">
        <v>474</v>
      </c>
      <c r="F33" s="7" t="s">
        <v>19</v>
      </c>
      <c r="G33" s="6" t="s">
        <v>471</v>
      </c>
      <c r="H33" s="190" t="s">
        <v>280</v>
      </c>
      <c r="I33" s="190" t="s">
        <v>472</v>
      </c>
      <c r="J33" s="354">
        <f t="shared" si="10"/>
        <v>114.986673357</v>
      </c>
      <c r="K33" s="355">
        <f t="shared" si="11"/>
        <v>114.986673357</v>
      </c>
      <c r="L33" s="355">
        <f t="shared" si="12"/>
        <v>0</v>
      </c>
      <c r="M33" s="15"/>
      <c r="N33" s="24"/>
      <c r="O33" s="24"/>
      <c r="P33" s="24"/>
      <c r="Q33" s="24"/>
      <c r="R33" s="24"/>
      <c r="S33" s="24"/>
      <c r="T33" s="24">
        <v>114.986673357</v>
      </c>
      <c r="U33" s="24"/>
      <c r="V33" s="24"/>
      <c r="W33" s="24"/>
      <c r="X33" s="24"/>
    </row>
    <row r="34" spans="5:24">
      <c r="E34" s="6" t="s">
        <v>475</v>
      </c>
      <c r="F34" s="7" t="s">
        <v>19</v>
      </c>
      <c r="G34" s="6" t="s">
        <v>245</v>
      </c>
      <c r="H34" s="190" t="s">
        <v>288</v>
      </c>
      <c r="I34" s="190" t="s">
        <v>466</v>
      </c>
      <c r="J34" s="354">
        <f t="shared" si="10"/>
        <v>11.451385918</v>
      </c>
      <c r="K34" s="355">
        <f t="shared" si="11"/>
        <v>11.451385918</v>
      </c>
      <c r="L34" s="355">
        <f t="shared" si="12"/>
        <v>0</v>
      </c>
      <c r="M34" s="15"/>
      <c r="N34" s="24"/>
      <c r="O34" s="24"/>
      <c r="P34" s="24"/>
      <c r="Q34" s="24"/>
      <c r="R34" s="24">
        <v>11.451385918</v>
      </c>
      <c r="S34" s="24"/>
      <c r="T34" s="24"/>
      <c r="U34" s="24"/>
      <c r="V34" s="24"/>
      <c r="W34" s="24"/>
      <c r="X34" s="24"/>
    </row>
    <row r="35" spans="5:24">
      <c r="E35" s="6" t="s">
        <v>476</v>
      </c>
      <c r="F35" s="7" t="s">
        <v>19</v>
      </c>
      <c r="G35" s="6" t="s">
        <v>247</v>
      </c>
      <c r="H35" s="190" t="s">
        <v>289</v>
      </c>
      <c r="I35" s="190" t="s">
        <v>466</v>
      </c>
      <c r="J35" s="354">
        <f t="shared" si="10"/>
        <v>130.42956933400001</v>
      </c>
      <c r="K35" s="355">
        <f t="shared" si="11"/>
        <v>130.42956933400001</v>
      </c>
      <c r="L35" s="355">
        <f t="shared" si="12"/>
        <v>0</v>
      </c>
      <c r="M35" s="15"/>
      <c r="N35" s="24"/>
      <c r="O35" s="24"/>
      <c r="P35" s="24"/>
      <c r="Q35" s="24">
        <v>8.9463493340000007</v>
      </c>
      <c r="R35" s="24"/>
      <c r="S35" s="24"/>
      <c r="T35" s="24">
        <v>121.48322000000002</v>
      </c>
      <c r="U35" s="24"/>
      <c r="V35" s="24"/>
      <c r="W35" s="24"/>
      <c r="X35" s="24"/>
    </row>
    <row r="36" spans="5:24">
      <c r="E36" s="6" t="s">
        <v>476</v>
      </c>
      <c r="F36" s="7" t="s">
        <v>19</v>
      </c>
      <c r="G36" s="6" t="s">
        <v>249</v>
      </c>
      <c r="H36" s="190" t="s">
        <v>291</v>
      </c>
      <c r="I36" s="190" t="s">
        <v>466</v>
      </c>
      <c r="J36" s="354">
        <f t="shared" si="10"/>
        <v>127.30806323199999</v>
      </c>
      <c r="K36" s="355">
        <f t="shared" si="11"/>
        <v>127.30806323199999</v>
      </c>
      <c r="L36" s="355">
        <f t="shared" si="12"/>
        <v>0</v>
      </c>
      <c r="M36" s="15"/>
      <c r="N36" s="24"/>
      <c r="O36" s="24"/>
      <c r="P36" s="24"/>
      <c r="Q36" s="24">
        <v>28.672633232000003</v>
      </c>
      <c r="R36" s="24">
        <v>0</v>
      </c>
      <c r="S36" s="24"/>
      <c r="T36" s="24">
        <v>98.635429999999999</v>
      </c>
      <c r="U36" s="24"/>
      <c r="V36" s="24"/>
      <c r="W36" s="24"/>
      <c r="X36" s="24"/>
    </row>
    <row r="37" spans="5:24">
      <c r="E37" s="6" t="s">
        <v>476</v>
      </c>
      <c r="F37" s="7" t="s">
        <v>19</v>
      </c>
      <c r="G37" s="6" t="s">
        <v>249</v>
      </c>
      <c r="H37" s="190" t="s">
        <v>290</v>
      </c>
      <c r="I37" s="190" t="s">
        <v>466</v>
      </c>
      <c r="J37" s="354">
        <f t="shared" si="10"/>
        <v>0</v>
      </c>
      <c r="K37" s="355">
        <f t="shared" si="11"/>
        <v>0</v>
      </c>
      <c r="L37" s="355">
        <f t="shared" si="12"/>
        <v>0</v>
      </c>
      <c r="M37" s="15"/>
      <c r="N37" s="24"/>
      <c r="O37" s="24"/>
      <c r="P37" s="24"/>
      <c r="Q37" s="24">
        <v>0</v>
      </c>
      <c r="R37" s="24"/>
      <c r="S37" s="24"/>
      <c r="T37" s="24"/>
      <c r="U37" s="24"/>
      <c r="V37" s="24"/>
      <c r="W37" s="24"/>
      <c r="X37" s="24"/>
    </row>
    <row r="38" spans="5:24">
      <c r="E38" s="6" t="s">
        <v>476</v>
      </c>
      <c r="F38" s="7" t="s">
        <v>19</v>
      </c>
      <c r="G38" s="6" t="s">
        <v>454</v>
      </c>
      <c r="H38" s="190" t="s">
        <v>292</v>
      </c>
      <c r="I38" s="190" t="s">
        <v>466</v>
      </c>
      <c r="J38" s="354">
        <f t="shared" si="10"/>
        <v>95.822503595000001</v>
      </c>
      <c r="K38" s="355">
        <f t="shared" si="11"/>
        <v>95.822503595000001</v>
      </c>
      <c r="L38" s="355">
        <f t="shared" si="12"/>
        <v>0</v>
      </c>
      <c r="M38" s="15"/>
      <c r="N38" s="24"/>
      <c r="O38" s="24"/>
      <c r="P38" s="24"/>
      <c r="Q38" s="24">
        <v>25.494722994999989</v>
      </c>
      <c r="R38" s="24"/>
      <c r="S38" s="24"/>
      <c r="T38" s="24">
        <v>70.327780600000011</v>
      </c>
      <c r="U38" s="24"/>
      <c r="V38" s="24"/>
      <c r="W38" s="24"/>
      <c r="X38" s="24"/>
    </row>
    <row r="39" spans="5:24">
      <c r="E39" s="6" t="s">
        <v>476</v>
      </c>
      <c r="F39" s="7" t="s">
        <v>19</v>
      </c>
      <c r="G39" s="6" t="s">
        <v>293</v>
      </c>
      <c r="H39" s="190" t="s">
        <v>294</v>
      </c>
      <c r="I39" s="190" t="s">
        <v>466</v>
      </c>
      <c r="J39" s="354">
        <f t="shared" si="10"/>
        <v>89.262578004000005</v>
      </c>
      <c r="K39" s="355">
        <f t="shared" si="11"/>
        <v>89.262578004000005</v>
      </c>
      <c r="L39" s="355">
        <f t="shared" si="12"/>
        <v>0</v>
      </c>
      <c r="M39" s="15"/>
      <c r="N39" s="24"/>
      <c r="O39" s="24"/>
      <c r="P39" s="24"/>
      <c r="Q39" s="24">
        <v>3.4096698039999991</v>
      </c>
      <c r="R39" s="24"/>
      <c r="S39" s="24"/>
      <c r="T39" s="24">
        <v>85.852908200000002</v>
      </c>
      <c r="U39" s="24"/>
      <c r="V39" s="24"/>
      <c r="W39" s="24"/>
      <c r="X39" s="24"/>
    </row>
    <row r="40" spans="5:24">
      <c r="E40" s="6" t="s">
        <v>476</v>
      </c>
      <c r="F40" s="7" t="s">
        <v>19</v>
      </c>
      <c r="G40" s="6" t="s">
        <v>447</v>
      </c>
      <c r="H40" s="190" t="s">
        <v>448</v>
      </c>
      <c r="I40" s="190" t="s">
        <v>466</v>
      </c>
      <c r="J40" s="354">
        <f t="shared" si="10"/>
        <v>132.565357713</v>
      </c>
      <c r="K40" s="355">
        <f t="shared" si="11"/>
        <v>132.565357713</v>
      </c>
      <c r="L40" s="355">
        <f t="shared" si="12"/>
        <v>0</v>
      </c>
      <c r="M40" s="15"/>
      <c r="N40" s="24"/>
      <c r="O40" s="24"/>
      <c r="P40" s="24"/>
      <c r="Q40" s="24">
        <v>20.432993036000003</v>
      </c>
      <c r="R40" s="24">
        <v>0.14828540000000001</v>
      </c>
      <c r="S40" s="24">
        <v>1.9241489999999999</v>
      </c>
      <c r="T40" s="24">
        <v>105.16993027700001</v>
      </c>
      <c r="U40" s="24">
        <v>4.8899999999999997</v>
      </c>
      <c r="V40" s="24"/>
      <c r="W40" s="24"/>
      <c r="X40" s="24"/>
    </row>
    <row r="41" spans="5:24">
      <c r="E41" s="6" t="s">
        <v>476</v>
      </c>
      <c r="F41" s="7" t="s">
        <v>19</v>
      </c>
      <c r="G41" s="6" t="s">
        <v>252</v>
      </c>
      <c r="H41" s="190" t="s">
        <v>295</v>
      </c>
      <c r="I41" s="190" t="s">
        <v>466</v>
      </c>
      <c r="J41" s="354">
        <f t="shared" si="10"/>
        <v>35.271655467000002</v>
      </c>
      <c r="K41" s="355">
        <f t="shared" si="11"/>
        <v>35.271655467000002</v>
      </c>
      <c r="L41" s="355">
        <f t="shared" si="12"/>
        <v>0</v>
      </c>
      <c r="M41" s="15"/>
      <c r="N41" s="24"/>
      <c r="O41" s="24"/>
      <c r="P41" s="24"/>
      <c r="Q41" s="24">
        <v>28.039745432000004</v>
      </c>
      <c r="R41" s="24">
        <v>6.4534324349999999</v>
      </c>
      <c r="S41" s="24"/>
      <c r="T41" s="24">
        <v>0.77847759999999999</v>
      </c>
      <c r="U41" s="24"/>
      <c r="V41" s="24"/>
      <c r="W41" s="24"/>
      <c r="X41" s="24"/>
    </row>
    <row r="42" spans="5:24">
      <c r="E42" s="6" t="s">
        <v>476</v>
      </c>
      <c r="F42" s="7" t="s">
        <v>19</v>
      </c>
      <c r="G42" s="6" t="s">
        <v>245</v>
      </c>
      <c r="H42" s="190" t="s">
        <v>288</v>
      </c>
      <c r="I42" s="190" t="s">
        <v>466</v>
      </c>
      <c r="J42" s="354">
        <f t="shared" si="10"/>
        <v>46.718283199999988</v>
      </c>
      <c r="K42" s="355">
        <f t="shared" si="11"/>
        <v>46.718283199999988</v>
      </c>
      <c r="L42" s="355">
        <f t="shared" si="12"/>
        <v>0</v>
      </c>
      <c r="M42" s="15"/>
      <c r="N42" s="24"/>
      <c r="O42" s="24"/>
      <c r="P42" s="24"/>
      <c r="Q42" s="24">
        <v>6.0024272999999999</v>
      </c>
      <c r="R42" s="24">
        <v>1.21E-2</v>
      </c>
      <c r="S42" s="24"/>
      <c r="T42" s="24">
        <v>40.70375589999999</v>
      </c>
      <c r="U42" s="24"/>
      <c r="V42" s="24"/>
      <c r="W42" s="24"/>
      <c r="X42" s="24"/>
    </row>
    <row r="43" spans="5:24">
      <c r="E43" s="6" t="s">
        <v>476</v>
      </c>
      <c r="F43" s="7" t="s">
        <v>19</v>
      </c>
      <c r="G43" s="6" t="s">
        <v>251</v>
      </c>
      <c r="H43" s="190" t="s">
        <v>290</v>
      </c>
      <c r="I43" s="190" t="s">
        <v>466</v>
      </c>
      <c r="J43" s="354">
        <f t="shared" si="10"/>
        <v>1.50702</v>
      </c>
      <c r="K43" s="355">
        <f t="shared" si="11"/>
        <v>1.50702</v>
      </c>
      <c r="L43" s="355">
        <f t="shared" si="12"/>
        <v>0</v>
      </c>
      <c r="M43" s="15"/>
      <c r="N43" s="24"/>
      <c r="O43" s="24"/>
      <c r="P43" s="24"/>
      <c r="Q43" s="24"/>
      <c r="R43" s="24"/>
      <c r="S43" s="24">
        <v>1.50702</v>
      </c>
      <c r="T43" s="24">
        <v>0</v>
      </c>
      <c r="U43" s="24"/>
      <c r="V43" s="24"/>
      <c r="W43" s="24"/>
      <c r="X43" s="24"/>
    </row>
    <row r="44" spans="5:24">
      <c r="E44" s="6" t="s">
        <v>476</v>
      </c>
      <c r="F44" s="7" t="s">
        <v>19</v>
      </c>
      <c r="G44" s="6" t="s">
        <v>248</v>
      </c>
      <c r="H44" s="190" t="s">
        <v>290</v>
      </c>
      <c r="I44" s="190" t="s">
        <v>466</v>
      </c>
      <c r="J44" s="354">
        <f t="shared" si="10"/>
        <v>5.8217363960000013</v>
      </c>
      <c r="K44" s="355">
        <f t="shared" si="11"/>
        <v>5.8217363960000013</v>
      </c>
      <c r="L44" s="355">
        <f t="shared" si="12"/>
        <v>0</v>
      </c>
      <c r="M44" s="15"/>
      <c r="N44" s="24"/>
      <c r="O44" s="24"/>
      <c r="P44" s="24"/>
      <c r="Q44" s="24">
        <v>8.1654199999999996E-2</v>
      </c>
      <c r="R44" s="24"/>
      <c r="S44" s="24">
        <v>5.7400821960000012</v>
      </c>
      <c r="T44" s="24"/>
      <c r="U44" s="24"/>
      <c r="V44" s="24"/>
      <c r="W44" s="24"/>
      <c r="X44" s="24"/>
    </row>
    <row r="45" spans="5:24">
      <c r="E45" s="6" t="s">
        <v>253</v>
      </c>
      <c r="F45" s="7" t="s">
        <v>19</v>
      </c>
      <c r="G45" s="6" t="s">
        <v>359</v>
      </c>
      <c r="H45" s="190" t="s">
        <v>296</v>
      </c>
      <c r="I45" s="190" t="s">
        <v>466</v>
      </c>
      <c r="J45" s="354">
        <f t="shared" si="10"/>
        <v>1.2970143060000001</v>
      </c>
      <c r="K45" s="355">
        <f t="shared" si="11"/>
        <v>1.2970143060000001</v>
      </c>
      <c r="L45" s="355">
        <f t="shared" si="12"/>
        <v>0</v>
      </c>
      <c r="M45" s="15"/>
      <c r="N45" s="24"/>
      <c r="O45" s="24"/>
      <c r="P45" s="24"/>
      <c r="Q45" s="24">
        <v>1.2970143060000001</v>
      </c>
      <c r="R45" s="24"/>
      <c r="S45" s="24"/>
      <c r="T45" s="24"/>
      <c r="U45" s="24"/>
      <c r="V45" s="24"/>
      <c r="W45" s="24"/>
      <c r="X45" s="24"/>
    </row>
    <row r="46" spans="5:24">
      <c r="E46" s="6" t="s">
        <v>477</v>
      </c>
      <c r="F46" s="7" t="s">
        <v>19</v>
      </c>
      <c r="G46" s="6" t="s">
        <v>454</v>
      </c>
      <c r="H46" s="188" t="s">
        <v>292</v>
      </c>
      <c r="I46" s="188" t="s">
        <v>466</v>
      </c>
      <c r="J46" s="354">
        <f t="shared" si="10"/>
        <v>10.006058019999999</v>
      </c>
      <c r="K46" s="355">
        <f t="shared" si="11"/>
        <v>10.006058019999999</v>
      </c>
      <c r="L46" s="355">
        <f t="shared" si="12"/>
        <v>0</v>
      </c>
      <c r="M46" s="15"/>
      <c r="N46" s="24"/>
      <c r="O46" s="24"/>
      <c r="P46" s="24"/>
      <c r="Q46" s="24"/>
      <c r="R46" s="24"/>
      <c r="S46" s="24"/>
      <c r="T46" s="24">
        <v>10.006058019999999</v>
      </c>
      <c r="U46" s="24"/>
      <c r="V46" s="24"/>
      <c r="W46" s="24"/>
      <c r="X46" s="24"/>
    </row>
    <row r="47" spans="5:24">
      <c r="E47" s="6" t="s">
        <v>478</v>
      </c>
      <c r="F47" s="7" t="s">
        <v>19</v>
      </c>
      <c r="G47" s="6" t="s">
        <v>245</v>
      </c>
      <c r="H47" s="188" t="s">
        <v>288</v>
      </c>
      <c r="I47" s="188" t="s">
        <v>466</v>
      </c>
      <c r="J47" s="354">
        <f t="shared" si="10"/>
        <v>57.256929589999999</v>
      </c>
      <c r="K47" s="355">
        <f t="shared" si="11"/>
        <v>57.256929589999999</v>
      </c>
      <c r="L47" s="355">
        <f t="shared" si="12"/>
        <v>0</v>
      </c>
      <c r="M47" s="15"/>
      <c r="N47" s="24"/>
      <c r="O47" s="24"/>
      <c r="P47" s="24"/>
      <c r="Q47" s="24"/>
      <c r="R47" s="24">
        <v>57.256929589999999</v>
      </c>
      <c r="S47" s="24"/>
      <c r="T47" s="24"/>
      <c r="U47" s="24"/>
      <c r="V47" s="24"/>
      <c r="W47" s="24"/>
      <c r="X47" s="24"/>
    </row>
    <row r="48" spans="5:24">
      <c r="E48" s="6" t="s">
        <v>414</v>
      </c>
      <c r="F48" s="7" t="s">
        <v>19</v>
      </c>
      <c r="G48" s="6" t="s">
        <v>245</v>
      </c>
      <c r="H48" s="189" t="s">
        <v>288</v>
      </c>
      <c r="I48" s="189" t="s">
        <v>466</v>
      </c>
      <c r="J48" s="354">
        <f t="shared" si="10"/>
        <v>80.159701425999998</v>
      </c>
      <c r="K48" s="355">
        <f t="shared" si="11"/>
        <v>80.159701425999998</v>
      </c>
      <c r="L48" s="355">
        <f t="shared" si="12"/>
        <v>0</v>
      </c>
      <c r="M48" s="15"/>
      <c r="N48" s="24"/>
      <c r="O48" s="24"/>
      <c r="P48" s="24"/>
      <c r="Q48" s="24"/>
      <c r="R48" s="24">
        <v>80.159701425999998</v>
      </c>
      <c r="S48" s="24"/>
      <c r="T48" s="24"/>
      <c r="U48" s="24"/>
      <c r="V48" s="24"/>
      <c r="W48" s="24"/>
      <c r="X48" s="24"/>
    </row>
    <row r="49" spans="5:24">
      <c r="E49" s="6" t="s">
        <v>417</v>
      </c>
      <c r="F49" s="7" t="s">
        <v>19</v>
      </c>
      <c r="G49" s="6" t="s">
        <v>266</v>
      </c>
      <c r="H49" s="190" t="s">
        <v>305</v>
      </c>
      <c r="I49" s="190" t="s">
        <v>472</v>
      </c>
      <c r="J49" s="354">
        <f t="shared" si="10"/>
        <v>19.768845337000002</v>
      </c>
      <c r="K49" s="355">
        <f t="shared" si="11"/>
        <v>19.768845337000002</v>
      </c>
      <c r="L49" s="355">
        <f t="shared" si="12"/>
        <v>0</v>
      </c>
      <c r="M49" s="15"/>
      <c r="N49" s="24"/>
      <c r="O49" s="24"/>
      <c r="P49" s="24"/>
      <c r="Q49" s="24"/>
      <c r="R49" s="24">
        <v>19.768845337000002</v>
      </c>
      <c r="S49" s="24"/>
      <c r="T49" s="24"/>
      <c r="U49" s="24"/>
      <c r="V49" s="24"/>
      <c r="W49" s="24"/>
      <c r="X49" s="24"/>
    </row>
    <row r="50" spans="5:24">
      <c r="E50" s="6" t="s">
        <v>479</v>
      </c>
      <c r="F50" s="7" t="s">
        <v>19</v>
      </c>
      <c r="G50" s="6" t="s">
        <v>357</v>
      </c>
      <c r="H50" s="190" t="s">
        <v>299</v>
      </c>
      <c r="I50" s="190" t="s">
        <v>466</v>
      </c>
      <c r="J50" s="354">
        <f t="shared" si="10"/>
        <v>19.434423315000004</v>
      </c>
      <c r="K50" s="355">
        <f t="shared" si="11"/>
        <v>19.434423315000004</v>
      </c>
      <c r="L50" s="355">
        <f t="shared" si="12"/>
        <v>0</v>
      </c>
      <c r="M50" s="15"/>
      <c r="N50" s="24"/>
      <c r="O50" s="24"/>
      <c r="P50" s="24"/>
      <c r="Q50" s="24">
        <v>19.341893781000003</v>
      </c>
      <c r="R50" s="24"/>
      <c r="S50" s="24">
        <v>9.2529533999999997E-2</v>
      </c>
      <c r="T50" s="24"/>
      <c r="U50" s="24"/>
      <c r="V50" s="24"/>
      <c r="W50" s="24"/>
      <c r="X50" s="24"/>
    </row>
    <row r="51" spans="5:24">
      <c r="E51" s="6" t="s">
        <v>480</v>
      </c>
      <c r="F51" s="7" t="s">
        <v>19</v>
      </c>
      <c r="G51" s="6" t="s">
        <v>301</v>
      </c>
      <c r="H51" s="190" t="s">
        <v>302</v>
      </c>
      <c r="I51" s="190" t="s">
        <v>466</v>
      </c>
      <c r="J51" s="354">
        <f t="shared" si="10"/>
        <v>71.282558389999991</v>
      </c>
      <c r="K51" s="355">
        <f t="shared" si="11"/>
        <v>71.282558389999991</v>
      </c>
      <c r="L51" s="355">
        <f t="shared" si="12"/>
        <v>0</v>
      </c>
      <c r="M51" s="15"/>
      <c r="N51" s="24"/>
      <c r="O51" s="24"/>
      <c r="P51" s="24"/>
      <c r="Q51" s="24">
        <v>71.282558389999991</v>
      </c>
      <c r="R51" s="24"/>
      <c r="S51" s="24"/>
      <c r="T51" s="24"/>
      <c r="U51" s="24"/>
      <c r="V51" s="24"/>
      <c r="W51" s="24"/>
      <c r="X51" s="24"/>
    </row>
    <row r="52" spans="5:24">
      <c r="E52" s="6" t="s">
        <v>457</v>
      </c>
      <c r="F52" s="7" t="s">
        <v>19</v>
      </c>
      <c r="G52" s="6" t="s">
        <v>374</v>
      </c>
      <c r="H52" s="190" t="s">
        <v>317</v>
      </c>
      <c r="I52" s="190" t="s">
        <v>466</v>
      </c>
      <c r="J52" s="354">
        <f t="shared" si="10"/>
        <v>77.241470100000001</v>
      </c>
      <c r="K52" s="355">
        <f t="shared" si="11"/>
        <v>77.241470100000001</v>
      </c>
      <c r="L52" s="355">
        <f t="shared" si="12"/>
        <v>0</v>
      </c>
      <c r="M52" s="15"/>
      <c r="N52" s="24"/>
      <c r="O52" s="24"/>
      <c r="P52" s="24"/>
      <c r="Q52" s="24"/>
      <c r="R52" s="24"/>
      <c r="S52" s="24">
        <v>77.241470100000001</v>
      </c>
      <c r="T52" s="24"/>
      <c r="U52" s="24"/>
      <c r="V52" s="24"/>
      <c r="W52" s="24"/>
      <c r="X52" s="24"/>
    </row>
    <row r="53" spans="5:24">
      <c r="E53" s="6" t="s">
        <v>450</v>
      </c>
      <c r="F53" s="7" t="s">
        <v>19</v>
      </c>
      <c r="G53" s="6" t="s">
        <v>282</v>
      </c>
      <c r="H53" s="190" t="s">
        <v>283</v>
      </c>
      <c r="I53" s="190" t="s">
        <v>466</v>
      </c>
      <c r="J53" s="354">
        <f t="shared" si="10"/>
        <v>0.93894539999999993</v>
      </c>
      <c r="K53" s="355">
        <f t="shared" si="11"/>
        <v>0.93894539999999993</v>
      </c>
      <c r="L53" s="355">
        <f t="shared" si="12"/>
        <v>0</v>
      </c>
      <c r="M53" s="15"/>
      <c r="N53" s="24"/>
      <c r="O53" s="24"/>
      <c r="P53" s="24"/>
      <c r="Q53" s="24"/>
      <c r="R53" s="24"/>
      <c r="S53" s="24"/>
      <c r="T53" s="24">
        <v>0.93894539999999993</v>
      </c>
      <c r="U53" s="24"/>
      <c r="V53" s="24"/>
      <c r="W53" s="24"/>
      <c r="X53" s="24"/>
    </row>
    <row r="54" spans="5:24">
      <c r="E54" s="6" t="s">
        <v>450</v>
      </c>
      <c r="F54" s="7" t="s">
        <v>19</v>
      </c>
      <c r="G54" s="6" t="s">
        <v>266</v>
      </c>
      <c r="H54" s="190" t="s">
        <v>305</v>
      </c>
      <c r="I54" s="190" t="s">
        <v>466</v>
      </c>
      <c r="J54" s="354">
        <f t="shared" si="10"/>
        <v>1.6043460999999998E-2</v>
      </c>
      <c r="K54" s="355">
        <f t="shared" si="11"/>
        <v>1.6043460999999998E-2</v>
      </c>
      <c r="L54" s="355">
        <f t="shared" si="12"/>
        <v>0</v>
      </c>
      <c r="M54" s="15"/>
      <c r="N54" s="24"/>
      <c r="O54" s="24"/>
      <c r="P54" s="24"/>
      <c r="Q54" s="24"/>
      <c r="R54" s="24"/>
      <c r="S54" s="24">
        <v>1.6043460999999998E-2</v>
      </c>
      <c r="T54" s="24"/>
      <c r="U54" s="24"/>
      <c r="V54" s="24"/>
      <c r="W54" s="24"/>
      <c r="X54" s="24"/>
    </row>
    <row r="55" spans="5:24">
      <c r="E55" s="6" t="s">
        <v>450</v>
      </c>
      <c r="F55" s="7" t="s">
        <v>19</v>
      </c>
      <c r="G55" s="6" t="s">
        <v>462</v>
      </c>
      <c r="H55" s="190" t="s">
        <v>303</v>
      </c>
      <c r="I55" s="190" t="s">
        <v>466</v>
      </c>
      <c r="J55" s="354">
        <f t="shared" si="10"/>
        <v>103.35776380799997</v>
      </c>
      <c r="K55" s="355">
        <f t="shared" si="11"/>
        <v>103.35776380799997</v>
      </c>
      <c r="L55" s="355">
        <f t="shared" si="12"/>
        <v>0</v>
      </c>
      <c r="M55" s="15"/>
      <c r="N55" s="24"/>
      <c r="O55" s="24"/>
      <c r="P55" s="24"/>
      <c r="Q55" s="24">
        <v>88.263519405999986</v>
      </c>
      <c r="R55" s="24">
        <v>7.0080830019999993</v>
      </c>
      <c r="S55" s="24">
        <v>8.0861613999999999</v>
      </c>
      <c r="T55" s="24"/>
      <c r="U55" s="24"/>
      <c r="V55" s="24"/>
      <c r="W55" s="24"/>
      <c r="X55" s="24"/>
    </row>
    <row r="56" spans="5:24">
      <c r="E56" s="6" t="s">
        <v>450</v>
      </c>
      <c r="F56" s="7" t="s">
        <v>19</v>
      </c>
      <c r="G56" s="6" t="s">
        <v>266</v>
      </c>
      <c r="H56" s="190" t="s">
        <v>305</v>
      </c>
      <c r="I56" s="190" t="s">
        <v>472</v>
      </c>
      <c r="J56" s="354">
        <f t="shared" si="10"/>
        <v>18.527228375</v>
      </c>
      <c r="K56" s="355">
        <f t="shared" si="11"/>
        <v>18.527228375</v>
      </c>
      <c r="L56" s="355">
        <f t="shared" si="12"/>
        <v>0</v>
      </c>
      <c r="M56" s="15"/>
      <c r="N56" s="24"/>
      <c r="O56" s="24"/>
      <c r="P56" s="24"/>
      <c r="Q56" s="24">
        <v>0.52466878099999992</v>
      </c>
      <c r="R56" s="24">
        <v>16.673765806000002</v>
      </c>
      <c r="S56" s="24">
        <v>1.328793788</v>
      </c>
      <c r="T56" s="24"/>
      <c r="U56" s="24"/>
      <c r="V56" s="24"/>
      <c r="W56" s="24"/>
      <c r="X56" s="24"/>
    </row>
    <row r="57" spans="5:24">
      <c r="E57" s="6" t="s">
        <v>441</v>
      </c>
      <c r="F57" s="7" t="s">
        <v>19</v>
      </c>
      <c r="G57" s="6" t="s">
        <v>442</v>
      </c>
      <c r="H57" s="190" t="s">
        <v>481</v>
      </c>
      <c r="I57" s="190" t="s">
        <v>466</v>
      </c>
      <c r="J57" s="354">
        <f t="shared" si="10"/>
        <v>642</v>
      </c>
      <c r="K57" s="355">
        <f t="shared" si="11"/>
        <v>642</v>
      </c>
      <c r="L57" s="355">
        <f t="shared" si="12"/>
        <v>0</v>
      </c>
      <c r="M57" s="15"/>
      <c r="N57" s="24"/>
      <c r="O57" s="24"/>
      <c r="P57" s="24"/>
      <c r="Q57" s="24"/>
      <c r="R57" s="24"/>
      <c r="S57" s="24">
        <v>321</v>
      </c>
      <c r="T57" s="24">
        <v>321</v>
      </c>
      <c r="U57" s="24"/>
      <c r="V57" s="24"/>
      <c r="W57" s="24"/>
      <c r="X57" s="24"/>
    </row>
    <row r="58" spans="5:24">
      <c r="E58" s="6" t="s">
        <v>482</v>
      </c>
      <c r="F58" s="7" t="s">
        <v>19</v>
      </c>
      <c r="G58" s="6" t="s">
        <v>258</v>
      </c>
      <c r="H58" s="190" t="s">
        <v>306</v>
      </c>
      <c r="I58" s="190" t="s">
        <v>466</v>
      </c>
      <c r="J58" s="354">
        <f t="shared" si="10"/>
        <v>6.75741528</v>
      </c>
      <c r="K58" s="355">
        <f t="shared" si="11"/>
        <v>6.75741528</v>
      </c>
      <c r="L58" s="355">
        <f t="shared" si="12"/>
        <v>0</v>
      </c>
      <c r="M58" s="15"/>
      <c r="N58" s="24"/>
      <c r="O58" s="24"/>
      <c r="P58" s="24"/>
      <c r="Q58" s="24">
        <v>2.1232692000000002</v>
      </c>
      <c r="R58" s="24"/>
      <c r="S58" s="24">
        <v>4.6341460799999998</v>
      </c>
      <c r="T58" s="24"/>
      <c r="U58" s="24"/>
      <c r="V58" s="24"/>
      <c r="W58" s="24"/>
      <c r="X58" s="24"/>
    </row>
    <row r="59" spans="5:24">
      <c r="E59" s="6" t="s">
        <v>483</v>
      </c>
      <c r="F59" s="7" t="s">
        <v>19</v>
      </c>
      <c r="G59" s="6" t="s">
        <v>258</v>
      </c>
      <c r="H59" s="190" t="s">
        <v>306</v>
      </c>
      <c r="I59" s="190" t="s">
        <v>466</v>
      </c>
      <c r="J59" s="354">
        <f t="shared" si="10"/>
        <v>23.937426840000001</v>
      </c>
      <c r="K59" s="355">
        <f t="shared" si="11"/>
        <v>23.937426840000001</v>
      </c>
      <c r="L59" s="355">
        <f t="shared" si="12"/>
        <v>0</v>
      </c>
      <c r="M59" s="15"/>
      <c r="N59" s="24"/>
      <c r="O59" s="24"/>
      <c r="P59" s="24"/>
      <c r="Q59" s="24">
        <v>9.1455506139999994</v>
      </c>
      <c r="R59" s="24">
        <v>14.791876226000001</v>
      </c>
      <c r="S59" s="24"/>
      <c r="T59" s="24"/>
      <c r="U59" s="24"/>
      <c r="V59" s="24"/>
      <c r="W59" s="24"/>
      <c r="X59" s="24"/>
    </row>
    <row r="60" spans="5:24">
      <c r="E60" s="6" t="s">
        <v>484</v>
      </c>
      <c r="F60" s="7" t="s">
        <v>19</v>
      </c>
      <c r="G60" s="6" t="s">
        <v>284</v>
      </c>
      <c r="H60" s="190" t="s">
        <v>339</v>
      </c>
      <c r="I60" s="190" t="s">
        <v>472</v>
      </c>
      <c r="J60" s="354">
        <f t="shared" si="10"/>
        <v>9.0908299999999997E-2</v>
      </c>
      <c r="K60" s="355">
        <f t="shared" si="11"/>
        <v>9.0908299999999997E-2</v>
      </c>
      <c r="L60" s="355">
        <f t="shared" si="12"/>
        <v>0</v>
      </c>
      <c r="M60" s="15"/>
      <c r="N60" s="24"/>
      <c r="O60" s="24"/>
      <c r="P60" s="24"/>
      <c r="Q60" s="24"/>
      <c r="R60" s="24"/>
      <c r="S60" s="24"/>
      <c r="T60" s="24">
        <v>9.0908299999999997E-2</v>
      </c>
      <c r="U60" s="24"/>
      <c r="V60" s="24"/>
      <c r="W60" s="24"/>
      <c r="X60" s="24"/>
    </row>
    <row r="61" spans="5:24">
      <c r="E61" s="6" t="s">
        <v>484</v>
      </c>
      <c r="F61" s="7" t="s">
        <v>19</v>
      </c>
      <c r="G61" s="6" t="s">
        <v>372</v>
      </c>
      <c r="H61" s="190" t="s">
        <v>311</v>
      </c>
      <c r="I61" s="190" t="s">
        <v>472</v>
      </c>
      <c r="J61" s="354">
        <f t="shared" si="10"/>
        <v>1.173521574</v>
      </c>
      <c r="K61" s="355">
        <f t="shared" si="11"/>
        <v>1.173521574</v>
      </c>
      <c r="L61" s="355">
        <f t="shared" si="12"/>
        <v>0</v>
      </c>
      <c r="M61" s="15"/>
      <c r="N61" s="24"/>
      <c r="O61" s="24"/>
      <c r="P61" s="24"/>
      <c r="Q61" s="24"/>
      <c r="R61" s="24"/>
      <c r="S61" s="24"/>
      <c r="T61" s="24">
        <v>1.173521574</v>
      </c>
      <c r="U61" s="24"/>
      <c r="V61" s="24"/>
      <c r="W61" s="24"/>
      <c r="X61" s="24"/>
    </row>
    <row r="62" spans="5:24">
      <c r="E62" s="6" t="s">
        <v>484</v>
      </c>
      <c r="F62" s="7" t="s">
        <v>19</v>
      </c>
      <c r="G62" s="6" t="s">
        <v>372</v>
      </c>
      <c r="H62" s="190" t="s">
        <v>402</v>
      </c>
      <c r="I62" s="190" t="s">
        <v>472</v>
      </c>
      <c r="J62" s="354">
        <f t="shared" si="10"/>
        <v>1.9566471000000001</v>
      </c>
      <c r="K62" s="355">
        <f t="shared" si="11"/>
        <v>1.9566471000000001</v>
      </c>
      <c r="L62" s="355">
        <f t="shared" si="12"/>
        <v>0</v>
      </c>
      <c r="M62" s="15"/>
      <c r="N62" s="24"/>
      <c r="O62" s="24"/>
      <c r="P62" s="24"/>
      <c r="Q62" s="24"/>
      <c r="R62" s="24"/>
      <c r="S62" s="24"/>
      <c r="T62" s="24">
        <v>1.9566471000000001</v>
      </c>
      <c r="U62" s="24"/>
      <c r="V62" s="24"/>
      <c r="W62" s="24"/>
      <c r="X62" s="24"/>
    </row>
    <row r="63" spans="5:24">
      <c r="E63" s="6" t="s">
        <v>484</v>
      </c>
      <c r="F63" s="7" t="s">
        <v>19</v>
      </c>
      <c r="G63" s="6" t="s">
        <v>266</v>
      </c>
      <c r="H63" s="190" t="s">
        <v>305</v>
      </c>
      <c r="I63" s="190" t="s">
        <v>472</v>
      </c>
      <c r="J63" s="354">
        <f t="shared" si="10"/>
        <v>57.045834622000001</v>
      </c>
      <c r="K63" s="355">
        <f t="shared" si="11"/>
        <v>57.045834622000001</v>
      </c>
      <c r="L63" s="355">
        <f t="shared" si="12"/>
        <v>0</v>
      </c>
      <c r="M63" s="15"/>
      <c r="N63" s="24"/>
      <c r="O63" s="24"/>
      <c r="P63" s="24"/>
      <c r="Q63" s="24"/>
      <c r="R63" s="24"/>
      <c r="S63" s="24"/>
      <c r="T63" s="24">
        <v>57.045834622000001</v>
      </c>
      <c r="U63" s="24"/>
      <c r="V63" s="24"/>
      <c r="W63" s="24"/>
      <c r="X63" s="24"/>
    </row>
    <row r="64" spans="5:24">
      <c r="E64" s="6" t="s">
        <v>484</v>
      </c>
      <c r="F64" s="7" t="s">
        <v>19</v>
      </c>
      <c r="G64" s="6" t="s">
        <v>370</v>
      </c>
      <c r="H64" s="190" t="s">
        <v>308</v>
      </c>
      <c r="I64" s="190" t="s">
        <v>472</v>
      </c>
      <c r="J64" s="354">
        <f t="shared" si="10"/>
        <v>34.232117431999995</v>
      </c>
      <c r="K64" s="355">
        <f t="shared" si="11"/>
        <v>34.232117431999995</v>
      </c>
      <c r="L64" s="355">
        <f t="shared" si="12"/>
        <v>0</v>
      </c>
      <c r="M64" s="15"/>
      <c r="N64" s="24"/>
      <c r="O64" s="24"/>
      <c r="P64" s="24"/>
      <c r="Q64" s="24"/>
      <c r="R64" s="24"/>
      <c r="S64" s="24">
        <v>4.8495802000000001</v>
      </c>
      <c r="T64" s="24">
        <v>29.382537231999997</v>
      </c>
      <c r="U64" s="24"/>
      <c r="V64" s="24"/>
      <c r="W64" s="24"/>
      <c r="X64" s="24"/>
    </row>
    <row r="65" spans="5:24">
      <c r="E65" s="6" t="s">
        <v>484</v>
      </c>
      <c r="F65" s="7" t="s">
        <v>19</v>
      </c>
      <c r="G65" s="6" t="s">
        <v>264</v>
      </c>
      <c r="H65" s="190" t="s">
        <v>310</v>
      </c>
      <c r="I65" s="190" t="s">
        <v>472</v>
      </c>
      <c r="J65" s="354">
        <f t="shared" si="10"/>
        <v>0.110184352</v>
      </c>
      <c r="K65" s="355">
        <f t="shared" si="11"/>
        <v>0.110184352</v>
      </c>
      <c r="L65" s="355">
        <f t="shared" si="12"/>
        <v>0</v>
      </c>
      <c r="N65" s="24"/>
      <c r="O65" s="24"/>
      <c r="P65" s="24"/>
      <c r="Q65" s="24"/>
      <c r="R65" s="24"/>
      <c r="S65" s="24">
        <v>0.110184352</v>
      </c>
      <c r="T65" s="24"/>
      <c r="U65" s="24"/>
      <c r="V65" s="24"/>
      <c r="W65" s="24"/>
      <c r="X65" s="24"/>
    </row>
    <row r="66" spans="5:24">
      <c r="E66" s="6" t="s">
        <v>484</v>
      </c>
      <c r="F66" s="7" t="s">
        <v>19</v>
      </c>
      <c r="G66" s="6" t="s">
        <v>454</v>
      </c>
      <c r="H66" s="190" t="s">
        <v>292</v>
      </c>
      <c r="I66" s="190" t="s">
        <v>472</v>
      </c>
      <c r="J66" s="354">
        <f t="shared" si="10"/>
        <v>8.8069698539999983</v>
      </c>
      <c r="K66" s="355">
        <f t="shared" si="11"/>
        <v>8.8069698539999983</v>
      </c>
      <c r="L66" s="355">
        <f t="shared" si="12"/>
        <v>0</v>
      </c>
      <c r="N66" s="24"/>
      <c r="O66" s="24"/>
      <c r="P66" s="24"/>
      <c r="Q66" s="24"/>
      <c r="R66" s="24"/>
      <c r="S66" s="24"/>
      <c r="T66" s="24">
        <v>8.8069698539999983</v>
      </c>
      <c r="U66" s="24"/>
      <c r="V66" s="24"/>
      <c r="W66" s="24"/>
      <c r="X66" s="24"/>
    </row>
    <row r="67" spans="5:24">
      <c r="E67" s="6" t="s">
        <v>451</v>
      </c>
      <c r="F67" s="7" t="s">
        <v>19</v>
      </c>
      <c r="G67" s="6" t="s">
        <v>458</v>
      </c>
      <c r="H67" s="190" t="s">
        <v>305</v>
      </c>
      <c r="I67" s="190" t="s">
        <v>472</v>
      </c>
      <c r="J67" s="354">
        <f t="shared" si="10"/>
        <v>0.71764260000000002</v>
      </c>
      <c r="K67" s="355">
        <f t="shared" si="11"/>
        <v>0.71764260000000002</v>
      </c>
      <c r="L67" s="355">
        <f t="shared" si="12"/>
        <v>0</v>
      </c>
      <c r="N67" s="24"/>
      <c r="O67" s="24"/>
      <c r="P67" s="24"/>
      <c r="Q67" s="24"/>
      <c r="R67" s="24"/>
      <c r="S67" s="24"/>
      <c r="T67" s="24">
        <v>0.71764260000000002</v>
      </c>
      <c r="U67" s="24"/>
      <c r="V67" s="24"/>
      <c r="W67" s="24"/>
      <c r="X67" s="24"/>
    </row>
    <row r="68" spans="5:24">
      <c r="E68" s="6" t="s">
        <v>451</v>
      </c>
      <c r="F68" s="7" t="s">
        <v>19</v>
      </c>
      <c r="G68" s="6" t="s">
        <v>261</v>
      </c>
      <c r="H68" s="190" t="s">
        <v>307</v>
      </c>
      <c r="I68" s="190" t="s">
        <v>472</v>
      </c>
      <c r="J68" s="354">
        <f t="shared" si="10"/>
        <v>70.102955056000013</v>
      </c>
      <c r="K68" s="355">
        <f t="shared" si="11"/>
        <v>70.102955056000013</v>
      </c>
      <c r="L68" s="355">
        <f t="shared" si="12"/>
        <v>0</v>
      </c>
      <c r="N68" s="24"/>
      <c r="O68" s="24"/>
      <c r="P68" s="24"/>
      <c r="Q68" s="24">
        <v>47.918378925000006</v>
      </c>
      <c r="R68" s="24">
        <v>0</v>
      </c>
      <c r="S68" s="24"/>
      <c r="T68" s="24">
        <v>22.184576131</v>
      </c>
      <c r="U68" s="24"/>
      <c r="V68" s="24"/>
      <c r="W68" s="24"/>
      <c r="X68" s="24"/>
    </row>
    <row r="69" spans="5:24">
      <c r="E69" s="6" t="s">
        <v>451</v>
      </c>
      <c r="F69" s="7" t="s">
        <v>19</v>
      </c>
      <c r="G69" s="6" t="s">
        <v>370</v>
      </c>
      <c r="H69" s="190" t="s">
        <v>308</v>
      </c>
      <c r="I69" s="190" t="s">
        <v>472</v>
      </c>
      <c r="J69" s="354">
        <f t="shared" si="10"/>
        <v>3.3561936159999997</v>
      </c>
      <c r="K69" s="355">
        <f t="shared" si="11"/>
        <v>3.3561936159999997</v>
      </c>
      <c r="L69" s="355">
        <f t="shared" si="12"/>
        <v>0</v>
      </c>
      <c r="N69" s="24"/>
      <c r="O69" s="24"/>
      <c r="P69" s="24"/>
      <c r="Q69" s="24">
        <v>2.1636036089999999</v>
      </c>
      <c r="R69" s="24">
        <v>1.192590007</v>
      </c>
      <c r="S69" s="24"/>
      <c r="T69" s="24"/>
      <c r="U69" s="24"/>
      <c r="V69" s="24"/>
      <c r="W69" s="24"/>
      <c r="X69" s="24"/>
    </row>
    <row r="70" spans="5:24">
      <c r="E70" s="6" t="s">
        <v>485</v>
      </c>
      <c r="F70" s="7" t="s">
        <v>19</v>
      </c>
      <c r="G70" s="6" t="s">
        <v>420</v>
      </c>
      <c r="H70" s="190" t="s">
        <v>486</v>
      </c>
      <c r="I70" s="190" t="s">
        <v>472</v>
      </c>
      <c r="J70" s="354">
        <f t="shared" si="10"/>
        <v>494.17683107000005</v>
      </c>
      <c r="K70" s="355">
        <f t="shared" si="11"/>
        <v>494.17683107000005</v>
      </c>
      <c r="L70" s="355">
        <f t="shared" si="12"/>
        <v>0</v>
      </c>
      <c r="N70" s="24"/>
      <c r="O70" s="24"/>
      <c r="P70" s="24"/>
      <c r="Q70" s="24"/>
      <c r="R70" s="24"/>
      <c r="S70" s="24"/>
      <c r="T70" s="24"/>
      <c r="U70" s="24">
        <v>194.212621329</v>
      </c>
      <c r="V70" s="24">
        <v>299.96420974100005</v>
      </c>
      <c r="W70" s="24"/>
      <c r="X70" s="24"/>
    </row>
    <row r="71" spans="5:24">
      <c r="E71" s="6" t="s">
        <v>268</v>
      </c>
      <c r="F71" s="7" t="s">
        <v>19</v>
      </c>
      <c r="G71" s="6" t="s">
        <v>374</v>
      </c>
      <c r="H71" s="190" t="s">
        <v>317</v>
      </c>
      <c r="I71" s="190" t="s">
        <v>466</v>
      </c>
      <c r="J71" s="354">
        <f t="shared" si="10"/>
        <v>218.353473514</v>
      </c>
      <c r="K71" s="355">
        <f t="shared" si="11"/>
        <v>218.353473514</v>
      </c>
      <c r="L71" s="355">
        <f t="shared" si="12"/>
        <v>0</v>
      </c>
      <c r="N71" s="24"/>
      <c r="O71" s="24"/>
      <c r="P71" s="24"/>
      <c r="Q71" s="24"/>
      <c r="R71" s="24">
        <v>214.13810243</v>
      </c>
      <c r="S71" s="24"/>
      <c r="T71" s="24">
        <v>4.215371084</v>
      </c>
      <c r="U71" s="24"/>
      <c r="V71" s="24"/>
      <c r="W71" s="24"/>
      <c r="X71" s="24"/>
    </row>
    <row r="72" spans="5:24">
      <c r="E72" s="6" t="s">
        <v>487</v>
      </c>
      <c r="F72" s="7" t="s">
        <v>19</v>
      </c>
      <c r="G72" s="6" t="s">
        <v>374</v>
      </c>
      <c r="H72" s="190" t="s">
        <v>317</v>
      </c>
      <c r="I72" s="190" t="s">
        <v>466</v>
      </c>
      <c r="J72" s="354">
        <f t="shared" si="10"/>
        <v>1.1826547569999999</v>
      </c>
      <c r="K72" s="355">
        <f t="shared" si="11"/>
        <v>1.1826547569999999</v>
      </c>
      <c r="L72" s="355">
        <f t="shared" si="12"/>
        <v>0</v>
      </c>
      <c r="N72" s="24"/>
      <c r="O72" s="24"/>
      <c r="P72" s="24"/>
      <c r="Q72" s="24">
        <v>1.1826547569999999</v>
      </c>
      <c r="R72" s="24"/>
      <c r="S72" s="24"/>
      <c r="T72" s="24"/>
      <c r="U72" s="24"/>
      <c r="V72" s="24"/>
      <c r="W72" s="24"/>
      <c r="X72" s="24"/>
    </row>
    <row r="73" spans="5:24">
      <c r="E73" s="6" t="s">
        <v>488</v>
      </c>
      <c r="F73" s="7" t="s">
        <v>19</v>
      </c>
      <c r="G73" s="6" t="s">
        <v>272</v>
      </c>
      <c r="H73" s="317" t="s">
        <v>290</v>
      </c>
      <c r="I73" s="317" t="s">
        <v>466</v>
      </c>
      <c r="J73" s="354">
        <f t="shared" si="10"/>
        <v>13.684561999999998</v>
      </c>
      <c r="K73" s="355">
        <f t="shared" si="11"/>
        <v>13.684561999999998</v>
      </c>
      <c r="L73" s="355">
        <f t="shared" si="12"/>
        <v>0</v>
      </c>
      <c r="N73" s="24"/>
      <c r="O73" s="24"/>
      <c r="P73" s="24"/>
      <c r="Q73" s="24">
        <v>13.684561999999998</v>
      </c>
      <c r="R73" s="24"/>
      <c r="S73" s="24"/>
      <c r="T73" s="24"/>
      <c r="U73" s="24"/>
      <c r="V73" s="24"/>
      <c r="W73" s="24"/>
      <c r="X73" s="24"/>
    </row>
    <row r="74" spans="5:24">
      <c r="E74" s="6" t="s">
        <v>489</v>
      </c>
      <c r="F74" s="7" t="s">
        <v>19</v>
      </c>
      <c r="G74" s="6" t="s">
        <v>247</v>
      </c>
      <c r="H74" s="317" t="s">
        <v>289</v>
      </c>
      <c r="I74" s="317" t="s">
        <v>466</v>
      </c>
      <c r="J74" s="354">
        <f t="shared" si="10"/>
        <v>3.4497579120000004</v>
      </c>
      <c r="K74" s="355">
        <f t="shared" si="11"/>
        <v>3.4497579120000004</v>
      </c>
      <c r="L74" s="355">
        <f t="shared" si="12"/>
        <v>0</v>
      </c>
      <c r="N74" s="24"/>
      <c r="O74" s="24"/>
      <c r="P74" s="24"/>
      <c r="Q74" s="24">
        <v>3.4497579120000004</v>
      </c>
      <c r="R74" s="24"/>
      <c r="S74" s="24"/>
      <c r="T74" s="24"/>
      <c r="U74" s="24"/>
      <c r="V74" s="24"/>
      <c r="W74" s="24"/>
      <c r="X74" s="24"/>
    </row>
    <row r="75" spans="5:24">
      <c r="E75" s="6" t="s">
        <v>489</v>
      </c>
      <c r="F75" s="7" t="s">
        <v>19</v>
      </c>
      <c r="G75" s="6" t="s">
        <v>252</v>
      </c>
      <c r="H75" s="353" t="s">
        <v>295</v>
      </c>
      <c r="I75" s="190" t="s">
        <v>472</v>
      </c>
      <c r="J75" s="354">
        <f t="shared" si="10"/>
        <v>13.195954199999999</v>
      </c>
      <c r="K75" s="355">
        <f t="shared" si="11"/>
        <v>13.195954199999999</v>
      </c>
      <c r="L75" s="355">
        <f t="shared" si="12"/>
        <v>0</v>
      </c>
      <c r="N75" s="24"/>
      <c r="O75" s="24"/>
      <c r="P75" s="24"/>
      <c r="Q75" s="24">
        <v>13.195954199999999</v>
      </c>
      <c r="R75" s="24"/>
      <c r="S75" s="24"/>
      <c r="T75" s="24"/>
      <c r="U75" s="24"/>
      <c r="V75" s="24"/>
      <c r="W75" s="24"/>
      <c r="X75" s="24"/>
    </row>
    <row r="76" spans="5:24">
      <c r="E76" s="6" t="s">
        <v>459</v>
      </c>
      <c r="F76" s="7" t="s">
        <v>19</v>
      </c>
      <c r="G76" s="6" t="s">
        <v>490</v>
      </c>
      <c r="H76" s="190" t="s">
        <v>461</v>
      </c>
      <c r="I76" s="317" t="s">
        <v>466</v>
      </c>
      <c r="J76" s="354">
        <f t="shared" si="10"/>
        <v>4.803295803000001</v>
      </c>
      <c r="K76" s="355">
        <f t="shared" si="11"/>
        <v>4.803295803000001</v>
      </c>
      <c r="L76" s="355">
        <f t="shared" si="12"/>
        <v>0</v>
      </c>
      <c r="N76" s="24"/>
      <c r="O76" s="24"/>
      <c r="P76" s="24"/>
      <c r="Q76" s="24"/>
      <c r="R76" s="24">
        <v>4.803295803000001</v>
      </c>
      <c r="S76" s="24"/>
      <c r="T76" s="24"/>
      <c r="U76" s="24"/>
      <c r="V76" s="24"/>
      <c r="W76" s="24"/>
      <c r="X76" s="24"/>
    </row>
    <row r="77" spans="5:24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5:24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5:24">
      <c r="E79" s="305" t="s">
        <v>450</v>
      </c>
      <c r="F79" s="341" t="s">
        <v>19</v>
      </c>
      <c r="G79" s="6"/>
      <c r="H79" s="11"/>
      <c r="I79" s="11"/>
      <c r="J79" s="118">
        <f t="shared" si="10"/>
        <v>14</v>
      </c>
      <c r="K79" s="119">
        <f t="shared" si="11"/>
        <v>14</v>
      </c>
      <c r="L79" s="119">
        <f t="shared" si="12"/>
        <v>0</v>
      </c>
      <c r="N79" s="24"/>
      <c r="O79" s="24"/>
      <c r="P79" s="24"/>
      <c r="Q79" s="24"/>
      <c r="R79" s="344">
        <v>14</v>
      </c>
      <c r="S79" s="344"/>
      <c r="T79" s="344"/>
      <c r="U79" s="24"/>
      <c r="V79" s="24"/>
      <c r="W79" s="24"/>
      <c r="X79" s="24"/>
    </row>
    <row r="80" spans="5:24">
      <c r="E80" s="305" t="s">
        <v>451</v>
      </c>
      <c r="F80" s="341" t="s">
        <v>19</v>
      </c>
      <c r="G80" s="6"/>
      <c r="H80" s="11"/>
      <c r="I80" s="11"/>
      <c r="J80" s="118">
        <f t="shared" si="10"/>
        <v>12</v>
      </c>
      <c r="K80" s="119">
        <f t="shared" si="11"/>
        <v>12</v>
      </c>
      <c r="L80" s="119">
        <f t="shared" si="12"/>
        <v>0</v>
      </c>
      <c r="N80" s="24"/>
      <c r="O80" s="24"/>
      <c r="P80" s="24"/>
      <c r="Q80" s="24"/>
      <c r="R80" s="344">
        <v>12</v>
      </c>
      <c r="S80" s="344"/>
      <c r="T80" s="344"/>
      <c r="U80" s="24"/>
      <c r="V80" s="24"/>
      <c r="W80" s="24"/>
      <c r="X80" s="24"/>
    </row>
    <row r="81" spans="5:24">
      <c r="E81" s="305" t="s">
        <v>371</v>
      </c>
      <c r="F81" s="341" t="s">
        <v>19</v>
      </c>
      <c r="G81" s="6"/>
      <c r="H81" s="11"/>
      <c r="I81" s="11"/>
      <c r="J81" s="118">
        <f t="shared" si="10"/>
        <v>24</v>
      </c>
      <c r="K81" s="119">
        <f t="shared" si="11"/>
        <v>24</v>
      </c>
      <c r="L81" s="119">
        <f t="shared" si="12"/>
        <v>0</v>
      </c>
      <c r="N81" s="24"/>
      <c r="O81" s="24"/>
      <c r="P81" s="24"/>
      <c r="Q81" s="24"/>
      <c r="R81" s="344"/>
      <c r="S81" s="344">
        <v>24</v>
      </c>
      <c r="T81" s="344"/>
      <c r="U81" s="24"/>
      <c r="V81" s="24"/>
      <c r="W81" s="24"/>
      <c r="X81" s="24"/>
    </row>
    <row r="82" spans="5:24">
      <c r="E82" s="305" t="s">
        <v>246</v>
      </c>
      <c r="F82" s="341" t="s">
        <v>19</v>
      </c>
      <c r="G82" s="6"/>
      <c r="H82" s="11"/>
      <c r="I82" s="11"/>
      <c r="J82" s="118">
        <f t="shared" si="10"/>
        <v>74</v>
      </c>
      <c r="K82" s="119">
        <f t="shared" si="11"/>
        <v>74</v>
      </c>
      <c r="L82" s="119">
        <f t="shared" si="12"/>
        <v>0</v>
      </c>
      <c r="N82" s="24"/>
      <c r="O82" s="24"/>
      <c r="P82" s="24"/>
      <c r="Q82" s="24"/>
      <c r="R82" s="344">
        <v>50</v>
      </c>
      <c r="S82" s="344">
        <v>24</v>
      </c>
      <c r="T82" s="344"/>
      <c r="U82" s="24"/>
      <c r="V82" s="24"/>
      <c r="W82" s="24"/>
      <c r="X82" s="24"/>
    </row>
    <row r="83" spans="5:24">
      <c r="E83" s="305" t="s">
        <v>374</v>
      </c>
      <c r="F83" s="341" t="s">
        <v>19</v>
      </c>
      <c r="G83" s="6"/>
      <c r="H83" s="11"/>
      <c r="I83" s="11"/>
      <c r="J83" s="118">
        <f t="shared" si="10"/>
        <v>58</v>
      </c>
      <c r="K83" s="119">
        <f t="shared" si="11"/>
        <v>58</v>
      </c>
      <c r="L83" s="119">
        <f t="shared" si="12"/>
        <v>0</v>
      </c>
      <c r="N83" s="24"/>
      <c r="O83" s="24"/>
      <c r="P83" s="24"/>
      <c r="Q83" s="24"/>
      <c r="R83" s="344"/>
      <c r="S83" s="344">
        <v>58</v>
      </c>
      <c r="T83" s="344"/>
      <c r="U83" s="24"/>
      <c r="V83" s="24"/>
      <c r="W83" s="24"/>
      <c r="X83" s="24"/>
    </row>
    <row r="84" spans="5:24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5:24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5:24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5:24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5:24">
      <c r="E88" s="6"/>
      <c r="F88" s="7"/>
      <c r="G88" s="6"/>
      <c r="H88" s="11"/>
      <c r="I88" s="11"/>
      <c r="J88" s="118">
        <f t="shared" ref="J88:J90" si="13">+K88+L88</f>
        <v>0</v>
      </c>
      <c r="K88" s="119">
        <f t="shared" ref="K88:K90" si="14">SUM(N88:Y88)</f>
        <v>0</v>
      </c>
      <c r="L88" s="119">
        <f t="shared" ref="L88:L90" si="15">SUM(AA88:AL88)</f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5:24">
      <c r="E89" s="6"/>
      <c r="F89" s="7"/>
      <c r="G89" s="6"/>
      <c r="H89" s="12"/>
      <c r="I89" s="12"/>
      <c r="J89" s="118">
        <f t="shared" si="13"/>
        <v>0</v>
      </c>
      <c r="K89" s="119">
        <f t="shared" si="14"/>
        <v>0</v>
      </c>
      <c r="L89" s="119">
        <f t="shared" si="15"/>
        <v>0</v>
      </c>
    </row>
    <row r="90" spans="5:24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2" spans="5:24">
      <c r="E92" s="191" t="s">
        <v>320</v>
      </c>
      <c r="F92" s="216">
        <v>46082</v>
      </c>
      <c r="G92" s="192">
        <v>428</v>
      </c>
      <c r="H92" s="271" t="s">
        <v>321</v>
      </c>
    </row>
    <row r="93" spans="5:24">
      <c r="E93" s="195" t="s">
        <v>452</v>
      </c>
      <c r="F93" s="217"/>
      <c r="G93" s="196">
        <v>59</v>
      </c>
      <c r="H93" s="271" t="s">
        <v>321</v>
      </c>
    </row>
    <row r="94" spans="5:24">
      <c r="E94" s="195" t="s">
        <v>453</v>
      </c>
      <c r="F94" s="217"/>
      <c r="G94" s="196">
        <v>305</v>
      </c>
      <c r="H94" s="271" t="s">
        <v>321</v>
      </c>
    </row>
    <row r="95" spans="5:24">
      <c r="E95" s="191" t="s">
        <v>320</v>
      </c>
      <c r="F95" s="216">
        <v>46112</v>
      </c>
      <c r="G95" s="192">
        <f>G92+G93-G94</f>
        <v>182</v>
      </c>
      <c r="H95" s="271" t="s">
        <v>321</v>
      </c>
    </row>
    <row r="97" spans="5:9">
      <c r="E97" s="356" t="s">
        <v>324</v>
      </c>
      <c r="F97" s="219"/>
      <c r="G97" s="202"/>
      <c r="H97" s="219" t="s">
        <v>325</v>
      </c>
    </row>
    <row r="98" spans="5:9">
      <c r="E98" s="332" t="s">
        <v>239</v>
      </c>
      <c r="F98" s="324"/>
      <c r="G98" s="324"/>
      <c r="H98" s="352">
        <v>4.17</v>
      </c>
    </row>
    <row r="99" spans="5:9">
      <c r="E99" s="332" t="s">
        <v>247</v>
      </c>
      <c r="F99" s="324"/>
      <c r="G99" s="324"/>
      <c r="H99" s="325">
        <v>1</v>
      </c>
    </row>
    <row r="100" spans="5:9">
      <c r="E100" s="333" t="s">
        <v>454</v>
      </c>
      <c r="F100" s="324"/>
      <c r="G100" s="324"/>
      <c r="H100" s="325">
        <v>5</v>
      </c>
    </row>
    <row r="101" spans="5:9">
      <c r="E101" s="334" t="s">
        <v>252</v>
      </c>
      <c r="F101" s="326"/>
      <c r="G101" s="326"/>
      <c r="H101" s="330">
        <v>16</v>
      </c>
    </row>
    <row r="102" spans="5:9">
      <c r="E102" s="335" t="s">
        <v>359</v>
      </c>
      <c r="F102" s="327"/>
      <c r="G102" s="328"/>
      <c r="H102" s="331">
        <v>1</v>
      </c>
    </row>
    <row r="103" spans="5:9">
      <c r="E103" s="335" t="s">
        <v>374</v>
      </c>
      <c r="F103" s="327"/>
      <c r="G103" s="328"/>
      <c r="H103" s="331">
        <v>149</v>
      </c>
    </row>
    <row r="104" spans="5:9">
      <c r="E104" s="335" t="s">
        <v>447</v>
      </c>
      <c r="F104" s="327"/>
      <c r="G104" s="328"/>
      <c r="H104" s="331">
        <v>101</v>
      </c>
    </row>
    <row r="105" spans="5:9">
      <c r="E105" s="335" t="s">
        <v>462</v>
      </c>
      <c r="F105" s="327"/>
      <c r="G105" s="328"/>
      <c r="H105" s="331">
        <v>6</v>
      </c>
    </row>
    <row r="106" spans="5:9">
      <c r="E106" s="198"/>
      <c r="F106" s="322"/>
      <c r="G106" s="323"/>
      <c r="H106" s="272"/>
    </row>
    <row r="107" spans="5:9">
      <c r="E107" s="263" t="s">
        <v>344</v>
      </c>
      <c r="F107" s="286"/>
      <c r="G107" s="287"/>
      <c r="H107" s="301">
        <f>SUM(H98:H106)</f>
        <v>283.17</v>
      </c>
    </row>
    <row r="108" spans="5:9">
      <c r="E108" s="227"/>
      <c r="F108" s="278"/>
      <c r="G108" s="227"/>
      <c r="H108" s="280"/>
      <c r="I108" s="280"/>
    </row>
    <row r="109" spans="5:9">
      <c r="E109" s="227"/>
      <c r="F109" s="278"/>
      <c r="G109" s="227"/>
      <c r="H109" s="280"/>
      <c r="I109" s="280"/>
    </row>
    <row r="110" spans="5:9">
      <c r="E110" s="151" t="s">
        <v>330</v>
      </c>
      <c r="F110" s="277"/>
      <c r="G110" s="151"/>
      <c r="H110" s="283">
        <f>'W15'!J19</f>
        <v>3181.8574321730002</v>
      </c>
      <c r="I110" s="258"/>
    </row>
    <row r="111" spans="5:9">
      <c r="E111" s="151" t="s">
        <v>331</v>
      </c>
      <c r="F111" s="277"/>
      <c r="G111" s="151"/>
      <c r="H111" s="283">
        <f>H107</f>
        <v>283.17</v>
      </c>
      <c r="I111" s="258"/>
    </row>
    <row r="112" spans="5:9">
      <c r="E112" s="151" t="s">
        <v>332</v>
      </c>
      <c r="F112" s="277"/>
      <c r="G112" s="151"/>
      <c r="H112" s="283">
        <f>J12-'W15'!J12</f>
        <v>117.63</v>
      </c>
      <c r="I112" s="258"/>
    </row>
    <row r="113" spans="5:9">
      <c r="E113" s="151" t="s">
        <v>455</v>
      </c>
      <c r="F113" s="277"/>
      <c r="G113" s="151"/>
      <c r="H113" s="283">
        <f>H22-'W13'!H22</f>
        <v>0</v>
      </c>
      <c r="I113" s="258"/>
    </row>
    <row r="114" spans="5:9">
      <c r="E114" s="151" t="s">
        <v>333</v>
      </c>
      <c r="F114" s="277"/>
      <c r="G114" s="151"/>
      <c r="H114" s="283">
        <f>H110+H111-H112-H113</f>
        <v>3347.3974321730002</v>
      </c>
      <c r="I114" s="283"/>
    </row>
    <row r="115" spans="5:9">
      <c r="E115" s="151" t="s">
        <v>334</v>
      </c>
      <c r="F115" s="277"/>
      <c r="G115" s="151"/>
      <c r="H115" s="283">
        <f>J19</f>
        <v>3286.2972213830003</v>
      </c>
      <c r="I115" s="258"/>
    </row>
    <row r="116" spans="5:9">
      <c r="E116" s="151" t="s">
        <v>335</v>
      </c>
      <c r="F116" s="277"/>
      <c r="G116" s="151"/>
      <c r="H116" s="284">
        <f>H114-H115</f>
        <v>61.100210789999892</v>
      </c>
      <c r="I116" s="259" t="s">
        <v>336</v>
      </c>
    </row>
    <row r="117" spans="5:9">
      <c r="E117" s="227"/>
      <c r="F117" s="278"/>
      <c r="G117" s="227"/>
      <c r="H117" s="280"/>
      <c r="I117" s="258"/>
    </row>
    <row r="118" spans="5:9">
      <c r="E118" s="227"/>
      <c r="F118" s="278"/>
      <c r="G118" s="227"/>
      <c r="H118" s="280"/>
      <c r="I118" s="258"/>
    </row>
    <row r="119" spans="5:9">
      <c r="E119" s="227"/>
      <c r="F119" s="278"/>
      <c r="G119" s="227"/>
      <c r="H119" s="280"/>
      <c r="I119" s="258"/>
    </row>
    <row r="120" spans="5:9">
      <c r="E120" s="227"/>
      <c r="F120" s="278"/>
      <c r="G120" s="227"/>
      <c r="H120" s="280"/>
      <c r="I120" s="280"/>
    </row>
    <row r="121" spans="5:9">
      <c r="E121" s="227"/>
      <c r="F121" s="278"/>
      <c r="G121" s="227"/>
      <c r="H121" s="280"/>
    </row>
    <row r="122" spans="5:9">
      <c r="E122" s="227"/>
      <c r="F122" s="278"/>
      <c r="G122" s="227"/>
      <c r="H122" s="280"/>
    </row>
    <row r="123" spans="5:9">
      <c r="E123" s="227"/>
      <c r="F123" s="278"/>
      <c r="G123" s="227"/>
      <c r="H123" s="280"/>
    </row>
    <row r="124" spans="5:9">
      <c r="E124" s="227"/>
      <c r="F124" s="278"/>
      <c r="G124" s="227"/>
      <c r="H124" s="280"/>
    </row>
    <row r="125" spans="5:9">
      <c r="E125" s="227"/>
      <c r="F125" s="278"/>
      <c r="G125" s="227"/>
      <c r="H125" s="280"/>
    </row>
    <row r="126" spans="5:9">
      <c r="E126" s="227"/>
      <c r="F126" s="278"/>
      <c r="G126" s="227"/>
      <c r="H126" s="280"/>
    </row>
    <row r="127" spans="5:9">
      <c r="E127" s="227"/>
      <c r="F127" s="278"/>
      <c r="G127" s="227"/>
      <c r="H127" s="280"/>
    </row>
    <row r="128" spans="5:9">
      <c r="E128" s="227"/>
      <c r="F128" s="278"/>
      <c r="G128" s="227"/>
      <c r="H128" s="280"/>
    </row>
    <row r="129" spans="5:8">
      <c r="E129" s="227"/>
      <c r="F129" s="278"/>
      <c r="G129" s="227"/>
      <c r="H129" s="280"/>
    </row>
    <row r="130" spans="5:8">
      <c r="E130" s="227"/>
      <c r="F130" s="278"/>
      <c r="G130" s="227"/>
      <c r="H130" s="280"/>
    </row>
    <row r="131" spans="5:8">
      <c r="E131" s="227"/>
      <c r="F131" s="278"/>
      <c r="G131" s="227"/>
      <c r="H131" s="280"/>
    </row>
    <row r="132" spans="5:8">
      <c r="E132" s="227"/>
      <c r="F132" s="278"/>
      <c r="G132" s="227"/>
      <c r="H132" s="280"/>
    </row>
    <row r="133" spans="5:8">
      <c r="E133" s="227"/>
      <c r="F133" s="278"/>
      <c r="G133" s="227"/>
      <c r="H133" s="280"/>
    </row>
  </sheetData>
  <sheetProtection formatCells="0" formatColumns="0" formatRows="0" insertRows="0" deleteRows="0" autoFilter="0"/>
  <autoFilter ref="E23:AL235" xr:uid="{00000000-0009-0000-0000-000012000000}"/>
  <mergeCells count="1">
    <mergeCell ref="I4:J4"/>
  </mergeCells>
  <phoneticPr fontId="40"/>
  <dataValidations count="2">
    <dataValidation type="list" allowBlank="1" showInputMessage="1" showErrorMessage="1" sqref="G2" xr:uid="{00000000-0002-0000-1200-000000000000}">
      <formula1>SOCIETE</formula1>
    </dataValidation>
    <dataValidation type="list" allowBlank="1" showInputMessage="1" showErrorMessage="1" sqref="F24:F90" xr:uid="{A8C9843B-DA08-4DF4-9EC1-BE3BFE28D33D}">
      <formula1>Liste</formula1>
    </dataValidation>
  </dataValidations>
  <pageMargins left="0.17" right="0.17" top="0.37" bottom="0.23" header="0.31496062992125984" footer="0.16"/>
  <pageSetup paperSize="9" scale="59" orientation="landscape" r:id="rId1"/>
  <ignoredErrors>
    <ignoredError sqref="H110:H116" unlockedFormula="1"/>
  </ignoredError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0" filterMode="1">
    <tabColor theme="4" tint="-0.499984740745262"/>
    <pageSetUpPr fitToPage="1"/>
  </sheetPr>
  <dimension ref="D1:AL131"/>
  <sheetViews>
    <sheetView showGridLines="0" topLeftCell="C111" zoomScale="98" zoomScaleNormal="98" workbookViewId="0">
      <selection activeCell="E116" sqref="E116:L126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4.5703125" style="15" bestFit="1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hidden="1" customWidth="1"/>
    <col min="15" max="16" width="12.140625" style="56" hidden="1" customWidth="1"/>
    <col min="17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87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April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April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W17</v>
      </c>
      <c r="I9" s="61"/>
      <c r="J9" s="161" t="str">
        <f>+"from "&amp;G6&amp;" 1 until end of "&amp;G4</f>
        <v>from April 1 until end of W17</v>
      </c>
      <c r="K9" s="79"/>
      <c r="L9" s="167" t="str">
        <f>+G6</f>
        <v>April</v>
      </c>
      <c r="M9" s="80"/>
      <c r="N9" s="80"/>
      <c r="O9" s="172" t="str">
        <f>+G4</f>
        <v>W17</v>
      </c>
      <c r="P9" s="173" t="str">
        <f>+VLOOKUP(G4, parameters!$G$9:$I$61,3,0)</f>
        <v>W16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600+320+798-1+J10</f>
        <v>1992.2781504</v>
      </c>
      <c r="I10" s="61"/>
      <c r="J10" s="159">
        <v>275.27815040000002</v>
      </c>
      <c r="L10" s="16">
        <f>Q17+J10</f>
        <v>518.81835003500009</v>
      </c>
      <c r="N10" s="55"/>
      <c r="O10" s="170">
        <f>+H10+K17</f>
        <v>5383.6804719879992</v>
      </c>
      <c r="P10" s="171" cm="1">
        <f t="array" aca="1" ref="P10" ca="1">INDIRECT(ADDRESS(10,15,,,VLOOKUP($G$4,parameters!$G:$I,3,0)))</f>
        <v>5170.5940988830007</v>
      </c>
      <c r="Q10" s="183">
        <f ca="1">O10-P10</f>
        <v>213.08637310499853</v>
      </c>
      <c r="R10" s="86"/>
    </row>
    <row r="11" spans="5:38" ht="20.45" customHeight="1">
      <c r="E11" s="87" t="s">
        <v>224</v>
      </c>
      <c r="F11" s="88"/>
      <c r="G11" s="89"/>
      <c r="H11" s="16">
        <f>13+8+3+J11</f>
        <v>27</v>
      </c>
      <c r="I11" s="61"/>
      <c r="J11" s="16">
        <v>3</v>
      </c>
      <c r="L11" s="16">
        <f>Q18+J11</f>
        <v>3</v>
      </c>
      <c r="N11" s="55"/>
      <c r="O11" s="152">
        <f>+H11+K18</f>
        <v>33.703122499999999</v>
      </c>
      <c r="P11" s="153" cm="1">
        <f t="array" aca="1" ref="P11" ca="1">INDIRECT(ADDRESS(11,15,,,VLOOKUP($G$4,parameters!$G:$I,3,0)))</f>
        <v>33.703122499999999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2019.2781504</v>
      </c>
      <c r="I12" s="61"/>
      <c r="J12" s="126">
        <f>SUM(J10:J11)</f>
        <v>278.27815040000002</v>
      </c>
      <c r="K12" s="65"/>
      <c r="L12" s="126">
        <f>SUM(L10:L11)</f>
        <v>521.81835003500009</v>
      </c>
      <c r="M12" s="65"/>
      <c r="N12" s="65"/>
      <c r="O12" s="154">
        <f>SUM(O10:O11)</f>
        <v>5417.3835944879993</v>
      </c>
      <c r="P12" s="155">
        <f ca="1">SUM(P10:P11)</f>
        <v>5204.2972213830008</v>
      </c>
      <c r="Q12" s="156">
        <f t="shared" ca="1" si="0"/>
        <v>213.08637310499853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+SUMIF($F$24:$F$100,"External",$J$24:$J$100)</f>
        <v>3391.4023215879993</v>
      </c>
      <c r="K17" s="108">
        <f>+SUMIF($F$24:$F$100,"External",$K$24:$K$100)</f>
        <v>3391.4023215879993</v>
      </c>
      <c r="L17" s="109">
        <f>+SUMIF($F$24:$F$100,"External",$L$24:$L$100)</f>
        <v>0</v>
      </c>
      <c r="M17" s="110"/>
      <c r="N17" s="111">
        <f t="shared" ref="N17:Y17" si="1">+SUMIF($F$24:$F$100,"External",N$24:N$100)</f>
        <v>0</v>
      </c>
      <c r="O17" s="111">
        <f t="shared" si="1"/>
        <v>0</v>
      </c>
      <c r="P17" s="111">
        <f t="shared" si="1"/>
        <v>0</v>
      </c>
      <c r="Q17" s="111">
        <f t="shared" si="1"/>
        <v>243.54019963500002</v>
      </c>
      <c r="R17" s="111">
        <f t="shared" si="1"/>
        <v>685.66505972799996</v>
      </c>
      <c r="S17" s="111">
        <f t="shared" si="1"/>
        <v>1132.0840648609999</v>
      </c>
      <c r="T17" s="111">
        <f t="shared" si="1"/>
        <v>886.56570519499996</v>
      </c>
      <c r="U17" s="111">
        <f t="shared" si="1"/>
        <v>25.710964894</v>
      </c>
      <c r="V17" s="111">
        <f t="shared" si="1"/>
        <v>299.96420974100005</v>
      </c>
      <c r="W17" s="111">
        <f t="shared" si="1"/>
        <v>5.0183849000000009</v>
      </c>
      <c r="X17" s="111">
        <f t="shared" si="1"/>
        <v>112.85373263399998</v>
      </c>
      <c r="Y17" s="111">
        <f t="shared" si="1"/>
        <v>0</v>
      </c>
      <c r="Z17" s="112"/>
      <c r="AA17" s="111">
        <f t="shared" ref="AA17:AL17" si="2">+SUMIF($F$24:$F$100,"External",AA$24:AA$100)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+SUMIF($F$24:$F$100,"Group",$J$24:$J$100)</f>
        <v>6.703122500000001</v>
      </c>
      <c r="K18" s="113">
        <f>+SUMIF($F$24:$F$100,"Group",$K$24:$K$100)</f>
        <v>6.703122500000001</v>
      </c>
      <c r="L18" s="114">
        <f>SUMIF($F$24:$F$100,"Group",$L$24:$L$100)</f>
        <v>0</v>
      </c>
      <c r="M18" s="110"/>
      <c r="N18" s="114">
        <f t="shared" ref="N18:Y18" si="3">+SUMIF($F$24:$F$100,"Group",N$24:N$100)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6.703122500000001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+SUMIF($F$24:$F$100,"Group",AA$24:AA$100)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3398.1054440879993</v>
      </c>
      <c r="K19" s="115">
        <f>SUM(K17:K18)</f>
        <v>3398.1054440879993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243.54019963500002</v>
      </c>
      <c r="R19" s="116">
        <f t="shared" si="5"/>
        <v>692.36818222799991</v>
      </c>
      <c r="S19" s="116">
        <f t="shared" si="5"/>
        <v>1132.0840648609999</v>
      </c>
      <c r="T19" s="116">
        <f t="shared" si="5"/>
        <v>886.56570519499996</v>
      </c>
      <c r="U19" s="116">
        <f t="shared" si="5"/>
        <v>25.710964894</v>
      </c>
      <c r="V19" s="116">
        <f t="shared" si="5"/>
        <v>299.96420974100005</v>
      </c>
      <c r="W19" s="116">
        <f t="shared" si="5"/>
        <v>5.0183849000000009</v>
      </c>
      <c r="X19" s="116">
        <f t="shared" si="5"/>
        <v>112.85373263399998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IF(SUM(J24:J100)=J19,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 hidden="1">
      <c r="D24" s="151" t="s">
        <v>233</v>
      </c>
      <c r="E24" s="6" t="s">
        <v>467</v>
      </c>
      <c r="F24" s="7" t="s">
        <v>19</v>
      </c>
      <c r="G24" s="6" t="s">
        <v>237</v>
      </c>
      <c r="H24" s="187" t="s">
        <v>277</v>
      </c>
      <c r="I24" s="187" t="s">
        <v>466</v>
      </c>
      <c r="J24" s="118">
        <f t="shared" ref="J24" si="7">+K24+L24</f>
        <v>5.0559082999999996</v>
      </c>
      <c r="K24" s="119">
        <f t="shared" ref="K24" si="8">SUM(N24:Y24)</f>
        <v>5.0559082999999996</v>
      </c>
      <c r="L24" s="119">
        <f t="shared" ref="L24" si="9">SUM(AA24:AL24)</f>
        <v>0</v>
      </c>
      <c r="M24" s="23"/>
      <c r="N24" s="24"/>
      <c r="O24" s="24"/>
      <c r="P24" s="24"/>
      <c r="Q24" s="24">
        <v>5.0559082999999996</v>
      </c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 hidden="1">
      <c r="E25" s="6" t="s">
        <v>468</v>
      </c>
      <c r="F25" s="7" t="s">
        <v>19</v>
      </c>
      <c r="G25" s="6" t="s">
        <v>239</v>
      </c>
      <c r="H25" s="187" t="s">
        <v>278</v>
      </c>
      <c r="I25" s="187" t="s">
        <v>466</v>
      </c>
      <c r="J25" s="118">
        <f t="shared" ref="J25:J89" si="10">+K25+L25</f>
        <v>4.7944134859999998</v>
      </c>
      <c r="K25" s="119">
        <f t="shared" ref="K25:K89" si="11">SUM(N25:Y25)</f>
        <v>4.7944134859999998</v>
      </c>
      <c r="L25" s="119">
        <f t="shared" ref="L25:L89" si="12">SUM(AA25:AL25)</f>
        <v>0</v>
      </c>
      <c r="M25" s="23"/>
      <c r="N25" s="24"/>
      <c r="O25" s="24"/>
      <c r="P25" s="24"/>
      <c r="Q25" s="24"/>
      <c r="R25" s="24">
        <v>4.7944134859999998</v>
      </c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hidden="1" customHeight="1">
      <c r="E26" s="6" t="s">
        <v>491</v>
      </c>
      <c r="F26" s="7" t="s">
        <v>19</v>
      </c>
      <c r="G26" s="6" t="s">
        <v>239</v>
      </c>
      <c r="H26" s="187" t="s">
        <v>278</v>
      </c>
      <c r="I26" s="187" t="s">
        <v>466</v>
      </c>
      <c r="J26" s="118">
        <f t="shared" si="10"/>
        <v>4.1713155999999998</v>
      </c>
      <c r="K26" s="119">
        <f t="shared" si="11"/>
        <v>4.1713155999999998</v>
      </c>
      <c r="L26" s="119">
        <f t="shared" si="12"/>
        <v>0</v>
      </c>
      <c r="M26" s="23"/>
      <c r="N26" s="24"/>
      <c r="O26" s="24"/>
      <c r="P26" s="24"/>
      <c r="Q26" s="24">
        <v>4.1713155999999998</v>
      </c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 hidden="1">
      <c r="E27" s="6" t="s">
        <v>492</v>
      </c>
      <c r="F27" s="7" t="s">
        <v>19</v>
      </c>
      <c r="G27" s="6" t="s">
        <v>239</v>
      </c>
      <c r="H27" s="187" t="s">
        <v>278</v>
      </c>
      <c r="I27" s="187" t="s">
        <v>466</v>
      </c>
      <c r="J27" s="118">
        <f t="shared" si="10"/>
        <v>1.6548602190000001</v>
      </c>
      <c r="K27" s="119">
        <f t="shared" si="11"/>
        <v>1.6548602190000001</v>
      </c>
      <c r="L27" s="119">
        <f t="shared" si="12"/>
        <v>0</v>
      </c>
      <c r="M27" s="23"/>
      <c r="N27" s="24"/>
      <c r="O27" s="24"/>
      <c r="P27" s="24"/>
      <c r="Q27" s="24"/>
      <c r="R27" s="24">
        <v>1.6548602190000001</v>
      </c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 hidden="1">
      <c r="E28" s="6" t="s">
        <v>469</v>
      </c>
      <c r="F28" s="7" t="s">
        <v>19</v>
      </c>
      <c r="G28" s="6" t="s">
        <v>237</v>
      </c>
      <c r="H28" s="187" t="s">
        <v>277</v>
      </c>
      <c r="I28" s="187" t="s">
        <v>466</v>
      </c>
      <c r="J28" s="118">
        <f t="shared" si="10"/>
        <v>8.2520863759999994</v>
      </c>
      <c r="K28" s="119">
        <f t="shared" si="11"/>
        <v>8.2520863759999994</v>
      </c>
      <c r="L28" s="119">
        <f t="shared" si="12"/>
        <v>0</v>
      </c>
      <c r="M28" s="23"/>
      <c r="N28" s="24"/>
      <c r="O28" s="24"/>
      <c r="P28" s="24"/>
      <c r="Q28" s="24"/>
      <c r="R28" s="24">
        <v>8.2520863759999994</v>
      </c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 hidden="1">
      <c r="E29" s="6" t="s">
        <v>470</v>
      </c>
      <c r="F29" s="7" t="s">
        <v>19</v>
      </c>
      <c r="G29" s="6" t="s">
        <v>471</v>
      </c>
      <c r="H29" s="187" t="s">
        <v>280</v>
      </c>
      <c r="I29" s="187" t="s">
        <v>472</v>
      </c>
      <c r="J29" s="118">
        <f t="shared" si="10"/>
        <v>193.32546404600001</v>
      </c>
      <c r="K29" s="119">
        <f t="shared" si="11"/>
        <v>193.32546404600001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>
        <v>114.94815476300001</v>
      </c>
      <c r="T29" s="24">
        <v>52.666344389000002</v>
      </c>
      <c r="U29" s="24">
        <v>25.710964894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 hidden="1">
      <c r="E30" s="6" t="s">
        <v>281</v>
      </c>
      <c r="F30" s="7" t="s">
        <v>19</v>
      </c>
      <c r="G30" s="6" t="s">
        <v>282</v>
      </c>
      <c r="H30" s="187" t="s">
        <v>283</v>
      </c>
      <c r="I30" s="187" t="s">
        <v>472</v>
      </c>
      <c r="J30" s="118">
        <f t="shared" si="10"/>
        <v>23.816704992999998</v>
      </c>
      <c r="K30" s="119">
        <f t="shared" si="11"/>
        <v>23.816704992999998</v>
      </c>
      <c r="L30" s="119">
        <f t="shared" si="12"/>
        <v>0</v>
      </c>
      <c r="M30" s="23"/>
      <c r="N30" s="24"/>
      <c r="O30" s="24"/>
      <c r="P30" s="24"/>
      <c r="Q30" s="24"/>
      <c r="R30" s="24">
        <v>0.52151288699999998</v>
      </c>
      <c r="S30" s="24"/>
      <c r="T30" s="24"/>
      <c r="U30" s="24"/>
      <c r="V30" s="24"/>
      <c r="W30" s="24"/>
      <c r="X30" s="24">
        <v>23.295192105999998</v>
      </c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 hidden="1">
      <c r="E31" s="6" t="s">
        <v>446</v>
      </c>
      <c r="F31" s="7" t="s">
        <v>19</v>
      </c>
      <c r="G31" s="6" t="s">
        <v>284</v>
      </c>
      <c r="H31" s="187" t="s">
        <v>286</v>
      </c>
      <c r="I31" s="187" t="s">
        <v>472</v>
      </c>
      <c r="J31" s="118">
        <f t="shared" si="10"/>
        <v>2.6647181620000002</v>
      </c>
      <c r="K31" s="119">
        <f t="shared" si="11"/>
        <v>2.6647181620000002</v>
      </c>
      <c r="L31" s="119">
        <f t="shared" si="12"/>
        <v>0</v>
      </c>
      <c r="M31" s="23"/>
      <c r="N31" s="24"/>
      <c r="O31" s="24"/>
      <c r="P31" s="24"/>
      <c r="Q31" s="24">
        <v>1.682731462</v>
      </c>
      <c r="R31" s="24">
        <v>0.9819867000000001</v>
      </c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 hidden="1">
      <c r="E32" s="6" t="s">
        <v>446</v>
      </c>
      <c r="F32" s="7" t="s">
        <v>19</v>
      </c>
      <c r="G32" s="6" t="s">
        <v>493</v>
      </c>
      <c r="H32" s="187" t="s">
        <v>339</v>
      </c>
      <c r="I32" s="187" t="s">
        <v>472</v>
      </c>
      <c r="J32" s="118">
        <f t="shared" si="10"/>
        <v>4.3026725169999995</v>
      </c>
      <c r="K32" s="119">
        <f t="shared" si="11"/>
        <v>4.3026725169999995</v>
      </c>
      <c r="L32" s="119">
        <f t="shared" si="12"/>
        <v>0</v>
      </c>
      <c r="M32" s="15"/>
      <c r="N32" s="24"/>
      <c r="O32" s="24"/>
      <c r="P32" s="24"/>
      <c r="Q32" s="24">
        <v>2.6287652619999999</v>
      </c>
      <c r="R32" s="24">
        <v>1.673907255</v>
      </c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 hidden="1">
      <c r="E33" s="6" t="s">
        <v>473</v>
      </c>
      <c r="F33" s="7" t="s">
        <v>17</v>
      </c>
      <c r="G33" s="6" t="s">
        <v>284</v>
      </c>
      <c r="H33" s="187" t="s">
        <v>286</v>
      </c>
      <c r="I33" s="187" t="s">
        <v>472</v>
      </c>
      <c r="J33" s="118">
        <f t="shared" si="10"/>
        <v>6.703122500000001</v>
      </c>
      <c r="K33" s="119">
        <f t="shared" si="11"/>
        <v>6.703122500000001</v>
      </c>
      <c r="L33" s="119">
        <f t="shared" si="12"/>
        <v>0</v>
      </c>
      <c r="M33" s="15"/>
      <c r="N33" s="24"/>
      <c r="O33" s="24"/>
      <c r="P33" s="24"/>
      <c r="Q33" s="24">
        <v>0</v>
      </c>
      <c r="R33" s="24">
        <v>6.703122500000001</v>
      </c>
      <c r="S33" s="24"/>
      <c r="T33" s="24"/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 hidden="1">
      <c r="E34" s="6" t="s">
        <v>474</v>
      </c>
      <c r="F34" s="7" t="s">
        <v>19</v>
      </c>
      <c r="G34" s="6" t="s">
        <v>471</v>
      </c>
      <c r="H34" s="187" t="s">
        <v>280</v>
      </c>
      <c r="I34" s="187" t="s">
        <v>472</v>
      </c>
      <c r="J34" s="118">
        <f t="shared" si="10"/>
        <v>114.986673357</v>
      </c>
      <c r="K34" s="119">
        <f t="shared" si="11"/>
        <v>114.986673357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>
        <v>114.986673357</v>
      </c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 hidden="1">
      <c r="E35" s="6" t="s">
        <v>475</v>
      </c>
      <c r="F35" s="7" t="s">
        <v>19</v>
      </c>
      <c r="G35" s="6" t="s">
        <v>245</v>
      </c>
      <c r="H35" s="187" t="s">
        <v>288</v>
      </c>
      <c r="I35" s="187" t="s">
        <v>466</v>
      </c>
      <c r="J35" s="118">
        <f t="shared" si="10"/>
        <v>11.451385918</v>
      </c>
      <c r="K35" s="119">
        <f t="shared" si="11"/>
        <v>11.451385918</v>
      </c>
      <c r="L35" s="119">
        <f t="shared" si="12"/>
        <v>0</v>
      </c>
      <c r="M35" s="15"/>
      <c r="N35" s="24"/>
      <c r="O35" s="24"/>
      <c r="P35" s="24"/>
      <c r="Q35" s="24"/>
      <c r="R35" s="24">
        <v>11.451385918</v>
      </c>
      <c r="S35" s="24"/>
      <c r="T35" s="24"/>
      <c r="U35" s="24"/>
      <c r="V35" s="24"/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 hidden="1">
      <c r="E36" s="6" t="s">
        <v>476</v>
      </c>
      <c r="F36" s="7" t="s">
        <v>19</v>
      </c>
      <c r="G36" s="6" t="s">
        <v>447</v>
      </c>
      <c r="H36" s="187" t="s">
        <v>448</v>
      </c>
      <c r="I36" s="187" t="s">
        <v>466</v>
      </c>
      <c r="J36" s="118">
        <f t="shared" si="10"/>
        <v>135.916255815</v>
      </c>
      <c r="K36" s="119">
        <f t="shared" si="11"/>
        <v>135.916255815</v>
      </c>
      <c r="L36" s="119">
        <f t="shared" si="12"/>
        <v>0</v>
      </c>
      <c r="M36" s="15"/>
      <c r="N36" s="24"/>
      <c r="O36" s="24"/>
      <c r="P36" s="24"/>
      <c r="Q36" s="24">
        <v>24.059455515</v>
      </c>
      <c r="R36" s="24">
        <v>12.4989712</v>
      </c>
      <c r="S36" s="24"/>
      <c r="T36" s="24">
        <v>94.466470399999992</v>
      </c>
      <c r="U36" s="24"/>
      <c r="V36" s="24"/>
      <c r="W36" s="24">
        <v>4.8913587000000005</v>
      </c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 hidden="1">
      <c r="E37" s="6" t="s">
        <v>476</v>
      </c>
      <c r="F37" s="7" t="s">
        <v>19</v>
      </c>
      <c r="G37" s="6" t="s">
        <v>447</v>
      </c>
      <c r="H37" s="187" t="s">
        <v>448</v>
      </c>
      <c r="I37" s="187" t="s">
        <v>466</v>
      </c>
      <c r="J37" s="118">
        <f t="shared" si="10"/>
        <v>0.27692307700000002</v>
      </c>
      <c r="K37" s="119">
        <f t="shared" si="11"/>
        <v>0.27692307700000002</v>
      </c>
      <c r="L37" s="119">
        <f t="shared" si="12"/>
        <v>0</v>
      </c>
      <c r="M37" s="15"/>
      <c r="N37" s="24"/>
      <c r="O37" s="24"/>
      <c r="P37" s="24"/>
      <c r="Q37" s="24"/>
      <c r="R37" s="24">
        <v>0.27692307700000002</v>
      </c>
      <c r="S37" s="24"/>
      <c r="T37" s="24"/>
      <c r="U37" s="24"/>
      <c r="V37" s="24"/>
      <c r="W37" s="24"/>
      <c r="X37" s="24"/>
      <c r="Y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 hidden="1">
      <c r="E38" s="6" t="s">
        <v>476</v>
      </c>
      <c r="F38" s="7" t="s">
        <v>19</v>
      </c>
      <c r="G38" s="6" t="s">
        <v>247</v>
      </c>
      <c r="H38" s="187" t="s">
        <v>289</v>
      </c>
      <c r="I38" s="187" t="s">
        <v>466</v>
      </c>
      <c r="J38" s="118">
        <f t="shared" si="10"/>
        <v>134.38028843400002</v>
      </c>
      <c r="K38" s="119">
        <f t="shared" si="11"/>
        <v>134.38028843400002</v>
      </c>
      <c r="L38" s="119">
        <f t="shared" si="12"/>
        <v>0</v>
      </c>
      <c r="M38" s="15"/>
      <c r="N38" s="24"/>
      <c r="O38" s="24"/>
      <c r="P38" s="24"/>
      <c r="Q38" s="24">
        <v>12.897068434000003</v>
      </c>
      <c r="R38" s="24"/>
      <c r="S38" s="24"/>
      <c r="T38" s="24">
        <v>121.48322000000002</v>
      </c>
      <c r="U38" s="24"/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 hidden="1">
      <c r="E39" s="6" t="s">
        <v>476</v>
      </c>
      <c r="F39" s="7" t="s">
        <v>19</v>
      </c>
      <c r="G39" s="6" t="s">
        <v>248</v>
      </c>
      <c r="H39" s="187" t="s">
        <v>290</v>
      </c>
      <c r="I39" s="187" t="s">
        <v>466</v>
      </c>
      <c r="J39" s="118">
        <f t="shared" si="10"/>
        <v>5.8217363960000013</v>
      </c>
      <c r="K39" s="119">
        <f t="shared" si="11"/>
        <v>5.8217363960000013</v>
      </c>
      <c r="L39" s="119">
        <f t="shared" si="12"/>
        <v>0</v>
      </c>
      <c r="M39" s="15"/>
      <c r="N39" s="24"/>
      <c r="O39" s="24"/>
      <c r="P39" s="24"/>
      <c r="Q39" s="24">
        <v>8.1654199999999996E-2</v>
      </c>
      <c r="R39" s="24"/>
      <c r="S39" s="24">
        <v>5.7400821960000012</v>
      </c>
      <c r="T39" s="24"/>
      <c r="U39" s="24"/>
      <c r="V39" s="24"/>
      <c r="W39" s="24"/>
      <c r="X39" s="24"/>
      <c r="Y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 hidden="1">
      <c r="E40" s="6" t="s">
        <v>476</v>
      </c>
      <c r="F40" s="7" t="s">
        <v>19</v>
      </c>
      <c r="G40" s="6" t="s">
        <v>249</v>
      </c>
      <c r="H40" s="187" t="s">
        <v>291</v>
      </c>
      <c r="I40" s="187" t="s">
        <v>466</v>
      </c>
      <c r="J40" s="118">
        <f t="shared" si="10"/>
        <v>119.18719071</v>
      </c>
      <c r="K40" s="119">
        <f t="shared" si="11"/>
        <v>119.18719071</v>
      </c>
      <c r="L40" s="119">
        <f t="shared" si="12"/>
        <v>0</v>
      </c>
      <c r="M40" s="15"/>
      <c r="N40" s="24"/>
      <c r="O40" s="24"/>
      <c r="P40" s="24"/>
      <c r="Q40" s="24"/>
      <c r="R40" s="24">
        <v>20.551760709999996</v>
      </c>
      <c r="S40" s="24"/>
      <c r="T40" s="24">
        <v>98.635429999999999</v>
      </c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 hidden="1">
      <c r="E41" s="6" t="s">
        <v>476</v>
      </c>
      <c r="F41" s="7" t="s">
        <v>19</v>
      </c>
      <c r="G41" s="6" t="s">
        <v>378</v>
      </c>
      <c r="H41" s="187" t="s">
        <v>290</v>
      </c>
      <c r="I41" s="187" t="s">
        <v>466</v>
      </c>
      <c r="J41" s="118">
        <f t="shared" si="10"/>
        <v>0.5</v>
      </c>
      <c r="K41" s="119">
        <f t="shared" si="11"/>
        <v>0.5</v>
      </c>
      <c r="L41" s="119">
        <f t="shared" si="12"/>
        <v>0</v>
      </c>
      <c r="M41" s="15"/>
      <c r="N41" s="24"/>
      <c r="O41" s="24"/>
      <c r="P41" s="24"/>
      <c r="Q41" s="24">
        <v>0.5</v>
      </c>
      <c r="R41" s="24"/>
      <c r="S41" s="24"/>
      <c r="T41" s="24"/>
      <c r="U41" s="24"/>
      <c r="V41" s="24"/>
      <c r="W41" s="24"/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 hidden="1">
      <c r="E42" s="6" t="s">
        <v>476</v>
      </c>
      <c r="F42" s="7" t="s">
        <v>19</v>
      </c>
      <c r="G42" s="6" t="s">
        <v>454</v>
      </c>
      <c r="H42" s="187" t="s">
        <v>292</v>
      </c>
      <c r="I42" s="187" t="s">
        <v>466</v>
      </c>
      <c r="J42" s="118">
        <f t="shared" si="10"/>
        <v>92.845854627000023</v>
      </c>
      <c r="K42" s="119">
        <f t="shared" si="11"/>
        <v>92.845854627000023</v>
      </c>
      <c r="L42" s="119">
        <f t="shared" si="12"/>
        <v>0</v>
      </c>
      <c r="M42" s="15"/>
      <c r="N42" s="24"/>
      <c r="O42" s="24"/>
      <c r="P42" s="24"/>
      <c r="Q42" s="24">
        <v>22.130405227000018</v>
      </c>
      <c r="R42" s="24">
        <v>0.38766880000000004</v>
      </c>
      <c r="S42" s="24"/>
      <c r="T42" s="24">
        <v>70.327780600000011</v>
      </c>
      <c r="U42" s="24"/>
      <c r="V42" s="24"/>
      <c r="W42" s="24"/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 hidden="1">
      <c r="E43" s="6" t="s">
        <v>476</v>
      </c>
      <c r="F43" s="7" t="s">
        <v>19</v>
      </c>
      <c r="G43" s="6" t="s">
        <v>293</v>
      </c>
      <c r="H43" s="187" t="s">
        <v>294</v>
      </c>
      <c r="I43" s="187" t="s">
        <v>466</v>
      </c>
      <c r="J43" s="118">
        <f t="shared" si="10"/>
        <v>89.484995584000004</v>
      </c>
      <c r="K43" s="119">
        <f t="shared" si="11"/>
        <v>89.484995584000004</v>
      </c>
      <c r="L43" s="119">
        <f t="shared" si="12"/>
        <v>0</v>
      </c>
      <c r="M43" s="15"/>
      <c r="N43" s="24"/>
      <c r="O43" s="24"/>
      <c r="P43" s="24"/>
      <c r="Q43" s="24">
        <v>3.6320873839999992</v>
      </c>
      <c r="R43" s="24"/>
      <c r="S43" s="24"/>
      <c r="T43" s="24">
        <v>85.852908200000002</v>
      </c>
      <c r="U43" s="24"/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 hidden="1">
      <c r="E44" s="6" t="s">
        <v>476</v>
      </c>
      <c r="F44" s="7" t="s">
        <v>19</v>
      </c>
      <c r="G44" s="6" t="s">
        <v>251</v>
      </c>
      <c r="H44" s="187" t="s">
        <v>290</v>
      </c>
      <c r="I44" s="187" t="s">
        <v>466</v>
      </c>
      <c r="J44" s="118">
        <f t="shared" si="10"/>
        <v>1.50702</v>
      </c>
      <c r="K44" s="119">
        <f t="shared" si="11"/>
        <v>1.50702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>
        <v>1.50702</v>
      </c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 hidden="1">
      <c r="E45" s="6" t="s">
        <v>476</v>
      </c>
      <c r="F45" s="7" t="s">
        <v>19</v>
      </c>
      <c r="G45" s="6" t="s">
        <v>252</v>
      </c>
      <c r="H45" s="187" t="s">
        <v>295</v>
      </c>
      <c r="I45" s="187" t="s">
        <v>466</v>
      </c>
      <c r="J45" s="118">
        <f t="shared" si="10"/>
        <v>29.302749232000004</v>
      </c>
      <c r="K45" s="119">
        <f t="shared" si="11"/>
        <v>29.302749232000004</v>
      </c>
      <c r="L45" s="119">
        <f t="shared" si="12"/>
        <v>0</v>
      </c>
      <c r="M45" s="15"/>
      <c r="N45" s="24"/>
      <c r="O45" s="24"/>
      <c r="P45" s="24"/>
      <c r="Q45" s="24">
        <v>28.397245432000005</v>
      </c>
      <c r="R45" s="24">
        <v>0</v>
      </c>
      <c r="S45" s="24"/>
      <c r="T45" s="24">
        <v>0.77847759999999999</v>
      </c>
      <c r="U45" s="24"/>
      <c r="V45" s="24"/>
      <c r="W45" s="24">
        <v>0.12702620000000001</v>
      </c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 hidden="1">
      <c r="E46" s="6" t="s">
        <v>476</v>
      </c>
      <c r="F46" s="7" t="s">
        <v>19</v>
      </c>
      <c r="G46" s="6" t="s">
        <v>245</v>
      </c>
      <c r="H46" s="187" t="s">
        <v>288</v>
      </c>
      <c r="I46" s="187" t="s">
        <v>466</v>
      </c>
      <c r="J46" s="118">
        <f t="shared" si="10"/>
        <v>46.718283199999988</v>
      </c>
      <c r="K46" s="119">
        <f t="shared" si="11"/>
        <v>46.718283199999988</v>
      </c>
      <c r="L46" s="119">
        <f t="shared" si="12"/>
        <v>0</v>
      </c>
      <c r="M46" s="15"/>
      <c r="N46" s="24"/>
      <c r="O46" s="24"/>
      <c r="P46" s="24"/>
      <c r="Q46" s="24">
        <v>2.9896503000000001</v>
      </c>
      <c r="R46" s="24">
        <v>3.024877</v>
      </c>
      <c r="S46" s="24"/>
      <c r="T46" s="24">
        <v>40.70375589999999</v>
      </c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 hidden="1">
      <c r="E47" s="6" t="s">
        <v>253</v>
      </c>
      <c r="F47" s="7" t="s">
        <v>19</v>
      </c>
      <c r="G47" s="6" t="s">
        <v>359</v>
      </c>
      <c r="H47" s="187" t="s">
        <v>296</v>
      </c>
      <c r="I47" s="187" t="s">
        <v>466</v>
      </c>
      <c r="J47" s="118">
        <f t="shared" si="10"/>
        <v>1.2970143060000001</v>
      </c>
      <c r="K47" s="119">
        <f t="shared" si="11"/>
        <v>1.2970143060000001</v>
      </c>
      <c r="L47" s="119">
        <f t="shared" si="12"/>
        <v>0</v>
      </c>
      <c r="M47" s="15"/>
      <c r="N47" s="24"/>
      <c r="O47" s="24"/>
      <c r="P47" s="24"/>
      <c r="Q47" s="24">
        <v>1.2970143060000001</v>
      </c>
      <c r="R47" s="24"/>
      <c r="S47" s="24"/>
      <c r="T47" s="24"/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 hidden="1">
      <c r="E48" s="6" t="s">
        <v>477</v>
      </c>
      <c r="F48" s="7" t="s">
        <v>19</v>
      </c>
      <c r="G48" s="6" t="s">
        <v>454</v>
      </c>
      <c r="H48" s="187" t="s">
        <v>292</v>
      </c>
      <c r="I48" s="187" t="s">
        <v>466</v>
      </c>
      <c r="J48" s="118">
        <f t="shared" si="10"/>
        <v>10.006058019999999</v>
      </c>
      <c r="K48" s="119">
        <f t="shared" si="11"/>
        <v>10.006058019999999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>
        <v>10.006058019999999</v>
      </c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 hidden="1">
      <c r="E49" s="6" t="s">
        <v>478</v>
      </c>
      <c r="F49" s="7" t="s">
        <v>19</v>
      </c>
      <c r="G49" s="6" t="s">
        <v>245</v>
      </c>
      <c r="H49" s="187" t="s">
        <v>288</v>
      </c>
      <c r="I49" s="187" t="s">
        <v>466</v>
      </c>
      <c r="J49" s="118">
        <f t="shared" si="10"/>
        <v>57.256929589999999</v>
      </c>
      <c r="K49" s="119">
        <f t="shared" si="11"/>
        <v>57.256929589999999</v>
      </c>
      <c r="L49" s="119">
        <f t="shared" si="12"/>
        <v>0</v>
      </c>
      <c r="M49" s="15"/>
      <c r="N49" s="24"/>
      <c r="O49" s="24"/>
      <c r="P49" s="24"/>
      <c r="Q49" s="24"/>
      <c r="R49" s="24">
        <v>57.256929589999999</v>
      </c>
      <c r="S49" s="24"/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 hidden="1">
      <c r="E50" s="6" t="s">
        <v>414</v>
      </c>
      <c r="F50" s="7" t="s">
        <v>19</v>
      </c>
      <c r="G50" s="6" t="s">
        <v>245</v>
      </c>
      <c r="H50" s="187" t="s">
        <v>288</v>
      </c>
      <c r="I50" s="187" t="s">
        <v>466</v>
      </c>
      <c r="J50" s="118">
        <f t="shared" si="10"/>
        <v>80.159701425999998</v>
      </c>
      <c r="K50" s="119">
        <f t="shared" si="11"/>
        <v>80.159701425999998</v>
      </c>
      <c r="L50" s="119">
        <f t="shared" si="12"/>
        <v>0</v>
      </c>
      <c r="M50" s="15"/>
      <c r="N50" s="24"/>
      <c r="O50" s="24"/>
      <c r="P50" s="24"/>
      <c r="Q50" s="24"/>
      <c r="R50" s="24">
        <v>80.159701425999998</v>
      </c>
      <c r="S50" s="24"/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 hidden="1">
      <c r="E51" s="6" t="s">
        <v>417</v>
      </c>
      <c r="F51" s="7" t="s">
        <v>19</v>
      </c>
      <c r="G51" s="6" t="s">
        <v>458</v>
      </c>
      <c r="H51" s="187" t="s">
        <v>305</v>
      </c>
      <c r="I51" s="187" t="s">
        <v>472</v>
      </c>
      <c r="J51" s="118">
        <f t="shared" si="10"/>
        <v>19.768845337000002</v>
      </c>
      <c r="K51" s="119">
        <f t="shared" si="11"/>
        <v>19.768845337000002</v>
      </c>
      <c r="L51" s="119">
        <f t="shared" si="12"/>
        <v>0</v>
      </c>
      <c r="M51" s="15"/>
      <c r="N51" s="24"/>
      <c r="O51" s="24"/>
      <c r="P51" s="24"/>
      <c r="Q51" s="24"/>
      <c r="R51" s="24">
        <v>19.768845337000002</v>
      </c>
      <c r="S51" s="24"/>
      <c r="T51" s="24"/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 hidden="1">
      <c r="E52" s="6" t="s">
        <v>479</v>
      </c>
      <c r="F52" s="7" t="s">
        <v>19</v>
      </c>
      <c r="G52" s="6" t="s">
        <v>494</v>
      </c>
      <c r="H52" s="187" t="s">
        <v>299</v>
      </c>
      <c r="I52" s="187" t="s">
        <v>466</v>
      </c>
      <c r="J52" s="118">
        <f t="shared" si="10"/>
        <v>19.434423315</v>
      </c>
      <c r="K52" s="119">
        <f t="shared" si="11"/>
        <v>19.434423315</v>
      </c>
      <c r="L52" s="119">
        <f t="shared" si="12"/>
        <v>0</v>
      </c>
      <c r="M52" s="15"/>
      <c r="N52" s="24"/>
      <c r="O52" s="24"/>
      <c r="P52" s="24"/>
      <c r="Q52" s="24">
        <v>1.262758737</v>
      </c>
      <c r="R52" s="24">
        <v>18.171664578000001</v>
      </c>
      <c r="S52" s="24"/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457</v>
      </c>
      <c r="F53" s="7" t="s">
        <v>19</v>
      </c>
      <c r="G53" s="6" t="s">
        <v>374</v>
      </c>
      <c r="H53" s="187" t="s">
        <v>317</v>
      </c>
      <c r="I53" s="187" t="s">
        <v>466</v>
      </c>
      <c r="J53" s="118">
        <f t="shared" si="10"/>
        <v>77.241470100000001</v>
      </c>
      <c r="K53" s="119">
        <f t="shared" si="11"/>
        <v>77.241470100000001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>
        <v>77.241470100000001</v>
      </c>
      <c r="T53" s="24"/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 hidden="1">
      <c r="E54" s="6" t="s">
        <v>457</v>
      </c>
      <c r="F54" s="7" t="s">
        <v>19</v>
      </c>
      <c r="G54" s="6" t="s">
        <v>495</v>
      </c>
      <c r="H54" s="187" t="s">
        <v>319</v>
      </c>
      <c r="I54" s="187" t="s">
        <v>472</v>
      </c>
      <c r="J54" s="118">
        <f t="shared" si="10"/>
        <v>120</v>
      </c>
      <c r="K54" s="119">
        <f t="shared" si="11"/>
        <v>120</v>
      </c>
      <c r="L54" s="119">
        <f t="shared" si="12"/>
        <v>0</v>
      </c>
      <c r="M54" s="15"/>
      <c r="N54" s="24"/>
      <c r="O54" s="24"/>
      <c r="P54" s="24"/>
      <c r="Q54" s="24"/>
      <c r="R54" s="24">
        <v>120</v>
      </c>
      <c r="S54" s="24"/>
      <c r="T54" s="24"/>
      <c r="U54" s="24"/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 hidden="1">
      <c r="E55" s="6" t="s">
        <v>450</v>
      </c>
      <c r="F55" s="7" t="s">
        <v>19</v>
      </c>
      <c r="G55" s="6" t="s">
        <v>282</v>
      </c>
      <c r="H55" s="187" t="s">
        <v>283</v>
      </c>
      <c r="I55" s="187" t="s">
        <v>466</v>
      </c>
      <c r="J55" s="118">
        <f t="shared" si="10"/>
        <v>0.93894539999999993</v>
      </c>
      <c r="K55" s="119">
        <f t="shared" si="11"/>
        <v>0.93894539999999993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>
        <v>0.93894539999999993</v>
      </c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 hidden="1">
      <c r="E56" s="6" t="s">
        <v>450</v>
      </c>
      <c r="F56" s="7" t="s">
        <v>19</v>
      </c>
      <c r="G56" s="6" t="s">
        <v>458</v>
      </c>
      <c r="H56" s="187" t="s">
        <v>305</v>
      </c>
      <c r="I56" s="187" t="s">
        <v>466</v>
      </c>
      <c r="J56" s="118">
        <f t="shared" si="10"/>
        <v>4.4249754340000012</v>
      </c>
      <c r="K56" s="119">
        <f t="shared" si="11"/>
        <v>4.4249754340000012</v>
      </c>
      <c r="L56" s="119">
        <f t="shared" si="12"/>
        <v>0</v>
      </c>
      <c r="M56" s="15"/>
      <c r="N56" s="24"/>
      <c r="O56" s="24"/>
      <c r="P56" s="24"/>
      <c r="Q56" s="24">
        <v>4.4249754340000012</v>
      </c>
      <c r="R56" s="24"/>
      <c r="S56" s="24"/>
      <c r="T56" s="24"/>
      <c r="U56" s="24"/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 hidden="1">
      <c r="E57" s="6" t="s">
        <v>450</v>
      </c>
      <c r="F57" s="7" t="s">
        <v>19</v>
      </c>
      <c r="G57" s="6" t="s">
        <v>458</v>
      </c>
      <c r="H57" s="187" t="s">
        <v>305</v>
      </c>
      <c r="I57" s="187" t="s">
        <v>472</v>
      </c>
      <c r="J57" s="118">
        <f t="shared" si="10"/>
        <v>36.191128655999997</v>
      </c>
      <c r="K57" s="119">
        <f t="shared" si="11"/>
        <v>36.191128655999997</v>
      </c>
      <c r="L57" s="119">
        <f t="shared" si="12"/>
        <v>0</v>
      </c>
      <c r="M57" s="15"/>
      <c r="N57" s="24"/>
      <c r="O57" s="24"/>
      <c r="P57" s="24"/>
      <c r="Q57" s="24">
        <v>19.517362849999994</v>
      </c>
      <c r="R57" s="24">
        <v>16.673765806000002</v>
      </c>
      <c r="S57" s="24"/>
      <c r="T57" s="24"/>
      <c r="U57" s="24"/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 hidden="1">
      <c r="E58" s="6" t="s">
        <v>450</v>
      </c>
      <c r="F58" s="7" t="s">
        <v>19</v>
      </c>
      <c r="G58" s="6" t="s">
        <v>256</v>
      </c>
      <c r="H58" s="187" t="s">
        <v>303</v>
      </c>
      <c r="I58" s="187" t="s">
        <v>466</v>
      </c>
      <c r="J58" s="118">
        <f t="shared" si="10"/>
        <v>37.653073534000001</v>
      </c>
      <c r="K58" s="119">
        <f t="shared" si="11"/>
        <v>37.653073534000001</v>
      </c>
      <c r="L58" s="119">
        <f t="shared" si="12"/>
        <v>0</v>
      </c>
      <c r="M58" s="15"/>
      <c r="N58" s="24"/>
      <c r="O58" s="24"/>
      <c r="P58" s="24"/>
      <c r="Q58" s="24">
        <v>29.92829776</v>
      </c>
      <c r="R58" s="24">
        <v>7.7247757739999985</v>
      </c>
      <c r="S58" s="24"/>
      <c r="T58" s="24"/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 hidden="1">
      <c r="E59" s="6" t="s">
        <v>496</v>
      </c>
      <c r="F59" s="7" t="s">
        <v>19</v>
      </c>
      <c r="G59" s="6" t="s">
        <v>458</v>
      </c>
      <c r="H59" s="187" t="s">
        <v>305</v>
      </c>
      <c r="I59" s="187" t="s">
        <v>472</v>
      </c>
      <c r="J59" s="118">
        <f t="shared" si="10"/>
        <v>11.3557887</v>
      </c>
      <c r="K59" s="119">
        <f t="shared" si="11"/>
        <v>11.3557887</v>
      </c>
      <c r="L59" s="119">
        <f t="shared" si="12"/>
        <v>0</v>
      </c>
      <c r="M59" s="15"/>
      <c r="N59" s="24"/>
      <c r="O59" s="24"/>
      <c r="P59" s="24"/>
      <c r="Q59" s="24"/>
      <c r="R59" s="24">
        <v>11.3557887</v>
      </c>
      <c r="S59" s="24"/>
      <c r="T59" s="24"/>
      <c r="U59" s="24"/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 hidden="1">
      <c r="E60" s="6" t="s">
        <v>496</v>
      </c>
      <c r="F60" s="7" t="s">
        <v>19</v>
      </c>
      <c r="G60" s="6" t="s">
        <v>256</v>
      </c>
      <c r="H60" s="187" t="s">
        <v>303</v>
      </c>
      <c r="I60" s="187" t="s">
        <v>466</v>
      </c>
      <c r="J60" s="118">
        <f t="shared" si="10"/>
        <v>37.960738421999999</v>
      </c>
      <c r="K60" s="119">
        <f t="shared" si="11"/>
        <v>37.960738421999999</v>
      </c>
      <c r="L60" s="119">
        <f t="shared" si="12"/>
        <v>0</v>
      </c>
      <c r="M60" s="15"/>
      <c r="N60" s="24"/>
      <c r="O60" s="24"/>
      <c r="P60" s="24"/>
      <c r="Q60" s="24">
        <v>31.109611311000002</v>
      </c>
      <c r="R60" s="24">
        <v>6.8511271109999994</v>
      </c>
      <c r="S60" s="24"/>
      <c r="T60" s="24"/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 hidden="1">
      <c r="E61" s="6" t="s">
        <v>497</v>
      </c>
      <c r="F61" s="7" t="s">
        <v>19</v>
      </c>
      <c r="G61" s="6" t="s">
        <v>256</v>
      </c>
      <c r="H61" s="187" t="s">
        <v>303</v>
      </c>
      <c r="I61" s="187" t="s">
        <v>466</v>
      </c>
      <c r="J61" s="118">
        <f t="shared" si="10"/>
        <v>30.777910495</v>
      </c>
      <c r="K61" s="119">
        <f t="shared" si="11"/>
        <v>30.777910495</v>
      </c>
      <c r="L61" s="119">
        <f t="shared" si="12"/>
        <v>0</v>
      </c>
      <c r="M61" s="15"/>
      <c r="N61" s="24"/>
      <c r="O61" s="24"/>
      <c r="P61" s="24"/>
      <c r="Q61" s="24">
        <v>22.691749094999999</v>
      </c>
      <c r="R61" s="24">
        <v>8.0861613999999999</v>
      </c>
      <c r="S61" s="24"/>
      <c r="T61" s="24"/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 hidden="1">
      <c r="E62" s="6" t="s">
        <v>441</v>
      </c>
      <c r="F62" s="7" t="s">
        <v>19</v>
      </c>
      <c r="G62" s="6" t="s">
        <v>441</v>
      </c>
      <c r="H62" s="187" t="s">
        <v>481</v>
      </c>
      <c r="I62" s="187" t="s">
        <v>466</v>
      </c>
      <c r="J62" s="118">
        <f t="shared" si="10"/>
        <v>697.84846073999995</v>
      </c>
      <c r="K62" s="119">
        <f t="shared" si="11"/>
        <v>697.84846073999995</v>
      </c>
      <c r="L62" s="119">
        <f t="shared" si="12"/>
        <v>0</v>
      </c>
      <c r="M62" s="15"/>
      <c r="N62" s="24"/>
      <c r="O62" s="24"/>
      <c r="P62" s="24"/>
      <c r="Q62" s="24"/>
      <c r="R62" s="24">
        <v>0</v>
      </c>
      <c r="S62" s="24">
        <v>697.84846073999995</v>
      </c>
      <c r="T62" s="24"/>
      <c r="U62" s="24"/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 hidden="1">
      <c r="E63" s="6" t="s">
        <v>482</v>
      </c>
      <c r="F63" s="7" t="s">
        <v>19</v>
      </c>
      <c r="G63" s="6" t="s">
        <v>258</v>
      </c>
      <c r="H63" s="187" t="s">
        <v>306</v>
      </c>
      <c r="I63" s="187" t="s">
        <v>466</v>
      </c>
      <c r="J63" s="118">
        <f t="shared" si="10"/>
        <v>6.75741528</v>
      </c>
      <c r="K63" s="119">
        <f t="shared" si="11"/>
        <v>6.75741528</v>
      </c>
      <c r="L63" s="119">
        <f t="shared" si="12"/>
        <v>0</v>
      </c>
      <c r="M63" s="15"/>
      <c r="N63" s="24"/>
      <c r="O63" s="24"/>
      <c r="P63" s="24"/>
      <c r="Q63" s="24">
        <v>2.1232692000000002</v>
      </c>
      <c r="R63" s="24">
        <v>4.6341460799999998</v>
      </c>
      <c r="S63" s="24"/>
      <c r="T63" s="24"/>
      <c r="U63" s="24"/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 hidden="1">
      <c r="E64" s="6" t="s">
        <v>483</v>
      </c>
      <c r="F64" s="7" t="s">
        <v>19</v>
      </c>
      <c r="G64" s="6" t="s">
        <v>258</v>
      </c>
      <c r="H64" s="187" t="s">
        <v>306</v>
      </c>
      <c r="I64" s="187" t="s">
        <v>466</v>
      </c>
      <c r="J64" s="118">
        <f t="shared" si="10"/>
        <v>23.937426840000001</v>
      </c>
      <c r="K64" s="119">
        <f t="shared" si="11"/>
        <v>23.937426840000001</v>
      </c>
      <c r="L64" s="119">
        <f t="shared" si="12"/>
        <v>0</v>
      </c>
      <c r="M64" s="15"/>
      <c r="N64" s="24"/>
      <c r="O64" s="24"/>
      <c r="P64" s="24"/>
      <c r="Q64" s="24">
        <v>9.1455506139999994</v>
      </c>
      <c r="R64" s="24">
        <v>14.791876226000001</v>
      </c>
      <c r="S64" s="24"/>
      <c r="T64" s="24"/>
      <c r="U64" s="24"/>
      <c r="V64" s="24"/>
      <c r="W64" s="24"/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 hidden="1">
      <c r="E65" s="6" t="s">
        <v>484</v>
      </c>
      <c r="F65" s="7" t="s">
        <v>19</v>
      </c>
      <c r="G65" s="6" t="s">
        <v>264</v>
      </c>
      <c r="H65" s="187" t="s">
        <v>310</v>
      </c>
      <c r="I65" s="187" t="s">
        <v>472</v>
      </c>
      <c r="J65" s="118">
        <f t="shared" si="10"/>
        <v>0.110184352</v>
      </c>
      <c r="K65" s="119">
        <f t="shared" si="11"/>
        <v>0.110184352</v>
      </c>
      <c r="L65" s="119">
        <f t="shared" si="12"/>
        <v>0</v>
      </c>
      <c r="M65" s="15"/>
      <c r="N65" s="24"/>
      <c r="O65" s="24"/>
      <c r="P65" s="24"/>
      <c r="Q65" s="24"/>
      <c r="R65" s="24"/>
      <c r="S65" s="24">
        <v>0.110184352</v>
      </c>
      <c r="T65" s="24"/>
      <c r="U65" s="24"/>
      <c r="V65" s="24"/>
      <c r="W65" s="24"/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 hidden="1">
      <c r="E66" s="6" t="s">
        <v>484</v>
      </c>
      <c r="F66" s="7" t="s">
        <v>19</v>
      </c>
      <c r="G66" s="6" t="s">
        <v>498</v>
      </c>
      <c r="H66" s="187" t="s">
        <v>311</v>
      </c>
      <c r="I66" s="187" t="s">
        <v>472</v>
      </c>
      <c r="J66" s="118">
        <f t="shared" si="10"/>
        <v>1.9566471000000001</v>
      </c>
      <c r="K66" s="119">
        <f t="shared" si="11"/>
        <v>1.9566471000000001</v>
      </c>
      <c r="L66" s="119">
        <f t="shared" si="12"/>
        <v>0</v>
      </c>
      <c r="Q66" s="24"/>
      <c r="R66" s="24"/>
      <c r="S66" s="24"/>
      <c r="T66" s="24"/>
      <c r="U66" s="24"/>
      <c r="V66" s="24"/>
      <c r="W66" s="24"/>
      <c r="X66" s="24">
        <v>1.9566471000000001</v>
      </c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 hidden="1">
      <c r="E67" s="6" t="s">
        <v>484</v>
      </c>
      <c r="F67" s="7" t="s">
        <v>19</v>
      </c>
      <c r="G67" s="6" t="s">
        <v>498</v>
      </c>
      <c r="H67" s="187" t="s">
        <v>311</v>
      </c>
      <c r="I67" s="187" t="s">
        <v>472</v>
      </c>
      <c r="J67" s="118">
        <f t="shared" si="10"/>
        <v>1.173521574</v>
      </c>
      <c r="K67" s="119">
        <f t="shared" si="11"/>
        <v>1.173521574</v>
      </c>
      <c r="L67" s="119">
        <f t="shared" si="12"/>
        <v>0</v>
      </c>
      <c r="Q67" s="24"/>
      <c r="R67" s="24"/>
      <c r="S67" s="24"/>
      <c r="T67" s="24"/>
      <c r="U67" s="24"/>
      <c r="V67" s="24"/>
      <c r="W67" s="24"/>
      <c r="X67" s="24">
        <v>1.173521574</v>
      </c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 hidden="1">
      <c r="E68" s="6" t="s">
        <v>484</v>
      </c>
      <c r="F68" s="7" t="s">
        <v>19</v>
      </c>
      <c r="G68" s="6" t="s">
        <v>458</v>
      </c>
      <c r="H68" s="187" t="s">
        <v>305</v>
      </c>
      <c r="I68" s="187" t="s">
        <v>472</v>
      </c>
      <c r="J68" s="118">
        <f t="shared" si="10"/>
        <v>5.7244681999999996</v>
      </c>
      <c r="K68" s="119">
        <f t="shared" si="11"/>
        <v>5.7244681999999996</v>
      </c>
      <c r="L68" s="119">
        <f t="shared" si="12"/>
        <v>0</v>
      </c>
      <c r="Q68" s="24"/>
      <c r="R68" s="24"/>
      <c r="S68" s="24"/>
      <c r="T68" s="24"/>
      <c r="U68" s="24"/>
      <c r="V68" s="24"/>
      <c r="W68" s="24"/>
      <c r="X68" s="24">
        <v>5.7244681999999996</v>
      </c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 hidden="1">
      <c r="E69" s="6" t="s">
        <v>484</v>
      </c>
      <c r="F69" s="7" t="s">
        <v>19</v>
      </c>
      <c r="G69" s="6" t="s">
        <v>458</v>
      </c>
      <c r="H69" s="187" t="s">
        <v>305</v>
      </c>
      <c r="I69" s="187" t="s">
        <v>472</v>
      </c>
      <c r="J69" s="118">
        <f t="shared" si="10"/>
        <v>51.321366421999997</v>
      </c>
      <c r="K69" s="119">
        <f t="shared" si="11"/>
        <v>51.321366421999997</v>
      </c>
      <c r="L69" s="119">
        <f t="shared" si="12"/>
        <v>0</v>
      </c>
      <c r="Q69" s="24"/>
      <c r="R69" s="24"/>
      <c r="S69" s="24"/>
      <c r="T69" s="24"/>
      <c r="U69" s="24"/>
      <c r="V69" s="24"/>
      <c r="W69" s="24"/>
      <c r="X69" s="24">
        <v>51.321366421999997</v>
      </c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 hidden="1">
      <c r="E70" s="6" t="s">
        <v>484</v>
      </c>
      <c r="F70" s="7" t="s">
        <v>19</v>
      </c>
      <c r="G70" s="6" t="s">
        <v>454</v>
      </c>
      <c r="H70" s="187" t="s">
        <v>292</v>
      </c>
      <c r="I70" s="187" t="s">
        <v>472</v>
      </c>
      <c r="J70" s="118">
        <f t="shared" si="10"/>
        <v>8.8069698540000001</v>
      </c>
      <c r="K70" s="119">
        <f t="shared" si="11"/>
        <v>8.8069698540000001</v>
      </c>
      <c r="L70" s="119">
        <f t="shared" si="12"/>
        <v>0</v>
      </c>
      <c r="Q70" s="24"/>
      <c r="R70" s="24">
        <v>8.8069698540000001</v>
      </c>
      <c r="S70" s="24"/>
      <c r="T70" s="24"/>
      <c r="U70" s="24"/>
      <c r="V70" s="24"/>
      <c r="W70" s="24"/>
      <c r="X70" s="24"/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 hidden="1">
      <c r="E71" s="6" t="s">
        <v>484</v>
      </c>
      <c r="F71" s="7" t="s">
        <v>19</v>
      </c>
      <c r="G71" s="6" t="s">
        <v>370</v>
      </c>
      <c r="H71" s="187" t="s">
        <v>308</v>
      </c>
      <c r="I71" s="187" t="s">
        <v>472</v>
      </c>
      <c r="J71" s="118">
        <f t="shared" si="10"/>
        <v>29.382537231999997</v>
      </c>
      <c r="K71" s="119">
        <f t="shared" si="11"/>
        <v>29.382537231999997</v>
      </c>
      <c r="L71" s="119">
        <f t="shared" si="12"/>
        <v>0</v>
      </c>
      <c r="Q71" s="24"/>
      <c r="R71" s="24"/>
      <c r="S71" s="24"/>
      <c r="T71" s="24"/>
      <c r="U71" s="24"/>
      <c r="V71" s="24"/>
      <c r="W71" s="24"/>
      <c r="X71" s="24">
        <v>29.382537231999997</v>
      </c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 hidden="1">
      <c r="E72" s="6" t="s">
        <v>451</v>
      </c>
      <c r="F72" s="7" t="s">
        <v>19</v>
      </c>
      <c r="G72" s="6" t="s">
        <v>261</v>
      </c>
      <c r="H72" s="187" t="s">
        <v>307</v>
      </c>
      <c r="I72" s="187" t="s">
        <v>466</v>
      </c>
      <c r="J72" s="118">
        <f t="shared" si="10"/>
        <v>47.918378925000006</v>
      </c>
      <c r="K72" s="119">
        <f t="shared" si="11"/>
        <v>47.918378925000006</v>
      </c>
      <c r="L72" s="119">
        <f t="shared" si="12"/>
        <v>0</v>
      </c>
      <c r="Q72" s="24"/>
      <c r="R72" s="24">
        <v>47.918378925000006</v>
      </c>
      <c r="S72" s="24"/>
      <c r="T72" s="24"/>
      <c r="U72" s="24"/>
      <c r="V72" s="24"/>
      <c r="W72" s="24"/>
      <c r="X72" s="24"/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 hidden="1">
      <c r="E73" s="6" t="s">
        <v>451</v>
      </c>
      <c r="F73" s="7" t="s">
        <v>19</v>
      </c>
      <c r="G73" s="6" t="s">
        <v>261</v>
      </c>
      <c r="H73" s="187" t="s">
        <v>307</v>
      </c>
      <c r="I73" s="187" t="s">
        <v>472</v>
      </c>
      <c r="J73" s="118">
        <f t="shared" si="10"/>
        <v>22.184576131</v>
      </c>
      <c r="K73" s="119">
        <f t="shared" si="11"/>
        <v>22.184576131</v>
      </c>
      <c r="L73" s="119">
        <f t="shared" si="12"/>
        <v>0</v>
      </c>
      <c r="Q73" s="24">
        <v>0</v>
      </c>
      <c r="R73" s="24">
        <v>0</v>
      </c>
      <c r="S73" s="24">
        <v>22.184576131</v>
      </c>
      <c r="T73" s="24"/>
      <c r="U73" s="24"/>
      <c r="V73" s="24"/>
      <c r="W73" s="24"/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 hidden="1">
      <c r="E74" s="6" t="s">
        <v>451</v>
      </c>
      <c r="F74" s="7" t="s">
        <v>19</v>
      </c>
      <c r="G74" s="6" t="s">
        <v>370</v>
      </c>
      <c r="H74" s="187" t="s">
        <v>308</v>
      </c>
      <c r="I74" s="187" t="s">
        <v>466</v>
      </c>
      <c r="J74" s="118">
        <f t="shared" si="10"/>
        <v>2.1636036089999999</v>
      </c>
      <c r="K74" s="119">
        <f t="shared" si="11"/>
        <v>2.1636036089999999</v>
      </c>
      <c r="L74" s="119">
        <f t="shared" si="12"/>
        <v>0</v>
      </c>
      <c r="Q74" s="24"/>
      <c r="R74" s="24">
        <v>2.1636036089999999</v>
      </c>
      <c r="S74" s="24"/>
      <c r="T74" s="24"/>
      <c r="U74" s="24"/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 hidden="1">
      <c r="E75" s="6" t="s">
        <v>451</v>
      </c>
      <c r="F75" s="7" t="s">
        <v>19</v>
      </c>
      <c r="G75" s="6" t="s">
        <v>370</v>
      </c>
      <c r="H75" s="187" t="s">
        <v>308</v>
      </c>
      <c r="I75" s="187" t="s">
        <v>472</v>
      </c>
      <c r="J75" s="118">
        <f t="shared" si="10"/>
        <v>1.192590007</v>
      </c>
      <c r="K75" s="119">
        <f t="shared" si="11"/>
        <v>1.192590007</v>
      </c>
      <c r="L75" s="119">
        <f t="shared" si="12"/>
        <v>0</v>
      </c>
      <c r="Q75" s="24">
        <v>0</v>
      </c>
      <c r="R75" s="24">
        <v>1.192590007</v>
      </c>
      <c r="S75" s="24"/>
      <c r="T75" s="24"/>
      <c r="U75" s="24"/>
      <c r="V75" s="24"/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 hidden="1">
      <c r="E76" s="6" t="s">
        <v>485</v>
      </c>
      <c r="F76" s="7" t="s">
        <v>19</v>
      </c>
      <c r="G76" s="6" t="s">
        <v>420</v>
      </c>
      <c r="H76" s="187" t="s">
        <v>486</v>
      </c>
      <c r="I76" s="187" t="s">
        <v>472</v>
      </c>
      <c r="J76" s="118">
        <f t="shared" si="10"/>
        <v>280.29729058600003</v>
      </c>
      <c r="K76" s="119">
        <f t="shared" si="11"/>
        <v>280.29729058600003</v>
      </c>
      <c r="L76" s="119">
        <f t="shared" si="12"/>
        <v>0</v>
      </c>
      <c r="Q76" s="24"/>
      <c r="R76" s="24"/>
      <c r="S76" s="24"/>
      <c r="T76" s="24"/>
      <c r="U76" s="24"/>
      <c r="V76" s="24">
        <v>280.29729058600003</v>
      </c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 hidden="1">
      <c r="E77" s="6" t="s">
        <v>485</v>
      </c>
      <c r="F77" s="7" t="s">
        <v>19</v>
      </c>
      <c r="G77" s="6" t="s">
        <v>499</v>
      </c>
      <c r="H77" s="187" t="s">
        <v>486</v>
      </c>
      <c r="I77" s="187" t="s">
        <v>472</v>
      </c>
      <c r="J77" s="118">
        <f t="shared" si="10"/>
        <v>213.87954048399999</v>
      </c>
      <c r="K77" s="119">
        <f t="shared" si="11"/>
        <v>213.87954048399999</v>
      </c>
      <c r="L77" s="119">
        <f t="shared" si="12"/>
        <v>0</v>
      </c>
      <c r="Q77" s="24"/>
      <c r="R77" s="24"/>
      <c r="S77" s="24"/>
      <c r="T77" s="24">
        <v>194.212621329</v>
      </c>
      <c r="U77" s="24"/>
      <c r="V77" s="24">
        <v>19.666919154999999</v>
      </c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6" t="s">
        <v>268</v>
      </c>
      <c r="F78" s="7" t="s">
        <v>19</v>
      </c>
      <c r="G78" s="6" t="s">
        <v>374</v>
      </c>
      <c r="H78" s="236" t="s">
        <v>317</v>
      </c>
      <c r="I78" s="236" t="s">
        <v>466</v>
      </c>
      <c r="J78" s="118">
        <f t="shared" si="10"/>
        <v>220.06356769600001</v>
      </c>
      <c r="K78" s="119">
        <f t="shared" si="11"/>
        <v>220.06356769600001</v>
      </c>
      <c r="L78" s="119">
        <f t="shared" si="12"/>
        <v>0</v>
      </c>
      <c r="Q78" s="24"/>
      <c r="R78" s="24">
        <v>113.23508587400001</v>
      </c>
      <c r="S78" s="24">
        <v>106.82848182200001</v>
      </c>
      <c r="T78" s="24"/>
      <c r="U78" s="24"/>
      <c r="V78" s="24"/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6" t="s">
        <v>487</v>
      </c>
      <c r="F79" s="7" t="s">
        <v>19</v>
      </c>
      <c r="G79" s="6" t="s">
        <v>374</v>
      </c>
      <c r="H79" s="236" t="s">
        <v>317</v>
      </c>
      <c r="I79" s="236" t="s">
        <v>466</v>
      </c>
      <c r="J79" s="118">
        <f t="shared" si="10"/>
        <v>1.1826547569999999</v>
      </c>
      <c r="K79" s="119">
        <f t="shared" si="11"/>
        <v>1.1826547569999999</v>
      </c>
      <c r="L79" s="119">
        <f t="shared" si="12"/>
        <v>0</v>
      </c>
      <c r="Q79" s="24"/>
      <c r="R79" s="24"/>
      <c r="S79" s="24">
        <v>1.1826547569999999</v>
      </c>
      <c r="T79" s="24"/>
      <c r="U79" s="24"/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 hidden="1">
      <c r="E80" s="6" t="s">
        <v>488</v>
      </c>
      <c r="F80" s="7" t="s">
        <v>19</v>
      </c>
      <c r="G80" s="6" t="s">
        <v>378</v>
      </c>
      <c r="H80" s="236" t="s">
        <v>290</v>
      </c>
      <c r="I80" s="236" t="s">
        <v>466</v>
      </c>
      <c r="J80" s="118">
        <f t="shared" si="10"/>
        <v>13.684561999999998</v>
      </c>
      <c r="K80" s="119">
        <f t="shared" si="11"/>
        <v>13.684561999999998</v>
      </c>
      <c r="L80" s="119">
        <f t="shared" si="12"/>
        <v>0</v>
      </c>
      <c r="Q80" s="24">
        <v>13.684561999999998</v>
      </c>
      <c r="R80" s="24"/>
      <c r="S80" s="24"/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 hidden="1">
      <c r="E81" s="6" t="s">
        <v>489</v>
      </c>
      <c r="F81" s="7" t="s">
        <v>19</v>
      </c>
      <c r="G81" s="6" t="s">
        <v>247</v>
      </c>
      <c r="H81" s="236" t="s">
        <v>289</v>
      </c>
      <c r="I81" s="236" t="s">
        <v>466</v>
      </c>
      <c r="J81" s="118">
        <f t="shared" si="10"/>
        <v>0.12876121199999999</v>
      </c>
      <c r="K81" s="119">
        <f t="shared" si="11"/>
        <v>0.12876121199999999</v>
      </c>
      <c r="L81" s="119">
        <f t="shared" si="12"/>
        <v>0</v>
      </c>
      <c r="N81" s="24"/>
      <c r="O81" s="24"/>
      <c r="P81" s="24"/>
      <c r="Q81" s="24">
        <v>0.12876121199999999</v>
      </c>
      <c r="R81" s="24"/>
      <c r="S81" s="24"/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 hidden="1">
      <c r="E82" s="6" t="s">
        <v>459</v>
      </c>
      <c r="F82" s="7" t="s">
        <v>19</v>
      </c>
      <c r="G82" s="6" t="s">
        <v>464</v>
      </c>
      <c r="H82" s="236" t="s">
        <v>461</v>
      </c>
      <c r="I82" s="236" t="s">
        <v>466</v>
      </c>
      <c r="J82" s="118">
        <f t="shared" si="10"/>
        <v>4.803295803000001</v>
      </c>
      <c r="K82" s="119">
        <f t="shared" si="11"/>
        <v>4.803295803000001</v>
      </c>
      <c r="L82" s="119">
        <f t="shared" si="12"/>
        <v>0</v>
      </c>
      <c r="N82" s="24"/>
      <c r="O82" s="24"/>
      <c r="P82" s="24"/>
      <c r="Q82" s="24"/>
      <c r="R82" s="376">
        <v>4.803295803000001</v>
      </c>
      <c r="S82" s="344"/>
      <c r="T82" s="34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 hidden="1">
      <c r="E83" s="6"/>
      <c r="F83" s="341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  <c r="N83" s="24"/>
      <c r="O83" s="24"/>
      <c r="P83" s="24"/>
      <c r="Q83" s="24"/>
      <c r="R83" s="344"/>
      <c r="S83" s="344"/>
      <c r="T83" s="344"/>
      <c r="U83" s="24"/>
      <c r="V83" s="2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 hidden="1">
      <c r="E84" s="6"/>
      <c r="F84" s="341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  <c r="N84" s="24"/>
      <c r="O84" s="24"/>
      <c r="P84" s="24"/>
      <c r="Q84" s="24"/>
      <c r="R84" s="344"/>
      <c r="S84" s="344"/>
      <c r="T84" s="344"/>
      <c r="U84" s="24"/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 hidden="1">
      <c r="E85" s="305"/>
      <c r="F85" s="341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  <c r="N85" s="24"/>
      <c r="O85" s="24"/>
      <c r="P85" s="24"/>
      <c r="Q85" s="24"/>
      <c r="R85" s="344"/>
      <c r="S85" s="344"/>
      <c r="T85" s="34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 hidden="1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  <c r="Q86" s="24"/>
      <c r="R86" s="344"/>
      <c r="S86" s="344"/>
      <c r="T86" s="344"/>
      <c r="U86" s="344"/>
      <c r="V86" s="344"/>
      <c r="W86" s="344"/>
      <c r="X86" s="344"/>
      <c r="Y86" s="344"/>
      <c r="AA86" s="344"/>
      <c r="AB86" s="344"/>
      <c r="AC86" s="344"/>
      <c r="AD86" s="344"/>
      <c r="AE86" s="344"/>
      <c r="AF86" s="344"/>
      <c r="AG86" s="344"/>
      <c r="AH86" s="344"/>
      <c r="AI86" s="344"/>
      <c r="AJ86" s="344"/>
      <c r="AK86" s="344"/>
      <c r="AL86" s="344"/>
    </row>
    <row r="87" spans="5:38" hidden="1">
      <c r="E87" s="305" t="s">
        <v>450</v>
      </c>
      <c r="F87" s="341" t="s">
        <v>19</v>
      </c>
      <c r="G87" s="6"/>
      <c r="H87" s="11"/>
      <c r="I87" s="11"/>
      <c r="J87" s="118">
        <f t="shared" si="10"/>
        <v>14</v>
      </c>
      <c r="K87" s="119">
        <f t="shared" si="11"/>
        <v>14</v>
      </c>
      <c r="L87" s="119">
        <f t="shared" si="12"/>
        <v>0</v>
      </c>
      <c r="N87" s="24"/>
      <c r="O87" s="24"/>
      <c r="P87" s="24"/>
      <c r="Q87" s="24"/>
      <c r="R87" s="344">
        <v>14</v>
      </c>
      <c r="S87" s="344"/>
      <c r="T87" s="344"/>
      <c r="U87" s="344"/>
      <c r="V87" s="344"/>
      <c r="W87" s="344"/>
      <c r="X87" s="344"/>
      <c r="Y87" s="344"/>
      <c r="AA87" s="344"/>
      <c r="AB87" s="344"/>
      <c r="AC87" s="344"/>
      <c r="AD87" s="344"/>
      <c r="AE87" s="344"/>
      <c r="AF87" s="344"/>
      <c r="AG87" s="344"/>
      <c r="AH87" s="344"/>
      <c r="AI87" s="344"/>
      <c r="AJ87" s="344"/>
      <c r="AK87" s="344"/>
      <c r="AL87" s="344"/>
    </row>
    <row r="88" spans="5:38" hidden="1">
      <c r="E88" s="305" t="s">
        <v>451</v>
      </c>
      <c r="F88" s="341" t="s">
        <v>19</v>
      </c>
      <c r="G88" s="6"/>
      <c r="H88" s="11"/>
      <c r="I88" s="11"/>
      <c r="J88" s="118">
        <f t="shared" si="10"/>
        <v>12</v>
      </c>
      <c r="K88" s="119">
        <f t="shared" si="11"/>
        <v>12</v>
      </c>
      <c r="L88" s="119">
        <f t="shared" si="12"/>
        <v>0</v>
      </c>
      <c r="N88" s="24"/>
      <c r="O88" s="24"/>
      <c r="P88" s="24"/>
      <c r="Q88" s="24"/>
      <c r="R88" s="344">
        <v>12</v>
      </c>
      <c r="S88" s="344"/>
      <c r="T88" s="344"/>
      <c r="U88" s="344"/>
      <c r="V88" s="344"/>
      <c r="W88" s="344"/>
      <c r="X88" s="344"/>
      <c r="Y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</row>
    <row r="89" spans="5:38" hidden="1">
      <c r="E89" s="305" t="s">
        <v>371</v>
      </c>
      <c r="F89" s="341" t="s">
        <v>19</v>
      </c>
      <c r="G89" s="6"/>
      <c r="H89" s="11"/>
      <c r="I89" s="11"/>
      <c r="J89" s="118">
        <f t="shared" si="10"/>
        <v>24</v>
      </c>
      <c r="K89" s="119">
        <f t="shared" si="11"/>
        <v>24</v>
      </c>
      <c r="L89" s="119">
        <f t="shared" si="12"/>
        <v>0</v>
      </c>
      <c r="N89" s="24"/>
      <c r="O89" s="24"/>
      <c r="P89" s="24"/>
      <c r="Q89" s="24"/>
      <c r="R89" s="344"/>
      <c r="S89" s="344">
        <v>24</v>
      </c>
      <c r="T89" s="344"/>
      <c r="U89" s="344"/>
      <c r="V89" s="344"/>
      <c r="W89" s="344"/>
      <c r="X89" s="344"/>
      <c r="Y89" s="344"/>
      <c r="AA89" s="344"/>
      <c r="AB89" s="344"/>
      <c r="AC89" s="344"/>
      <c r="AD89" s="344"/>
      <c r="AE89" s="344"/>
      <c r="AF89" s="344"/>
      <c r="AG89" s="344"/>
      <c r="AH89" s="344"/>
      <c r="AI89" s="344"/>
      <c r="AJ89" s="344"/>
      <c r="AK89" s="344"/>
      <c r="AL89" s="344"/>
    </row>
    <row r="90" spans="5:38" hidden="1">
      <c r="E90" s="360" t="s">
        <v>246</v>
      </c>
      <c r="F90" s="361" t="s">
        <v>19</v>
      </c>
      <c r="G90" s="362"/>
      <c r="H90" s="363"/>
      <c r="I90" s="363"/>
      <c r="J90" s="364">
        <f t="shared" ref="J90:J91" si="13">+K90+L90</f>
        <v>74</v>
      </c>
      <c r="K90" s="365">
        <f t="shared" ref="K90:K91" si="14">SUM(N90:Y90)</f>
        <v>74</v>
      </c>
      <c r="L90" s="365">
        <f t="shared" ref="L90:L91" si="15">SUM(AA90:AL90)</f>
        <v>0</v>
      </c>
      <c r="N90" s="366"/>
      <c r="O90" s="366"/>
      <c r="P90" s="366"/>
      <c r="Q90" s="366"/>
      <c r="R90" s="367">
        <v>50</v>
      </c>
      <c r="S90" s="367">
        <v>24</v>
      </c>
      <c r="T90" s="367"/>
      <c r="U90" s="367"/>
      <c r="V90" s="367"/>
      <c r="W90" s="367"/>
      <c r="X90" s="367"/>
      <c r="Y90" s="367"/>
      <c r="AA90" s="344"/>
      <c r="AB90" s="344"/>
      <c r="AC90" s="344"/>
      <c r="AD90" s="344"/>
      <c r="AE90" s="344"/>
      <c r="AF90" s="344"/>
      <c r="AG90" s="344"/>
      <c r="AH90" s="344"/>
      <c r="AI90" s="344"/>
      <c r="AJ90" s="344"/>
      <c r="AK90" s="344"/>
      <c r="AL90" s="344"/>
    </row>
    <row r="91" spans="5:38" hidden="1">
      <c r="E91" s="305" t="s">
        <v>374</v>
      </c>
      <c r="F91" s="341" t="s">
        <v>19</v>
      </c>
      <c r="G91" s="6"/>
      <c r="H91" s="11"/>
      <c r="I91" s="11"/>
      <c r="J91" s="118">
        <f t="shared" si="13"/>
        <v>58</v>
      </c>
      <c r="K91" s="119">
        <f t="shared" si="14"/>
        <v>58</v>
      </c>
      <c r="L91" s="119">
        <f t="shared" si="15"/>
        <v>0</v>
      </c>
      <c r="M91" s="373"/>
      <c r="N91" s="24"/>
      <c r="O91" s="24"/>
      <c r="P91" s="24"/>
      <c r="Q91" s="24"/>
      <c r="R91" s="344"/>
      <c r="S91" s="344">
        <v>58</v>
      </c>
      <c r="T91" s="344"/>
      <c r="U91" s="344"/>
      <c r="V91" s="344"/>
      <c r="W91" s="344"/>
      <c r="X91" s="344"/>
      <c r="Y91" s="344"/>
      <c r="AA91" s="367"/>
      <c r="AB91" s="367"/>
      <c r="AC91" s="367"/>
      <c r="AD91" s="367"/>
      <c r="AE91" s="367"/>
      <c r="AF91" s="367"/>
      <c r="AG91" s="367"/>
      <c r="AH91" s="367"/>
      <c r="AI91" s="367"/>
      <c r="AJ91" s="367"/>
      <c r="AK91" s="367"/>
      <c r="AL91" s="367"/>
    </row>
    <row r="92" spans="5:38">
      <c r="H92" s="368"/>
      <c r="I92" s="368"/>
      <c r="J92" s="369"/>
      <c r="K92" s="370"/>
      <c r="L92" s="370"/>
    </row>
    <row r="93" spans="5:38">
      <c r="E93" s="227"/>
      <c r="H93" s="368"/>
      <c r="I93" s="368"/>
      <c r="J93" s="369"/>
      <c r="K93" s="370"/>
      <c r="L93" s="370"/>
    </row>
    <row r="94" spans="5:38">
      <c r="E94" s="191" t="s">
        <v>320</v>
      </c>
      <c r="F94" s="216">
        <v>46082</v>
      </c>
      <c r="G94" s="192">
        <v>428</v>
      </c>
      <c r="H94" s="271" t="s">
        <v>321</v>
      </c>
      <c r="I94" s="371"/>
      <c r="J94" s="369"/>
      <c r="K94" s="370"/>
      <c r="L94" s="370"/>
    </row>
    <row r="95" spans="5:38">
      <c r="E95" s="195" t="s">
        <v>452</v>
      </c>
      <c r="F95" s="217"/>
      <c r="G95" s="196">
        <v>59</v>
      </c>
      <c r="H95" s="271" t="s">
        <v>321</v>
      </c>
      <c r="I95" s="371"/>
      <c r="J95" s="369"/>
      <c r="K95" s="370"/>
      <c r="L95" s="370"/>
    </row>
    <row r="96" spans="5:38">
      <c r="E96" s="195" t="s">
        <v>453</v>
      </c>
      <c r="F96" s="217"/>
      <c r="G96" s="196">
        <v>305</v>
      </c>
      <c r="H96" s="271" t="s">
        <v>321</v>
      </c>
      <c r="I96" s="372"/>
      <c r="J96" s="369"/>
      <c r="K96" s="370"/>
      <c r="L96" s="370"/>
    </row>
    <row r="97" spans="5:17">
      <c r="E97" s="191" t="s">
        <v>320</v>
      </c>
      <c r="F97" s="216">
        <v>46112</v>
      </c>
      <c r="G97" s="192">
        <f>G94+G95-G96</f>
        <v>182</v>
      </c>
      <c r="H97" s="271" t="s">
        <v>321</v>
      </c>
      <c r="I97" s="300"/>
      <c r="J97" s="369"/>
      <c r="K97" s="370"/>
      <c r="L97" s="370"/>
    </row>
    <row r="98" spans="5:17">
      <c r="H98" s="300"/>
      <c r="I98" s="300"/>
      <c r="J98" s="369"/>
      <c r="K98" s="370"/>
      <c r="L98" s="370"/>
    </row>
    <row r="99" spans="5:17">
      <c r="F99" s="15"/>
      <c r="H99" s="15"/>
      <c r="I99" s="300"/>
      <c r="J99" s="369"/>
      <c r="K99" s="370"/>
      <c r="L99" s="370"/>
    </row>
    <row r="100" spans="5:17">
      <c r="H100" s="300"/>
      <c r="I100" s="300"/>
      <c r="J100" s="369"/>
      <c r="K100" s="370"/>
      <c r="L100" s="370"/>
    </row>
    <row r="102" spans="5:17">
      <c r="E102" s="356" t="s">
        <v>324</v>
      </c>
      <c r="F102" s="219"/>
      <c r="G102" s="202"/>
      <c r="H102" s="219" t="s">
        <v>325</v>
      </c>
    </row>
    <row r="103" spans="5:17">
      <c r="E103" s="315" t="s">
        <v>447</v>
      </c>
      <c r="F103" s="314"/>
      <c r="G103" s="315"/>
      <c r="H103" s="374">
        <v>9.8308228050000022</v>
      </c>
    </row>
    <row r="104" spans="5:17">
      <c r="E104" s="315" t="s">
        <v>247</v>
      </c>
      <c r="F104" s="314"/>
      <c r="G104" s="315"/>
      <c r="H104" s="374">
        <v>4</v>
      </c>
    </row>
    <row r="105" spans="5:17">
      <c r="E105" s="315" t="s">
        <v>379</v>
      </c>
      <c r="F105" s="314"/>
      <c r="G105" s="315"/>
      <c r="H105" s="374">
        <v>11</v>
      </c>
    </row>
    <row r="106" spans="5:17">
      <c r="E106" s="315" t="s">
        <v>500</v>
      </c>
      <c r="F106" s="314"/>
      <c r="G106" s="315"/>
      <c r="H106" s="374">
        <v>36</v>
      </c>
    </row>
    <row r="107" spans="5:17">
      <c r="E107" s="315" t="s">
        <v>454</v>
      </c>
      <c r="F107" s="314"/>
      <c r="G107" s="315"/>
      <c r="H107" s="374">
        <v>10</v>
      </c>
    </row>
    <row r="108" spans="5:17">
      <c r="E108" s="315" t="s">
        <v>256</v>
      </c>
      <c r="F108" s="314"/>
      <c r="G108" s="315"/>
      <c r="H108" s="374">
        <v>4</v>
      </c>
    </row>
    <row r="109" spans="5:17">
      <c r="E109" s="315" t="s">
        <v>495</v>
      </c>
      <c r="F109" s="314"/>
      <c r="G109" s="315"/>
      <c r="H109" s="374">
        <v>120</v>
      </c>
    </row>
    <row r="110" spans="5:17">
      <c r="E110" s="201" t="s">
        <v>374</v>
      </c>
      <c r="F110" s="286"/>
      <c r="G110" s="287"/>
      <c r="H110" s="375">
        <v>3</v>
      </c>
    </row>
    <row r="111" spans="5:17">
      <c r="E111" s="263" t="s">
        <v>344</v>
      </c>
      <c r="F111" s="286"/>
      <c r="G111" s="287"/>
      <c r="H111" s="375">
        <f>SUM(H103:H110)</f>
        <v>197.830822805</v>
      </c>
    </row>
    <row r="112" spans="5:17">
      <c r="E112" s="227"/>
      <c r="F112" s="278"/>
      <c r="G112" s="227"/>
      <c r="H112" s="280"/>
      <c r="I112" s="280"/>
      <c r="J112" s="280"/>
      <c r="K112" s="281"/>
      <c r="L112" s="281"/>
      <c r="M112" s="281"/>
      <c r="N112" s="73"/>
      <c r="O112" s="73"/>
      <c r="P112" s="73"/>
      <c r="Q112" s="73"/>
    </row>
    <row r="113" spans="5:17">
      <c r="E113" s="227"/>
      <c r="F113" s="278"/>
      <c r="G113" s="227"/>
      <c r="H113" s="280"/>
      <c r="I113" s="280"/>
      <c r="J113" s="280"/>
      <c r="K113" s="281"/>
      <c r="L113" s="281"/>
      <c r="M113" s="281"/>
      <c r="N113" s="73"/>
      <c r="O113" s="73"/>
      <c r="P113" s="73"/>
      <c r="Q113" s="73"/>
    </row>
    <row r="114" spans="5:17">
      <c r="E114" s="227"/>
      <c r="F114" s="278"/>
      <c r="G114" s="227"/>
      <c r="H114" s="280"/>
      <c r="I114" s="280"/>
      <c r="J114" s="280"/>
      <c r="K114" s="281"/>
      <c r="L114" s="281"/>
      <c r="M114" s="281"/>
      <c r="N114" s="73"/>
      <c r="O114" s="73"/>
      <c r="P114" s="73"/>
      <c r="Q114" s="73"/>
    </row>
    <row r="115" spans="5:17">
      <c r="E115" s="227"/>
      <c r="F115" s="278"/>
      <c r="G115" s="227"/>
      <c r="H115" s="280"/>
      <c r="I115" s="280"/>
      <c r="J115" s="280"/>
      <c r="K115" s="281"/>
      <c r="L115" s="281"/>
      <c r="M115" s="281"/>
      <c r="N115" s="73"/>
      <c r="O115" s="73"/>
      <c r="P115" s="73"/>
      <c r="Q115" s="73"/>
    </row>
    <row r="116" spans="5:17">
      <c r="E116" s="151"/>
      <c r="F116" s="257"/>
      <c r="G116" s="151"/>
      <c r="H116" s="258"/>
      <c r="I116" s="258"/>
      <c r="J116" s="258"/>
      <c r="K116" s="260"/>
      <c r="L116" s="260"/>
      <c r="M116" s="281"/>
      <c r="N116" s="73"/>
      <c r="O116" s="73"/>
      <c r="P116" s="73"/>
      <c r="Q116" s="73"/>
    </row>
    <row r="117" spans="5:17">
      <c r="E117" s="151" t="s">
        <v>330</v>
      </c>
      <c r="F117" s="277"/>
      <c r="G117" s="151"/>
      <c r="H117" s="283">
        <f>'W16'!J19</f>
        <v>3286.2972213830003</v>
      </c>
      <c r="I117" s="258"/>
      <c r="J117" s="258"/>
      <c r="K117" s="260"/>
      <c r="L117" s="260"/>
      <c r="M117" s="281"/>
      <c r="N117" s="73"/>
      <c r="O117" s="73"/>
      <c r="P117" s="73"/>
      <c r="Q117" s="73"/>
    </row>
    <row r="118" spans="5:17">
      <c r="E118" s="151" t="s">
        <v>331</v>
      </c>
      <c r="F118" s="277"/>
      <c r="G118" s="151"/>
      <c r="H118" s="283">
        <f>H111</f>
        <v>197.830822805</v>
      </c>
      <c r="I118" s="258"/>
      <c r="J118" s="258"/>
      <c r="K118" s="260"/>
      <c r="L118" s="260"/>
      <c r="M118" s="281"/>
      <c r="N118" s="73"/>
      <c r="O118" s="73"/>
      <c r="P118" s="73"/>
      <c r="Q118" s="73"/>
    </row>
    <row r="119" spans="5:17">
      <c r="E119" s="151" t="s">
        <v>332</v>
      </c>
      <c r="F119" s="277"/>
      <c r="G119" s="151"/>
      <c r="H119" s="283">
        <f>J12-'W16'!J12</f>
        <v>101.27815040000002</v>
      </c>
      <c r="I119" s="380"/>
      <c r="J119" s="258"/>
      <c r="K119" s="260"/>
      <c r="L119" s="260"/>
      <c r="M119" s="281"/>
      <c r="N119" s="73"/>
      <c r="O119" s="73"/>
      <c r="P119" s="73"/>
      <c r="Q119" s="73"/>
    </row>
    <row r="120" spans="5:17">
      <c r="E120" s="151" t="s">
        <v>455</v>
      </c>
      <c r="F120" s="277"/>
      <c r="G120" s="151"/>
      <c r="H120" s="283">
        <v>0</v>
      </c>
      <c r="I120" s="258"/>
      <c r="J120" s="258"/>
      <c r="K120" s="260"/>
      <c r="L120" s="260"/>
      <c r="M120" s="281"/>
      <c r="N120" s="73"/>
      <c r="O120" s="73"/>
      <c r="P120" s="73"/>
      <c r="Q120" s="73"/>
    </row>
    <row r="121" spans="5:17">
      <c r="E121" s="151" t="s">
        <v>333</v>
      </c>
      <c r="F121" s="277"/>
      <c r="G121" s="151"/>
      <c r="H121" s="283">
        <f>H117+H118-H119-H120</f>
        <v>3382.8498937880004</v>
      </c>
      <c r="I121" s="258"/>
      <c r="J121" s="258"/>
      <c r="K121" s="260"/>
      <c r="L121" s="260"/>
      <c r="M121" s="281"/>
      <c r="N121" s="73"/>
      <c r="O121" s="73"/>
      <c r="P121" s="73"/>
      <c r="Q121" s="73"/>
    </row>
    <row r="122" spans="5:17">
      <c r="E122" s="151" t="s">
        <v>334</v>
      </c>
      <c r="F122" s="277"/>
      <c r="G122" s="151"/>
      <c r="H122" s="283">
        <f>J19</f>
        <v>3398.1054440879993</v>
      </c>
      <c r="I122" s="258"/>
      <c r="J122" s="258"/>
      <c r="K122" s="260"/>
      <c r="L122" s="260"/>
      <c r="M122" s="281"/>
      <c r="N122" s="73"/>
      <c r="O122" s="73"/>
      <c r="P122" s="73"/>
      <c r="Q122" s="73"/>
    </row>
    <row r="123" spans="5:17">
      <c r="E123" s="151" t="s">
        <v>335</v>
      </c>
      <c r="F123" s="277"/>
      <c r="G123" s="151"/>
      <c r="H123" s="284">
        <f>H121-H122</f>
        <v>-15.255550299998959</v>
      </c>
      <c r="I123" s="258"/>
      <c r="J123" s="258"/>
      <c r="K123" s="260"/>
      <c r="L123" s="260"/>
      <c r="M123" s="281"/>
      <c r="N123" s="73"/>
      <c r="O123" s="73"/>
      <c r="P123" s="73"/>
      <c r="Q123" s="73"/>
    </row>
    <row r="124" spans="5:17">
      <c r="E124" s="151"/>
      <c r="F124" s="257"/>
      <c r="G124" s="151"/>
      <c r="H124" s="258"/>
      <c r="I124" s="258"/>
      <c r="J124" s="258"/>
      <c r="K124" s="260"/>
      <c r="L124" s="260"/>
      <c r="M124" s="281"/>
      <c r="N124" s="73"/>
      <c r="O124" s="73"/>
      <c r="P124" s="73"/>
      <c r="Q124" s="73"/>
    </row>
    <row r="125" spans="5:17">
      <c r="E125" s="151"/>
      <c r="F125" s="257"/>
      <c r="G125" s="151"/>
      <c r="H125" s="258"/>
      <c r="I125" s="258"/>
      <c r="J125" s="258"/>
      <c r="K125" s="260"/>
      <c r="L125" s="260"/>
      <c r="M125" s="281"/>
      <c r="N125" s="73"/>
      <c r="O125" s="73"/>
      <c r="P125" s="73"/>
      <c r="Q125" s="73"/>
    </row>
    <row r="126" spans="5:17">
      <c r="E126" s="151"/>
      <c r="F126" s="257"/>
      <c r="G126" s="151"/>
      <c r="H126" s="258"/>
      <c r="I126" s="258"/>
      <c r="J126" s="258"/>
      <c r="K126" s="260"/>
      <c r="L126" s="260"/>
      <c r="M126" s="281"/>
      <c r="N126" s="73"/>
      <c r="O126" s="73"/>
      <c r="P126" s="73"/>
      <c r="Q126" s="73"/>
    </row>
    <row r="127" spans="5:17">
      <c r="E127" s="227"/>
      <c r="F127" s="278"/>
      <c r="G127" s="227"/>
      <c r="H127" s="280"/>
      <c r="I127" s="280"/>
      <c r="J127" s="280"/>
      <c r="K127" s="281"/>
      <c r="L127" s="281"/>
      <c r="M127" s="281"/>
      <c r="N127" s="73"/>
      <c r="O127" s="73"/>
      <c r="P127" s="73"/>
      <c r="Q127" s="73"/>
    </row>
    <row r="128" spans="5:17">
      <c r="E128" s="227"/>
      <c r="F128" s="278"/>
      <c r="G128" s="227"/>
      <c r="H128" s="280"/>
      <c r="I128" s="280"/>
      <c r="J128" s="280"/>
      <c r="K128" s="281"/>
      <c r="L128" s="281"/>
      <c r="M128" s="281"/>
      <c r="N128" s="73"/>
      <c r="O128" s="73"/>
      <c r="P128" s="73"/>
      <c r="Q128" s="73"/>
    </row>
    <row r="129" spans="5:17">
      <c r="E129" s="227"/>
      <c r="F129" s="278"/>
      <c r="G129" s="227"/>
      <c r="H129" s="280"/>
      <c r="I129" s="280"/>
      <c r="J129" s="280"/>
      <c r="K129" s="281"/>
      <c r="L129" s="281"/>
      <c r="M129" s="281"/>
      <c r="N129" s="73"/>
      <c r="O129" s="73"/>
      <c r="P129" s="73"/>
      <c r="Q129" s="73"/>
    </row>
    <row r="130" spans="5:17">
      <c r="E130" s="227"/>
      <c r="F130" s="278"/>
      <c r="G130" s="227"/>
      <c r="H130" s="280"/>
      <c r="I130" s="280"/>
      <c r="J130" s="280"/>
      <c r="K130" s="281"/>
      <c r="L130" s="281"/>
      <c r="M130" s="281"/>
      <c r="N130" s="73"/>
      <c r="O130" s="73"/>
      <c r="P130" s="73"/>
      <c r="Q130" s="73"/>
    </row>
    <row r="131" spans="5:17">
      <c r="E131" s="227"/>
      <c r="F131" s="278"/>
      <c r="G131" s="227"/>
      <c r="H131" s="280"/>
      <c r="I131" s="280"/>
      <c r="J131" s="280"/>
      <c r="K131" s="281"/>
      <c r="L131" s="281"/>
      <c r="M131" s="281"/>
      <c r="N131" s="73"/>
      <c r="O131" s="73"/>
      <c r="P131" s="73"/>
      <c r="Q131" s="73"/>
    </row>
  </sheetData>
  <sheetProtection formatCells="0" formatColumns="0" formatRows="0" insertRows="0" deleteRows="0" autoFilter="0"/>
  <autoFilter ref="E23:L91" xr:uid="{00000000-0001-0000-1300-000000000000}">
    <filterColumn colId="2">
      <filters>
        <filter val="Rare Beauty"/>
      </filters>
    </filterColumn>
  </autoFilter>
  <mergeCells count="1">
    <mergeCell ref="I4:J4"/>
  </mergeCells>
  <phoneticPr fontId="40"/>
  <dataValidations count="2">
    <dataValidation type="list" allowBlank="1" showInputMessage="1" showErrorMessage="1" sqref="G2" xr:uid="{00000000-0002-0000-1300-000000000000}">
      <formula1>SOCIETE</formula1>
    </dataValidation>
    <dataValidation type="list" allowBlank="1" showInputMessage="1" showErrorMessage="1" sqref="F100 F102 F98 F24:F93" xr:uid="{748E9287-CEF2-424A-B833-7C53B6AF7508}">
      <formula1>Liste</formula1>
    </dataValidation>
  </dataValidations>
  <pageMargins left="0.17" right="0.17" top="0.37" bottom="0.23" header="0.31496062992125984" footer="0.16"/>
  <pageSetup paperSize="9" scale="58" orientation="landscape" r:id="rId1"/>
  <ignoredErrors>
    <ignoredError sqref="H117:H123 H111" unlockedFormula="1"/>
  </ignoredError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1">
    <tabColor rgb="FF002060"/>
    <pageSetUpPr fitToPage="1"/>
  </sheetPr>
  <dimension ref="D1:AL127"/>
  <sheetViews>
    <sheetView showGridLines="0" topLeftCell="A99" zoomScale="80" zoomScaleNormal="80" workbookViewId="0">
      <selection activeCell="E106" sqref="E106:J117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90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April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April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W18</v>
      </c>
      <c r="I9" s="61"/>
      <c r="J9" s="161" t="str">
        <f>+"from "&amp;G6&amp;" 1 until end of "&amp;G4</f>
        <v>from April 1 until end of W18</v>
      </c>
      <c r="K9" s="79"/>
      <c r="L9" s="167" t="str">
        <f>+G6</f>
        <v>April</v>
      </c>
      <c r="M9" s="80"/>
      <c r="N9" s="80"/>
      <c r="O9" s="172" t="str">
        <f>+G4</f>
        <v>W18</v>
      </c>
      <c r="P9" s="173" t="str">
        <f>+VLOOKUP(G4, parameters!$G$9:$I$61,3,0)</f>
        <v>W17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600+320+797+J10</f>
        <v>2186</v>
      </c>
      <c r="I10" s="61"/>
      <c r="J10" s="159">
        <f>472-3</f>
        <v>469</v>
      </c>
      <c r="L10" s="16">
        <f>Q17+J10</f>
        <v>469</v>
      </c>
      <c r="N10" s="55"/>
      <c r="O10" s="170">
        <f>+H10+K17</f>
        <v>5677.2521128539993</v>
      </c>
      <c r="P10" s="171" cm="1">
        <f t="array" aca="1" ref="P10" ca="1">INDIRECT(ADDRESS(10,15,,,VLOOKUP($G$4,parameters!$G:$I,3,0)))</f>
        <v>5383.6804719879992</v>
      </c>
      <c r="Q10" s="183">
        <f ca="1">O10-P10</f>
        <v>293.57164086600005</v>
      </c>
      <c r="R10" s="86"/>
    </row>
    <row r="11" spans="5:38" ht="20.45" customHeight="1">
      <c r="E11" s="87" t="s">
        <v>224</v>
      </c>
      <c r="F11" s="88"/>
      <c r="G11" s="89"/>
      <c r="H11" s="16">
        <f>13+8+3+J11</f>
        <v>27</v>
      </c>
      <c r="I11" s="61"/>
      <c r="J11" s="16">
        <v>3</v>
      </c>
      <c r="L11" s="16">
        <f>Q18+J11</f>
        <v>3</v>
      </c>
      <c r="N11" s="55"/>
      <c r="O11" s="152">
        <f>+H11+K18</f>
        <v>37.260111127000002</v>
      </c>
      <c r="P11" s="153" cm="1">
        <f t="array" aca="1" ref="P11" ca="1">INDIRECT(ADDRESS(11,15,,,VLOOKUP($G$4,parameters!$G:$I,3,0)))</f>
        <v>33.703122499999999</v>
      </c>
      <c r="Q11" s="184">
        <f t="shared" ref="Q11:Q12" ca="1" si="0">O11-P11</f>
        <v>3.5569886270000026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2213</v>
      </c>
      <c r="I12" s="61"/>
      <c r="J12" s="126">
        <f>SUM(J10:J11)</f>
        <v>472</v>
      </c>
      <c r="K12" s="65"/>
      <c r="L12" s="126">
        <f>SUM(L10:L11)</f>
        <v>472</v>
      </c>
      <c r="M12" s="65"/>
      <c r="N12" s="65"/>
      <c r="O12" s="154">
        <f>SUM(O10:O11)</f>
        <v>5714.5122239809989</v>
      </c>
      <c r="P12" s="155">
        <f ca="1">SUM(P10:P11)</f>
        <v>5417.3835944879993</v>
      </c>
      <c r="Q12" s="156">
        <f t="shared" ca="1" si="0"/>
        <v>297.12862949299961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+SUMIF($F$24:$F$89,"External",$J$24:$J$89)</f>
        <v>3491.2521128539997</v>
      </c>
      <c r="K17" s="108">
        <f>+SUMIF($F$24:$F$89,"External",$K$24:$K$89)</f>
        <v>3491.2521128539997</v>
      </c>
      <c r="L17" s="109">
        <f>+SUMIF($F$24:$F$89,"External",$L$24:$L$89)</f>
        <v>0</v>
      </c>
      <c r="M17" s="110"/>
      <c r="N17" s="111">
        <f t="shared" ref="N17:Y17" si="1">+SUMIF($F$24:$F$89,"External",N$24:N$89)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501.59941665100001</v>
      </c>
      <c r="S17" s="111">
        <f t="shared" si="1"/>
        <v>1172.903613188</v>
      </c>
      <c r="T17" s="111">
        <f t="shared" si="1"/>
        <v>789.62565599100003</v>
      </c>
      <c r="U17" s="111">
        <f t="shared" si="1"/>
        <v>600.480129895</v>
      </c>
      <c r="V17" s="111">
        <f t="shared" si="1"/>
        <v>308.77117959500004</v>
      </c>
      <c r="W17" s="111">
        <f t="shared" si="1"/>
        <v>5.0183849000000009</v>
      </c>
      <c r="X17" s="111">
        <f t="shared" si="1"/>
        <v>112.85373263400001</v>
      </c>
      <c r="Y17" s="111">
        <f t="shared" si="1"/>
        <v>0</v>
      </c>
      <c r="Z17" s="112"/>
      <c r="AA17" s="111">
        <f t="shared" ref="AA17:AL17" si="2">+SUMIF($F$24:$F$89,"External",AA$24:AA$89)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+SUMIF($F$24:$F$89,"Group",$J$24:$J$89)</f>
        <v>10.260111127</v>
      </c>
      <c r="K18" s="113">
        <f>+SUMIF($F$24:$F$89,"Group",$K$24:$K$89)</f>
        <v>10.260111127</v>
      </c>
      <c r="L18" s="114">
        <f>SUMIF($F$24:$F$89,"Group",$L$24:$L$89)</f>
        <v>0</v>
      </c>
      <c r="M18" s="110"/>
      <c r="N18" s="114">
        <f t="shared" ref="N18:Y18" si="3">+SUMIF($F$24:$F$89,"Group",N$24:N$89)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10.260111127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+SUMIF($F$24:$F$89,"Group",AA$24:AA$89)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3501.5122239809998</v>
      </c>
      <c r="K19" s="115">
        <f>SUM(K17:K18)</f>
        <v>3501.5122239809998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511.85952777800003</v>
      </c>
      <c r="S19" s="116">
        <f t="shared" si="5"/>
        <v>1172.903613188</v>
      </c>
      <c r="T19" s="116">
        <f t="shared" si="5"/>
        <v>789.62565599100003</v>
      </c>
      <c r="U19" s="116">
        <f t="shared" si="5"/>
        <v>600.480129895</v>
      </c>
      <c r="V19" s="116">
        <f t="shared" si="5"/>
        <v>308.77117959500004</v>
      </c>
      <c r="W19" s="116">
        <f t="shared" si="5"/>
        <v>5.0183849000000009</v>
      </c>
      <c r="X19" s="116">
        <f t="shared" si="5"/>
        <v>112.85373263400001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467</v>
      </c>
      <c r="F24" s="7" t="s">
        <v>19</v>
      </c>
      <c r="G24" s="6" t="s">
        <v>237</v>
      </c>
      <c r="H24" s="187" t="s">
        <v>277</v>
      </c>
      <c r="I24" s="187" t="s">
        <v>466</v>
      </c>
      <c r="J24" s="118">
        <f t="shared" ref="J24" si="7">+K24+L24</f>
        <v>5.0559082999999996</v>
      </c>
      <c r="K24" s="119">
        <f t="shared" ref="K24" si="8">SUM(N24:Y24)</f>
        <v>5.0559082999999996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5.0559082999999996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7" t="s">
        <v>19</v>
      </c>
      <c r="G25" s="6" t="s">
        <v>239</v>
      </c>
      <c r="H25" s="188" t="s">
        <v>278</v>
      </c>
      <c r="I25" s="188" t="s">
        <v>466</v>
      </c>
      <c r="J25" s="118">
        <f t="shared" ref="J25:J88" si="10">+K25+L25</f>
        <v>6.7541730050000002</v>
      </c>
      <c r="K25" s="119">
        <f t="shared" ref="K25:K88" si="11">SUM(N25:Y25)</f>
        <v>6.7541730050000002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>
        <v>1.6548602190000001</v>
      </c>
      <c r="S25" s="24"/>
      <c r="T25" s="24"/>
      <c r="U25" s="24">
        <v>5.0993127859999996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188" t="s">
        <v>277</v>
      </c>
      <c r="I26" s="188" t="s">
        <v>466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>
        <v>8.2520863759999994</v>
      </c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470</v>
      </c>
      <c r="F27" s="7" t="s">
        <v>19</v>
      </c>
      <c r="G27" s="6" t="s">
        <v>279</v>
      </c>
      <c r="H27" s="188" t="s">
        <v>280</v>
      </c>
      <c r="I27" s="188" t="s">
        <v>472</v>
      </c>
      <c r="J27" s="118">
        <f t="shared" si="10"/>
        <v>193.32546404599998</v>
      </c>
      <c r="K27" s="119">
        <f t="shared" si="11"/>
        <v>193.32546404599998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>
        <v>114.94815476300001</v>
      </c>
      <c r="T27" s="24">
        <v>45.765230900000006</v>
      </c>
      <c r="U27" s="24">
        <v>32.612078382999997</v>
      </c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281</v>
      </c>
      <c r="F28" s="7" t="s">
        <v>19</v>
      </c>
      <c r="G28" s="6" t="s">
        <v>282</v>
      </c>
      <c r="H28" s="188" t="s">
        <v>283</v>
      </c>
      <c r="I28" s="188" t="s">
        <v>466</v>
      </c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>
        <v>0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89" t="s">
        <v>283</v>
      </c>
      <c r="I29" s="189" t="s">
        <v>472</v>
      </c>
      <c r="J29" s="118">
        <f t="shared" si="10"/>
        <v>23.816704992999998</v>
      </c>
      <c r="K29" s="119">
        <f t="shared" si="11"/>
        <v>23.816704992999998</v>
      </c>
      <c r="L29" s="119">
        <f t="shared" si="12"/>
        <v>0</v>
      </c>
      <c r="M29" s="23"/>
      <c r="N29" s="24"/>
      <c r="O29" s="24"/>
      <c r="P29" s="24"/>
      <c r="Q29" s="24"/>
      <c r="R29" s="24">
        <v>0.52151288699999998</v>
      </c>
      <c r="S29" s="24"/>
      <c r="T29" s="24"/>
      <c r="U29" s="24"/>
      <c r="V29" s="24"/>
      <c r="W29" s="24"/>
      <c r="X29" s="24">
        <v>23.295192105999998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446</v>
      </c>
      <c r="F30" s="7" t="s">
        <v>19</v>
      </c>
      <c r="G30" s="6" t="s">
        <v>493</v>
      </c>
      <c r="H30" s="190" t="s">
        <v>339</v>
      </c>
      <c r="I30" s="190" t="s">
        <v>472</v>
      </c>
      <c r="J30" s="118">
        <f t="shared" si="10"/>
        <v>3.1289627279999999</v>
      </c>
      <c r="K30" s="119">
        <f t="shared" si="11"/>
        <v>3.1289627279999999</v>
      </c>
      <c r="L30" s="119">
        <f t="shared" si="12"/>
        <v>0</v>
      </c>
      <c r="M30" s="23"/>
      <c r="N30" s="24"/>
      <c r="O30" s="24"/>
      <c r="P30" s="24"/>
      <c r="Q30" s="24"/>
      <c r="R30" s="24">
        <v>1.673907255</v>
      </c>
      <c r="S30" s="24"/>
      <c r="T30" s="24"/>
      <c r="U30" s="24">
        <v>1.4550554729999998</v>
      </c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7" t="s">
        <v>19</v>
      </c>
      <c r="G31" s="6" t="s">
        <v>285</v>
      </c>
      <c r="H31" s="190" t="s">
        <v>286</v>
      </c>
      <c r="I31" s="190" t="s">
        <v>472</v>
      </c>
      <c r="J31" s="118">
        <f t="shared" si="10"/>
        <v>2.6647181620000002</v>
      </c>
      <c r="K31" s="119">
        <f t="shared" si="11"/>
        <v>2.6647181620000002</v>
      </c>
      <c r="L31" s="119">
        <f t="shared" si="12"/>
        <v>0</v>
      </c>
      <c r="M31" s="23"/>
      <c r="N31" s="24"/>
      <c r="O31" s="24"/>
      <c r="P31" s="24"/>
      <c r="Q31" s="24"/>
      <c r="R31" s="24">
        <v>0.9819867000000001</v>
      </c>
      <c r="S31" s="24"/>
      <c r="T31" s="24"/>
      <c r="U31" s="24">
        <v>1.682731462</v>
      </c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7" t="s">
        <v>17</v>
      </c>
      <c r="G32" s="6" t="s">
        <v>285</v>
      </c>
      <c r="H32" s="190" t="s">
        <v>286</v>
      </c>
      <c r="I32" s="190" t="s">
        <v>472</v>
      </c>
      <c r="J32" s="118">
        <f t="shared" si="10"/>
        <v>10.260111127</v>
      </c>
      <c r="K32" s="119">
        <f t="shared" si="11"/>
        <v>10.260111127</v>
      </c>
      <c r="L32" s="119">
        <f t="shared" si="12"/>
        <v>0</v>
      </c>
      <c r="M32" s="15"/>
      <c r="N32" s="24"/>
      <c r="O32" s="24"/>
      <c r="P32" s="24"/>
      <c r="Q32" s="24"/>
      <c r="R32" s="24">
        <v>10.260111127</v>
      </c>
      <c r="S32" s="24"/>
      <c r="T32" s="24"/>
      <c r="U32" s="24">
        <v>0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474</v>
      </c>
      <c r="F33" s="7" t="s">
        <v>19</v>
      </c>
      <c r="G33" s="6" t="s">
        <v>279</v>
      </c>
      <c r="H33" s="190" t="s">
        <v>280</v>
      </c>
      <c r="I33" s="190" t="s">
        <v>472</v>
      </c>
      <c r="J33" s="118">
        <f t="shared" si="10"/>
        <v>114.986673357</v>
      </c>
      <c r="K33" s="119">
        <f t="shared" si="11"/>
        <v>114.986673357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>
        <v>114.986673357</v>
      </c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475</v>
      </c>
      <c r="F34" s="7" t="s">
        <v>19</v>
      </c>
      <c r="G34" s="6" t="s">
        <v>245</v>
      </c>
      <c r="H34" s="190" t="s">
        <v>288</v>
      </c>
      <c r="I34" s="190" t="s">
        <v>466</v>
      </c>
      <c r="J34" s="118">
        <f t="shared" si="10"/>
        <v>11.451385918</v>
      </c>
      <c r="K34" s="119">
        <f t="shared" si="11"/>
        <v>11.451385918</v>
      </c>
      <c r="L34" s="119">
        <f t="shared" si="12"/>
        <v>0</v>
      </c>
      <c r="M34" s="15"/>
      <c r="N34" s="24"/>
      <c r="O34" s="24"/>
      <c r="P34" s="24"/>
      <c r="Q34" s="24"/>
      <c r="R34" s="24">
        <v>11.451385918</v>
      </c>
      <c r="S34" s="24"/>
      <c r="T34" s="24"/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476</v>
      </c>
      <c r="F35" s="7" t="s">
        <v>19</v>
      </c>
      <c r="G35" s="6" t="s">
        <v>447</v>
      </c>
      <c r="H35" s="190" t="s">
        <v>448</v>
      </c>
      <c r="I35" s="190" t="s">
        <v>466</v>
      </c>
      <c r="J35" s="118">
        <f t="shared" si="10"/>
        <v>127.341447434</v>
      </c>
      <c r="K35" s="119">
        <f t="shared" si="11"/>
        <v>127.341447434</v>
      </c>
      <c r="L35" s="119">
        <f t="shared" si="12"/>
        <v>0</v>
      </c>
      <c r="M35" s="15"/>
      <c r="N35" s="24"/>
      <c r="O35" s="24"/>
      <c r="P35" s="24"/>
      <c r="Q35" s="24"/>
      <c r="R35" s="24">
        <v>10.5748222</v>
      </c>
      <c r="S35" s="24"/>
      <c r="T35" s="24">
        <v>109.52809633400001</v>
      </c>
      <c r="U35" s="24">
        <v>2.3471701999999999</v>
      </c>
      <c r="V35" s="24"/>
      <c r="W35" s="24">
        <v>4.8913587000000005</v>
      </c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476</v>
      </c>
      <c r="F36" s="7" t="s">
        <v>19</v>
      </c>
      <c r="G36" s="6" t="s">
        <v>247</v>
      </c>
      <c r="H36" s="190" t="s">
        <v>289</v>
      </c>
      <c r="I36" s="190" t="s">
        <v>466</v>
      </c>
      <c r="J36" s="118">
        <f t="shared" si="10"/>
        <v>121.14624353400002</v>
      </c>
      <c r="K36" s="119">
        <f t="shared" si="11"/>
        <v>121.14624353400002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>
        <v>4.5394435339999992</v>
      </c>
      <c r="U36" s="24">
        <v>116.60680000000002</v>
      </c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476</v>
      </c>
      <c r="F37" s="7" t="s">
        <v>19</v>
      </c>
      <c r="G37" s="6" t="s">
        <v>379</v>
      </c>
      <c r="H37" s="190" t="s">
        <v>291</v>
      </c>
      <c r="I37" s="190" t="s">
        <v>466</v>
      </c>
      <c r="J37" s="118">
        <f t="shared" si="10"/>
        <v>106.46036771</v>
      </c>
      <c r="K37" s="119">
        <f t="shared" si="11"/>
        <v>106.46036771</v>
      </c>
      <c r="L37" s="119">
        <f t="shared" si="12"/>
        <v>0</v>
      </c>
      <c r="M37" s="15"/>
      <c r="N37" s="24"/>
      <c r="O37" s="24"/>
      <c r="P37" s="24"/>
      <c r="Q37" s="24"/>
      <c r="R37" s="24">
        <v>0</v>
      </c>
      <c r="S37" s="24"/>
      <c r="T37" s="24">
        <v>106.46036771</v>
      </c>
      <c r="U37" s="24"/>
      <c r="V37" s="24"/>
      <c r="W37" s="24"/>
      <c r="X37" s="24"/>
      <c r="Y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476</v>
      </c>
      <c r="F38" s="7" t="s">
        <v>19</v>
      </c>
      <c r="G38" s="6" t="s">
        <v>378</v>
      </c>
      <c r="H38" s="190" t="s">
        <v>290</v>
      </c>
      <c r="I38" s="190" t="s">
        <v>466</v>
      </c>
      <c r="J38" s="118">
        <f t="shared" si="10"/>
        <v>0.5</v>
      </c>
      <c r="K38" s="119">
        <f t="shared" si="11"/>
        <v>0.5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>
        <v>0.5</v>
      </c>
      <c r="U38" s="24"/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476</v>
      </c>
      <c r="F39" s="7" t="s">
        <v>19</v>
      </c>
      <c r="G39" s="6" t="s">
        <v>454</v>
      </c>
      <c r="H39" s="190" t="s">
        <v>292</v>
      </c>
      <c r="I39" s="190" t="s">
        <v>466</v>
      </c>
      <c r="J39" s="118">
        <f t="shared" si="10"/>
        <v>84.113353844000031</v>
      </c>
      <c r="K39" s="119">
        <f t="shared" si="11"/>
        <v>84.113353844000031</v>
      </c>
      <c r="L39" s="119">
        <f t="shared" si="12"/>
        <v>0</v>
      </c>
      <c r="M39" s="15"/>
      <c r="N39" s="24"/>
      <c r="O39" s="24"/>
      <c r="P39" s="24"/>
      <c r="Q39" s="24"/>
      <c r="R39" s="24">
        <v>0.58334585999999988</v>
      </c>
      <c r="S39" s="24"/>
      <c r="T39" s="24">
        <v>83.530007984000036</v>
      </c>
      <c r="U39" s="24"/>
      <c r="V39" s="24"/>
      <c r="W39" s="24"/>
      <c r="X39" s="24"/>
      <c r="Y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476</v>
      </c>
      <c r="F40" s="7" t="s">
        <v>19</v>
      </c>
      <c r="G40" s="6" t="s">
        <v>293</v>
      </c>
      <c r="H40" s="190" t="s">
        <v>294</v>
      </c>
      <c r="I40" s="190" t="s">
        <v>466</v>
      </c>
      <c r="J40" s="118">
        <f t="shared" si="10"/>
        <v>85.520369584000008</v>
      </c>
      <c r="K40" s="119">
        <f t="shared" si="11"/>
        <v>85.520369584000008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>
        <v>85.520369584000008</v>
      </c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476</v>
      </c>
      <c r="F41" s="7" t="s">
        <v>19</v>
      </c>
      <c r="G41" s="6" t="s">
        <v>252</v>
      </c>
      <c r="H41" s="190" t="s">
        <v>295</v>
      </c>
      <c r="I41" s="190" t="s">
        <v>466</v>
      </c>
      <c r="J41" s="118">
        <f t="shared" si="10"/>
        <v>29.016749232000002</v>
      </c>
      <c r="K41" s="119">
        <f t="shared" si="11"/>
        <v>29.016749232000002</v>
      </c>
      <c r="L41" s="119">
        <f t="shared" si="12"/>
        <v>0</v>
      </c>
      <c r="M41" s="15"/>
      <c r="N41" s="24"/>
      <c r="O41" s="24"/>
      <c r="P41" s="24"/>
      <c r="Q41" s="24"/>
      <c r="R41" s="24">
        <v>0</v>
      </c>
      <c r="S41" s="24"/>
      <c r="T41" s="24">
        <v>28.889723032000003</v>
      </c>
      <c r="U41" s="24"/>
      <c r="V41" s="24"/>
      <c r="W41" s="24">
        <v>0.12702620000000001</v>
      </c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476</v>
      </c>
      <c r="F42" s="7" t="s">
        <v>19</v>
      </c>
      <c r="G42" s="6" t="s">
        <v>245</v>
      </c>
      <c r="H42" s="190" t="s">
        <v>288</v>
      </c>
      <c r="I42" s="190" t="s">
        <v>466</v>
      </c>
      <c r="J42" s="118">
        <f t="shared" si="10"/>
        <v>47.489586306999996</v>
      </c>
      <c r="K42" s="119">
        <f t="shared" si="11"/>
        <v>47.489586306999996</v>
      </c>
      <c r="L42" s="119">
        <f t="shared" si="12"/>
        <v>0</v>
      </c>
      <c r="M42" s="15"/>
      <c r="N42" s="24"/>
      <c r="O42" s="24"/>
      <c r="P42" s="24"/>
      <c r="Q42" s="24"/>
      <c r="R42" s="24">
        <v>3.7802319999999998</v>
      </c>
      <c r="S42" s="24"/>
      <c r="T42" s="24">
        <v>3.1594446069999997</v>
      </c>
      <c r="U42" s="24">
        <v>40.549909699999994</v>
      </c>
      <c r="V42" s="24"/>
      <c r="W42" s="24"/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476</v>
      </c>
      <c r="F43" s="7" t="s">
        <v>19</v>
      </c>
      <c r="G43" s="6" t="s">
        <v>251</v>
      </c>
      <c r="H43" s="190" t="s">
        <v>290</v>
      </c>
      <c r="I43" s="190" t="s">
        <v>466</v>
      </c>
      <c r="J43" s="118">
        <f t="shared" si="10"/>
        <v>3.6638405440000001</v>
      </c>
      <c r="K43" s="119">
        <f t="shared" si="11"/>
        <v>3.6638405440000001</v>
      </c>
      <c r="L43" s="119">
        <f t="shared" si="12"/>
        <v>0</v>
      </c>
      <c r="M43" s="15"/>
      <c r="N43" s="24"/>
      <c r="O43" s="24"/>
      <c r="P43" s="24"/>
      <c r="Q43" s="24"/>
      <c r="R43" s="24">
        <v>2.1568205440000003</v>
      </c>
      <c r="S43" s="24"/>
      <c r="T43" s="24">
        <v>1.50702</v>
      </c>
      <c r="U43" s="24"/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476</v>
      </c>
      <c r="F44" s="7" t="s">
        <v>19</v>
      </c>
      <c r="G44" s="6" t="s">
        <v>501</v>
      </c>
      <c r="H44" s="190" t="s">
        <v>290</v>
      </c>
      <c r="I44" s="190" t="s">
        <v>466</v>
      </c>
      <c r="J44" s="118">
        <f t="shared" si="10"/>
        <v>5.8217363960000013</v>
      </c>
      <c r="K44" s="119">
        <f t="shared" si="11"/>
        <v>5.8217363960000013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>
        <v>5.7400821960000012</v>
      </c>
      <c r="T44" s="24">
        <v>8.1654199999999996E-2</v>
      </c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477</v>
      </c>
      <c r="F45" s="7" t="s">
        <v>19</v>
      </c>
      <c r="G45" s="6" t="s">
        <v>454</v>
      </c>
      <c r="H45" s="190" t="s">
        <v>292</v>
      </c>
      <c r="I45" s="188" t="s">
        <v>466</v>
      </c>
      <c r="J45" s="118">
        <f t="shared" si="10"/>
        <v>10.006058019999999</v>
      </c>
      <c r="K45" s="119">
        <f t="shared" si="11"/>
        <v>10.006058019999999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>
        <v>10.006058019999999</v>
      </c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478</v>
      </c>
      <c r="F46" s="7" t="s">
        <v>19</v>
      </c>
      <c r="G46" s="6" t="s">
        <v>245</v>
      </c>
      <c r="H46" s="188" t="s">
        <v>288</v>
      </c>
      <c r="I46" s="188" t="s">
        <v>466</v>
      </c>
      <c r="J46" s="118">
        <f t="shared" si="10"/>
        <v>57.256929589999999</v>
      </c>
      <c r="K46" s="119">
        <f t="shared" si="11"/>
        <v>57.256929589999999</v>
      </c>
      <c r="L46" s="119">
        <f t="shared" si="12"/>
        <v>0</v>
      </c>
      <c r="M46" s="15"/>
      <c r="N46" s="24"/>
      <c r="O46" s="24"/>
      <c r="P46" s="24"/>
      <c r="Q46" s="24"/>
      <c r="R46" s="24">
        <v>57.256929589999999</v>
      </c>
      <c r="S46" s="24"/>
      <c r="T46" s="24"/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414</v>
      </c>
      <c r="F47" s="7" t="s">
        <v>19</v>
      </c>
      <c r="G47" s="6" t="s">
        <v>245</v>
      </c>
      <c r="H47" s="189" t="s">
        <v>288</v>
      </c>
      <c r="I47" s="189" t="s">
        <v>466</v>
      </c>
      <c r="J47" s="118">
        <f t="shared" si="10"/>
        <v>80.159701425999998</v>
      </c>
      <c r="K47" s="119">
        <f t="shared" si="11"/>
        <v>80.159701425999998</v>
      </c>
      <c r="L47" s="119">
        <f t="shared" si="12"/>
        <v>0</v>
      </c>
      <c r="M47" s="15"/>
      <c r="N47" s="24"/>
      <c r="O47" s="24"/>
      <c r="P47" s="24"/>
      <c r="Q47" s="24"/>
      <c r="R47" s="24">
        <v>80.159701425999998</v>
      </c>
      <c r="S47" s="24"/>
      <c r="T47" s="24"/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417</v>
      </c>
      <c r="F48" s="7" t="s">
        <v>19</v>
      </c>
      <c r="G48" s="6" t="s">
        <v>500</v>
      </c>
      <c r="H48" s="190" t="s">
        <v>305</v>
      </c>
      <c r="I48" s="190" t="s">
        <v>472</v>
      </c>
      <c r="J48" s="118">
        <f t="shared" si="10"/>
        <v>19.768845337000002</v>
      </c>
      <c r="K48" s="119">
        <f t="shared" si="11"/>
        <v>19.768845337000002</v>
      </c>
      <c r="L48" s="119">
        <f t="shared" si="12"/>
        <v>0</v>
      </c>
      <c r="M48" s="15"/>
      <c r="N48" s="24"/>
      <c r="O48" s="24"/>
      <c r="P48" s="24"/>
      <c r="Q48" s="24"/>
      <c r="R48" s="24">
        <v>19.768845337000002</v>
      </c>
      <c r="S48" s="24"/>
      <c r="T48" s="24"/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479</v>
      </c>
      <c r="F49" s="7" t="s">
        <v>19</v>
      </c>
      <c r="G49" s="6" t="s">
        <v>494</v>
      </c>
      <c r="H49" s="190" t="s">
        <v>299</v>
      </c>
      <c r="I49" s="190" t="s">
        <v>466</v>
      </c>
      <c r="J49" s="118">
        <f t="shared" si="10"/>
        <v>19.434423315</v>
      </c>
      <c r="K49" s="119">
        <f t="shared" si="11"/>
        <v>19.434423315</v>
      </c>
      <c r="L49" s="119">
        <f t="shared" si="12"/>
        <v>0</v>
      </c>
      <c r="M49" s="15"/>
      <c r="N49" s="24"/>
      <c r="O49" s="24"/>
      <c r="P49" s="24"/>
      <c r="Q49" s="24"/>
      <c r="R49" s="24">
        <v>18.171664578000001</v>
      </c>
      <c r="S49" s="24"/>
      <c r="T49" s="24"/>
      <c r="U49" s="24">
        <v>1.262758737</v>
      </c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480</v>
      </c>
      <c r="F50" s="7" t="s">
        <v>19</v>
      </c>
      <c r="G50" s="6" t="s">
        <v>502</v>
      </c>
      <c r="H50" s="190" t="s">
        <v>302</v>
      </c>
      <c r="I50" s="190" t="s">
        <v>466</v>
      </c>
      <c r="J50" s="118">
        <f t="shared" si="10"/>
        <v>91.311035562000001</v>
      </c>
      <c r="K50" s="119">
        <f t="shared" si="11"/>
        <v>91.311035562000001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>
        <v>91.311035562000001</v>
      </c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457</v>
      </c>
      <c r="F51" s="7" t="s">
        <v>19</v>
      </c>
      <c r="G51" s="6" t="s">
        <v>495</v>
      </c>
      <c r="H51" s="190" t="s">
        <v>319</v>
      </c>
      <c r="I51" s="190" t="s">
        <v>472</v>
      </c>
      <c r="J51" s="118">
        <f t="shared" si="10"/>
        <v>112.18356900000001</v>
      </c>
      <c r="K51" s="119">
        <f t="shared" si="11"/>
        <v>112.18356900000001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>
        <v>112.18356900000001</v>
      </c>
      <c r="T51" s="24"/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457</v>
      </c>
      <c r="F52" s="7" t="s">
        <v>19</v>
      </c>
      <c r="G52" s="6" t="s">
        <v>374</v>
      </c>
      <c r="H52" s="190" t="s">
        <v>317</v>
      </c>
      <c r="I52" s="190" t="s">
        <v>466</v>
      </c>
      <c r="J52" s="118">
        <f t="shared" si="10"/>
        <v>112.705931249</v>
      </c>
      <c r="K52" s="119">
        <f t="shared" si="11"/>
        <v>112.705931249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>
        <v>112.705931249</v>
      </c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450</v>
      </c>
      <c r="F53" s="7" t="s">
        <v>19</v>
      </c>
      <c r="G53" s="6" t="s">
        <v>258</v>
      </c>
      <c r="H53" s="190" t="s">
        <v>306</v>
      </c>
      <c r="I53" s="190" t="s">
        <v>466</v>
      </c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>
        <v>0</v>
      </c>
      <c r="S53" s="24"/>
      <c r="T53" s="24"/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450</v>
      </c>
      <c r="F54" s="7" t="s">
        <v>19</v>
      </c>
      <c r="G54" s="6" t="s">
        <v>282</v>
      </c>
      <c r="H54" s="190" t="s">
        <v>283</v>
      </c>
      <c r="I54" s="190" t="s">
        <v>466</v>
      </c>
      <c r="J54" s="118">
        <f t="shared" si="10"/>
        <v>0.93894539999999993</v>
      </c>
      <c r="K54" s="119">
        <f t="shared" si="11"/>
        <v>0.93894539999999993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>
        <v>0.93894539999999993</v>
      </c>
      <c r="U54" s="24"/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450</v>
      </c>
      <c r="F55" s="7" t="s">
        <v>19</v>
      </c>
      <c r="G55" s="6" t="s">
        <v>500</v>
      </c>
      <c r="H55" s="190" t="s">
        <v>305</v>
      </c>
      <c r="I55" s="190" t="s">
        <v>466</v>
      </c>
      <c r="J55" s="118">
        <f t="shared" si="10"/>
        <v>4.4249754340000012</v>
      </c>
      <c r="K55" s="119">
        <f t="shared" si="11"/>
        <v>4.4249754340000012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>
        <v>4.4249754340000012</v>
      </c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450</v>
      </c>
      <c r="F56" s="7" t="s">
        <v>19</v>
      </c>
      <c r="G56" s="6" t="s">
        <v>500</v>
      </c>
      <c r="H56" s="190" t="s">
        <v>305</v>
      </c>
      <c r="I56" s="190" t="s">
        <v>472</v>
      </c>
      <c r="J56" s="118">
        <f t="shared" si="10"/>
        <v>39.028384932999984</v>
      </c>
      <c r="K56" s="119">
        <f t="shared" si="11"/>
        <v>39.028384932999984</v>
      </c>
      <c r="L56" s="119">
        <f t="shared" si="12"/>
        <v>0</v>
      </c>
      <c r="M56" s="15"/>
      <c r="N56" s="24"/>
      <c r="O56" s="24"/>
      <c r="P56" s="24"/>
      <c r="Q56" s="24"/>
      <c r="R56" s="24">
        <v>16.673765806000002</v>
      </c>
      <c r="S56" s="24"/>
      <c r="T56" s="24"/>
      <c r="U56" s="24">
        <v>22.354619126999985</v>
      </c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450</v>
      </c>
      <c r="F57" s="7" t="s">
        <v>19</v>
      </c>
      <c r="G57" s="6" t="s">
        <v>256</v>
      </c>
      <c r="H57" s="190" t="s">
        <v>303</v>
      </c>
      <c r="I57" s="190" t="s">
        <v>466</v>
      </c>
      <c r="J57" s="118">
        <f t="shared" si="10"/>
        <v>37.653073534000001</v>
      </c>
      <c r="K57" s="119">
        <f t="shared" si="11"/>
        <v>37.653073534000001</v>
      </c>
      <c r="L57" s="119">
        <f t="shared" si="12"/>
        <v>0</v>
      </c>
      <c r="M57" s="15"/>
      <c r="N57" s="24"/>
      <c r="O57" s="24"/>
      <c r="P57" s="24"/>
      <c r="Q57" s="24"/>
      <c r="R57" s="24">
        <v>7.3439103909999988</v>
      </c>
      <c r="S57" s="24"/>
      <c r="T57" s="24"/>
      <c r="U57" s="24">
        <v>30.309163142999999</v>
      </c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496</v>
      </c>
      <c r="F58" s="7" t="s">
        <v>19</v>
      </c>
      <c r="G58" s="6" t="s">
        <v>500</v>
      </c>
      <c r="H58" s="190" t="s">
        <v>305</v>
      </c>
      <c r="I58" s="190" t="s">
        <v>472</v>
      </c>
      <c r="J58" s="118">
        <f t="shared" si="10"/>
        <v>6.0859211000000002</v>
      </c>
      <c r="K58" s="119">
        <f t="shared" si="11"/>
        <v>6.0859211000000002</v>
      </c>
      <c r="L58" s="119">
        <f t="shared" si="12"/>
        <v>0</v>
      </c>
      <c r="M58" s="15"/>
      <c r="N58" s="24"/>
      <c r="O58" s="24"/>
      <c r="P58" s="24"/>
      <c r="Q58" s="24"/>
      <c r="R58" s="24">
        <v>6.0859211000000002</v>
      </c>
      <c r="S58" s="24"/>
      <c r="T58" s="24"/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496</v>
      </c>
      <c r="F59" s="7" t="s">
        <v>19</v>
      </c>
      <c r="G59" s="6" t="s">
        <v>256</v>
      </c>
      <c r="H59" s="190" t="s">
        <v>303</v>
      </c>
      <c r="I59" s="190" t="s">
        <v>466</v>
      </c>
      <c r="J59" s="118">
        <f t="shared" si="10"/>
        <v>37.960738421999999</v>
      </c>
      <c r="K59" s="119">
        <f t="shared" si="11"/>
        <v>37.960738421999999</v>
      </c>
      <c r="L59" s="119">
        <f t="shared" si="12"/>
        <v>0</v>
      </c>
      <c r="M59" s="15"/>
      <c r="N59" s="24"/>
      <c r="O59" s="24"/>
      <c r="P59" s="24"/>
      <c r="Q59" s="24"/>
      <c r="R59" s="24">
        <v>6.8511271109999994</v>
      </c>
      <c r="S59" s="24"/>
      <c r="T59" s="24"/>
      <c r="U59" s="24">
        <v>31.109611311000002</v>
      </c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497</v>
      </c>
      <c r="F60" s="7" t="s">
        <v>19</v>
      </c>
      <c r="G60" s="6" t="s">
        <v>256</v>
      </c>
      <c r="H60" s="190" t="s">
        <v>303</v>
      </c>
      <c r="I60" s="190" t="s">
        <v>466</v>
      </c>
      <c r="J60" s="118">
        <f t="shared" si="10"/>
        <v>30.777910495</v>
      </c>
      <c r="K60" s="119">
        <f t="shared" si="11"/>
        <v>30.777910495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>
        <v>30.777910495</v>
      </c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441</v>
      </c>
      <c r="F61" s="7" t="s">
        <v>19</v>
      </c>
      <c r="G61" s="6" t="s">
        <v>441</v>
      </c>
      <c r="H61" s="190" t="s">
        <v>481</v>
      </c>
      <c r="I61" s="190" t="s">
        <v>466</v>
      </c>
      <c r="J61" s="118">
        <f t="shared" si="10"/>
        <v>697.84846073999995</v>
      </c>
      <c r="K61" s="119">
        <f t="shared" si="11"/>
        <v>697.84846073999995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>
        <v>697.84846073999995</v>
      </c>
      <c r="T61" s="24"/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482</v>
      </c>
      <c r="F62" s="7" t="s">
        <v>19</v>
      </c>
      <c r="G62" s="6" t="s">
        <v>258</v>
      </c>
      <c r="H62" s="190" t="s">
        <v>306</v>
      </c>
      <c r="I62" s="190" t="s">
        <v>466</v>
      </c>
      <c r="J62" s="118">
        <f t="shared" si="10"/>
        <v>4.6341460799999998</v>
      </c>
      <c r="K62" s="119">
        <f t="shared" si="11"/>
        <v>4.6341460799999998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>
        <v>4.6341460799999998</v>
      </c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 t="s">
        <v>483</v>
      </c>
      <c r="F63" s="7" t="s">
        <v>19</v>
      </c>
      <c r="G63" s="6" t="s">
        <v>258</v>
      </c>
      <c r="H63" s="190" t="s">
        <v>306</v>
      </c>
      <c r="I63" s="190" t="s">
        <v>466</v>
      </c>
      <c r="J63" s="118">
        <f t="shared" si="10"/>
        <v>23.937426839999993</v>
      </c>
      <c r="K63" s="119">
        <f t="shared" si="11"/>
        <v>23.937426839999993</v>
      </c>
      <c r="L63" s="119">
        <f t="shared" si="12"/>
        <v>0</v>
      </c>
      <c r="M63" s="15"/>
      <c r="N63" s="24"/>
      <c r="O63" s="24"/>
      <c r="P63" s="24"/>
      <c r="Q63" s="24"/>
      <c r="R63" s="24">
        <v>14.791876225999998</v>
      </c>
      <c r="S63" s="24"/>
      <c r="T63" s="24"/>
      <c r="U63" s="24">
        <v>9.1455506139999976</v>
      </c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6" t="s">
        <v>484</v>
      </c>
      <c r="F64" s="7" t="s">
        <v>19</v>
      </c>
      <c r="G64" s="6" t="s">
        <v>264</v>
      </c>
      <c r="H64" s="190" t="s">
        <v>310</v>
      </c>
      <c r="I64" s="190" t="s">
        <v>472</v>
      </c>
      <c r="J64" s="118">
        <f t="shared" si="10"/>
        <v>0.110184352</v>
      </c>
      <c r="K64" s="119">
        <f t="shared" si="11"/>
        <v>0.110184352</v>
      </c>
      <c r="L64" s="119">
        <f t="shared" si="12"/>
        <v>0</v>
      </c>
      <c r="N64" s="24"/>
      <c r="O64" s="24"/>
      <c r="P64" s="24"/>
      <c r="Q64" s="24"/>
      <c r="R64" s="24"/>
      <c r="S64" s="24">
        <v>0.110184352</v>
      </c>
      <c r="T64" s="24"/>
      <c r="U64" s="24"/>
      <c r="V64" s="24"/>
      <c r="W64" s="24"/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6" t="s">
        <v>484</v>
      </c>
      <c r="F65" s="7" t="s">
        <v>19</v>
      </c>
      <c r="G65" s="6" t="s">
        <v>500</v>
      </c>
      <c r="H65" s="190" t="s">
        <v>305</v>
      </c>
      <c r="I65" s="190" t="s">
        <v>472</v>
      </c>
      <c r="J65" s="118">
        <f t="shared" si="10"/>
        <v>6.8544928999999994</v>
      </c>
      <c r="K65" s="119">
        <f t="shared" si="11"/>
        <v>6.8544928999999994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6.8544928999999994</v>
      </c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6" t="s">
        <v>484</v>
      </c>
      <c r="F66" s="7" t="s">
        <v>19</v>
      </c>
      <c r="G66" s="6" t="s">
        <v>500</v>
      </c>
      <c r="H66" s="190" t="s">
        <v>305</v>
      </c>
      <c r="I66" s="190" t="s">
        <v>472</v>
      </c>
      <c r="J66" s="118">
        <f t="shared" si="10"/>
        <v>52.147988822000002</v>
      </c>
      <c r="K66" s="119">
        <f t="shared" si="11"/>
        <v>52.147988822000002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>
        <v>52.147988822000002</v>
      </c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6" t="s">
        <v>484</v>
      </c>
      <c r="F67" s="7" t="s">
        <v>19</v>
      </c>
      <c r="G67" s="6" t="s">
        <v>503</v>
      </c>
      <c r="H67" s="190" t="s">
        <v>311</v>
      </c>
      <c r="I67" s="190" t="s">
        <v>472</v>
      </c>
      <c r="J67" s="118">
        <f t="shared" si="10"/>
        <v>1.173521574</v>
      </c>
      <c r="K67" s="119">
        <f t="shared" si="11"/>
        <v>1.173521574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1.173521574</v>
      </c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6" t="s">
        <v>484</v>
      </c>
      <c r="F68" s="7" t="s">
        <v>19</v>
      </c>
      <c r="G68" s="6" t="s">
        <v>454</v>
      </c>
      <c r="H68" s="190" t="s">
        <v>292</v>
      </c>
      <c r="I68" s="190" t="s">
        <v>472</v>
      </c>
      <c r="J68" s="118">
        <f t="shared" si="10"/>
        <v>8.8069698539999983</v>
      </c>
      <c r="K68" s="119">
        <f t="shared" si="11"/>
        <v>8.8069698539999983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>
        <v>8.8069698539999983</v>
      </c>
      <c r="W68" s="24"/>
      <c r="X68" s="24"/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6" t="s">
        <v>484</v>
      </c>
      <c r="F69" s="7" t="s">
        <v>19</v>
      </c>
      <c r="G69" s="6" t="s">
        <v>370</v>
      </c>
      <c r="H69" s="190" t="s">
        <v>308</v>
      </c>
      <c r="I69" s="190" t="s">
        <v>472</v>
      </c>
      <c r="J69" s="118">
        <f t="shared" si="10"/>
        <v>29.382537231999997</v>
      </c>
      <c r="K69" s="119">
        <f t="shared" si="11"/>
        <v>29.382537231999997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>
        <v>29.382537231999997</v>
      </c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6" t="s">
        <v>451</v>
      </c>
      <c r="F70" s="7" t="s">
        <v>19</v>
      </c>
      <c r="G70" s="6" t="s">
        <v>504</v>
      </c>
      <c r="H70" s="190" t="s">
        <v>307</v>
      </c>
      <c r="I70" s="190" t="s">
        <v>466</v>
      </c>
      <c r="J70" s="118">
        <f t="shared" si="10"/>
        <v>33.387227053999993</v>
      </c>
      <c r="K70" s="119">
        <f t="shared" si="11"/>
        <v>33.387227053999993</v>
      </c>
      <c r="L70" s="119">
        <f t="shared" si="12"/>
        <v>0</v>
      </c>
      <c r="N70" s="24"/>
      <c r="O70" s="24"/>
      <c r="P70" s="24"/>
      <c r="Q70" s="24"/>
      <c r="R70" s="24">
        <v>33.387227053999993</v>
      </c>
      <c r="S70" s="24"/>
      <c r="T70" s="24"/>
      <c r="U70" s="24"/>
      <c r="V70" s="24"/>
      <c r="W70" s="24"/>
      <c r="X70" s="24"/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6" t="s">
        <v>451</v>
      </c>
      <c r="F71" s="7" t="s">
        <v>19</v>
      </c>
      <c r="G71" s="6" t="s">
        <v>504</v>
      </c>
      <c r="H71" s="190" t="s">
        <v>307</v>
      </c>
      <c r="I71" s="190" t="s">
        <v>472</v>
      </c>
      <c r="J71" s="118">
        <f t="shared" si="10"/>
        <v>22.184576131</v>
      </c>
      <c r="K71" s="119">
        <f t="shared" si="11"/>
        <v>22.184576131</v>
      </c>
      <c r="L71" s="119">
        <f t="shared" si="12"/>
        <v>0</v>
      </c>
      <c r="N71" s="24"/>
      <c r="O71" s="24"/>
      <c r="P71" s="24"/>
      <c r="Q71" s="24"/>
      <c r="R71" s="24">
        <v>0</v>
      </c>
      <c r="S71" s="24">
        <v>22.184576131</v>
      </c>
      <c r="T71" s="24"/>
      <c r="U71" s="24"/>
      <c r="V71" s="24"/>
      <c r="W71" s="24"/>
      <c r="X71" s="24"/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6" t="s">
        <v>451</v>
      </c>
      <c r="F72" s="7" t="s">
        <v>19</v>
      </c>
      <c r="G72" s="6" t="s">
        <v>370</v>
      </c>
      <c r="H72" s="190" t="s">
        <v>308</v>
      </c>
      <c r="I72" s="190" t="s">
        <v>466</v>
      </c>
      <c r="J72" s="118">
        <f t="shared" si="10"/>
        <v>2.1636036089999999</v>
      </c>
      <c r="K72" s="119">
        <f t="shared" si="11"/>
        <v>2.1636036089999999</v>
      </c>
      <c r="L72" s="119">
        <f t="shared" si="12"/>
        <v>0</v>
      </c>
      <c r="N72" s="24"/>
      <c r="O72" s="24"/>
      <c r="P72" s="24"/>
      <c r="Q72" s="24"/>
      <c r="R72" s="24">
        <v>2.1636036089999999</v>
      </c>
      <c r="S72" s="24"/>
      <c r="T72" s="24"/>
      <c r="U72" s="24"/>
      <c r="V72" s="24"/>
      <c r="W72" s="24"/>
      <c r="X72" s="24"/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6" t="s">
        <v>451</v>
      </c>
      <c r="F73" s="7" t="s">
        <v>19</v>
      </c>
      <c r="G73" s="6" t="s">
        <v>370</v>
      </c>
      <c r="H73" s="190" t="s">
        <v>308</v>
      </c>
      <c r="I73" s="190" t="s">
        <v>472</v>
      </c>
      <c r="J73" s="118">
        <f t="shared" si="10"/>
        <v>1.192590007</v>
      </c>
      <c r="K73" s="119">
        <f t="shared" si="11"/>
        <v>1.192590007</v>
      </c>
      <c r="L73" s="119">
        <f t="shared" si="12"/>
        <v>0</v>
      </c>
      <c r="N73" s="24"/>
      <c r="O73" s="24"/>
      <c r="P73" s="24"/>
      <c r="Q73" s="24"/>
      <c r="R73" s="24">
        <v>1.192590007</v>
      </c>
      <c r="S73" s="24"/>
      <c r="T73" s="24"/>
      <c r="U73" s="24"/>
      <c r="V73" s="24"/>
      <c r="W73" s="24"/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6" t="s">
        <v>485</v>
      </c>
      <c r="F74" s="7" t="s">
        <v>19</v>
      </c>
      <c r="G74" s="6" t="s">
        <v>505</v>
      </c>
      <c r="H74" s="188" t="s">
        <v>486</v>
      </c>
      <c r="I74" s="188" t="s">
        <v>472</v>
      </c>
      <c r="J74" s="118">
        <f t="shared" si="10"/>
        <v>213.87954048399999</v>
      </c>
      <c r="K74" s="119">
        <f t="shared" si="11"/>
        <v>213.87954048399999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>
        <v>194.212621329</v>
      </c>
      <c r="U74" s="24"/>
      <c r="V74" s="24">
        <v>19.666919154999999</v>
      </c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6" t="s">
        <v>485</v>
      </c>
      <c r="F75" s="7" t="s">
        <v>19</v>
      </c>
      <c r="G75" s="6" t="s">
        <v>420</v>
      </c>
      <c r="H75" s="188" t="s">
        <v>486</v>
      </c>
      <c r="I75" s="188" t="s">
        <v>472</v>
      </c>
      <c r="J75" s="118">
        <f t="shared" si="10"/>
        <v>280.29729058600003</v>
      </c>
      <c r="K75" s="119">
        <f t="shared" si="11"/>
        <v>280.29729058600003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>
        <v>280.29729058600003</v>
      </c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6" t="s">
        <v>268</v>
      </c>
      <c r="F76" s="7" t="s">
        <v>19</v>
      </c>
      <c r="G76" s="6" t="s">
        <v>374</v>
      </c>
      <c r="H76" s="189" t="s">
        <v>317</v>
      </c>
      <c r="I76" s="189" t="s">
        <v>466</v>
      </c>
      <c r="J76" s="118">
        <f t="shared" si="10"/>
        <v>226.03002572999998</v>
      </c>
      <c r="K76" s="119">
        <f t="shared" si="11"/>
        <v>226.03002572999998</v>
      </c>
      <c r="L76" s="119">
        <f t="shared" si="12"/>
        <v>0</v>
      </c>
      <c r="N76" s="24"/>
      <c r="O76" s="24"/>
      <c r="P76" s="24"/>
      <c r="Q76" s="24"/>
      <c r="R76" s="24">
        <v>70.101955853999996</v>
      </c>
      <c r="S76" s="24"/>
      <c r="T76" s="24"/>
      <c r="U76" s="24">
        <v>155.928069876</v>
      </c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6" t="s">
        <v>506</v>
      </c>
      <c r="F77" s="7" t="s">
        <v>19</v>
      </c>
      <c r="G77" s="6" t="s">
        <v>374</v>
      </c>
      <c r="H77" s="190" t="s">
        <v>317</v>
      </c>
      <c r="I77" s="190" t="s">
        <v>466</v>
      </c>
      <c r="J77" s="118">
        <f t="shared" si="10"/>
        <v>46.398697557000006</v>
      </c>
      <c r="K77" s="119">
        <f t="shared" si="11"/>
        <v>46.398697557000006</v>
      </c>
      <c r="L77" s="119">
        <f t="shared" si="12"/>
        <v>0</v>
      </c>
      <c r="N77" s="24"/>
      <c r="O77" s="24"/>
      <c r="P77" s="24"/>
      <c r="Q77" s="24"/>
      <c r="R77" s="24">
        <v>45.216042800000004</v>
      </c>
      <c r="S77" s="24">
        <v>1.1826547569999999</v>
      </c>
      <c r="T77" s="24"/>
      <c r="U77" s="24"/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6" t="s">
        <v>488</v>
      </c>
      <c r="F78" s="7" t="s">
        <v>19</v>
      </c>
      <c r="G78" s="6" t="s">
        <v>378</v>
      </c>
      <c r="H78" s="190" t="s">
        <v>290</v>
      </c>
      <c r="I78" s="190" t="s">
        <v>466</v>
      </c>
      <c r="J78" s="118">
        <f t="shared" si="10"/>
        <v>13.684561999999998</v>
      </c>
      <c r="K78" s="119">
        <f t="shared" si="11"/>
        <v>13.684561999999998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13.684561999999998</v>
      </c>
      <c r="V78" s="24"/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6" t="s">
        <v>489</v>
      </c>
      <c r="F79" s="7" t="s">
        <v>19</v>
      </c>
      <c r="G79" s="6" t="s">
        <v>247</v>
      </c>
      <c r="H79" s="236" t="s">
        <v>289</v>
      </c>
      <c r="I79" s="236" t="s">
        <v>466</v>
      </c>
      <c r="J79" s="118">
        <f t="shared" si="10"/>
        <v>0.12876121199999999</v>
      </c>
      <c r="K79" s="119">
        <f t="shared" si="11"/>
        <v>0.12876121199999999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>
        <v>0.12876121199999999</v>
      </c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6" t="s">
        <v>459</v>
      </c>
      <c r="F80" s="7" t="s">
        <v>19</v>
      </c>
      <c r="G80" s="6" t="s">
        <v>464</v>
      </c>
      <c r="H80" s="236" t="s">
        <v>461</v>
      </c>
      <c r="I80" s="236" t="s">
        <v>466</v>
      </c>
      <c r="J80" s="118">
        <f t="shared" si="10"/>
        <v>4.803295803000001</v>
      </c>
      <c r="K80" s="119">
        <f t="shared" si="11"/>
        <v>4.803295803000001</v>
      </c>
      <c r="L80" s="119">
        <f t="shared" si="12"/>
        <v>0</v>
      </c>
      <c r="N80" s="24"/>
      <c r="O80" s="24"/>
      <c r="P80" s="24"/>
      <c r="Q80" s="24"/>
      <c r="R80" s="24">
        <v>4.803295803000001</v>
      </c>
      <c r="S80" s="24"/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305" t="s">
        <v>449</v>
      </c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305" t="s">
        <v>450</v>
      </c>
      <c r="F83" s="341" t="s">
        <v>19</v>
      </c>
      <c r="G83" s="6"/>
      <c r="H83" s="11"/>
      <c r="I83" s="11"/>
      <c r="J83" s="118">
        <f t="shared" si="10"/>
        <v>14</v>
      </c>
      <c r="K83" s="119">
        <f t="shared" si="11"/>
        <v>14</v>
      </c>
      <c r="L83" s="119">
        <f t="shared" si="12"/>
        <v>0</v>
      </c>
      <c r="N83" s="24"/>
      <c r="O83" s="24"/>
      <c r="P83" s="24"/>
      <c r="Q83" s="24"/>
      <c r="R83" s="344">
        <v>14</v>
      </c>
      <c r="S83" s="344"/>
      <c r="T83" s="24"/>
      <c r="U83" s="24"/>
      <c r="V83" s="2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305" t="s">
        <v>451</v>
      </c>
      <c r="F84" s="341" t="s">
        <v>19</v>
      </c>
      <c r="G84" s="6"/>
      <c r="H84" s="11"/>
      <c r="I84" s="11"/>
      <c r="J84" s="118">
        <f t="shared" si="10"/>
        <v>12</v>
      </c>
      <c r="K84" s="119">
        <f t="shared" si="11"/>
        <v>12</v>
      </c>
      <c r="L84" s="119">
        <f t="shared" si="12"/>
        <v>0</v>
      </c>
      <c r="N84" s="24"/>
      <c r="O84" s="24"/>
      <c r="P84" s="24"/>
      <c r="Q84" s="24"/>
      <c r="R84" s="344">
        <v>12</v>
      </c>
      <c r="S84" s="344"/>
      <c r="T84" s="24"/>
      <c r="U84" s="24"/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305" t="s">
        <v>371</v>
      </c>
      <c r="F85" s="341" t="s">
        <v>19</v>
      </c>
      <c r="G85" s="6"/>
      <c r="H85" s="11"/>
      <c r="I85" s="11"/>
      <c r="J85" s="118">
        <f t="shared" si="10"/>
        <v>24</v>
      </c>
      <c r="K85" s="119">
        <f t="shared" si="11"/>
        <v>24</v>
      </c>
      <c r="L85" s="119">
        <f t="shared" si="12"/>
        <v>0</v>
      </c>
      <c r="N85" s="24"/>
      <c r="O85" s="24"/>
      <c r="P85" s="24"/>
      <c r="Q85" s="24"/>
      <c r="R85" s="344"/>
      <c r="S85" s="344">
        <v>24</v>
      </c>
      <c r="T85" s="2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360" t="s">
        <v>246</v>
      </c>
      <c r="F86" s="361" t="s">
        <v>19</v>
      </c>
      <c r="G86" s="6"/>
      <c r="H86" s="11"/>
      <c r="I86" s="11"/>
      <c r="J86" s="118">
        <f t="shared" si="10"/>
        <v>74</v>
      </c>
      <c r="K86" s="119">
        <f t="shared" si="11"/>
        <v>74</v>
      </c>
      <c r="L86" s="119">
        <f t="shared" si="12"/>
        <v>0</v>
      </c>
      <c r="N86" s="24"/>
      <c r="O86" s="24"/>
      <c r="P86" s="24"/>
      <c r="Q86" s="24"/>
      <c r="R86" s="367">
        <v>50</v>
      </c>
      <c r="S86" s="367">
        <v>24</v>
      </c>
      <c r="T86" s="24"/>
      <c r="U86" s="24"/>
      <c r="V86" s="24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305" t="s">
        <v>374</v>
      </c>
      <c r="F87" s="341" t="s">
        <v>19</v>
      </c>
      <c r="G87" s="6"/>
      <c r="H87" s="11"/>
      <c r="I87" s="11"/>
      <c r="J87" s="118">
        <f t="shared" si="10"/>
        <v>58</v>
      </c>
      <c r="K87" s="119">
        <f t="shared" si="11"/>
        <v>58</v>
      </c>
      <c r="L87" s="119">
        <f t="shared" si="12"/>
        <v>0</v>
      </c>
      <c r="N87" s="24"/>
      <c r="O87" s="24"/>
      <c r="P87" s="24"/>
      <c r="Q87" s="24"/>
      <c r="R87" s="344"/>
      <c r="S87" s="344">
        <v>58</v>
      </c>
      <c r="T87" s="24"/>
      <c r="U87" s="24"/>
      <c r="V87" s="2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6"/>
      <c r="F89" s="7"/>
      <c r="G89" s="6"/>
      <c r="H89" s="11"/>
      <c r="I89" s="11"/>
      <c r="J89" s="118">
        <f t="shared" ref="J89" si="13">+K89+L89</f>
        <v>0</v>
      </c>
      <c r="K89" s="119">
        <f t="shared" ref="K89" si="14">SUM(N89:Y89)</f>
        <v>0</v>
      </c>
      <c r="L89" s="119">
        <f t="shared" ref="L89" si="15">SUM(AA89:AL89)</f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2" spans="5:38">
      <c r="E92" s="191" t="s">
        <v>320</v>
      </c>
      <c r="F92" s="216">
        <v>46082</v>
      </c>
      <c r="G92" s="192">
        <v>428</v>
      </c>
      <c r="H92" s="271" t="s">
        <v>321</v>
      </c>
    </row>
    <row r="93" spans="5:38">
      <c r="E93" s="195" t="s">
        <v>452</v>
      </c>
      <c r="F93" s="217"/>
      <c r="G93" s="196">
        <v>59</v>
      </c>
      <c r="H93" s="271" t="s">
        <v>321</v>
      </c>
    </row>
    <row r="94" spans="5:38">
      <c r="E94" s="195" t="s">
        <v>453</v>
      </c>
      <c r="F94" s="217"/>
      <c r="G94" s="196">
        <v>305</v>
      </c>
      <c r="H94" s="271" t="s">
        <v>321</v>
      </c>
    </row>
    <row r="95" spans="5:38">
      <c r="E95" s="191" t="s">
        <v>320</v>
      </c>
      <c r="F95" s="216">
        <v>46112</v>
      </c>
      <c r="G95" s="192">
        <f>G92+G93-G94</f>
        <v>182</v>
      </c>
      <c r="H95" s="271" t="s">
        <v>321</v>
      </c>
    </row>
    <row r="97" spans="5:9">
      <c r="E97" s="356" t="s">
        <v>324</v>
      </c>
      <c r="F97" s="219"/>
      <c r="G97" s="202"/>
      <c r="H97" s="219" t="s">
        <v>325</v>
      </c>
    </row>
    <row r="98" spans="5:9">
      <c r="E98" s="290" t="s">
        <v>378</v>
      </c>
      <c r="F98" s="314"/>
      <c r="G98" s="315"/>
      <c r="H98" s="378">
        <v>50</v>
      </c>
    </row>
    <row r="99" spans="5:9">
      <c r="E99" s="315" t="s">
        <v>284</v>
      </c>
      <c r="F99" s="314"/>
      <c r="G99" s="315"/>
      <c r="H99" s="378">
        <v>1.509064532</v>
      </c>
    </row>
    <row r="100" spans="5:9">
      <c r="E100" s="315" t="s">
        <v>374</v>
      </c>
      <c r="F100" s="314"/>
      <c r="G100" s="315"/>
      <c r="H100" s="378">
        <v>87</v>
      </c>
    </row>
    <row r="101" spans="5:9">
      <c r="E101" s="315" t="s">
        <v>502</v>
      </c>
      <c r="F101" s="314"/>
      <c r="G101" s="315"/>
      <c r="H101" s="378">
        <f>91.311035562</f>
        <v>91.311035562000001</v>
      </c>
    </row>
    <row r="102" spans="5:9">
      <c r="E102" s="315" t="s">
        <v>247</v>
      </c>
      <c r="F102" s="314"/>
      <c r="G102" s="315"/>
      <c r="H102" s="378">
        <v>14</v>
      </c>
    </row>
    <row r="103" spans="5:9">
      <c r="E103" s="315" t="s">
        <v>454</v>
      </c>
      <c r="F103" s="314"/>
      <c r="G103" s="315"/>
      <c r="H103" s="378">
        <v>18</v>
      </c>
      <c r="I103" s="377"/>
    </row>
    <row r="104" spans="5:9">
      <c r="E104" s="201"/>
      <c r="F104" s="286"/>
      <c r="G104" s="287"/>
      <c r="H104" s="375"/>
    </row>
    <row r="105" spans="5:9">
      <c r="E105" s="263" t="s">
        <v>344</v>
      </c>
      <c r="F105" s="286"/>
      <c r="G105" s="287"/>
      <c r="H105" s="375">
        <f>SUM(H98:H104)</f>
        <v>261.820100094</v>
      </c>
    </row>
    <row r="106" spans="5:9">
      <c r="E106" s="205"/>
      <c r="F106" s="237"/>
      <c r="G106" s="205"/>
    </row>
    <row r="107" spans="5:9">
      <c r="E107" s="205"/>
      <c r="F107" s="237"/>
      <c r="G107" s="205"/>
    </row>
    <row r="108" spans="5:9">
      <c r="E108" s="205"/>
      <c r="F108" s="237"/>
      <c r="G108" s="205"/>
    </row>
    <row r="109" spans="5:9">
      <c r="E109" s="205"/>
      <c r="F109" s="237"/>
      <c r="G109" s="205"/>
    </row>
    <row r="110" spans="5:9">
      <c r="E110" s="205"/>
      <c r="F110" s="237"/>
      <c r="G110" s="205"/>
    </row>
    <row r="111" spans="5:9">
      <c r="E111" s="205"/>
      <c r="F111" s="237"/>
      <c r="G111" s="205"/>
    </row>
    <row r="112" spans="5:9">
      <c r="E112" s="205"/>
      <c r="F112" s="237"/>
      <c r="G112" s="205"/>
    </row>
    <row r="113" spans="4:9">
      <c r="E113" s="205"/>
      <c r="F113" s="237"/>
      <c r="G113" s="205"/>
    </row>
    <row r="114" spans="4:9">
      <c r="E114" s="205"/>
      <c r="F114" s="237"/>
      <c r="G114" s="205"/>
    </row>
    <row r="115" spans="4:9">
      <c r="E115" s="205"/>
      <c r="F115" s="237"/>
      <c r="G115" s="205"/>
    </row>
    <row r="116" spans="4:9">
      <c r="E116" s="151"/>
      <c r="F116" s="257"/>
      <c r="G116" s="151"/>
      <c r="H116" s="258"/>
    </row>
    <row r="117" spans="4:9">
      <c r="D117" s="151" t="s">
        <v>330</v>
      </c>
      <c r="E117" s="151" t="s">
        <v>330</v>
      </c>
      <c r="F117" s="151"/>
      <c r="G117" s="283">
        <f>'W17'!J19</f>
        <v>3398.1054440879993</v>
      </c>
      <c r="H117" s="258"/>
    </row>
    <row r="118" spans="4:9">
      <c r="D118" s="151" t="s">
        <v>331</v>
      </c>
      <c r="E118" s="151" t="s">
        <v>331</v>
      </c>
      <c r="F118" s="151"/>
      <c r="G118" s="283">
        <f>H105</f>
        <v>261.820100094</v>
      </c>
      <c r="H118" s="258"/>
    </row>
    <row r="119" spans="4:9">
      <c r="D119" s="151" t="s">
        <v>332</v>
      </c>
      <c r="E119" s="151" t="s">
        <v>332</v>
      </c>
      <c r="F119" s="151"/>
      <c r="G119" s="283">
        <f>J12-'W17'!J12</f>
        <v>193.72184959999998</v>
      </c>
      <c r="H119" s="258"/>
    </row>
    <row r="120" spans="4:9">
      <c r="D120" s="151" t="s">
        <v>333</v>
      </c>
      <c r="E120" s="151" t="s">
        <v>333</v>
      </c>
      <c r="F120" s="151"/>
      <c r="G120" s="283">
        <f>G117+G118-G119</f>
        <v>3466.2036945819991</v>
      </c>
      <c r="H120" s="258"/>
    </row>
    <row r="121" spans="4:9">
      <c r="D121" s="151" t="s">
        <v>334</v>
      </c>
      <c r="E121" s="151" t="s">
        <v>334</v>
      </c>
      <c r="F121" s="151"/>
      <c r="G121" s="283">
        <f>J19</f>
        <v>3501.5122239809998</v>
      </c>
      <c r="H121" s="258"/>
      <c r="I121" s="280"/>
    </row>
    <row r="122" spans="4:9">
      <c r="D122" s="151" t="s">
        <v>335</v>
      </c>
      <c r="E122" s="151" t="s">
        <v>335</v>
      </c>
      <c r="F122" s="151"/>
      <c r="G122" s="284">
        <f>G120-G121</f>
        <v>-35.30852939900069</v>
      </c>
      <c r="H122" s="259" t="s">
        <v>336</v>
      </c>
      <c r="I122" s="280"/>
    </row>
    <row r="123" spans="4:9">
      <c r="E123" s="151"/>
      <c r="F123" s="257"/>
      <c r="G123" s="151"/>
      <c r="H123" s="258"/>
    </row>
    <row r="124" spans="4:9">
      <c r="E124" s="227"/>
      <c r="F124" s="278"/>
      <c r="G124" s="227"/>
    </row>
    <row r="125" spans="4:9">
      <c r="E125" s="227"/>
      <c r="F125" s="278"/>
      <c r="G125" s="227"/>
    </row>
    <row r="126" spans="4:9">
      <c r="E126" s="227"/>
      <c r="F126" s="278"/>
      <c r="G126" s="227"/>
    </row>
    <row r="127" spans="4:9">
      <c r="E127" s="227"/>
      <c r="F127" s="278"/>
      <c r="G127" s="227"/>
    </row>
  </sheetData>
  <sheetProtection formatCells="0" formatColumns="0" formatRows="0" insertRows="0" deleteRows="0" autoFilter="0"/>
  <autoFilter ref="E23:AL232" xr:uid="{00000000-0009-0000-0000-000014000000}"/>
  <mergeCells count="1">
    <mergeCell ref="I4:J4"/>
  </mergeCells>
  <phoneticPr fontId="40"/>
  <dataValidations count="2">
    <dataValidation type="list" allowBlank="1" showInputMessage="1" showErrorMessage="1" sqref="F97 F24:F89" xr:uid="{5D642020-979B-4164-A9D0-5A5E8CA79ED4}">
      <formula1>Liste</formula1>
    </dataValidation>
    <dataValidation type="list" allowBlank="1" showInputMessage="1" showErrorMessage="1" sqref="G2" xr:uid="{00000000-0002-0000-1400-000001000000}">
      <formula1>SOCIETE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H101 H105 G117:G122" unlockedFormula="1"/>
  </ignoredError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2">
    <tabColor theme="3" tint="0.59999389629810485"/>
    <pageSetUpPr fitToPage="1"/>
  </sheetPr>
  <dimension ref="D1:AL121"/>
  <sheetViews>
    <sheetView showGridLines="0" topLeftCell="A2" zoomScale="69" zoomScaleNormal="80" workbookViewId="0">
      <selection activeCell="L2" sqref="L1:S1048576"/>
    </sheetView>
  </sheetViews>
  <sheetFormatPr defaultColWidth="8" defaultRowHeight="15"/>
  <cols>
    <col min="1" max="4" width="4" style="205" customWidth="1"/>
    <col min="5" max="5" width="36.140625" style="205" customWidth="1"/>
    <col min="6" max="6" width="14.28515625" style="237" customWidth="1"/>
    <col min="7" max="7" width="21.5703125" style="20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238" customWidth="1"/>
    <col min="15" max="24" width="12.140625" style="238" customWidth="1"/>
    <col min="25" max="25" width="12.140625" style="239" customWidth="1"/>
    <col min="26" max="26" width="3" style="205" customWidth="1"/>
    <col min="27" max="38" width="12.140625" style="205" customWidth="1"/>
    <col min="39" max="16384" width="8" style="205"/>
  </cols>
  <sheetData>
    <row r="1" spans="5:38" s="15" customFormat="1" ht="7.9" customHeight="1">
      <c r="F1" s="61"/>
      <c r="H1" s="61"/>
      <c r="I1" s="61"/>
      <c r="J1" s="61"/>
      <c r="K1" s="55"/>
      <c r="L1" s="55"/>
      <c r="M1" s="55"/>
      <c r="N1" s="56"/>
      <c r="O1" s="56"/>
      <c r="P1" s="57"/>
      <c r="Q1" s="57"/>
      <c r="R1" s="59"/>
      <c r="S1" s="56"/>
      <c r="T1" s="56"/>
      <c r="U1" s="56"/>
      <c r="V1" s="56"/>
      <c r="W1" s="60"/>
      <c r="X1" s="60"/>
      <c r="Y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s="15" customFormat="1" ht="4.1500000000000004" customHeight="1">
      <c r="E3" s="17"/>
      <c r="F3" s="61"/>
      <c r="G3" s="61"/>
      <c r="H3" s="61"/>
      <c r="I3" s="61"/>
      <c r="J3" s="61"/>
      <c r="K3" s="55"/>
      <c r="L3" s="55"/>
      <c r="M3" s="55"/>
      <c r="N3" s="56"/>
      <c r="O3" s="56"/>
      <c r="P3" s="58"/>
      <c r="Q3" s="58"/>
      <c r="R3" s="72"/>
      <c r="S3" s="73"/>
      <c r="T3" s="56"/>
      <c r="U3" s="56"/>
      <c r="V3" s="56"/>
      <c r="W3" s="60"/>
      <c r="X3" s="60"/>
      <c r="Y3" s="60"/>
    </row>
    <row r="4" spans="5:38" s="15" customFormat="1" ht="19.5" customHeight="1">
      <c r="E4" s="164" t="s">
        <v>217</v>
      </c>
      <c r="F4" s="61"/>
      <c r="G4" s="163" t="s">
        <v>93</v>
      </c>
      <c r="H4" s="61"/>
      <c r="I4" s="445" t="s">
        <v>218</v>
      </c>
      <c r="J4" s="445"/>
      <c r="K4" s="55"/>
      <c r="L4" s="55"/>
      <c r="M4" s="55"/>
      <c r="N4" s="55"/>
      <c r="O4" s="74"/>
      <c r="P4" s="58"/>
      <c r="Q4" s="58"/>
      <c r="R4" s="72"/>
      <c r="S4" s="73"/>
      <c r="T4" s="56"/>
      <c r="U4" s="56"/>
      <c r="V4" s="56"/>
      <c r="W4" s="60"/>
      <c r="X4" s="60"/>
      <c r="Y4" s="60"/>
    </row>
    <row r="5" spans="5:38" s="15" customFormat="1" ht="4.1500000000000004" customHeight="1">
      <c r="E5" s="164"/>
      <c r="F5" s="61"/>
      <c r="G5" s="61"/>
      <c r="H5" s="61"/>
      <c r="I5" s="64"/>
      <c r="J5" s="61"/>
      <c r="K5" s="55"/>
      <c r="L5" s="55"/>
      <c r="M5" s="55"/>
      <c r="N5" s="55"/>
      <c r="O5" s="74"/>
      <c r="P5" s="58"/>
      <c r="Q5" s="58"/>
      <c r="R5" s="72"/>
      <c r="S5" s="73"/>
      <c r="T5" s="56"/>
      <c r="U5" s="56"/>
      <c r="V5" s="56"/>
      <c r="W5" s="60"/>
      <c r="X5" s="60"/>
      <c r="Y5" s="60"/>
    </row>
    <row r="6" spans="5:38" s="15" customFormat="1" ht="19.5" customHeight="1">
      <c r="E6" s="164" t="s">
        <v>219</v>
      </c>
      <c r="F6" s="61"/>
      <c r="G6" s="163" t="str">
        <f>+VLOOKUP(G4, parameters!G:H, 2, 0)</f>
        <v>May</v>
      </c>
      <c r="H6" s="61"/>
      <c r="I6" s="61"/>
      <c r="J6" s="61"/>
      <c r="K6" s="55"/>
      <c r="L6" s="55"/>
      <c r="M6" s="55"/>
      <c r="N6" s="55"/>
      <c r="O6" s="74"/>
      <c r="P6" s="58"/>
      <c r="Q6" s="58"/>
      <c r="R6" s="72"/>
      <c r="S6" s="73"/>
      <c r="T6" s="56"/>
      <c r="U6" s="56"/>
      <c r="V6" s="56"/>
      <c r="W6" s="60"/>
      <c r="X6" s="60"/>
      <c r="Y6" s="60"/>
    </row>
    <row r="7" spans="5:38" s="15" customFormat="1" ht="4.1500000000000004" customHeight="1" thickBot="1">
      <c r="E7" s="63"/>
      <c r="F7" s="75"/>
      <c r="G7" s="61"/>
      <c r="H7" s="61"/>
      <c r="I7" s="61"/>
      <c r="J7" s="61"/>
      <c r="K7" s="55"/>
      <c r="L7" s="55"/>
      <c r="M7" s="55"/>
      <c r="N7" s="55"/>
      <c r="O7" s="74"/>
      <c r="P7" s="58"/>
      <c r="Q7" s="58"/>
      <c r="R7" s="72"/>
      <c r="S7" s="73"/>
      <c r="T7" s="56"/>
      <c r="U7" s="56"/>
      <c r="V7" s="56"/>
      <c r="W7" s="60"/>
      <c r="X7" s="60"/>
      <c r="Y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W19</v>
      </c>
      <c r="I9" s="61"/>
      <c r="J9" s="161" t="str">
        <f>+"from "&amp;G6&amp;" 1 until end of "&amp;G4</f>
        <v>from May 1 until end of W19</v>
      </c>
      <c r="K9" s="79"/>
      <c r="L9" s="167" t="str">
        <f>+G6</f>
        <v>May</v>
      </c>
      <c r="M9" s="80"/>
      <c r="N9" s="80"/>
      <c r="O9" s="172" t="str">
        <f>+G4</f>
        <v>W19</v>
      </c>
      <c r="P9" s="173" t="str">
        <f>+VLOOKUP(G4, parameters!$G$9:$I$61,3,0)</f>
        <v>W18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s="15" customFormat="1" ht="20.45" customHeight="1">
      <c r="E10" s="84" t="s">
        <v>223</v>
      </c>
      <c r="F10" s="85"/>
      <c r="G10" s="85"/>
      <c r="H10" s="159">
        <f>600+320+797+430+J10</f>
        <v>2262</v>
      </c>
      <c r="I10" s="61"/>
      <c r="J10" s="159">
        <v>115</v>
      </c>
      <c r="K10" s="55"/>
      <c r="L10" s="16">
        <f>R17+J10</f>
        <v>799.12788242800002</v>
      </c>
      <c r="M10" s="55"/>
      <c r="N10" s="55"/>
      <c r="O10" s="170">
        <f>+H10+K17</f>
        <v>5746.5916411859998</v>
      </c>
      <c r="P10" s="171" cm="1">
        <f t="array" aca="1" ref="P10" ca="1">INDIRECT(ADDRESS(10,15,,,VLOOKUP($G$4,parameters!$G:$I,3,0)))</f>
        <v>5677.2521128539993</v>
      </c>
      <c r="Q10" s="183">
        <f ca="1">O10-P10</f>
        <v>69.339528332000555</v>
      </c>
      <c r="R10" s="86"/>
      <c r="S10" s="56"/>
      <c r="T10" s="56"/>
      <c r="U10" s="56"/>
      <c r="V10" s="56"/>
      <c r="W10" s="56"/>
      <c r="X10" s="56"/>
      <c r="Y10" s="60"/>
    </row>
    <row r="11" spans="5:38" s="15" customFormat="1" ht="20.45" customHeight="1">
      <c r="E11" s="87" t="s">
        <v>224</v>
      </c>
      <c r="F11" s="88"/>
      <c r="G11" s="89"/>
      <c r="H11" s="16">
        <f>13+8+3+3+J11</f>
        <v>29</v>
      </c>
      <c r="I11" s="61"/>
      <c r="J11" s="16">
        <v>2</v>
      </c>
      <c r="K11" s="55"/>
      <c r="L11" s="16">
        <f>R18+J11</f>
        <v>12.260111127</v>
      </c>
      <c r="M11" s="55"/>
      <c r="N11" s="55"/>
      <c r="O11" s="152">
        <f>+H11+K18</f>
        <v>39.260111127000002</v>
      </c>
      <c r="P11" s="153" cm="1">
        <f t="array" aca="1" ref="P11" ca="1">INDIRECT(ADDRESS(11,15,,,VLOOKUP($G$4,parameters!$G:$I,3,0)))</f>
        <v>37.260111127000002</v>
      </c>
      <c r="Q11" s="184">
        <f t="shared" ref="Q11:Q12" ca="1" si="0">O11-P11</f>
        <v>2</v>
      </c>
      <c r="R11" s="86"/>
      <c r="S11" s="74" t="s">
        <v>225</v>
      </c>
      <c r="T11" s="56"/>
      <c r="U11" s="56"/>
      <c r="V11" s="56"/>
      <c r="W11" s="56"/>
      <c r="X11" s="56"/>
      <c r="Y11" s="60"/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2291</v>
      </c>
      <c r="I12" s="61"/>
      <c r="J12" s="126">
        <f>SUM(J10:J11)</f>
        <v>117</v>
      </c>
      <c r="K12" s="65"/>
      <c r="L12" s="126">
        <f>SUM(L10:L11)</f>
        <v>811.38799355499998</v>
      </c>
      <c r="M12" s="65"/>
      <c r="N12" s="65"/>
      <c r="O12" s="154">
        <f>SUM(O10:O11)</f>
        <v>5785.8517523129995</v>
      </c>
      <c r="P12" s="155">
        <f ca="1">SUM(P10:P11)</f>
        <v>5714.5122239809989</v>
      </c>
      <c r="Q12" s="156">
        <f t="shared" ca="1" si="0"/>
        <v>71.339528332000555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s="15" customFormat="1" ht="4.1500000000000004" customHeight="1">
      <c r="E13" s="71"/>
      <c r="F13" s="61"/>
      <c r="G13" s="61"/>
      <c r="H13" s="61"/>
      <c r="I13" s="61"/>
      <c r="J13" s="61"/>
      <c r="K13" s="55"/>
      <c r="L13" s="55"/>
      <c r="M13" s="55"/>
      <c r="N13" s="55"/>
      <c r="O13" s="56"/>
      <c r="P13" s="56"/>
      <c r="Q13" s="56"/>
      <c r="R13" s="56"/>
      <c r="S13" s="56"/>
      <c r="T13" s="56"/>
      <c r="U13" s="56"/>
      <c r="V13" s="56"/>
      <c r="W13" s="60"/>
      <c r="X13" s="60"/>
      <c r="Y13" s="60"/>
    </row>
    <row r="14" spans="5:38" s="15" customFormat="1" ht="4.1500000000000004" customHeight="1">
      <c r="E14" s="71"/>
      <c r="F14" s="61"/>
      <c r="G14" s="61"/>
      <c r="H14" s="61"/>
      <c r="I14" s="61"/>
      <c r="J14" s="61"/>
      <c r="K14" s="55"/>
      <c r="L14" s="55"/>
      <c r="M14" s="55"/>
      <c r="N14" s="55"/>
      <c r="O14" s="56"/>
      <c r="P14" s="56"/>
      <c r="Q14" s="56"/>
      <c r="R14" s="56"/>
      <c r="S14" s="56"/>
      <c r="T14" s="56"/>
      <c r="U14" s="56"/>
      <c r="V14" s="56"/>
      <c r="W14" s="60"/>
      <c r="X14" s="60"/>
      <c r="Y14" s="60"/>
    </row>
    <row r="15" spans="5:38" s="15" customFormat="1" ht="3.6" customHeight="1">
      <c r="F15" s="61"/>
      <c r="G15" s="61"/>
      <c r="H15" s="61"/>
      <c r="I15" s="61"/>
      <c r="J15" s="61"/>
      <c r="K15" s="55"/>
      <c r="L15" s="55"/>
      <c r="M15" s="55"/>
      <c r="N15" s="56"/>
      <c r="O15" s="56"/>
      <c r="P15" s="56"/>
      <c r="Q15" s="56"/>
      <c r="R15" s="56"/>
      <c r="S15" s="56"/>
      <c r="T15" s="56"/>
      <c r="U15" s="56"/>
      <c r="V15" s="56"/>
      <c r="W15" s="60"/>
      <c r="X15" s="60"/>
      <c r="Y15" s="60"/>
    </row>
    <row r="16" spans="5:38" s="15" customFormat="1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s="15" customFormat="1" ht="14.25">
      <c r="E17" s="120" t="s">
        <v>19</v>
      </c>
      <c r="F17" s="121"/>
      <c r="G17" s="121"/>
      <c r="H17" s="121"/>
      <c r="I17" s="121"/>
      <c r="J17" s="108">
        <f>+SUMIF($F$24:$F$99,"External",$J$24:$J$99)</f>
        <v>3484.5916411860003</v>
      </c>
      <c r="K17" s="108">
        <f>+SUMIF($F$24:$F$99,"External",$K$24:$K$99)</f>
        <v>3484.5916411860003</v>
      </c>
      <c r="L17" s="109">
        <f>+SUMIF($F$24:$F$99,"External",$L$24:$L$99)</f>
        <v>0</v>
      </c>
      <c r="M17" s="110"/>
      <c r="N17" s="111">
        <f t="shared" ref="N17:Y17" si="1">+SUMIF($F$24:$F$99,"External",N$24:N$99)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684.12788242800002</v>
      </c>
      <c r="S17" s="111">
        <f t="shared" si="1"/>
        <v>1297.793902851</v>
      </c>
      <c r="T17" s="111">
        <f t="shared" si="1"/>
        <v>869.31652570599999</v>
      </c>
      <c r="U17" s="111">
        <f t="shared" si="1"/>
        <v>209.50108327199999</v>
      </c>
      <c r="V17" s="111">
        <f t="shared" si="1"/>
        <v>299.96420974100005</v>
      </c>
      <c r="W17" s="111">
        <f t="shared" si="1"/>
        <v>5.0183849000000009</v>
      </c>
      <c r="X17" s="111">
        <f t="shared" si="1"/>
        <v>118.86965228800003</v>
      </c>
      <c r="Y17" s="111">
        <f t="shared" si="1"/>
        <v>0</v>
      </c>
      <c r="Z17" s="112"/>
      <c r="AA17" s="111">
        <f t="shared" ref="AA17:AL17" si="2">+SUMIF($F$24:$F$99,"External",AA$24:AA$99)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s="15" customFormat="1" ht="14.25">
      <c r="E18" s="122" t="s">
        <v>17</v>
      </c>
      <c r="F18" s="123"/>
      <c r="G18" s="123"/>
      <c r="H18" s="123"/>
      <c r="I18" s="123"/>
      <c r="J18" s="113">
        <f>+SUMIF($F$24:$F$99,"Group",$J$24:$J$99)</f>
        <v>10.260111127</v>
      </c>
      <c r="K18" s="113">
        <f>+SUMIF($F$24:$F$99,"Group",$K$24:$K$99)</f>
        <v>10.260111127</v>
      </c>
      <c r="L18" s="114">
        <f>SUMIF($F$24:$F$99,"Group",$L$24:$L$99)</f>
        <v>0</v>
      </c>
      <c r="M18" s="110"/>
      <c r="N18" s="114">
        <f t="shared" ref="N18:Y18" si="3">+SUMIF($F$24:$F$99,"Group",N$24:N$99)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10.260111127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+SUMIF($F$24:$F$99,"Group",AA$24:AA$99)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 s="15" customFormat="1">
      <c r="E19" s="124" t="s">
        <v>226</v>
      </c>
      <c r="F19" s="125"/>
      <c r="G19" s="125"/>
      <c r="H19" s="125"/>
      <c r="I19" s="125"/>
      <c r="J19" s="115">
        <f>SUM(J17:J18)</f>
        <v>3494.8517523130004</v>
      </c>
      <c r="K19" s="115">
        <f>SUM(K17:K18)</f>
        <v>3494.8517523130004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694.38799355499998</v>
      </c>
      <c r="S19" s="116">
        <f t="shared" si="5"/>
        <v>1297.793902851</v>
      </c>
      <c r="T19" s="116">
        <f t="shared" si="5"/>
        <v>869.31652570599999</v>
      </c>
      <c r="U19" s="116">
        <f t="shared" si="5"/>
        <v>209.50108327199999</v>
      </c>
      <c r="V19" s="116">
        <f t="shared" si="5"/>
        <v>299.96420974100005</v>
      </c>
      <c r="W19" s="116">
        <f t="shared" si="5"/>
        <v>5.0183849000000009</v>
      </c>
      <c r="X19" s="116">
        <f t="shared" si="5"/>
        <v>118.86965228800003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s="15" customFormat="1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s="15" customFormat="1" ht="18">
      <c r="E21" s="17"/>
      <c r="F21" s="18"/>
      <c r="G21" s="18"/>
      <c r="H21" s="18"/>
      <c r="I21" s="18" t="s">
        <v>231</v>
      </c>
      <c r="J21" s="25" t="str">
        <f>IF(SUM(J24:J99)=J19,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s="15" customFormat="1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 s="15" customFormat="1">
      <c r="D24" s="151" t="s">
        <v>233</v>
      </c>
      <c r="E24" s="6" t="s">
        <v>507</v>
      </c>
      <c r="F24" s="7" t="s">
        <v>19</v>
      </c>
      <c r="G24" s="6" t="s">
        <v>464</v>
      </c>
      <c r="H24" s="187" t="s">
        <v>461</v>
      </c>
      <c r="I24" s="187" t="s">
        <v>472</v>
      </c>
      <c r="J24" s="118">
        <f t="shared" ref="J24" si="7">+K24+L24</f>
        <v>36.649137400000001</v>
      </c>
      <c r="K24" s="119">
        <f t="shared" ref="K24" si="8">SUM(N24:Y24)</f>
        <v>36.649137400000001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>
        <v>36.649137400000001</v>
      </c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 s="15" customFormat="1">
      <c r="E25" s="6" t="s">
        <v>467</v>
      </c>
      <c r="F25" s="7" t="s">
        <v>19</v>
      </c>
      <c r="G25" s="6" t="s">
        <v>237</v>
      </c>
      <c r="H25" s="188" t="s">
        <v>277</v>
      </c>
      <c r="I25" s="188" t="s">
        <v>466</v>
      </c>
      <c r="J25" s="118">
        <f t="shared" ref="J25:J88" si="10">+K25+L25</f>
        <v>5.0559082999999996</v>
      </c>
      <c r="K25" s="119">
        <f t="shared" ref="K25:K88" si="11">SUM(N25:Y25)</f>
        <v>5.0559082999999996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>
        <v>5.0559082999999996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s="15" customFormat="1" ht="15.75" customHeight="1">
      <c r="E26" s="6" t="s">
        <v>468</v>
      </c>
      <c r="F26" s="7" t="s">
        <v>19</v>
      </c>
      <c r="G26" s="6" t="s">
        <v>239</v>
      </c>
      <c r="H26" s="188" t="s">
        <v>278</v>
      </c>
      <c r="I26" s="188" t="s">
        <v>466</v>
      </c>
      <c r="J26" s="118">
        <f t="shared" si="10"/>
        <v>6.4492737049999995</v>
      </c>
      <c r="K26" s="119">
        <f t="shared" si="11"/>
        <v>6.4492737049999995</v>
      </c>
      <c r="L26" s="119">
        <f t="shared" si="12"/>
        <v>0</v>
      </c>
      <c r="M26" s="23"/>
      <c r="N26" s="24"/>
      <c r="O26" s="24"/>
      <c r="P26" s="24"/>
      <c r="Q26" s="24"/>
      <c r="R26" s="24">
        <v>1.6548602190000001</v>
      </c>
      <c r="S26" s="24"/>
      <c r="T26" s="24"/>
      <c r="U26" s="24">
        <v>4.7944134859999998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 s="15" customFormat="1">
      <c r="E27" s="6" t="s">
        <v>469</v>
      </c>
      <c r="F27" s="7" t="s">
        <v>19</v>
      </c>
      <c r="G27" s="6" t="s">
        <v>237</v>
      </c>
      <c r="H27" s="188" t="s">
        <v>277</v>
      </c>
      <c r="I27" s="188" t="s">
        <v>466</v>
      </c>
      <c r="J27" s="118">
        <f t="shared" si="10"/>
        <v>8.2520863759999994</v>
      </c>
      <c r="K27" s="119">
        <f t="shared" si="11"/>
        <v>8.2520863759999994</v>
      </c>
      <c r="L27" s="119">
        <f t="shared" si="12"/>
        <v>0</v>
      </c>
      <c r="M27" s="23"/>
      <c r="N27" s="24"/>
      <c r="O27" s="24"/>
      <c r="P27" s="24"/>
      <c r="Q27" s="24"/>
      <c r="R27" s="24">
        <v>8.2520863759999994</v>
      </c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 s="15" customFormat="1">
      <c r="E28" s="6" t="s">
        <v>470</v>
      </c>
      <c r="F28" s="7" t="s">
        <v>19</v>
      </c>
      <c r="G28" s="6" t="s">
        <v>279</v>
      </c>
      <c r="H28" s="188" t="s">
        <v>280</v>
      </c>
      <c r="I28" s="188" t="s">
        <v>472</v>
      </c>
      <c r="J28" s="118">
        <f t="shared" si="10"/>
        <v>193.32546404599998</v>
      </c>
      <c r="K28" s="119">
        <f t="shared" si="11"/>
        <v>193.32546404599998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>
        <v>114.94815476300001</v>
      </c>
      <c r="T28" s="24">
        <v>45.765230900000006</v>
      </c>
      <c r="U28" s="24">
        <v>32.612078382999997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 s="15" customFormat="1">
      <c r="E29" s="6" t="s">
        <v>281</v>
      </c>
      <c r="F29" s="7" t="s">
        <v>19</v>
      </c>
      <c r="G29" s="6" t="s">
        <v>282</v>
      </c>
      <c r="H29" s="189" t="s">
        <v>283</v>
      </c>
      <c r="I29" s="189" t="s">
        <v>472</v>
      </c>
      <c r="J29" s="118">
        <f t="shared" si="10"/>
        <v>23.816704992999998</v>
      </c>
      <c r="K29" s="119">
        <f t="shared" si="11"/>
        <v>23.816704992999998</v>
      </c>
      <c r="L29" s="119">
        <f t="shared" si="12"/>
        <v>0</v>
      </c>
      <c r="M29" s="23"/>
      <c r="N29" s="24"/>
      <c r="O29" s="24"/>
      <c r="P29" s="24"/>
      <c r="Q29" s="24"/>
      <c r="R29" s="24">
        <v>0.52151288699999998</v>
      </c>
      <c r="S29" s="24"/>
      <c r="T29" s="24"/>
      <c r="U29" s="24"/>
      <c r="V29" s="24"/>
      <c r="W29" s="24"/>
      <c r="X29" s="24">
        <v>23.295192105999998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 s="15" customFormat="1">
      <c r="E30" s="6" t="s">
        <v>446</v>
      </c>
      <c r="F30" s="7" t="s">
        <v>19</v>
      </c>
      <c r="G30" s="6" t="s">
        <v>493</v>
      </c>
      <c r="H30" s="190" t="s">
        <v>339</v>
      </c>
      <c r="I30" s="190" t="s">
        <v>472</v>
      </c>
      <c r="J30" s="118">
        <f t="shared" si="10"/>
        <v>3.1289627279999999</v>
      </c>
      <c r="K30" s="119">
        <f t="shared" si="11"/>
        <v>3.1289627279999999</v>
      </c>
      <c r="L30" s="119">
        <f t="shared" si="12"/>
        <v>0</v>
      </c>
      <c r="M30" s="23"/>
      <c r="N30" s="24"/>
      <c r="O30" s="24"/>
      <c r="P30" s="24"/>
      <c r="Q30" s="24"/>
      <c r="R30" s="24">
        <v>3.1289627279999999</v>
      </c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 s="15" customFormat="1">
      <c r="E31" s="6" t="s">
        <v>446</v>
      </c>
      <c r="F31" s="7" t="s">
        <v>19</v>
      </c>
      <c r="G31" s="6" t="s">
        <v>285</v>
      </c>
      <c r="H31" s="190" t="s">
        <v>286</v>
      </c>
      <c r="I31" s="190" t="s">
        <v>472</v>
      </c>
      <c r="J31" s="118">
        <f t="shared" si="10"/>
        <v>2.6647181619999998</v>
      </c>
      <c r="K31" s="119">
        <f t="shared" si="11"/>
        <v>2.6647181619999998</v>
      </c>
      <c r="L31" s="119">
        <f t="shared" si="12"/>
        <v>0</v>
      </c>
      <c r="M31" s="23"/>
      <c r="N31" s="24"/>
      <c r="O31" s="24"/>
      <c r="P31" s="24"/>
      <c r="Q31" s="24"/>
      <c r="R31" s="24">
        <v>2.6647181619999998</v>
      </c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 s="15" customFormat="1">
      <c r="E32" s="6" t="s">
        <v>473</v>
      </c>
      <c r="F32" s="7" t="s">
        <v>17</v>
      </c>
      <c r="G32" s="6" t="s">
        <v>285</v>
      </c>
      <c r="H32" s="190" t="s">
        <v>286</v>
      </c>
      <c r="I32" s="190" t="s">
        <v>472</v>
      </c>
      <c r="J32" s="118">
        <f t="shared" si="10"/>
        <v>10.260111127</v>
      </c>
      <c r="K32" s="119">
        <f t="shared" si="11"/>
        <v>10.260111127</v>
      </c>
      <c r="L32" s="119">
        <f t="shared" si="12"/>
        <v>0</v>
      </c>
      <c r="N32" s="24"/>
      <c r="O32" s="24"/>
      <c r="P32" s="24"/>
      <c r="Q32" s="24"/>
      <c r="R32" s="24">
        <v>10.260111127</v>
      </c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 s="15" customFormat="1">
      <c r="E33" s="6" t="s">
        <v>474</v>
      </c>
      <c r="F33" s="7" t="s">
        <v>19</v>
      </c>
      <c r="G33" s="6" t="s">
        <v>279</v>
      </c>
      <c r="H33" s="190" t="s">
        <v>280</v>
      </c>
      <c r="I33" s="190" t="s">
        <v>472</v>
      </c>
      <c r="J33" s="118">
        <f t="shared" si="10"/>
        <v>114.986673357</v>
      </c>
      <c r="K33" s="119">
        <f t="shared" si="11"/>
        <v>114.986673357</v>
      </c>
      <c r="L33" s="119">
        <f t="shared" si="12"/>
        <v>0</v>
      </c>
      <c r="N33" s="24"/>
      <c r="O33" s="24"/>
      <c r="P33" s="24"/>
      <c r="Q33" s="24"/>
      <c r="R33" s="24"/>
      <c r="S33" s="24"/>
      <c r="T33" s="24">
        <v>114.986673357</v>
      </c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 s="15" customFormat="1">
      <c r="E34" s="6" t="s">
        <v>475</v>
      </c>
      <c r="F34" s="7" t="s">
        <v>19</v>
      </c>
      <c r="G34" s="6" t="s">
        <v>245</v>
      </c>
      <c r="H34" s="190" t="s">
        <v>288</v>
      </c>
      <c r="I34" s="190" t="s">
        <v>466</v>
      </c>
      <c r="J34" s="118">
        <f t="shared" si="10"/>
        <v>12.006004425</v>
      </c>
      <c r="K34" s="119">
        <f t="shared" si="11"/>
        <v>12.006004425</v>
      </c>
      <c r="L34" s="119">
        <f t="shared" si="12"/>
        <v>0</v>
      </c>
      <c r="N34" s="24"/>
      <c r="O34" s="24"/>
      <c r="P34" s="24"/>
      <c r="Q34" s="24"/>
      <c r="R34" s="24">
        <v>12.006004425</v>
      </c>
      <c r="S34" s="24"/>
      <c r="T34" s="24"/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 s="15" customFormat="1">
      <c r="E35" s="6" t="s">
        <v>476</v>
      </c>
      <c r="F35" s="7" t="s">
        <v>19</v>
      </c>
      <c r="G35" s="6" t="s">
        <v>447</v>
      </c>
      <c r="H35" s="190" t="s">
        <v>448</v>
      </c>
      <c r="I35" s="190" t="s">
        <v>466</v>
      </c>
      <c r="J35" s="118">
        <f t="shared" si="10"/>
        <v>127.54743511099998</v>
      </c>
      <c r="K35" s="119">
        <f t="shared" si="11"/>
        <v>127.54743511099998</v>
      </c>
      <c r="L35" s="119">
        <f t="shared" si="12"/>
        <v>0</v>
      </c>
      <c r="N35" s="24"/>
      <c r="O35" s="24"/>
      <c r="P35" s="24"/>
      <c r="Q35" s="24"/>
      <c r="R35" s="24">
        <v>12.869526291999998</v>
      </c>
      <c r="S35" s="24"/>
      <c r="T35" s="24">
        <v>94.466470399999992</v>
      </c>
      <c r="U35" s="24">
        <v>15.320079718999999</v>
      </c>
      <c r="V35" s="24"/>
      <c r="W35" s="24">
        <v>4.8913587000000005</v>
      </c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 s="15" customFormat="1">
      <c r="E36" s="6" t="s">
        <v>476</v>
      </c>
      <c r="F36" s="7" t="s">
        <v>19</v>
      </c>
      <c r="G36" s="6" t="s">
        <v>247</v>
      </c>
      <c r="H36" s="190" t="s">
        <v>289</v>
      </c>
      <c r="I36" s="190" t="s">
        <v>466</v>
      </c>
      <c r="J36" s="118">
        <f t="shared" si="10"/>
        <v>120.47619500000002</v>
      </c>
      <c r="K36" s="119">
        <f t="shared" si="11"/>
        <v>120.47619500000002</v>
      </c>
      <c r="L36" s="119">
        <f t="shared" si="12"/>
        <v>0</v>
      </c>
      <c r="N36" s="24"/>
      <c r="O36" s="24"/>
      <c r="P36" s="24"/>
      <c r="Q36" s="24"/>
      <c r="R36" s="24">
        <v>3.8489195</v>
      </c>
      <c r="S36" s="24"/>
      <c r="T36" s="24">
        <v>116.60680000000002</v>
      </c>
      <c r="U36" s="24">
        <v>2.0475500000000001E-2</v>
      </c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 s="15" customFormat="1">
      <c r="E37" s="6" t="s">
        <v>476</v>
      </c>
      <c r="F37" s="7" t="s">
        <v>19</v>
      </c>
      <c r="G37" s="6" t="s">
        <v>379</v>
      </c>
      <c r="H37" s="190" t="s">
        <v>291</v>
      </c>
      <c r="I37" s="190" t="s">
        <v>466</v>
      </c>
      <c r="J37" s="118">
        <f t="shared" si="10"/>
        <v>108.98071621000001</v>
      </c>
      <c r="K37" s="119">
        <f t="shared" si="11"/>
        <v>108.98071621000001</v>
      </c>
      <c r="L37" s="119">
        <f t="shared" si="12"/>
        <v>0</v>
      </c>
      <c r="N37" s="24"/>
      <c r="O37" s="24"/>
      <c r="P37" s="24"/>
      <c r="Q37" s="24"/>
      <c r="R37" s="24">
        <v>6.5537472100000009</v>
      </c>
      <c r="S37" s="24"/>
      <c r="T37" s="24">
        <v>98.635429999999999</v>
      </c>
      <c r="U37" s="24">
        <v>0.85812100000000002</v>
      </c>
      <c r="V37" s="24"/>
      <c r="W37" s="24"/>
      <c r="X37" s="24">
        <v>2.9334180000000214</v>
      </c>
      <c r="Y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 s="15" customFormat="1">
      <c r="E38" s="6" t="s">
        <v>476</v>
      </c>
      <c r="F38" s="7" t="s">
        <v>19</v>
      </c>
      <c r="G38" s="6" t="s">
        <v>378</v>
      </c>
      <c r="H38" s="190" t="s">
        <v>290</v>
      </c>
      <c r="I38" s="190" t="s">
        <v>466</v>
      </c>
      <c r="J38" s="118">
        <f t="shared" si="10"/>
        <v>9.1961658970000002</v>
      </c>
      <c r="K38" s="119">
        <f t="shared" si="11"/>
        <v>9.1961658970000002</v>
      </c>
      <c r="L38" s="119">
        <f t="shared" si="12"/>
        <v>0</v>
      </c>
      <c r="N38" s="24"/>
      <c r="O38" s="24"/>
      <c r="P38" s="24"/>
      <c r="Q38" s="24"/>
      <c r="R38" s="24">
        <v>1.949063701</v>
      </c>
      <c r="S38" s="24">
        <v>7.2471021960000002</v>
      </c>
      <c r="T38" s="24">
        <v>0</v>
      </c>
      <c r="U38" s="24"/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 s="15" customFormat="1">
      <c r="E39" s="6" t="s">
        <v>476</v>
      </c>
      <c r="F39" s="7" t="s">
        <v>19</v>
      </c>
      <c r="G39" s="6" t="s">
        <v>454</v>
      </c>
      <c r="H39" s="190" t="s">
        <v>292</v>
      </c>
      <c r="I39" s="190" t="s">
        <v>466</v>
      </c>
      <c r="J39" s="118">
        <f t="shared" si="10"/>
        <v>83.783396944000003</v>
      </c>
      <c r="K39" s="119">
        <f t="shared" si="11"/>
        <v>83.783396944000003</v>
      </c>
      <c r="L39" s="119">
        <f t="shared" si="12"/>
        <v>0</v>
      </c>
      <c r="N39" s="24"/>
      <c r="O39" s="24"/>
      <c r="P39" s="24"/>
      <c r="Q39" s="24"/>
      <c r="R39" s="24">
        <v>9.3174287600000003</v>
      </c>
      <c r="S39" s="24"/>
      <c r="T39" s="24">
        <v>70.327780600000011</v>
      </c>
      <c r="U39" s="24">
        <v>4.1381875839999971</v>
      </c>
      <c r="V39" s="24"/>
      <c r="W39" s="24"/>
      <c r="X39" s="24"/>
      <c r="Y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 s="15" customFormat="1">
      <c r="E40" s="6" t="s">
        <v>476</v>
      </c>
      <c r="F40" s="7" t="s">
        <v>19</v>
      </c>
      <c r="G40" s="6" t="s">
        <v>293</v>
      </c>
      <c r="H40" s="190" t="s">
        <v>294</v>
      </c>
      <c r="I40" s="190" t="s">
        <v>466</v>
      </c>
      <c r="J40" s="118">
        <f t="shared" si="10"/>
        <v>85.326747884</v>
      </c>
      <c r="K40" s="119">
        <f t="shared" si="11"/>
        <v>85.326747884</v>
      </c>
      <c r="L40" s="119">
        <f t="shared" si="12"/>
        <v>0</v>
      </c>
      <c r="N40" s="24"/>
      <c r="O40" s="24"/>
      <c r="P40" s="24"/>
      <c r="Q40" s="24"/>
      <c r="R40" s="24">
        <v>3.4384656839999987</v>
      </c>
      <c r="S40" s="24"/>
      <c r="T40" s="24">
        <v>81.888282200000006</v>
      </c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 s="15" customFormat="1">
      <c r="E41" s="6" t="s">
        <v>476</v>
      </c>
      <c r="F41" s="7" t="s">
        <v>19</v>
      </c>
      <c r="G41" s="6" t="s">
        <v>252</v>
      </c>
      <c r="H41" s="190" t="s">
        <v>295</v>
      </c>
      <c r="I41" s="190" t="s">
        <v>466</v>
      </c>
      <c r="J41" s="118">
        <f t="shared" si="10"/>
        <v>29.016749231999999</v>
      </c>
      <c r="K41" s="119">
        <f t="shared" si="11"/>
        <v>29.016749231999999</v>
      </c>
      <c r="L41" s="119">
        <f t="shared" si="12"/>
        <v>0</v>
      </c>
      <c r="N41" s="24"/>
      <c r="O41" s="24"/>
      <c r="P41" s="24"/>
      <c r="Q41" s="24"/>
      <c r="R41" s="24">
        <v>7.2887223000000008</v>
      </c>
      <c r="S41" s="24">
        <v>20.822523132000001</v>
      </c>
      <c r="T41" s="24">
        <v>0.77847759999999999</v>
      </c>
      <c r="U41" s="24"/>
      <c r="V41" s="24"/>
      <c r="W41" s="24">
        <v>0.12702620000000001</v>
      </c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 s="15" customFormat="1">
      <c r="E42" s="6" t="s">
        <v>476</v>
      </c>
      <c r="F42" s="7" t="s">
        <v>19</v>
      </c>
      <c r="G42" s="6" t="s">
        <v>245</v>
      </c>
      <c r="H42" s="190" t="s">
        <v>288</v>
      </c>
      <c r="I42" s="190" t="s">
        <v>466</v>
      </c>
      <c r="J42" s="118">
        <f t="shared" si="10"/>
        <v>52.967951968999991</v>
      </c>
      <c r="K42" s="119">
        <f t="shared" si="11"/>
        <v>52.967951968999991</v>
      </c>
      <c r="L42" s="119">
        <f t="shared" si="12"/>
        <v>0</v>
      </c>
      <c r="N42" s="24"/>
      <c r="O42" s="24"/>
      <c r="P42" s="24"/>
      <c r="Q42" s="24"/>
      <c r="R42" s="24">
        <v>6.2782480690000027</v>
      </c>
      <c r="S42" s="24"/>
      <c r="T42" s="24">
        <v>40.70375589999999</v>
      </c>
      <c r="U42" s="24">
        <v>5.9859479999999996</v>
      </c>
      <c r="V42" s="24"/>
      <c r="W42" s="24"/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 s="15" customFormat="1">
      <c r="E43" s="6" t="s">
        <v>477</v>
      </c>
      <c r="F43" s="7" t="s">
        <v>19</v>
      </c>
      <c r="G43" s="6" t="s">
        <v>454</v>
      </c>
      <c r="H43" s="190" t="s">
        <v>292</v>
      </c>
      <c r="I43" s="190" t="s">
        <v>466</v>
      </c>
      <c r="J43" s="118">
        <f t="shared" si="10"/>
        <v>10.006058019999999</v>
      </c>
      <c r="K43" s="119">
        <f t="shared" si="11"/>
        <v>10.006058019999999</v>
      </c>
      <c r="L43" s="119">
        <f t="shared" si="12"/>
        <v>0</v>
      </c>
      <c r="N43" s="24"/>
      <c r="O43" s="24"/>
      <c r="P43" s="24"/>
      <c r="Q43" s="24"/>
      <c r="R43" s="24"/>
      <c r="S43" s="24"/>
      <c r="T43" s="24">
        <v>10.006058019999999</v>
      </c>
      <c r="U43" s="24"/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 s="15" customFormat="1">
      <c r="E44" s="6" t="s">
        <v>478</v>
      </c>
      <c r="F44" s="7" t="s">
        <v>19</v>
      </c>
      <c r="G44" s="6" t="s">
        <v>245</v>
      </c>
      <c r="H44" s="190" t="s">
        <v>288</v>
      </c>
      <c r="I44" s="190" t="s">
        <v>466</v>
      </c>
      <c r="J44" s="118">
        <f t="shared" si="10"/>
        <v>57.256929589999999</v>
      </c>
      <c r="K44" s="119">
        <f t="shared" si="11"/>
        <v>57.256929589999999</v>
      </c>
      <c r="L44" s="119">
        <f t="shared" si="12"/>
        <v>0</v>
      </c>
      <c r="N44" s="24"/>
      <c r="O44" s="24"/>
      <c r="P44" s="24"/>
      <c r="Q44" s="24"/>
      <c r="R44" s="24">
        <v>57.256929589999999</v>
      </c>
      <c r="S44" s="24"/>
      <c r="T44" s="24"/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 s="15" customFormat="1">
      <c r="E45" s="6" t="s">
        <v>414</v>
      </c>
      <c r="F45" s="7" t="s">
        <v>19</v>
      </c>
      <c r="G45" s="6" t="s">
        <v>245</v>
      </c>
      <c r="H45" s="190" t="s">
        <v>288</v>
      </c>
      <c r="I45" s="190" t="s">
        <v>466</v>
      </c>
      <c r="J45" s="118">
        <f t="shared" si="10"/>
        <v>86.815123510000006</v>
      </c>
      <c r="K45" s="119">
        <f t="shared" si="11"/>
        <v>86.815123510000006</v>
      </c>
      <c r="L45" s="119">
        <f t="shared" si="12"/>
        <v>0</v>
      </c>
      <c r="N45" s="24"/>
      <c r="O45" s="24"/>
      <c r="P45" s="24"/>
      <c r="Q45" s="24"/>
      <c r="R45" s="24">
        <v>86.815123510000006</v>
      </c>
      <c r="S45" s="24"/>
      <c r="T45" s="24"/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 s="15" customFormat="1">
      <c r="E46" s="6" t="s">
        <v>417</v>
      </c>
      <c r="F46" s="7" t="s">
        <v>19</v>
      </c>
      <c r="G46" s="6" t="s">
        <v>500</v>
      </c>
      <c r="H46" s="190" t="s">
        <v>305</v>
      </c>
      <c r="I46" s="188" t="s">
        <v>472</v>
      </c>
      <c r="J46" s="118">
        <f t="shared" si="10"/>
        <v>19.768845337000002</v>
      </c>
      <c r="K46" s="119">
        <f t="shared" si="11"/>
        <v>19.768845337000002</v>
      </c>
      <c r="L46" s="119">
        <f t="shared" si="12"/>
        <v>0</v>
      </c>
      <c r="N46" s="24"/>
      <c r="O46" s="24"/>
      <c r="P46" s="24"/>
      <c r="Q46" s="24"/>
      <c r="R46" s="24">
        <v>19.768845337000002</v>
      </c>
      <c r="S46" s="24"/>
      <c r="T46" s="24"/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 s="15" customFormat="1">
      <c r="E47" s="6" t="s">
        <v>479</v>
      </c>
      <c r="F47" s="7" t="s">
        <v>19</v>
      </c>
      <c r="G47" s="6" t="s">
        <v>494</v>
      </c>
      <c r="H47" s="188" t="s">
        <v>299</v>
      </c>
      <c r="I47" s="188" t="s">
        <v>466</v>
      </c>
      <c r="J47" s="118">
        <f t="shared" si="10"/>
        <v>18.264194112000002</v>
      </c>
      <c r="K47" s="119">
        <f t="shared" si="11"/>
        <v>18.264194112000002</v>
      </c>
      <c r="L47" s="119">
        <f t="shared" si="12"/>
        <v>0</v>
      </c>
      <c r="N47" s="24"/>
      <c r="O47" s="24"/>
      <c r="P47" s="24"/>
      <c r="Q47" s="24"/>
      <c r="R47" s="24">
        <v>18.264194112000002</v>
      </c>
      <c r="S47" s="24"/>
      <c r="T47" s="24"/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 s="15" customFormat="1">
      <c r="E48" s="6" t="s">
        <v>480</v>
      </c>
      <c r="F48" s="7" t="s">
        <v>19</v>
      </c>
      <c r="G48" s="6" t="s">
        <v>502</v>
      </c>
      <c r="H48" s="189" t="s">
        <v>302</v>
      </c>
      <c r="I48" s="189" t="s">
        <v>466</v>
      </c>
      <c r="J48" s="118">
        <f t="shared" si="10"/>
        <v>91.311035562000001</v>
      </c>
      <c r="K48" s="119">
        <f t="shared" si="11"/>
        <v>91.311035562000001</v>
      </c>
      <c r="L48" s="119">
        <f t="shared" si="12"/>
        <v>0</v>
      </c>
      <c r="N48" s="24"/>
      <c r="O48" s="24"/>
      <c r="P48" s="24"/>
      <c r="Q48" s="24"/>
      <c r="R48" s="24">
        <v>91.311035562000001</v>
      </c>
      <c r="S48" s="24"/>
      <c r="T48" s="24"/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 s="15" customFormat="1">
      <c r="E49" s="6" t="s">
        <v>457</v>
      </c>
      <c r="F49" s="7" t="s">
        <v>19</v>
      </c>
      <c r="G49" s="6" t="s">
        <v>508</v>
      </c>
      <c r="H49" s="190" t="s">
        <v>319</v>
      </c>
      <c r="I49" s="190" t="s">
        <v>472</v>
      </c>
      <c r="J49" s="118">
        <f t="shared" si="10"/>
        <v>112.18356899999999</v>
      </c>
      <c r="K49" s="119">
        <f t="shared" si="11"/>
        <v>112.18356899999999</v>
      </c>
      <c r="L49" s="119">
        <f t="shared" si="12"/>
        <v>0</v>
      </c>
      <c r="N49" s="24"/>
      <c r="O49" s="24"/>
      <c r="P49" s="24"/>
      <c r="Q49" s="24"/>
      <c r="R49" s="24"/>
      <c r="S49" s="24">
        <v>112.18356899999999</v>
      </c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 s="15" customFormat="1">
      <c r="E50" s="6" t="s">
        <v>457</v>
      </c>
      <c r="F50" s="7" t="s">
        <v>19</v>
      </c>
      <c r="G50" s="6" t="s">
        <v>374</v>
      </c>
      <c r="H50" s="190" t="s">
        <v>317</v>
      </c>
      <c r="I50" s="190" t="s">
        <v>466</v>
      </c>
      <c r="J50" s="118">
        <f t="shared" si="10"/>
        <v>112.705931249</v>
      </c>
      <c r="K50" s="119">
        <f t="shared" si="11"/>
        <v>112.705931249</v>
      </c>
      <c r="L50" s="119">
        <f t="shared" si="12"/>
        <v>0</v>
      </c>
      <c r="N50" s="24"/>
      <c r="O50" s="24"/>
      <c r="P50" s="24"/>
      <c r="Q50" s="24"/>
      <c r="R50" s="24"/>
      <c r="S50" s="24">
        <v>112.705931249</v>
      </c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 s="15" customFormat="1">
      <c r="E51" s="6" t="s">
        <v>450</v>
      </c>
      <c r="F51" s="7" t="s">
        <v>19</v>
      </c>
      <c r="G51" s="6" t="s">
        <v>282</v>
      </c>
      <c r="H51" s="190" t="s">
        <v>283</v>
      </c>
      <c r="I51" s="190" t="s">
        <v>466</v>
      </c>
      <c r="J51" s="118">
        <f t="shared" si="10"/>
        <v>0.93894539999999993</v>
      </c>
      <c r="K51" s="119">
        <f t="shared" si="11"/>
        <v>0.93894539999999993</v>
      </c>
      <c r="L51" s="119">
        <f t="shared" si="12"/>
        <v>0</v>
      </c>
      <c r="N51" s="24"/>
      <c r="O51" s="24"/>
      <c r="P51" s="24"/>
      <c r="Q51" s="24"/>
      <c r="R51" s="24"/>
      <c r="S51" s="24"/>
      <c r="T51" s="24">
        <v>0.93894539999999993</v>
      </c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 s="15" customFormat="1">
      <c r="E52" s="6" t="s">
        <v>450</v>
      </c>
      <c r="F52" s="7" t="s">
        <v>19</v>
      </c>
      <c r="G52" s="6" t="s">
        <v>500</v>
      </c>
      <c r="H52" s="190" t="s">
        <v>305</v>
      </c>
      <c r="I52" s="190" t="s">
        <v>466</v>
      </c>
      <c r="J52" s="118">
        <f t="shared" si="10"/>
        <v>4.4249754340000012</v>
      </c>
      <c r="K52" s="119">
        <f t="shared" si="11"/>
        <v>4.4249754340000012</v>
      </c>
      <c r="L52" s="119">
        <f t="shared" si="12"/>
        <v>0</v>
      </c>
      <c r="N52" s="24"/>
      <c r="O52" s="24"/>
      <c r="P52" s="24"/>
      <c r="Q52" s="24"/>
      <c r="R52" s="24"/>
      <c r="S52" s="24"/>
      <c r="T52" s="24"/>
      <c r="U52" s="24">
        <v>4.4249754340000012</v>
      </c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 s="15" customFormat="1">
      <c r="E53" s="6" t="s">
        <v>450</v>
      </c>
      <c r="F53" s="7" t="s">
        <v>19</v>
      </c>
      <c r="G53" s="6" t="s">
        <v>500</v>
      </c>
      <c r="H53" s="190" t="s">
        <v>305</v>
      </c>
      <c r="I53" s="190" t="s">
        <v>472</v>
      </c>
      <c r="J53" s="118">
        <f t="shared" si="10"/>
        <v>39.028384932999984</v>
      </c>
      <c r="K53" s="119">
        <f t="shared" si="11"/>
        <v>39.028384932999984</v>
      </c>
      <c r="L53" s="119">
        <f t="shared" si="12"/>
        <v>0</v>
      </c>
      <c r="N53" s="24"/>
      <c r="O53" s="24"/>
      <c r="P53" s="24"/>
      <c r="Q53" s="24"/>
      <c r="R53" s="24">
        <v>16.673765806000002</v>
      </c>
      <c r="S53" s="24"/>
      <c r="T53" s="24"/>
      <c r="U53" s="24">
        <v>22.354619126999985</v>
      </c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 s="15" customFormat="1">
      <c r="E54" s="6" t="s">
        <v>450</v>
      </c>
      <c r="F54" s="7" t="s">
        <v>19</v>
      </c>
      <c r="G54" s="6" t="s">
        <v>256</v>
      </c>
      <c r="H54" s="190" t="s">
        <v>303</v>
      </c>
      <c r="I54" s="190" t="s">
        <v>466</v>
      </c>
      <c r="J54" s="118">
        <f t="shared" si="10"/>
        <v>37.653073534000001</v>
      </c>
      <c r="K54" s="119">
        <f t="shared" si="11"/>
        <v>37.653073534000001</v>
      </c>
      <c r="L54" s="119">
        <f t="shared" si="12"/>
        <v>0</v>
      </c>
      <c r="N54" s="24"/>
      <c r="O54" s="24"/>
      <c r="P54" s="24"/>
      <c r="Q54" s="24"/>
      <c r="R54" s="24">
        <v>1.0134222340000001</v>
      </c>
      <c r="S54" s="24"/>
      <c r="T54" s="24"/>
      <c r="U54" s="24">
        <v>36.639651299999997</v>
      </c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 s="15" customFormat="1">
      <c r="E55" s="6" t="s">
        <v>496</v>
      </c>
      <c r="F55" s="7" t="s">
        <v>19</v>
      </c>
      <c r="G55" s="6" t="s">
        <v>500</v>
      </c>
      <c r="H55" s="190" t="s">
        <v>305</v>
      </c>
      <c r="I55" s="190" t="s">
        <v>472</v>
      </c>
      <c r="J55" s="118">
        <f t="shared" si="10"/>
        <v>6.0859211000000002</v>
      </c>
      <c r="K55" s="119">
        <f t="shared" si="11"/>
        <v>6.0859211000000002</v>
      </c>
      <c r="L55" s="119">
        <f t="shared" si="12"/>
        <v>0</v>
      </c>
      <c r="N55" s="24"/>
      <c r="O55" s="24"/>
      <c r="P55" s="24"/>
      <c r="Q55" s="24"/>
      <c r="R55" s="24">
        <v>6.0859211000000002</v>
      </c>
      <c r="S55" s="24"/>
      <c r="T55" s="24"/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 s="15" customFormat="1">
      <c r="E56" s="6" t="s">
        <v>496</v>
      </c>
      <c r="F56" s="7" t="s">
        <v>19</v>
      </c>
      <c r="G56" s="6" t="s">
        <v>256</v>
      </c>
      <c r="H56" s="190" t="s">
        <v>303</v>
      </c>
      <c r="I56" s="190" t="s">
        <v>466</v>
      </c>
      <c r="J56" s="118">
        <f t="shared" si="10"/>
        <v>37.960738421999999</v>
      </c>
      <c r="K56" s="119">
        <f t="shared" si="11"/>
        <v>37.960738421999999</v>
      </c>
      <c r="L56" s="119">
        <f t="shared" si="12"/>
        <v>0</v>
      </c>
      <c r="N56" s="24"/>
      <c r="O56" s="24"/>
      <c r="P56" s="24"/>
      <c r="Q56" s="24"/>
      <c r="R56" s="24">
        <v>6.8511271109999994</v>
      </c>
      <c r="S56" s="24"/>
      <c r="T56" s="24"/>
      <c r="U56" s="24">
        <v>31.109611311000002</v>
      </c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 s="15" customFormat="1">
      <c r="E57" s="6" t="s">
        <v>497</v>
      </c>
      <c r="F57" s="7" t="s">
        <v>19</v>
      </c>
      <c r="G57" s="6" t="s">
        <v>256</v>
      </c>
      <c r="H57" s="190" t="s">
        <v>303</v>
      </c>
      <c r="I57" s="190" t="s">
        <v>466</v>
      </c>
      <c r="J57" s="118">
        <f t="shared" si="10"/>
        <v>30.777910495</v>
      </c>
      <c r="K57" s="119">
        <f t="shared" si="11"/>
        <v>30.777910495</v>
      </c>
      <c r="L57" s="119">
        <f t="shared" si="12"/>
        <v>0</v>
      </c>
      <c r="N57" s="24"/>
      <c r="O57" s="24"/>
      <c r="P57" s="24"/>
      <c r="Q57" s="24"/>
      <c r="R57" s="24"/>
      <c r="S57" s="24"/>
      <c r="T57" s="24"/>
      <c r="U57" s="24">
        <v>30.777910495</v>
      </c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 s="15" customFormat="1">
      <c r="E58" s="6" t="s">
        <v>441</v>
      </c>
      <c r="F58" s="7" t="s">
        <v>19</v>
      </c>
      <c r="G58" s="6" t="s">
        <v>441</v>
      </c>
      <c r="H58" s="190" t="s">
        <v>481</v>
      </c>
      <c r="I58" s="190" t="s">
        <v>466</v>
      </c>
      <c r="J58" s="118">
        <f t="shared" si="10"/>
        <v>697.84846073999995</v>
      </c>
      <c r="K58" s="119">
        <f t="shared" si="11"/>
        <v>697.84846073999995</v>
      </c>
      <c r="L58" s="119">
        <f t="shared" si="12"/>
        <v>0</v>
      </c>
      <c r="N58" s="24"/>
      <c r="O58" s="24"/>
      <c r="P58" s="24"/>
      <c r="Q58" s="24"/>
      <c r="R58" s="24"/>
      <c r="S58" s="24">
        <v>697.84846073999995</v>
      </c>
      <c r="T58" s="24"/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 s="15" customFormat="1">
      <c r="E59" s="6" t="s">
        <v>482</v>
      </c>
      <c r="F59" s="7" t="s">
        <v>19</v>
      </c>
      <c r="G59" s="6" t="s">
        <v>258</v>
      </c>
      <c r="H59" s="190" t="s">
        <v>306</v>
      </c>
      <c r="I59" s="190" t="s">
        <v>466</v>
      </c>
      <c r="J59" s="118">
        <f t="shared" si="10"/>
        <v>5.4671155799999998</v>
      </c>
      <c r="K59" s="119">
        <f t="shared" si="11"/>
        <v>5.4671155799999998</v>
      </c>
      <c r="L59" s="119">
        <f t="shared" si="12"/>
        <v>0</v>
      </c>
      <c r="N59" s="24"/>
      <c r="O59" s="24"/>
      <c r="P59" s="24"/>
      <c r="Q59" s="24"/>
      <c r="R59" s="24"/>
      <c r="S59" s="24"/>
      <c r="T59" s="24"/>
      <c r="U59" s="24">
        <v>5.4671155799999998</v>
      </c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 s="15" customFormat="1">
      <c r="E60" s="6" t="s">
        <v>509</v>
      </c>
      <c r="F60" s="7" t="s">
        <v>19</v>
      </c>
      <c r="G60" s="6" t="s">
        <v>447</v>
      </c>
      <c r="H60" s="190" t="s">
        <v>448</v>
      </c>
      <c r="I60" s="190" t="s">
        <v>466</v>
      </c>
      <c r="J60" s="118">
        <f t="shared" si="10"/>
        <v>15.330196200999998</v>
      </c>
      <c r="K60" s="119">
        <f t="shared" si="11"/>
        <v>15.330196200999998</v>
      </c>
      <c r="L60" s="119">
        <f t="shared" si="12"/>
        <v>0</v>
      </c>
      <c r="N60" s="24"/>
      <c r="O60" s="24"/>
      <c r="P60" s="24"/>
      <c r="Q60" s="24"/>
      <c r="R60" s="24">
        <v>15.330196200999998</v>
      </c>
      <c r="S60" s="24"/>
      <c r="T60" s="24"/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 s="15" customFormat="1">
      <c r="E61" s="6" t="s">
        <v>509</v>
      </c>
      <c r="F61" s="7" t="s">
        <v>19</v>
      </c>
      <c r="G61" s="6" t="s">
        <v>247</v>
      </c>
      <c r="H61" s="190" t="s">
        <v>289</v>
      </c>
      <c r="I61" s="190" t="s">
        <v>466</v>
      </c>
      <c r="J61" s="118">
        <f t="shared" si="10"/>
        <v>2.3907126999999999</v>
      </c>
      <c r="K61" s="119">
        <f t="shared" si="11"/>
        <v>2.3907126999999999</v>
      </c>
      <c r="L61" s="119">
        <f t="shared" si="12"/>
        <v>0</v>
      </c>
      <c r="N61" s="24"/>
      <c r="O61" s="24"/>
      <c r="P61" s="24"/>
      <c r="Q61" s="24"/>
      <c r="R61" s="24">
        <v>2.3907126999999999</v>
      </c>
      <c r="S61" s="24"/>
      <c r="T61" s="24"/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 s="15" customFormat="1">
      <c r="E62" s="6" t="s">
        <v>509</v>
      </c>
      <c r="F62" s="7" t="s">
        <v>19</v>
      </c>
      <c r="G62" s="6" t="s">
        <v>379</v>
      </c>
      <c r="H62" s="190" t="s">
        <v>291</v>
      </c>
      <c r="I62" s="190" t="s">
        <v>466</v>
      </c>
      <c r="J62" s="118">
        <f t="shared" si="10"/>
        <v>10.401400381</v>
      </c>
      <c r="K62" s="119">
        <f t="shared" si="11"/>
        <v>10.401400381</v>
      </c>
      <c r="L62" s="119">
        <f t="shared" si="12"/>
        <v>0</v>
      </c>
      <c r="N62" s="24"/>
      <c r="O62" s="24"/>
      <c r="P62" s="24"/>
      <c r="Q62" s="24"/>
      <c r="R62" s="24">
        <v>10.401400381</v>
      </c>
      <c r="S62" s="24"/>
      <c r="T62" s="24"/>
      <c r="U62" s="24"/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 s="15" customFormat="1">
      <c r="E63" s="6" t="s">
        <v>509</v>
      </c>
      <c r="F63" s="7" t="s">
        <v>19</v>
      </c>
      <c r="G63" s="6" t="s">
        <v>454</v>
      </c>
      <c r="H63" s="190" t="s">
        <v>292</v>
      </c>
      <c r="I63" s="190" t="s">
        <v>466</v>
      </c>
      <c r="J63" s="118">
        <f t="shared" si="10"/>
        <v>9.7359303359999991</v>
      </c>
      <c r="K63" s="119">
        <f t="shared" si="11"/>
        <v>9.7359303359999991</v>
      </c>
      <c r="L63" s="119">
        <f t="shared" si="12"/>
        <v>0</v>
      </c>
      <c r="N63" s="24"/>
      <c r="O63" s="24"/>
      <c r="P63" s="24"/>
      <c r="Q63" s="24"/>
      <c r="R63" s="24">
        <v>9.7359303359999991</v>
      </c>
      <c r="S63" s="24"/>
      <c r="T63" s="24"/>
      <c r="U63" s="24"/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 s="15" customFormat="1">
      <c r="E64" s="6" t="s">
        <v>509</v>
      </c>
      <c r="F64" s="7" t="s">
        <v>19</v>
      </c>
      <c r="G64" s="6" t="s">
        <v>293</v>
      </c>
      <c r="H64" s="190" t="s">
        <v>294</v>
      </c>
      <c r="I64" s="190" t="s">
        <v>466</v>
      </c>
      <c r="J64" s="118">
        <f t="shared" si="10"/>
        <v>3.8862866359999995</v>
      </c>
      <c r="K64" s="119">
        <f t="shared" si="11"/>
        <v>3.8862866359999995</v>
      </c>
      <c r="L64" s="119">
        <f t="shared" si="12"/>
        <v>0</v>
      </c>
      <c r="N64" s="24"/>
      <c r="O64" s="24"/>
      <c r="P64" s="24"/>
      <c r="Q64" s="24"/>
      <c r="R64" s="24">
        <v>3.8862866359999995</v>
      </c>
      <c r="S64" s="24"/>
      <c r="T64" s="24"/>
      <c r="U64" s="24"/>
      <c r="V64" s="24"/>
      <c r="W64" s="24"/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 s="15" customFormat="1">
      <c r="E65" s="6" t="s">
        <v>483</v>
      </c>
      <c r="F65" s="7" t="s">
        <v>19</v>
      </c>
      <c r="G65" s="6" t="s">
        <v>258</v>
      </c>
      <c r="H65" s="190" t="s">
        <v>306</v>
      </c>
      <c r="I65" s="190" t="s">
        <v>466</v>
      </c>
      <c r="J65" s="118">
        <f t="shared" si="10"/>
        <v>23.937426840000001</v>
      </c>
      <c r="K65" s="119">
        <f t="shared" si="11"/>
        <v>23.937426840000001</v>
      </c>
      <c r="L65" s="119">
        <f t="shared" si="12"/>
        <v>0</v>
      </c>
      <c r="M65" s="55"/>
      <c r="N65" s="24"/>
      <c r="O65" s="24"/>
      <c r="P65" s="24"/>
      <c r="Q65" s="24"/>
      <c r="R65" s="24">
        <v>14.791876226000001</v>
      </c>
      <c r="S65" s="24"/>
      <c r="T65" s="24"/>
      <c r="U65" s="24">
        <v>9.1455506139999994</v>
      </c>
      <c r="V65" s="24"/>
      <c r="W65" s="24"/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 s="15" customFormat="1">
      <c r="E66" s="6" t="s">
        <v>484</v>
      </c>
      <c r="F66" s="7" t="s">
        <v>19</v>
      </c>
      <c r="G66" s="6" t="s">
        <v>264</v>
      </c>
      <c r="H66" s="190" t="s">
        <v>310</v>
      </c>
      <c r="I66" s="190" t="s">
        <v>472</v>
      </c>
      <c r="J66" s="118">
        <f t="shared" si="10"/>
        <v>0.110184352</v>
      </c>
      <c r="K66" s="119">
        <f t="shared" si="11"/>
        <v>0.110184352</v>
      </c>
      <c r="L66" s="119">
        <f t="shared" si="12"/>
        <v>0</v>
      </c>
      <c r="M66" s="55"/>
      <c r="N66" s="24"/>
      <c r="O66" s="24"/>
      <c r="P66" s="24"/>
      <c r="Q66" s="24"/>
      <c r="R66" s="24"/>
      <c r="S66" s="24">
        <v>0.110184352</v>
      </c>
      <c r="T66" s="24"/>
      <c r="U66" s="24"/>
      <c r="V66" s="24"/>
      <c r="W66" s="24"/>
      <c r="X66" s="24"/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 s="15" customFormat="1">
      <c r="E67" s="6" t="s">
        <v>484</v>
      </c>
      <c r="F67" s="7" t="s">
        <v>19</v>
      </c>
      <c r="G67" s="6" t="s">
        <v>500</v>
      </c>
      <c r="H67" s="190" t="s">
        <v>305</v>
      </c>
      <c r="I67" s="190" t="s">
        <v>472</v>
      </c>
      <c r="J67" s="118">
        <f t="shared" si="10"/>
        <v>53.278013522000002</v>
      </c>
      <c r="K67" s="119">
        <f t="shared" si="11"/>
        <v>53.278013522000002</v>
      </c>
      <c r="L67" s="119">
        <f t="shared" si="12"/>
        <v>0</v>
      </c>
      <c r="M67" s="55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53.278013522000002</v>
      </c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 s="15" customFormat="1">
      <c r="E68" s="6" t="s">
        <v>484</v>
      </c>
      <c r="F68" s="7" t="s">
        <v>19</v>
      </c>
      <c r="G68" s="6" t="s">
        <v>503</v>
      </c>
      <c r="H68" s="190" t="s">
        <v>311</v>
      </c>
      <c r="I68" s="190" t="s">
        <v>472</v>
      </c>
      <c r="J68" s="118">
        <f t="shared" si="10"/>
        <v>1.173521574</v>
      </c>
      <c r="K68" s="119">
        <f t="shared" si="11"/>
        <v>1.173521574</v>
      </c>
      <c r="L68" s="119">
        <f t="shared" si="12"/>
        <v>0</v>
      </c>
      <c r="M68" s="55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>
        <v>1.173521574</v>
      </c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 s="15" customFormat="1">
      <c r="E69" s="6" t="s">
        <v>484</v>
      </c>
      <c r="F69" s="7" t="s">
        <v>19</v>
      </c>
      <c r="G69" s="6" t="s">
        <v>454</v>
      </c>
      <c r="H69" s="190" t="s">
        <v>292</v>
      </c>
      <c r="I69" s="190" t="s">
        <v>472</v>
      </c>
      <c r="J69" s="118">
        <f t="shared" si="10"/>
        <v>8.8069698539999983</v>
      </c>
      <c r="K69" s="119">
        <f t="shared" si="11"/>
        <v>8.8069698539999983</v>
      </c>
      <c r="L69" s="119">
        <f t="shared" si="12"/>
        <v>0</v>
      </c>
      <c r="M69" s="55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>
        <v>8.8069698539999983</v>
      </c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 s="15" customFormat="1">
      <c r="E70" s="6" t="s">
        <v>484</v>
      </c>
      <c r="F70" s="7" t="s">
        <v>19</v>
      </c>
      <c r="G70" s="6" t="s">
        <v>370</v>
      </c>
      <c r="H70" s="190" t="s">
        <v>308</v>
      </c>
      <c r="I70" s="190" t="s">
        <v>472</v>
      </c>
      <c r="J70" s="118">
        <f t="shared" si="10"/>
        <v>29.382537231999997</v>
      </c>
      <c r="K70" s="119">
        <f t="shared" si="11"/>
        <v>29.382537231999997</v>
      </c>
      <c r="L70" s="119">
        <f t="shared" si="12"/>
        <v>0</v>
      </c>
      <c r="M70" s="55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29.382537231999997</v>
      </c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 s="15" customFormat="1">
      <c r="E71" s="6" t="s">
        <v>451</v>
      </c>
      <c r="F71" s="7" t="s">
        <v>19</v>
      </c>
      <c r="G71" s="6" t="s">
        <v>504</v>
      </c>
      <c r="H71" s="190" t="s">
        <v>307</v>
      </c>
      <c r="I71" s="190" t="s">
        <v>466</v>
      </c>
      <c r="J71" s="118">
        <f t="shared" si="10"/>
        <v>30.791920951999991</v>
      </c>
      <c r="K71" s="119">
        <f t="shared" si="11"/>
        <v>30.791920951999991</v>
      </c>
      <c r="L71" s="119">
        <f t="shared" si="12"/>
        <v>0</v>
      </c>
      <c r="M71" s="55"/>
      <c r="N71" s="24"/>
      <c r="O71" s="24"/>
      <c r="P71" s="24"/>
      <c r="Q71" s="24"/>
      <c r="R71" s="24">
        <v>30.791920951999991</v>
      </c>
      <c r="S71" s="24"/>
      <c r="T71" s="24"/>
      <c r="U71" s="24"/>
      <c r="V71" s="24"/>
      <c r="W71" s="24"/>
      <c r="X71" s="24"/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 s="15" customFormat="1">
      <c r="E72" s="6" t="s">
        <v>451</v>
      </c>
      <c r="F72" s="7" t="s">
        <v>19</v>
      </c>
      <c r="G72" s="6" t="s">
        <v>504</v>
      </c>
      <c r="H72" s="190" t="s">
        <v>307</v>
      </c>
      <c r="I72" s="190" t="s">
        <v>472</v>
      </c>
      <c r="J72" s="118">
        <f t="shared" si="10"/>
        <v>22.184576131</v>
      </c>
      <c r="K72" s="119">
        <f t="shared" si="11"/>
        <v>22.184576131</v>
      </c>
      <c r="L72" s="119">
        <f t="shared" si="12"/>
        <v>0</v>
      </c>
      <c r="M72" s="55"/>
      <c r="N72" s="24"/>
      <c r="O72" s="24"/>
      <c r="P72" s="24"/>
      <c r="Q72" s="24"/>
      <c r="R72" s="24">
        <v>0</v>
      </c>
      <c r="S72" s="24">
        <v>22.184576131</v>
      </c>
      <c r="T72" s="24"/>
      <c r="U72" s="24"/>
      <c r="V72" s="24"/>
      <c r="W72" s="24"/>
      <c r="X72" s="24"/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 s="15" customFormat="1">
      <c r="E73" s="6" t="s">
        <v>451</v>
      </c>
      <c r="F73" s="7" t="s">
        <v>19</v>
      </c>
      <c r="G73" s="6" t="s">
        <v>370</v>
      </c>
      <c r="H73" s="190" t="s">
        <v>308</v>
      </c>
      <c r="I73" s="190" t="s">
        <v>466</v>
      </c>
      <c r="J73" s="118">
        <f t="shared" si="10"/>
        <v>2.1636036089999999</v>
      </c>
      <c r="K73" s="119">
        <f t="shared" si="11"/>
        <v>2.1636036089999999</v>
      </c>
      <c r="L73" s="119">
        <f t="shared" si="12"/>
        <v>0</v>
      </c>
      <c r="M73" s="55"/>
      <c r="N73" s="24"/>
      <c r="O73" s="24"/>
      <c r="P73" s="24"/>
      <c r="Q73" s="24"/>
      <c r="R73" s="24">
        <v>2.1636036089999999</v>
      </c>
      <c r="S73" s="24"/>
      <c r="T73" s="24"/>
      <c r="U73" s="24"/>
      <c r="V73" s="24"/>
      <c r="W73" s="24"/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 s="15" customFormat="1">
      <c r="E74" s="6" t="s">
        <v>451</v>
      </c>
      <c r="F74" s="7" t="s">
        <v>19</v>
      </c>
      <c r="G74" s="6" t="s">
        <v>370</v>
      </c>
      <c r="H74" s="188" t="s">
        <v>308</v>
      </c>
      <c r="I74" s="188" t="s">
        <v>472</v>
      </c>
      <c r="J74" s="118">
        <f t="shared" si="10"/>
        <v>1.192590007</v>
      </c>
      <c r="K74" s="119">
        <f t="shared" si="11"/>
        <v>1.192590007</v>
      </c>
      <c r="L74" s="119">
        <f t="shared" si="12"/>
        <v>0</v>
      </c>
      <c r="M74" s="55"/>
      <c r="N74" s="24"/>
      <c r="O74" s="24"/>
      <c r="P74" s="24"/>
      <c r="Q74" s="24"/>
      <c r="R74" s="24">
        <v>1.192590007</v>
      </c>
      <c r="S74" s="24"/>
      <c r="T74" s="24"/>
      <c r="U74" s="24"/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 s="15" customFormat="1">
      <c r="E75" s="6" t="s">
        <v>485</v>
      </c>
      <c r="F75" s="7" t="s">
        <v>19</v>
      </c>
      <c r="G75" s="6" t="s">
        <v>505</v>
      </c>
      <c r="H75" s="188" t="s">
        <v>486</v>
      </c>
      <c r="I75" s="188" t="s">
        <v>472</v>
      </c>
      <c r="J75" s="118">
        <f t="shared" si="10"/>
        <v>494.17683107000005</v>
      </c>
      <c r="K75" s="119">
        <f t="shared" si="11"/>
        <v>494.17683107000005</v>
      </c>
      <c r="L75" s="119">
        <f t="shared" si="12"/>
        <v>0</v>
      </c>
      <c r="M75" s="55"/>
      <c r="N75" s="24"/>
      <c r="O75" s="24"/>
      <c r="P75" s="24"/>
      <c r="Q75" s="24"/>
      <c r="R75" s="24"/>
      <c r="S75" s="24"/>
      <c r="T75" s="24">
        <v>194.212621329</v>
      </c>
      <c r="U75" s="24"/>
      <c r="V75" s="24">
        <v>299.96420974100005</v>
      </c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 s="15" customFormat="1">
      <c r="E76" s="6" t="s">
        <v>268</v>
      </c>
      <c r="F76" s="7" t="s">
        <v>19</v>
      </c>
      <c r="G76" s="6" t="s">
        <v>374</v>
      </c>
      <c r="H76" s="189" t="s">
        <v>317</v>
      </c>
      <c r="I76" s="189" t="s">
        <v>466</v>
      </c>
      <c r="J76" s="118">
        <f t="shared" si="10"/>
        <v>110.50611946000001</v>
      </c>
      <c r="K76" s="119">
        <f t="shared" si="11"/>
        <v>110.50611946000001</v>
      </c>
      <c r="L76" s="119">
        <f t="shared" si="12"/>
        <v>0</v>
      </c>
      <c r="M76" s="55"/>
      <c r="N76" s="24"/>
      <c r="O76" s="24"/>
      <c r="P76" s="24"/>
      <c r="Q76" s="24"/>
      <c r="R76" s="24">
        <v>12.277696702</v>
      </c>
      <c r="S76" s="24">
        <v>97.560746531000007</v>
      </c>
      <c r="T76" s="24"/>
      <c r="U76" s="24">
        <v>0.66767622700000007</v>
      </c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 s="15" customFormat="1">
      <c r="E77" s="6" t="s">
        <v>506</v>
      </c>
      <c r="F77" s="7" t="s">
        <v>19</v>
      </c>
      <c r="G77" s="6" t="s">
        <v>374</v>
      </c>
      <c r="H77" s="190" t="s">
        <v>317</v>
      </c>
      <c r="I77" s="190" t="s">
        <v>466</v>
      </c>
      <c r="J77" s="118">
        <f t="shared" si="10"/>
        <v>1.1583169</v>
      </c>
      <c r="K77" s="119">
        <f t="shared" si="11"/>
        <v>1.1583169</v>
      </c>
      <c r="L77" s="119">
        <f t="shared" si="12"/>
        <v>0</v>
      </c>
      <c r="M77" s="55"/>
      <c r="N77" s="24"/>
      <c r="O77" s="24"/>
      <c r="P77" s="24"/>
      <c r="Q77" s="24"/>
      <c r="R77" s="24">
        <v>1.1583169</v>
      </c>
      <c r="S77" s="24"/>
      <c r="T77" s="24"/>
      <c r="U77" s="24"/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 s="15" customFormat="1">
      <c r="E78" s="6" t="s">
        <v>510</v>
      </c>
      <c r="F78" s="7" t="s">
        <v>19</v>
      </c>
      <c r="G78" s="6" t="s">
        <v>374</v>
      </c>
      <c r="H78" s="190" t="s">
        <v>317</v>
      </c>
      <c r="I78" s="190" t="s">
        <v>466</v>
      </c>
      <c r="J78" s="118">
        <f t="shared" si="10"/>
        <v>3.4749506999999999</v>
      </c>
      <c r="K78" s="119">
        <f t="shared" si="11"/>
        <v>3.4749506999999999</v>
      </c>
      <c r="L78" s="119">
        <f t="shared" si="12"/>
        <v>0</v>
      </c>
      <c r="M78" s="55"/>
      <c r="N78" s="24"/>
      <c r="O78" s="24"/>
      <c r="P78" s="24"/>
      <c r="Q78" s="24"/>
      <c r="R78" s="24">
        <v>3.4749506999999999</v>
      </c>
      <c r="S78" s="24"/>
      <c r="T78" s="24"/>
      <c r="U78" s="24"/>
      <c r="V78" s="24"/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 s="15" customFormat="1">
      <c r="E79" s="6" t="s">
        <v>511</v>
      </c>
      <c r="F79" s="7" t="s">
        <v>19</v>
      </c>
      <c r="G79" s="6" t="s">
        <v>374</v>
      </c>
      <c r="H79" s="190" t="s">
        <v>317</v>
      </c>
      <c r="I79" s="190" t="s">
        <v>466</v>
      </c>
      <c r="J79" s="118">
        <f t="shared" si="10"/>
        <v>1.1583169</v>
      </c>
      <c r="K79" s="119">
        <f t="shared" si="11"/>
        <v>1.1583169</v>
      </c>
      <c r="L79" s="119">
        <f t="shared" si="12"/>
        <v>0</v>
      </c>
      <c r="M79" s="55"/>
      <c r="N79" s="24"/>
      <c r="O79" s="24"/>
      <c r="P79" s="24"/>
      <c r="Q79" s="24"/>
      <c r="R79" s="24">
        <v>1.1583169</v>
      </c>
      <c r="S79" s="24"/>
      <c r="T79" s="24"/>
      <c r="U79" s="24"/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 s="15" customFormat="1">
      <c r="E80" s="6" t="s">
        <v>487</v>
      </c>
      <c r="F80" s="7" t="s">
        <v>19</v>
      </c>
      <c r="G80" s="6" t="s">
        <v>374</v>
      </c>
      <c r="H80" s="190" t="s">
        <v>317</v>
      </c>
      <c r="I80" s="190" t="s">
        <v>466</v>
      </c>
      <c r="J80" s="118">
        <f t="shared" si="10"/>
        <v>23.232359557000002</v>
      </c>
      <c r="K80" s="119">
        <f t="shared" si="11"/>
        <v>23.232359557000002</v>
      </c>
      <c r="L80" s="119">
        <f t="shared" si="12"/>
        <v>0</v>
      </c>
      <c r="M80" s="55"/>
      <c r="N80" s="24"/>
      <c r="O80" s="24"/>
      <c r="P80" s="24"/>
      <c r="Q80" s="24"/>
      <c r="R80" s="24">
        <v>22.049704800000001</v>
      </c>
      <c r="S80" s="24">
        <v>1.1826547569999999</v>
      </c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 s="15" customFormat="1">
      <c r="E81" s="6" t="s">
        <v>512</v>
      </c>
      <c r="F81" s="7" t="s">
        <v>19</v>
      </c>
      <c r="G81" s="6" t="s">
        <v>374</v>
      </c>
      <c r="H81" s="190" t="s">
        <v>317</v>
      </c>
      <c r="I81" s="190" t="s">
        <v>466</v>
      </c>
      <c r="J81" s="118">
        <f t="shared" si="10"/>
        <v>1.1583169</v>
      </c>
      <c r="K81" s="119">
        <f t="shared" si="11"/>
        <v>1.1583169</v>
      </c>
      <c r="L81" s="119">
        <f t="shared" si="12"/>
        <v>0</v>
      </c>
      <c r="M81" s="55"/>
      <c r="N81" s="24"/>
      <c r="O81" s="24"/>
      <c r="P81" s="24"/>
      <c r="Q81" s="24"/>
      <c r="R81" s="24">
        <v>1.1583169</v>
      </c>
      <c r="S81" s="24"/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 s="15" customFormat="1">
      <c r="E82" s="6" t="s">
        <v>513</v>
      </c>
      <c r="F82" s="7" t="s">
        <v>19</v>
      </c>
      <c r="G82" s="6" t="s">
        <v>374</v>
      </c>
      <c r="H82" s="190" t="s">
        <v>317</v>
      </c>
      <c r="I82" s="190" t="s">
        <v>466</v>
      </c>
      <c r="J82" s="118">
        <f t="shared" si="10"/>
        <v>4.6332675999999999</v>
      </c>
      <c r="K82" s="119">
        <f t="shared" si="11"/>
        <v>4.6332675999999999</v>
      </c>
      <c r="L82" s="119">
        <f t="shared" si="12"/>
        <v>0</v>
      </c>
      <c r="M82" s="55"/>
      <c r="N82" s="24"/>
      <c r="O82" s="24"/>
      <c r="P82" s="24"/>
      <c r="Q82" s="24"/>
      <c r="R82" s="24">
        <v>4.6332675999999999</v>
      </c>
      <c r="S82" s="24"/>
      <c r="T82" s="2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 s="15" customFormat="1">
      <c r="E83" s="6" t="s">
        <v>514</v>
      </c>
      <c r="F83" s="7" t="s">
        <v>19</v>
      </c>
      <c r="G83" s="6" t="s">
        <v>374</v>
      </c>
      <c r="H83" s="190" t="s">
        <v>317</v>
      </c>
      <c r="I83" s="190" t="s">
        <v>466</v>
      </c>
      <c r="J83" s="118">
        <f t="shared" si="10"/>
        <v>2.3166338</v>
      </c>
      <c r="K83" s="119">
        <f t="shared" si="11"/>
        <v>2.3166338</v>
      </c>
      <c r="L83" s="119">
        <f t="shared" si="12"/>
        <v>0</v>
      </c>
      <c r="M83" s="55"/>
      <c r="N83" s="24"/>
      <c r="O83" s="24"/>
      <c r="P83" s="24"/>
      <c r="Q83" s="24"/>
      <c r="R83" s="24">
        <v>2.3166338</v>
      </c>
      <c r="S83" s="24"/>
      <c r="T83" s="24"/>
      <c r="U83" s="24"/>
      <c r="V83" s="2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 s="15" customFormat="1">
      <c r="E84" s="6" t="s">
        <v>515</v>
      </c>
      <c r="F84" s="7" t="s">
        <v>19</v>
      </c>
      <c r="G84" s="6" t="s">
        <v>374</v>
      </c>
      <c r="H84" s="190" t="s">
        <v>317</v>
      </c>
      <c r="I84" s="190" t="s">
        <v>466</v>
      </c>
      <c r="J84" s="118">
        <f t="shared" si="10"/>
        <v>1.1583169</v>
      </c>
      <c r="K84" s="119">
        <f t="shared" si="11"/>
        <v>1.1583169</v>
      </c>
      <c r="L84" s="119">
        <f t="shared" si="12"/>
        <v>0</v>
      </c>
      <c r="M84" s="55"/>
      <c r="N84" s="24"/>
      <c r="O84" s="24"/>
      <c r="P84" s="24"/>
      <c r="Q84" s="24"/>
      <c r="R84" s="24">
        <v>1.1583169</v>
      </c>
      <c r="S84" s="24"/>
      <c r="T84" s="24"/>
      <c r="U84" s="24"/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 s="15" customFormat="1">
      <c r="E85" s="6" t="s">
        <v>516</v>
      </c>
      <c r="F85" s="7" t="s">
        <v>19</v>
      </c>
      <c r="G85" s="6" t="s">
        <v>374</v>
      </c>
      <c r="H85" s="190" t="s">
        <v>317</v>
      </c>
      <c r="I85" s="190" t="s">
        <v>466</v>
      </c>
      <c r="J85" s="118">
        <f t="shared" si="10"/>
        <v>2.3166338</v>
      </c>
      <c r="K85" s="119">
        <f t="shared" si="11"/>
        <v>2.3166338</v>
      </c>
      <c r="L85" s="119">
        <f t="shared" si="12"/>
        <v>0</v>
      </c>
      <c r="M85" s="55"/>
      <c r="N85" s="24"/>
      <c r="O85" s="24"/>
      <c r="P85" s="24"/>
      <c r="Q85" s="24"/>
      <c r="R85" s="24">
        <v>2.3166338</v>
      </c>
      <c r="S85" s="24"/>
      <c r="T85" s="2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 s="15" customFormat="1">
      <c r="E86" s="6" t="s">
        <v>517</v>
      </c>
      <c r="F86" s="7" t="s">
        <v>19</v>
      </c>
      <c r="G86" s="6" t="s">
        <v>374</v>
      </c>
      <c r="H86" s="190" t="s">
        <v>317</v>
      </c>
      <c r="I86" s="190" t="s">
        <v>466</v>
      </c>
      <c r="J86" s="118">
        <f t="shared" si="10"/>
        <v>2.3166338</v>
      </c>
      <c r="K86" s="119">
        <f t="shared" si="11"/>
        <v>2.3166338</v>
      </c>
      <c r="L86" s="119">
        <f t="shared" si="12"/>
        <v>0</v>
      </c>
      <c r="M86" s="55"/>
      <c r="N86" s="24"/>
      <c r="O86" s="24"/>
      <c r="P86" s="24"/>
      <c r="Q86" s="24"/>
      <c r="R86" s="24">
        <v>2.3166338</v>
      </c>
      <c r="S86" s="24"/>
      <c r="T86" s="24"/>
      <c r="U86" s="24"/>
      <c r="V86" s="24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 s="15" customFormat="1">
      <c r="E87" s="6" t="s">
        <v>518</v>
      </c>
      <c r="F87" s="7" t="s">
        <v>19</v>
      </c>
      <c r="G87" s="6" t="s">
        <v>374</v>
      </c>
      <c r="H87" s="190" t="s">
        <v>317</v>
      </c>
      <c r="I87" s="190" t="s">
        <v>466</v>
      </c>
      <c r="J87" s="118">
        <f t="shared" si="10"/>
        <v>2.3166338</v>
      </c>
      <c r="K87" s="119">
        <f t="shared" si="11"/>
        <v>2.3166338</v>
      </c>
      <c r="L87" s="119">
        <f t="shared" si="12"/>
        <v>0</v>
      </c>
      <c r="M87" s="55"/>
      <c r="N87" s="24"/>
      <c r="O87" s="24"/>
      <c r="P87" s="24"/>
      <c r="Q87" s="24"/>
      <c r="R87" s="24">
        <v>2.3166338</v>
      </c>
      <c r="S87" s="24"/>
      <c r="T87" s="24"/>
      <c r="U87" s="24"/>
      <c r="V87" s="2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 s="15" customFormat="1">
      <c r="E88" s="6" t="s">
        <v>519</v>
      </c>
      <c r="F88" s="7" t="s">
        <v>19</v>
      </c>
      <c r="G88" s="6" t="s">
        <v>374</v>
      </c>
      <c r="H88" s="190" t="s">
        <v>317</v>
      </c>
      <c r="I88" s="190" t="s">
        <v>466</v>
      </c>
      <c r="J88" s="118">
        <f t="shared" si="10"/>
        <v>1.1583169</v>
      </c>
      <c r="K88" s="119">
        <f t="shared" si="11"/>
        <v>1.1583169</v>
      </c>
      <c r="L88" s="119">
        <f t="shared" si="12"/>
        <v>0</v>
      </c>
      <c r="M88" s="55"/>
      <c r="N88" s="24"/>
      <c r="O88" s="24"/>
      <c r="P88" s="24"/>
      <c r="Q88" s="24"/>
      <c r="R88" s="24">
        <v>1.1583169</v>
      </c>
      <c r="S88" s="24"/>
      <c r="T88" s="24"/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 s="15" customFormat="1">
      <c r="E89" s="6" t="s">
        <v>488</v>
      </c>
      <c r="F89" s="7" t="s">
        <v>19</v>
      </c>
      <c r="G89" s="6" t="s">
        <v>378</v>
      </c>
      <c r="H89" s="190" t="s">
        <v>290</v>
      </c>
      <c r="I89" s="190" t="s">
        <v>466</v>
      </c>
      <c r="J89" s="118">
        <f t="shared" ref="J89:J99" si="13">+K89+L89</f>
        <v>13.684561999999998</v>
      </c>
      <c r="K89" s="119">
        <f t="shared" ref="K89:K99" si="14">SUM(N89:Y89)</f>
        <v>13.684561999999998</v>
      </c>
      <c r="L89" s="119">
        <f t="shared" ref="L89:L99" si="15">SUM(AA89:AL89)</f>
        <v>0</v>
      </c>
      <c r="M89" s="55"/>
      <c r="N89" s="24"/>
      <c r="O89" s="24"/>
      <c r="P89" s="24"/>
      <c r="Q89" s="24"/>
      <c r="R89" s="24">
        <v>13.684561999999998</v>
      </c>
      <c r="S89" s="24"/>
      <c r="T89" s="24"/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 s="15" customFormat="1">
      <c r="E90" s="6" t="s">
        <v>489</v>
      </c>
      <c r="F90" s="7" t="s">
        <v>19</v>
      </c>
      <c r="G90" s="6" t="s">
        <v>247</v>
      </c>
      <c r="H90" s="190" t="s">
        <v>289</v>
      </c>
      <c r="I90" s="190" t="s">
        <v>466</v>
      </c>
      <c r="J90" s="118">
        <f t="shared" si="13"/>
        <v>0.12876121199999999</v>
      </c>
      <c r="K90" s="119">
        <f t="shared" si="14"/>
        <v>0.12876121199999999</v>
      </c>
      <c r="L90" s="119">
        <f t="shared" si="15"/>
        <v>0</v>
      </c>
      <c r="M90" s="55"/>
      <c r="N90" s="24"/>
      <c r="O90" s="24"/>
      <c r="P90" s="24"/>
      <c r="Q90" s="24"/>
      <c r="R90" s="24"/>
      <c r="S90" s="24"/>
      <c r="T90" s="24"/>
      <c r="U90" s="24">
        <v>0.12876121199999999</v>
      </c>
      <c r="V90" s="24"/>
      <c r="W90" s="24"/>
      <c r="X90" s="24"/>
      <c r="Y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5:38" s="15" customFormat="1">
      <c r="E91" s="6" t="s">
        <v>459</v>
      </c>
      <c r="F91" s="7" t="s">
        <v>19</v>
      </c>
      <c r="G91" s="6" t="s">
        <v>464</v>
      </c>
      <c r="H91" s="190" t="s">
        <v>461</v>
      </c>
      <c r="I91" s="190" t="s">
        <v>466</v>
      </c>
      <c r="J91" s="118">
        <f t="shared" si="13"/>
        <v>4.803295803000001</v>
      </c>
      <c r="K91" s="119">
        <f t="shared" si="14"/>
        <v>4.803295803000001</v>
      </c>
      <c r="L91" s="119">
        <f t="shared" si="15"/>
        <v>0</v>
      </c>
      <c r="M91" s="55"/>
      <c r="N91" s="24"/>
      <c r="O91" s="24"/>
      <c r="P91" s="24"/>
      <c r="Q91" s="24"/>
      <c r="R91" s="24">
        <v>4.803295803000001</v>
      </c>
      <c r="S91" s="24"/>
      <c r="T91" s="24"/>
      <c r="U91" s="24"/>
      <c r="V91" s="24"/>
      <c r="W91" s="24"/>
      <c r="X91" s="24"/>
      <c r="Y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5:38" s="15" customFormat="1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  <c r="M92" s="55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5:38" s="15" customFormat="1">
      <c r="E93" s="305" t="s">
        <v>449</v>
      </c>
      <c r="F93" s="7"/>
      <c r="G93" s="6"/>
      <c r="H93" s="11"/>
      <c r="I93" s="11"/>
      <c r="J93" s="118">
        <f t="shared" si="13"/>
        <v>0</v>
      </c>
      <c r="K93" s="119">
        <f t="shared" si="14"/>
        <v>0</v>
      </c>
      <c r="L93" s="119">
        <f t="shared" si="15"/>
        <v>0</v>
      </c>
      <c r="M93" s="5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</row>
    <row r="94" spans="5:38" s="15" customFormat="1">
      <c r="E94" s="305" t="s">
        <v>520</v>
      </c>
      <c r="F94" s="341" t="s">
        <v>19</v>
      </c>
      <c r="G94" s="305"/>
      <c r="H94" s="12"/>
      <c r="I94" s="12"/>
      <c r="J94" s="343">
        <f t="shared" si="13"/>
        <v>24</v>
      </c>
      <c r="K94" s="339">
        <f t="shared" si="14"/>
        <v>24</v>
      </c>
      <c r="L94" s="339">
        <f t="shared" si="15"/>
        <v>0</v>
      </c>
      <c r="M94" s="281"/>
      <c r="N94" s="344"/>
      <c r="O94" s="344"/>
      <c r="P94" s="344"/>
      <c r="Q94" s="344"/>
      <c r="R94" s="344"/>
      <c r="S94" s="344">
        <v>24</v>
      </c>
      <c r="T94" s="344"/>
      <c r="U94" s="24"/>
      <c r="V94" s="24"/>
      <c r="W94" s="24"/>
      <c r="X94" s="24"/>
      <c r="Y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</row>
    <row r="95" spans="5:38" s="15" customFormat="1">
      <c r="E95" s="305" t="s">
        <v>521</v>
      </c>
      <c r="F95" s="341" t="s">
        <v>19</v>
      </c>
      <c r="G95" s="305"/>
      <c r="H95" s="12"/>
      <c r="I95" s="12"/>
      <c r="J95" s="343">
        <f t="shared" si="13"/>
        <v>71</v>
      </c>
      <c r="K95" s="339">
        <f t="shared" si="14"/>
        <v>71</v>
      </c>
      <c r="L95" s="339">
        <f t="shared" si="15"/>
        <v>0</v>
      </c>
      <c r="M95" s="281"/>
      <c r="N95" s="344"/>
      <c r="O95" s="344"/>
      <c r="P95" s="344"/>
      <c r="Q95" s="344"/>
      <c r="R95" s="344">
        <v>36</v>
      </c>
      <c r="S95" s="344">
        <v>35</v>
      </c>
      <c r="T95" s="344"/>
      <c r="U95" s="24"/>
      <c r="V95" s="24"/>
      <c r="W95" s="24"/>
      <c r="X95" s="24"/>
      <c r="Y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spans="5:38" s="15" customFormat="1">
      <c r="E96" s="305" t="s">
        <v>522</v>
      </c>
      <c r="F96" s="341" t="s">
        <v>19</v>
      </c>
      <c r="G96" s="305"/>
      <c r="H96" s="12"/>
      <c r="I96" s="12"/>
      <c r="J96" s="343">
        <f t="shared" si="13"/>
        <v>28</v>
      </c>
      <c r="K96" s="339">
        <f t="shared" si="14"/>
        <v>28</v>
      </c>
      <c r="L96" s="339">
        <f t="shared" si="15"/>
        <v>0</v>
      </c>
      <c r="M96" s="281"/>
      <c r="N96" s="379"/>
      <c r="O96" s="379"/>
      <c r="P96" s="379"/>
      <c r="Q96" s="379"/>
      <c r="R96" s="344"/>
      <c r="S96" s="344">
        <v>28</v>
      </c>
      <c r="T96" s="344"/>
      <c r="U96" s="24"/>
      <c r="V96" s="24"/>
      <c r="W96" s="24"/>
      <c r="X96" s="24"/>
      <c r="Y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</row>
    <row r="97" spans="5:38" s="15" customFormat="1">
      <c r="E97" s="305" t="s">
        <v>523</v>
      </c>
      <c r="F97" s="341" t="s">
        <v>19</v>
      </c>
      <c r="G97" s="305"/>
      <c r="H97" s="12"/>
      <c r="I97" s="12"/>
      <c r="J97" s="343">
        <f t="shared" si="13"/>
        <v>24</v>
      </c>
      <c r="K97" s="339">
        <f t="shared" si="14"/>
        <v>24</v>
      </c>
      <c r="L97" s="339">
        <f t="shared" si="15"/>
        <v>0</v>
      </c>
      <c r="M97" s="281"/>
      <c r="N97" s="379"/>
      <c r="O97" s="379"/>
      <c r="P97" s="379"/>
      <c r="Q97" s="379"/>
      <c r="R97" s="344"/>
      <c r="S97" s="344">
        <v>24</v>
      </c>
      <c r="T97" s="344"/>
      <c r="U97" s="24"/>
      <c r="V97" s="24"/>
      <c r="W97" s="24"/>
      <c r="X97" s="24"/>
      <c r="Y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</row>
    <row r="98" spans="5:38" s="15" customFormat="1">
      <c r="E98" s="305" t="s">
        <v>524</v>
      </c>
      <c r="F98" s="341" t="s">
        <v>19</v>
      </c>
      <c r="G98" s="305"/>
      <c r="H98" s="12"/>
      <c r="I98" s="12"/>
      <c r="J98" s="343">
        <f t="shared" si="13"/>
        <v>58</v>
      </c>
      <c r="K98" s="339">
        <f t="shared" si="14"/>
        <v>58</v>
      </c>
      <c r="L98" s="339">
        <f t="shared" si="15"/>
        <v>0</v>
      </c>
      <c r="M98" s="281"/>
      <c r="N98" s="379"/>
      <c r="O98" s="379"/>
      <c r="P98" s="379"/>
      <c r="Q98" s="379"/>
      <c r="R98" s="344">
        <v>58</v>
      </c>
      <c r="S98" s="344"/>
      <c r="T98" s="344"/>
      <c r="U98" s="24"/>
      <c r="V98" s="24"/>
      <c r="W98" s="24"/>
      <c r="X98" s="24"/>
      <c r="Y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99" spans="5:38" s="15" customFormat="1">
      <c r="E99" s="305" t="s">
        <v>525</v>
      </c>
      <c r="F99" s="341" t="s">
        <v>19</v>
      </c>
      <c r="G99" s="305"/>
      <c r="H99" s="12"/>
      <c r="I99" s="12"/>
      <c r="J99" s="343">
        <f t="shared" si="13"/>
        <v>3</v>
      </c>
      <c r="K99" s="339">
        <f t="shared" si="14"/>
        <v>3</v>
      </c>
      <c r="L99" s="339">
        <f t="shared" si="15"/>
        <v>0</v>
      </c>
      <c r="M99" s="281"/>
      <c r="N99" s="379"/>
      <c r="O99" s="379"/>
      <c r="P99" s="379"/>
      <c r="Q99" s="379"/>
      <c r="R99" s="344">
        <v>3</v>
      </c>
      <c r="S99" s="344"/>
      <c r="T99" s="344"/>
      <c r="U99" s="24"/>
      <c r="V99" s="24"/>
      <c r="W99" s="24"/>
      <c r="X99" s="24"/>
      <c r="Y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</row>
    <row r="100" spans="5:38" s="15" customFormat="1">
      <c r="F100" s="61"/>
      <c r="H100" s="54"/>
      <c r="I100" s="54"/>
      <c r="J100" s="54"/>
      <c r="K100" s="55"/>
      <c r="L100" s="55"/>
      <c r="M100" s="55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60"/>
    </row>
    <row r="101" spans="5:38" s="15" customFormat="1">
      <c r="E101" s="191" t="s">
        <v>320</v>
      </c>
      <c r="F101" s="216">
        <v>46113</v>
      </c>
      <c r="G101" s="192">
        <v>182</v>
      </c>
      <c r="H101" s="271" t="s">
        <v>321</v>
      </c>
      <c r="I101" s="54"/>
      <c r="J101" s="54"/>
      <c r="K101" s="55"/>
      <c r="L101" s="55"/>
      <c r="M101" s="55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60"/>
    </row>
    <row r="102" spans="5:38" s="15" customFormat="1">
      <c r="E102" s="195" t="s">
        <v>526</v>
      </c>
      <c r="F102" s="217"/>
      <c r="G102" s="196">
        <v>61</v>
      </c>
      <c r="H102" s="271" t="s">
        <v>321</v>
      </c>
      <c r="I102" s="54"/>
      <c r="J102" s="54"/>
      <c r="K102" s="55"/>
      <c r="L102" s="55"/>
      <c r="M102" s="55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60"/>
    </row>
    <row r="103" spans="5:38" s="15" customFormat="1">
      <c r="E103" s="195" t="s">
        <v>527</v>
      </c>
      <c r="F103" s="217"/>
      <c r="G103" s="196">
        <v>35</v>
      </c>
      <c r="H103" s="271" t="s">
        <v>321</v>
      </c>
      <c r="I103" s="54"/>
      <c r="J103" s="54"/>
      <c r="K103" s="55"/>
      <c r="L103" s="55"/>
      <c r="M103" s="55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60"/>
    </row>
    <row r="104" spans="5:38" s="15" customFormat="1">
      <c r="E104" s="191" t="s">
        <v>320</v>
      </c>
      <c r="F104" s="216">
        <v>46112</v>
      </c>
      <c r="G104" s="192">
        <f>G101+G102-G103</f>
        <v>208</v>
      </c>
      <c r="H104" s="271" t="s">
        <v>321</v>
      </c>
      <c r="I104" s="54"/>
      <c r="J104" s="54"/>
      <c r="K104" s="55"/>
      <c r="L104" s="55"/>
      <c r="M104" s="55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60"/>
    </row>
    <row r="105" spans="5:38" s="15" customFormat="1">
      <c r="F105" s="61"/>
      <c r="H105" s="54"/>
      <c r="I105" s="54"/>
      <c r="J105" s="54"/>
      <c r="K105" s="55"/>
      <c r="L105" s="55"/>
      <c r="M105" s="55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60"/>
    </row>
    <row r="106" spans="5:38" s="15" customFormat="1">
      <c r="E106" s="356" t="s">
        <v>324</v>
      </c>
      <c r="F106" s="219"/>
      <c r="G106" s="202"/>
      <c r="H106" s="219" t="s">
        <v>325</v>
      </c>
      <c r="I106" s="54"/>
      <c r="J106" s="54"/>
      <c r="K106" s="55"/>
      <c r="L106" s="55"/>
      <c r="M106" s="55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60"/>
    </row>
    <row r="107" spans="5:38" s="15" customFormat="1">
      <c r="E107" s="290" t="s">
        <v>447</v>
      </c>
      <c r="F107" s="314"/>
      <c r="G107" s="315"/>
      <c r="H107" s="378">
        <v>14</v>
      </c>
      <c r="I107" s="54"/>
      <c r="J107" s="54"/>
      <c r="K107" s="55"/>
      <c r="L107" s="55"/>
      <c r="M107" s="55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60"/>
    </row>
    <row r="108" spans="5:38" s="15" customFormat="1">
      <c r="E108" s="315" t="s">
        <v>464</v>
      </c>
      <c r="F108" s="314"/>
      <c r="G108" s="315"/>
      <c r="H108" s="378">
        <v>36</v>
      </c>
      <c r="I108" s="54"/>
      <c r="J108" s="54"/>
      <c r="K108" s="55"/>
      <c r="L108" s="55"/>
      <c r="M108" s="55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60"/>
    </row>
    <row r="109" spans="5:38" s="15" customFormat="1">
      <c r="E109" s="315" t="s">
        <v>379</v>
      </c>
      <c r="F109" s="314"/>
      <c r="G109" s="315"/>
      <c r="H109" s="378">
        <v>12</v>
      </c>
      <c r="I109" s="54"/>
      <c r="J109" s="54"/>
      <c r="K109" s="55"/>
      <c r="L109" s="55"/>
      <c r="M109" s="55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60"/>
    </row>
    <row r="110" spans="5:38" s="15" customFormat="1">
      <c r="E110" s="315" t="s">
        <v>454</v>
      </c>
      <c r="F110" s="314"/>
      <c r="G110" s="315"/>
      <c r="H110" s="378">
        <v>9</v>
      </c>
      <c r="I110" s="54"/>
      <c r="J110" s="54"/>
      <c r="K110" s="55"/>
      <c r="L110" s="55"/>
      <c r="M110" s="55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60"/>
    </row>
    <row r="111" spans="5:38" s="15" customFormat="1">
      <c r="E111" s="315" t="s">
        <v>293</v>
      </c>
      <c r="F111" s="314"/>
      <c r="G111" s="315"/>
      <c r="H111" s="378">
        <v>3.8862866359999995</v>
      </c>
      <c r="I111" s="54"/>
      <c r="J111" s="54"/>
      <c r="K111" s="55"/>
      <c r="L111" s="55"/>
      <c r="M111" s="55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60"/>
    </row>
    <row r="112" spans="5:38" s="15" customFormat="1">
      <c r="E112" s="201" t="s">
        <v>245</v>
      </c>
      <c r="F112" s="286"/>
      <c r="G112" s="287"/>
      <c r="H112" s="375">
        <v>13.066083753000003</v>
      </c>
      <c r="I112" s="54"/>
      <c r="J112" s="54"/>
      <c r="K112" s="55"/>
      <c r="L112" s="55"/>
      <c r="M112" s="55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60"/>
    </row>
    <row r="113" spans="5:25" s="15" customFormat="1">
      <c r="E113" s="263" t="s">
        <v>344</v>
      </c>
      <c r="F113" s="286"/>
      <c r="G113" s="287"/>
      <c r="H113" s="375">
        <f>SUM(H107:H112)</f>
        <v>87.952370388999995</v>
      </c>
      <c r="I113" s="54"/>
      <c r="J113" s="54"/>
      <c r="K113" s="55"/>
      <c r="L113" s="55"/>
      <c r="M113" s="55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60"/>
    </row>
    <row r="114" spans="5:25" s="15" customFormat="1">
      <c r="E114" s="381"/>
      <c r="F114" s="382"/>
      <c r="G114" s="383"/>
      <c r="H114" s="384"/>
      <c r="I114" s="54"/>
      <c r="J114" s="54"/>
      <c r="K114" s="55"/>
      <c r="L114" s="55"/>
      <c r="M114" s="55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60"/>
    </row>
    <row r="115" spans="5:25" s="15" customFormat="1">
      <c r="E115" s="227"/>
      <c r="F115" s="278"/>
      <c r="G115" s="227"/>
      <c r="H115" s="280"/>
      <c r="I115" s="280"/>
      <c r="J115" s="280"/>
      <c r="K115" s="55"/>
      <c r="L115" s="55"/>
      <c r="M115" s="55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60"/>
    </row>
    <row r="116" spans="5:25">
      <c r="E116" s="151" t="s">
        <v>330</v>
      </c>
      <c r="F116" s="151"/>
      <c r="G116" s="283">
        <f>'W18'!J19</f>
        <v>3501.5122239809998</v>
      </c>
      <c r="H116" s="258"/>
    </row>
    <row r="117" spans="5:25">
      <c r="E117" s="151" t="s">
        <v>331</v>
      </c>
      <c r="F117" s="151"/>
      <c r="G117" s="283">
        <f>H113</f>
        <v>87.952370388999995</v>
      </c>
      <c r="H117" s="258"/>
    </row>
    <row r="118" spans="5:25">
      <c r="E118" s="151" t="s">
        <v>332</v>
      </c>
      <c r="F118" s="151"/>
      <c r="G118" s="283">
        <f>J12</f>
        <v>117</v>
      </c>
      <c r="H118" s="258"/>
    </row>
    <row r="119" spans="5:25">
      <c r="E119" s="151" t="s">
        <v>333</v>
      </c>
      <c r="F119" s="151"/>
      <c r="G119" s="283">
        <f>G116+G117-G118</f>
        <v>3472.4645943699998</v>
      </c>
      <c r="H119" s="258"/>
    </row>
    <row r="120" spans="5:25">
      <c r="E120" s="151" t="s">
        <v>334</v>
      </c>
      <c r="F120" s="151"/>
      <c r="G120" s="283">
        <f>J19</f>
        <v>3494.8517523130004</v>
      </c>
      <c r="H120" s="258"/>
    </row>
    <row r="121" spans="5:25">
      <c r="E121" s="151" t="s">
        <v>335</v>
      </c>
      <c r="F121" s="151"/>
      <c r="G121" s="284">
        <f>G119-G120</f>
        <v>-22.387157943000602</v>
      </c>
      <c r="H121" s="259" t="s">
        <v>336</v>
      </c>
    </row>
  </sheetData>
  <sheetProtection formatCells="0" formatColumns="0" formatRows="0" insertRows="0" deleteRows="0" autoFilter="0"/>
  <autoFilter ref="E23:AL245" xr:uid="{00000000-0009-0000-0000-000015000000}"/>
  <mergeCells count="1">
    <mergeCell ref="I4:J4"/>
  </mergeCells>
  <phoneticPr fontId="40"/>
  <dataValidations count="2">
    <dataValidation type="list" allowBlank="1" showInputMessage="1" showErrorMessage="1" sqref="G2" xr:uid="{00000000-0002-0000-1500-000000000000}">
      <formula1>SOCIETE</formula1>
    </dataValidation>
    <dataValidation type="list" allowBlank="1" showInputMessage="1" showErrorMessage="1" sqref="F106 F24:F99" xr:uid="{15454764-E0BF-46BB-BD32-372A4DCD56BE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6:G121" unlockedFormula="1"/>
  </ignoredError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3">
    <tabColor theme="3" tint="0.59999389629810485"/>
    <pageSetUpPr fitToPage="1"/>
  </sheetPr>
  <dimension ref="C1:AL129"/>
  <sheetViews>
    <sheetView showGridLines="0" topLeftCell="A8" zoomScale="71" zoomScaleNormal="71" workbookViewId="0">
      <selection activeCell="E129" sqref="E129"/>
    </sheetView>
  </sheetViews>
  <sheetFormatPr defaultColWidth="8" defaultRowHeight="15"/>
  <cols>
    <col min="1" max="4" width="4" style="15" customWidth="1"/>
    <col min="5" max="5" width="55.7109375" style="15" bestFit="1" customWidth="1"/>
    <col min="6" max="6" width="20" style="61" bestFit="1" customWidth="1"/>
    <col min="7" max="7" width="21.5703125" style="15" customWidth="1"/>
    <col min="8" max="8" width="24.14062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96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W20</v>
      </c>
      <c r="I9" s="61"/>
      <c r="J9" s="161" t="str">
        <f>+"from "&amp;G6&amp;" 1 until end of "&amp;G4</f>
        <v>from May 1 until end of W20</v>
      </c>
      <c r="K9" s="79"/>
      <c r="L9" s="167" t="str">
        <f>+G6</f>
        <v>May</v>
      </c>
      <c r="M9" s="80"/>
      <c r="N9" s="80"/>
      <c r="O9" s="172" t="str">
        <f>+G4</f>
        <v>W20</v>
      </c>
      <c r="P9" s="173" t="str">
        <f>+VLOOKUP(G4, parameters!$G$9:$I$61,3,0)</f>
        <v>W19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600+320+797+430+J10</f>
        <v>2297</v>
      </c>
      <c r="I10" s="293"/>
      <c r="J10" s="159">
        <f>152-J11</f>
        <v>150</v>
      </c>
      <c r="L10" s="159">
        <f>R17+J10</f>
        <v>989.3631677730001</v>
      </c>
      <c r="N10" s="55"/>
      <c r="O10" s="170">
        <f>+H10+K17</f>
        <v>5919.2604655300001</v>
      </c>
      <c r="P10" s="171" cm="1">
        <f t="array" aca="1" ref="P10" ca="1">INDIRECT(ADDRESS(10,15,,,VLOOKUP($G$4,parameters!$G:$I,3,0)))</f>
        <v>5746.5916411859998</v>
      </c>
      <c r="Q10" s="183">
        <f ca="1">O10-P10</f>
        <v>172.66882434400031</v>
      </c>
      <c r="R10" s="86"/>
    </row>
    <row r="11" spans="5:38" ht="20.45" customHeight="1">
      <c r="E11" s="87" t="s">
        <v>224</v>
      </c>
      <c r="F11" s="88"/>
      <c r="G11" s="89"/>
      <c r="H11" s="16">
        <f>13+8+3+3+J11</f>
        <v>29</v>
      </c>
      <c r="I11" s="293"/>
      <c r="J11" s="16">
        <v>2</v>
      </c>
      <c r="L11" s="159">
        <f>R18+J11</f>
        <v>12.260111127</v>
      </c>
      <c r="N11" s="55"/>
      <c r="O11" s="152">
        <f>+H11+K18</f>
        <v>115.820088974</v>
      </c>
      <c r="P11" s="153" cm="1">
        <f t="array" aca="1" ref="P11" ca="1">INDIRECT(ADDRESS(11,15,,,VLOOKUP($G$4,parameters!$G:$I,3,0)))</f>
        <v>39.260111127000002</v>
      </c>
      <c r="Q11" s="184">
        <f t="shared" ref="Q11:Q12" ca="1" si="0">O11-P11</f>
        <v>76.559977846999999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2326</v>
      </c>
      <c r="I12" s="293"/>
      <c r="J12" s="126">
        <f>SUM(J10:J11)</f>
        <v>152</v>
      </c>
      <c r="K12" s="65"/>
      <c r="L12" s="126">
        <f>SUM(L10:L11)</f>
        <v>1001.6232789000001</v>
      </c>
      <c r="M12" s="65"/>
      <c r="N12" s="65"/>
      <c r="O12" s="154">
        <f>SUM(O10:O11)</f>
        <v>6035.0805545040002</v>
      </c>
      <c r="P12" s="155">
        <f ca="1">SUM(P10:P11)</f>
        <v>5785.8517523129995</v>
      </c>
      <c r="Q12" s="156">
        <f t="shared" ca="1" si="0"/>
        <v>249.2288021910008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+SUMIF($F$24:$F$95,"External",$J$24:$J$95)</f>
        <v>3622.2604655299997</v>
      </c>
      <c r="K17" s="108">
        <f>+SUMIF($F$24:$F$95,"External",$K$24:$K$95)</f>
        <v>3622.2604655299997</v>
      </c>
      <c r="L17" s="109">
        <f>+SUMIF($F$24:$F$87,"External",$L$24:$L$87)</f>
        <v>0</v>
      </c>
      <c r="M17" s="110"/>
      <c r="N17" s="111">
        <f>+SUMIF($F$24:$F$87,"External",N$24:N$87)</f>
        <v>0</v>
      </c>
      <c r="O17" s="111">
        <f>+SUMIF($F$24:$F$87,"External",O$24:O$87)</f>
        <v>0</v>
      </c>
      <c r="P17" s="111">
        <f>+SUMIF($F$24:$F$87,"External",P$24:P$87)</f>
        <v>0</v>
      </c>
      <c r="Q17" s="111">
        <f>+SUMIF($F$24:$F$87,"External",Q$24:Q$87)</f>
        <v>0</v>
      </c>
      <c r="R17" s="111">
        <f t="shared" ref="R17:Y17" si="1">+SUMIF($F$24:$F$94,"External",R$24:R$94)</f>
        <v>839.3631677730001</v>
      </c>
      <c r="S17" s="111">
        <f t="shared" si="1"/>
        <v>1310.386777745</v>
      </c>
      <c r="T17" s="111">
        <f t="shared" si="1"/>
        <v>676.61092437700006</v>
      </c>
      <c r="U17" s="111">
        <f t="shared" si="1"/>
        <v>226.82469971199998</v>
      </c>
      <c r="V17" s="111">
        <f t="shared" si="1"/>
        <v>299.96420974100005</v>
      </c>
      <c r="W17" s="111">
        <f t="shared" si="1"/>
        <v>5.0183849000000009</v>
      </c>
      <c r="X17" s="111">
        <f t="shared" si="1"/>
        <v>264.09230128199999</v>
      </c>
      <c r="Y17" s="111">
        <f t="shared" si="1"/>
        <v>0</v>
      </c>
      <c r="Z17" s="112"/>
      <c r="AA17" s="111">
        <f t="shared" ref="AA17:AL17" si="2">+SUMIF($F$24:$F$87,"External",AA$24:AA$87)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+SUMIF($F$24:$F$95,"Group",$J$24:$J$95)</f>
        <v>86.820088974000001</v>
      </c>
      <c r="K18" s="113">
        <f>+SUMIF($F$24:$F$95,"Group",$K$24:$K$95)</f>
        <v>86.820088974000001</v>
      </c>
      <c r="L18" s="114">
        <f>SUMIF($F$24:$F$87,"Group",$L$24:$L$87)</f>
        <v>0</v>
      </c>
      <c r="M18" s="110"/>
      <c r="N18" s="114">
        <f>+SUMIF($F$24:$F$87,"Group",N$24:N$87)</f>
        <v>0</v>
      </c>
      <c r="O18" s="114">
        <f>+SUMIF($F$24:$F$87,"Group",O$24:O$87)</f>
        <v>0</v>
      </c>
      <c r="P18" s="114">
        <f>+SUMIF($F$24:$F$87,"Group",P$24:P$87)</f>
        <v>0</v>
      </c>
      <c r="Q18" s="114">
        <f>+SUMIF($F$24:$F$87,"Group",Q$24:Q$87)</f>
        <v>0</v>
      </c>
      <c r="R18" s="114">
        <f t="shared" ref="R18:Y18" si="3">+SUMIF($F$24:$F$94,"Group",R$24:R$94)</f>
        <v>10.260111127</v>
      </c>
      <c r="S18" s="114">
        <f t="shared" si="3"/>
        <v>76.559977846999999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+SUMIF($F$24:$F$87,"Group",AA$24:AA$87)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3709.0805545039998</v>
      </c>
      <c r="K19" s="115">
        <f>SUM(K17:K18)</f>
        <v>3709.0805545039998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849.62327890000006</v>
      </c>
      <c r="S19" s="116">
        <f t="shared" si="5"/>
        <v>1386.946755592</v>
      </c>
      <c r="T19" s="116">
        <f t="shared" si="5"/>
        <v>676.61092437700006</v>
      </c>
      <c r="U19" s="116">
        <f t="shared" si="5"/>
        <v>226.82469971199998</v>
      </c>
      <c r="V19" s="116">
        <f t="shared" si="5"/>
        <v>299.96420974100005</v>
      </c>
      <c r="W19" s="116">
        <f t="shared" si="5"/>
        <v>5.0183849000000009</v>
      </c>
      <c r="X19" s="116">
        <f t="shared" si="5"/>
        <v>264.09230128199999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IF(SUM(J24:J87)=J19, "OK", "Please correct: the sum of orders below is not equal to the total calculated above. Make sure to pick External or Group for each order and don't change the formulas in columns K and L")</f>
        <v>Please correct: the sum of orders below is not equal to the total calculated above. Make sure to pick External or Group for each order and don't change the formulas in columns K and L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385" t="s">
        <v>507</v>
      </c>
      <c r="F24" s="385" t="s">
        <v>19</v>
      </c>
      <c r="G24" s="385" t="s">
        <v>464</v>
      </c>
      <c r="H24" s="385" t="s">
        <v>461</v>
      </c>
      <c r="I24" s="385" t="s">
        <v>472</v>
      </c>
      <c r="J24" s="118">
        <f t="shared" ref="J24" si="7">+K24+L24</f>
        <v>36.649137400000001</v>
      </c>
      <c r="K24" s="119">
        <f t="shared" ref="K24" si="8">SUM(N24:Y24)</f>
        <v>36.649137400000001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>
        <v>36.649137400000001</v>
      </c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385" t="s">
        <v>467</v>
      </c>
      <c r="F25" s="385" t="s">
        <v>19</v>
      </c>
      <c r="G25" s="385" t="s">
        <v>237</v>
      </c>
      <c r="H25" s="385" t="s">
        <v>277</v>
      </c>
      <c r="I25" s="385" t="s">
        <v>466</v>
      </c>
      <c r="J25" s="118">
        <f t="shared" ref="J25:J80" si="10">+K25+L25</f>
        <v>5.0559082999999996</v>
      </c>
      <c r="K25" s="119">
        <f t="shared" ref="K25:K80" si="11">SUM(N25:Y25)</f>
        <v>5.0559082999999996</v>
      </c>
      <c r="L25" s="119">
        <f t="shared" ref="L25:L80" si="12">SUM(AA25:AL25)</f>
        <v>0</v>
      </c>
      <c r="M25" s="23"/>
      <c r="N25" s="24"/>
      <c r="O25" s="24"/>
      <c r="P25" s="24"/>
      <c r="Q25" s="24"/>
      <c r="R25" s="24"/>
      <c r="S25" s="24">
        <v>5.0559082999999996</v>
      </c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385" t="s">
        <v>468</v>
      </c>
      <c r="F26" s="385" t="s">
        <v>19</v>
      </c>
      <c r="G26" s="385" t="s">
        <v>239</v>
      </c>
      <c r="H26" s="385" t="s">
        <v>278</v>
      </c>
      <c r="I26" s="385" t="s">
        <v>466</v>
      </c>
      <c r="J26" s="118">
        <f t="shared" si="10"/>
        <v>4.7944134859999998</v>
      </c>
      <c r="K26" s="119">
        <f t="shared" si="11"/>
        <v>4.7944134859999998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>
        <v>4.7944134859999998</v>
      </c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385" t="s">
        <v>492</v>
      </c>
      <c r="F27" s="385" t="s">
        <v>19</v>
      </c>
      <c r="G27" s="385" t="s">
        <v>239</v>
      </c>
      <c r="H27" s="385" t="s">
        <v>278</v>
      </c>
      <c r="I27" s="385" t="s">
        <v>466</v>
      </c>
      <c r="J27" s="118">
        <f t="shared" si="10"/>
        <v>1.6548602190000001</v>
      </c>
      <c r="K27" s="119">
        <f t="shared" si="11"/>
        <v>1.6548602190000001</v>
      </c>
      <c r="L27" s="119">
        <f t="shared" si="12"/>
        <v>0</v>
      </c>
      <c r="M27" s="23"/>
      <c r="N27" s="24"/>
      <c r="O27" s="24"/>
      <c r="P27" s="24"/>
      <c r="Q27" s="24"/>
      <c r="R27" s="24">
        <v>1.6548602190000001</v>
      </c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385" t="s">
        <v>469</v>
      </c>
      <c r="F28" s="385" t="s">
        <v>19</v>
      </c>
      <c r="G28" s="385" t="s">
        <v>237</v>
      </c>
      <c r="H28" s="385" t="s">
        <v>277</v>
      </c>
      <c r="I28" s="385" t="s">
        <v>466</v>
      </c>
      <c r="J28" s="118">
        <f t="shared" si="10"/>
        <v>8.2520863759999994</v>
      </c>
      <c r="K28" s="119">
        <f t="shared" si="11"/>
        <v>8.2520863759999994</v>
      </c>
      <c r="L28" s="119">
        <f t="shared" si="12"/>
        <v>0</v>
      </c>
      <c r="M28" s="23"/>
      <c r="N28" s="24"/>
      <c r="O28" s="24"/>
      <c r="P28" s="24"/>
      <c r="Q28" s="24"/>
      <c r="R28" s="24">
        <v>8.2520863759999994</v>
      </c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385" t="s">
        <v>470</v>
      </c>
      <c r="F29" s="385" t="s">
        <v>19</v>
      </c>
      <c r="G29" s="385" t="s">
        <v>279</v>
      </c>
      <c r="H29" s="385" t="s">
        <v>280</v>
      </c>
      <c r="I29" s="385" t="s">
        <v>472</v>
      </c>
      <c r="J29" s="118">
        <f t="shared" si="10"/>
        <v>341.48153103999999</v>
      </c>
      <c r="K29" s="119">
        <f t="shared" si="11"/>
        <v>341.48153103999999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>
        <v>114.94815476300001</v>
      </c>
      <c r="T29" s="24">
        <v>45.765230900000006</v>
      </c>
      <c r="U29" s="24">
        <v>32.612078382999997</v>
      </c>
      <c r="V29" s="24"/>
      <c r="W29" s="24"/>
      <c r="X29" s="24">
        <v>148.15606699400001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385" t="s">
        <v>281</v>
      </c>
      <c r="F30" s="385" t="s">
        <v>19</v>
      </c>
      <c r="G30" s="385" t="s">
        <v>282</v>
      </c>
      <c r="H30" s="385" t="s">
        <v>283</v>
      </c>
      <c r="I30" s="385" t="s">
        <v>466</v>
      </c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>
        <v>0</v>
      </c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385" t="s">
        <v>281</v>
      </c>
      <c r="F31" s="385" t="s">
        <v>19</v>
      </c>
      <c r="G31" s="385" t="s">
        <v>282</v>
      </c>
      <c r="H31" s="385" t="s">
        <v>283</v>
      </c>
      <c r="I31" s="385" t="s">
        <v>472</v>
      </c>
      <c r="J31" s="118">
        <f t="shared" si="10"/>
        <v>23.816704992999998</v>
      </c>
      <c r="K31" s="119">
        <f t="shared" si="11"/>
        <v>23.816704992999998</v>
      </c>
      <c r="L31" s="119">
        <f t="shared" si="12"/>
        <v>0</v>
      </c>
      <c r="M31" s="23"/>
      <c r="N31" s="24"/>
      <c r="O31" s="24"/>
      <c r="P31" s="24"/>
      <c r="Q31" s="24"/>
      <c r="R31" s="24">
        <v>0.52151288699999998</v>
      </c>
      <c r="S31" s="24"/>
      <c r="T31" s="24"/>
      <c r="U31" s="24"/>
      <c r="V31" s="24"/>
      <c r="W31" s="24"/>
      <c r="X31" s="24">
        <v>23.295192105999998</v>
      </c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385" t="s">
        <v>446</v>
      </c>
      <c r="F32" s="385" t="s">
        <v>19</v>
      </c>
      <c r="G32" s="385" t="s">
        <v>493</v>
      </c>
      <c r="H32" s="385" t="s">
        <v>339</v>
      </c>
      <c r="I32" s="385" t="s">
        <v>472</v>
      </c>
      <c r="J32" s="118">
        <f t="shared" si="10"/>
        <v>3.1289627279999999</v>
      </c>
      <c r="K32" s="119">
        <f t="shared" si="11"/>
        <v>3.1289627279999999</v>
      </c>
      <c r="L32" s="119">
        <f t="shared" si="12"/>
        <v>0</v>
      </c>
      <c r="M32" s="15"/>
      <c r="N32" s="24"/>
      <c r="O32" s="24"/>
      <c r="P32" s="24"/>
      <c r="Q32" s="24"/>
      <c r="R32" s="24">
        <v>3.1289627279999999</v>
      </c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385" t="s">
        <v>446</v>
      </c>
      <c r="F33" s="385" t="s">
        <v>19</v>
      </c>
      <c r="G33" s="385" t="s">
        <v>285</v>
      </c>
      <c r="H33" s="385" t="s">
        <v>286</v>
      </c>
      <c r="I33" s="385" t="s">
        <v>472</v>
      </c>
      <c r="J33" s="118">
        <f t="shared" si="10"/>
        <v>1.8723552809999999</v>
      </c>
      <c r="K33" s="119">
        <f t="shared" si="11"/>
        <v>1.8723552809999999</v>
      </c>
      <c r="L33" s="119">
        <f t="shared" si="12"/>
        <v>0</v>
      </c>
      <c r="M33" s="15"/>
      <c r="N33" s="24"/>
      <c r="O33" s="24"/>
      <c r="P33" s="24"/>
      <c r="Q33" s="24"/>
      <c r="R33" s="24">
        <v>1.8723552809999999</v>
      </c>
      <c r="S33" s="24"/>
      <c r="T33" s="24"/>
      <c r="U33" s="24"/>
      <c r="V33" s="24"/>
      <c r="W33" s="24"/>
      <c r="X33" s="24"/>
      <c r="Y33" s="24"/>
    </row>
    <row r="34" spans="5:25">
      <c r="E34" s="385" t="s">
        <v>473</v>
      </c>
      <c r="F34" s="385" t="s">
        <v>17</v>
      </c>
      <c r="G34" s="385" t="s">
        <v>285</v>
      </c>
      <c r="H34" s="385" t="s">
        <v>286</v>
      </c>
      <c r="I34" s="385" t="s">
        <v>472</v>
      </c>
      <c r="J34" s="118">
        <f t="shared" si="10"/>
        <v>86.820088974000001</v>
      </c>
      <c r="K34" s="119">
        <f t="shared" si="11"/>
        <v>86.820088974000001</v>
      </c>
      <c r="L34" s="119">
        <f t="shared" si="12"/>
        <v>0</v>
      </c>
      <c r="M34" s="15"/>
      <c r="N34" s="24"/>
      <c r="O34" s="24"/>
      <c r="P34" s="24"/>
      <c r="Q34" s="24"/>
      <c r="R34" s="24">
        <v>10.260111127</v>
      </c>
      <c r="S34" s="24">
        <v>76.559977846999999</v>
      </c>
      <c r="T34" s="24"/>
      <c r="U34" s="24"/>
      <c r="V34" s="24"/>
      <c r="W34" s="24"/>
      <c r="X34" s="24"/>
      <c r="Y34" s="24"/>
    </row>
    <row r="35" spans="5:25">
      <c r="E35" s="385" t="s">
        <v>474</v>
      </c>
      <c r="F35" s="385" t="s">
        <v>19</v>
      </c>
      <c r="G35" s="385" t="s">
        <v>279</v>
      </c>
      <c r="H35" s="385" t="s">
        <v>280</v>
      </c>
      <c r="I35" s="385" t="s">
        <v>472</v>
      </c>
      <c r="J35" s="118">
        <f t="shared" si="10"/>
        <v>114.986673357</v>
      </c>
      <c r="K35" s="119">
        <f t="shared" si="11"/>
        <v>114.986673357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>
        <v>114.986673357</v>
      </c>
      <c r="U35" s="24"/>
      <c r="V35" s="24"/>
      <c r="W35" s="24"/>
      <c r="X35" s="24"/>
      <c r="Y35" s="24"/>
    </row>
    <row r="36" spans="5:25">
      <c r="E36" s="385" t="s">
        <v>475</v>
      </c>
      <c r="F36" s="385" t="s">
        <v>19</v>
      </c>
      <c r="G36" s="385" t="s">
        <v>245</v>
      </c>
      <c r="H36" s="385" t="s">
        <v>288</v>
      </c>
      <c r="I36" s="385" t="s">
        <v>466</v>
      </c>
      <c r="J36" s="118">
        <f t="shared" si="10"/>
        <v>12.006004425</v>
      </c>
      <c r="K36" s="119">
        <f t="shared" si="11"/>
        <v>12.006004425</v>
      </c>
      <c r="L36" s="119">
        <f t="shared" si="12"/>
        <v>0</v>
      </c>
      <c r="M36" s="15"/>
      <c r="N36" s="24"/>
      <c r="O36" s="24"/>
      <c r="P36" s="24"/>
      <c r="Q36" s="24"/>
      <c r="R36" s="24">
        <v>12.006004425</v>
      </c>
      <c r="S36" s="24"/>
      <c r="T36" s="24"/>
      <c r="U36" s="24"/>
      <c r="V36" s="24"/>
      <c r="W36" s="24"/>
      <c r="X36" s="24"/>
      <c r="Y36" s="24"/>
    </row>
    <row r="37" spans="5:25">
      <c r="E37" s="385" t="s">
        <v>476</v>
      </c>
      <c r="F37" s="385" t="s">
        <v>19</v>
      </c>
      <c r="G37" s="385" t="s">
        <v>447</v>
      </c>
      <c r="H37" s="385" t="s">
        <v>448</v>
      </c>
      <c r="I37" s="385" t="s">
        <v>466</v>
      </c>
      <c r="J37" s="118">
        <f t="shared" si="10"/>
        <v>127.27051203399999</v>
      </c>
      <c r="K37" s="119">
        <f t="shared" si="11"/>
        <v>127.27051203399999</v>
      </c>
      <c r="L37" s="119">
        <f t="shared" si="12"/>
        <v>0</v>
      </c>
      <c r="M37" s="15"/>
      <c r="N37" s="24"/>
      <c r="O37" s="24"/>
      <c r="P37" s="24"/>
      <c r="Q37" s="24"/>
      <c r="R37" s="24">
        <v>27.912682933999996</v>
      </c>
      <c r="S37" s="24"/>
      <c r="T37" s="24">
        <v>94.466470399999992</v>
      </c>
      <c r="U37" s="24"/>
      <c r="V37" s="24"/>
      <c r="W37" s="24">
        <v>4.8913587000000005</v>
      </c>
      <c r="X37" s="24"/>
      <c r="Y37" s="24"/>
    </row>
    <row r="38" spans="5:25">
      <c r="E38" s="385" t="s">
        <v>476</v>
      </c>
      <c r="F38" s="385" t="s">
        <v>19</v>
      </c>
      <c r="G38" s="385" t="s">
        <v>247</v>
      </c>
      <c r="H38" s="385" t="s">
        <v>289</v>
      </c>
      <c r="I38" s="385" t="s">
        <v>466</v>
      </c>
      <c r="J38" s="118">
        <f t="shared" si="10"/>
        <v>121.91981868800002</v>
      </c>
      <c r="K38" s="119">
        <f t="shared" si="11"/>
        <v>121.91981868800002</v>
      </c>
      <c r="L38" s="119">
        <f t="shared" si="12"/>
        <v>0</v>
      </c>
      <c r="M38" s="15"/>
      <c r="N38" s="24"/>
      <c r="O38" s="24"/>
      <c r="P38" s="24"/>
      <c r="Q38" s="24"/>
      <c r="R38" s="24">
        <v>5.3130186879999997</v>
      </c>
      <c r="S38" s="24"/>
      <c r="T38" s="24">
        <v>116.60680000000002</v>
      </c>
      <c r="U38" s="24"/>
      <c r="V38" s="24"/>
      <c r="W38" s="24"/>
      <c r="X38" s="24"/>
      <c r="Y38" s="24"/>
    </row>
    <row r="39" spans="5:25">
      <c r="E39" s="385" t="s">
        <v>476</v>
      </c>
      <c r="F39" s="385" t="s">
        <v>19</v>
      </c>
      <c r="G39" s="385" t="s">
        <v>379</v>
      </c>
      <c r="H39" s="385" t="s">
        <v>291</v>
      </c>
      <c r="I39" s="385" t="s">
        <v>466</v>
      </c>
      <c r="J39" s="118">
        <f t="shared" si="10"/>
        <v>106.992011594</v>
      </c>
      <c r="K39" s="119">
        <f t="shared" si="11"/>
        <v>106.992011594</v>
      </c>
      <c r="L39" s="119">
        <f t="shared" si="12"/>
        <v>0</v>
      </c>
      <c r="M39" s="15"/>
      <c r="N39" s="24"/>
      <c r="O39" s="24"/>
      <c r="P39" s="24"/>
      <c r="Q39" s="24"/>
      <c r="R39" s="24">
        <v>8.3565815939999997</v>
      </c>
      <c r="S39" s="24"/>
      <c r="T39" s="24">
        <v>98.635429999999999</v>
      </c>
      <c r="U39" s="24"/>
      <c r="V39" s="24"/>
      <c r="W39" s="24"/>
      <c r="X39" s="24"/>
      <c r="Y39" s="24"/>
    </row>
    <row r="40" spans="5:25">
      <c r="E40" s="385" t="s">
        <v>476</v>
      </c>
      <c r="F40" s="385" t="s">
        <v>19</v>
      </c>
      <c r="G40" s="385" t="s">
        <v>378</v>
      </c>
      <c r="H40" s="385" t="s">
        <v>290</v>
      </c>
      <c r="I40" s="385" t="s">
        <v>466</v>
      </c>
      <c r="J40" s="118">
        <f t="shared" si="10"/>
        <v>9.2240681350000013</v>
      </c>
      <c r="K40" s="119">
        <f t="shared" si="11"/>
        <v>9.2240681350000013</v>
      </c>
      <c r="L40" s="119">
        <f t="shared" si="12"/>
        <v>0</v>
      </c>
      <c r="M40" s="15"/>
      <c r="N40" s="24"/>
      <c r="O40" s="24"/>
      <c r="P40" s="24"/>
      <c r="Q40" s="24"/>
      <c r="R40" s="24">
        <v>1.9769659390000001</v>
      </c>
      <c r="S40" s="24">
        <v>5.7400821960000012</v>
      </c>
      <c r="T40" s="24">
        <v>1.50702</v>
      </c>
      <c r="U40" s="24"/>
      <c r="V40" s="24"/>
      <c r="W40" s="24"/>
      <c r="X40" s="24"/>
      <c r="Y40" s="24"/>
    </row>
    <row r="41" spans="5:25">
      <c r="E41" s="385" t="s">
        <v>476</v>
      </c>
      <c r="F41" s="385" t="s">
        <v>19</v>
      </c>
      <c r="G41" s="385" t="s">
        <v>454</v>
      </c>
      <c r="H41" s="385" t="s">
        <v>292</v>
      </c>
      <c r="I41" s="385" t="s">
        <v>466</v>
      </c>
      <c r="J41" s="118">
        <f t="shared" si="10"/>
        <v>84.987528244000032</v>
      </c>
      <c r="K41" s="119">
        <f t="shared" si="11"/>
        <v>84.987528244000032</v>
      </c>
      <c r="L41" s="119">
        <f t="shared" si="12"/>
        <v>0</v>
      </c>
      <c r="M41" s="15"/>
      <c r="N41" s="24"/>
      <c r="O41" s="24"/>
      <c r="P41" s="24"/>
      <c r="Q41" s="24"/>
      <c r="R41" s="24">
        <v>14.659747644000014</v>
      </c>
      <c r="S41" s="24"/>
      <c r="T41" s="24">
        <v>70.327780600000011</v>
      </c>
      <c r="U41" s="24"/>
      <c r="V41" s="24"/>
      <c r="W41" s="24"/>
      <c r="X41" s="24"/>
      <c r="Y41" s="24"/>
    </row>
    <row r="42" spans="5:25">
      <c r="E42" s="385" t="s">
        <v>476</v>
      </c>
      <c r="F42" s="385" t="s">
        <v>19</v>
      </c>
      <c r="G42" s="385" t="s">
        <v>293</v>
      </c>
      <c r="H42" s="385" t="s">
        <v>294</v>
      </c>
      <c r="I42" s="385" t="s">
        <v>466</v>
      </c>
      <c r="J42" s="118">
        <f t="shared" si="10"/>
        <v>86.751622428000005</v>
      </c>
      <c r="K42" s="119">
        <f t="shared" si="11"/>
        <v>86.751622428000005</v>
      </c>
      <c r="L42" s="119">
        <f t="shared" si="12"/>
        <v>0</v>
      </c>
      <c r="M42" s="15"/>
      <c r="N42" s="24"/>
      <c r="O42" s="24"/>
      <c r="P42" s="24"/>
      <c r="Q42" s="24"/>
      <c r="R42" s="24">
        <v>4.8633402279999993</v>
      </c>
      <c r="S42" s="24"/>
      <c r="T42" s="24">
        <v>81.888282200000006</v>
      </c>
      <c r="U42" s="24"/>
      <c r="V42" s="24"/>
      <c r="W42" s="24"/>
      <c r="X42" s="24"/>
      <c r="Y42" s="24"/>
    </row>
    <row r="43" spans="5:25">
      <c r="E43" s="385" t="s">
        <v>476</v>
      </c>
      <c r="F43" s="385" t="s">
        <v>19</v>
      </c>
      <c r="G43" s="385" t="s">
        <v>252</v>
      </c>
      <c r="H43" s="385" t="s">
        <v>295</v>
      </c>
      <c r="I43" s="385" t="s">
        <v>466</v>
      </c>
      <c r="J43" s="118">
        <f t="shared" si="10"/>
        <v>29.016749231999999</v>
      </c>
      <c r="K43" s="119">
        <f t="shared" si="11"/>
        <v>29.016749231999999</v>
      </c>
      <c r="L43" s="119">
        <f t="shared" si="12"/>
        <v>0</v>
      </c>
      <c r="M43" s="15"/>
      <c r="N43" s="24"/>
      <c r="O43" s="24"/>
      <c r="P43" s="24"/>
      <c r="Q43" s="24"/>
      <c r="R43" s="24">
        <v>7.2887223000000008</v>
      </c>
      <c r="S43" s="24">
        <v>20.822523132000001</v>
      </c>
      <c r="T43" s="24">
        <v>0.77847759999999999</v>
      </c>
      <c r="U43" s="24"/>
      <c r="V43" s="24"/>
      <c r="W43" s="24">
        <v>0.12702620000000001</v>
      </c>
      <c r="X43" s="24"/>
      <c r="Y43" s="24"/>
    </row>
    <row r="44" spans="5:25">
      <c r="E44" s="385" t="s">
        <v>476</v>
      </c>
      <c r="F44" s="385" t="s">
        <v>19</v>
      </c>
      <c r="G44" s="385" t="s">
        <v>245</v>
      </c>
      <c r="H44" s="385" t="s">
        <v>288</v>
      </c>
      <c r="I44" s="385" t="s">
        <v>466</v>
      </c>
      <c r="J44" s="118">
        <f t="shared" si="10"/>
        <v>52.967951968999991</v>
      </c>
      <c r="K44" s="119">
        <f t="shared" si="11"/>
        <v>52.967951968999991</v>
      </c>
      <c r="L44" s="119">
        <f t="shared" si="12"/>
        <v>0</v>
      </c>
      <c r="M44" s="15"/>
      <c r="N44" s="24"/>
      <c r="O44" s="24"/>
      <c r="P44" s="24"/>
      <c r="Q44" s="24"/>
      <c r="R44" s="24">
        <v>12.264196069</v>
      </c>
      <c r="S44" s="24"/>
      <c r="T44" s="24">
        <v>40.70375589999999</v>
      </c>
      <c r="U44" s="24"/>
      <c r="V44" s="24"/>
      <c r="W44" s="24"/>
      <c r="X44" s="24"/>
      <c r="Y44" s="24"/>
    </row>
    <row r="45" spans="5:25">
      <c r="E45" s="385" t="s">
        <v>476</v>
      </c>
      <c r="F45" s="385" t="s">
        <v>19</v>
      </c>
      <c r="G45" s="385" t="s">
        <v>447</v>
      </c>
      <c r="H45" s="385" t="s">
        <v>448</v>
      </c>
      <c r="I45" s="385" t="s">
        <v>528</v>
      </c>
      <c r="J45" s="118">
        <f t="shared" si="10"/>
        <v>0.27692307700000002</v>
      </c>
      <c r="K45" s="119">
        <f t="shared" si="11"/>
        <v>0.27692307700000002</v>
      </c>
      <c r="L45" s="119">
        <f t="shared" si="12"/>
        <v>0</v>
      </c>
      <c r="M45" s="15"/>
      <c r="N45" s="24"/>
      <c r="O45" s="24"/>
      <c r="P45" s="24"/>
      <c r="Q45" s="24"/>
      <c r="R45" s="24">
        <v>0.27692307700000002</v>
      </c>
      <c r="S45" s="24"/>
      <c r="T45" s="24"/>
      <c r="U45" s="24"/>
      <c r="V45" s="24"/>
      <c r="W45" s="24"/>
      <c r="X45" s="24"/>
      <c r="Y45" s="24"/>
    </row>
    <row r="46" spans="5:25">
      <c r="E46" s="385" t="s">
        <v>477</v>
      </c>
      <c r="F46" s="385" t="s">
        <v>19</v>
      </c>
      <c r="G46" s="385" t="s">
        <v>454</v>
      </c>
      <c r="H46" s="385" t="s">
        <v>292</v>
      </c>
      <c r="I46" s="385" t="s">
        <v>466</v>
      </c>
      <c r="J46" s="118">
        <f t="shared" si="10"/>
        <v>10.006058019999999</v>
      </c>
      <c r="K46" s="119">
        <f t="shared" si="11"/>
        <v>10.006058019999999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>
        <v>10.006058019999999</v>
      </c>
      <c r="U46" s="24"/>
      <c r="V46" s="24"/>
      <c r="W46" s="24"/>
      <c r="X46" s="24"/>
      <c r="Y46" s="24"/>
    </row>
    <row r="47" spans="5:25">
      <c r="E47" s="385" t="s">
        <v>478</v>
      </c>
      <c r="F47" s="385" t="s">
        <v>19</v>
      </c>
      <c r="G47" s="385" t="s">
        <v>245</v>
      </c>
      <c r="H47" s="385" t="s">
        <v>288</v>
      </c>
      <c r="I47" s="385" t="s">
        <v>466</v>
      </c>
      <c r="J47" s="118">
        <f t="shared" si="10"/>
        <v>57.256929589999999</v>
      </c>
      <c r="K47" s="119">
        <f t="shared" si="11"/>
        <v>57.256929589999999</v>
      </c>
      <c r="L47" s="119">
        <f t="shared" si="12"/>
        <v>0</v>
      </c>
      <c r="M47" s="15"/>
      <c r="N47" s="24"/>
      <c r="O47" s="24"/>
      <c r="P47" s="24"/>
      <c r="Q47" s="24"/>
      <c r="R47" s="24">
        <v>57.256929589999999</v>
      </c>
      <c r="S47" s="24"/>
      <c r="T47" s="24"/>
      <c r="U47" s="24"/>
      <c r="V47" s="24"/>
      <c r="W47" s="24"/>
      <c r="X47" s="24"/>
      <c r="Y47" s="24"/>
    </row>
    <row r="48" spans="5:25">
      <c r="E48" s="385" t="s">
        <v>414</v>
      </c>
      <c r="F48" s="385" t="s">
        <v>19</v>
      </c>
      <c r="G48" s="385" t="s">
        <v>245</v>
      </c>
      <c r="H48" s="385" t="s">
        <v>288</v>
      </c>
      <c r="I48" s="385" t="s">
        <v>466</v>
      </c>
      <c r="J48" s="118">
        <f t="shared" si="10"/>
        <v>86.815123510000006</v>
      </c>
      <c r="K48" s="119">
        <f t="shared" si="11"/>
        <v>86.815123510000006</v>
      </c>
      <c r="L48" s="119">
        <f t="shared" si="12"/>
        <v>0</v>
      </c>
      <c r="M48" s="15"/>
      <c r="N48" s="24"/>
      <c r="O48" s="24"/>
      <c r="P48" s="24"/>
      <c r="Q48" s="24"/>
      <c r="R48" s="24">
        <v>86.815123510000006</v>
      </c>
      <c r="S48" s="24"/>
      <c r="T48" s="24"/>
      <c r="U48" s="24"/>
      <c r="V48" s="24"/>
      <c r="W48" s="24"/>
      <c r="X48" s="24"/>
      <c r="Y48" s="24"/>
    </row>
    <row r="49" spans="5:25">
      <c r="E49" s="385" t="s">
        <v>417</v>
      </c>
      <c r="F49" s="385" t="s">
        <v>19</v>
      </c>
      <c r="G49" s="385" t="s">
        <v>500</v>
      </c>
      <c r="H49" s="385" t="s">
        <v>305</v>
      </c>
      <c r="I49" s="385" t="s">
        <v>472</v>
      </c>
      <c r="J49" s="118">
        <f t="shared" si="10"/>
        <v>19.768845337000002</v>
      </c>
      <c r="K49" s="119">
        <f t="shared" si="11"/>
        <v>19.768845337000002</v>
      </c>
      <c r="L49" s="119">
        <f t="shared" si="12"/>
        <v>0</v>
      </c>
      <c r="M49" s="15"/>
      <c r="N49" s="24"/>
      <c r="O49" s="24"/>
      <c r="P49" s="24"/>
      <c r="Q49" s="24"/>
      <c r="R49" s="24">
        <v>19.768845337000002</v>
      </c>
      <c r="S49" s="24"/>
      <c r="T49" s="24"/>
      <c r="U49" s="24"/>
      <c r="V49" s="24"/>
      <c r="W49" s="24"/>
      <c r="X49" s="24"/>
      <c r="Y49" s="24"/>
    </row>
    <row r="50" spans="5:25">
      <c r="E50" s="385" t="s">
        <v>479</v>
      </c>
      <c r="F50" s="385" t="s">
        <v>19</v>
      </c>
      <c r="G50" s="385" t="s">
        <v>494</v>
      </c>
      <c r="H50" s="385" t="s">
        <v>299</v>
      </c>
      <c r="I50" s="385" t="s">
        <v>466</v>
      </c>
      <c r="J50" s="118">
        <f t="shared" si="10"/>
        <v>18.264194112000002</v>
      </c>
      <c r="K50" s="119">
        <f t="shared" si="11"/>
        <v>18.264194112000002</v>
      </c>
      <c r="L50" s="119">
        <f t="shared" si="12"/>
        <v>0</v>
      </c>
      <c r="M50" s="15"/>
      <c r="N50" s="24"/>
      <c r="O50" s="24"/>
      <c r="P50" s="24"/>
      <c r="Q50" s="24"/>
      <c r="R50" s="24">
        <v>18.264194112000002</v>
      </c>
      <c r="S50" s="24"/>
      <c r="T50" s="24"/>
      <c r="U50" s="24"/>
      <c r="V50" s="24"/>
      <c r="W50" s="24"/>
      <c r="X50" s="24"/>
      <c r="Y50" s="24"/>
    </row>
    <row r="51" spans="5:25">
      <c r="E51" s="385" t="s">
        <v>480</v>
      </c>
      <c r="F51" s="385" t="s">
        <v>19</v>
      </c>
      <c r="G51" s="385" t="s">
        <v>502</v>
      </c>
      <c r="H51" s="385" t="s">
        <v>302</v>
      </c>
      <c r="I51" s="385" t="s">
        <v>466</v>
      </c>
      <c r="J51" s="118">
        <f t="shared" si="10"/>
        <v>91.311035562000001</v>
      </c>
      <c r="K51" s="119">
        <f t="shared" si="11"/>
        <v>91.311035562000001</v>
      </c>
      <c r="L51" s="119">
        <f t="shared" si="12"/>
        <v>0</v>
      </c>
      <c r="M51" s="15"/>
      <c r="N51" s="24"/>
      <c r="O51" s="24"/>
      <c r="P51" s="24"/>
      <c r="Q51" s="24"/>
      <c r="R51" s="24">
        <v>91.311035562000001</v>
      </c>
      <c r="S51" s="24"/>
      <c r="T51" s="24"/>
      <c r="U51" s="24"/>
      <c r="V51" s="24"/>
      <c r="W51" s="24"/>
      <c r="X51" s="24"/>
      <c r="Y51" s="24"/>
    </row>
    <row r="52" spans="5:25">
      <c r="E52" s="385" t="s">
        <v>457</v>
      </c>
      <c r="F52" s="385" t="s">
        <v>19</v>
      </c>
      <c r="G52" s="385" t="s">
        <v>374</v>
      </c>
      <c r="H52" s="385" t="s">
        <v>317</v>
      </c>
      <c r="I52" s="385" t="s">
        <v>466</v>
      </c>
      <c r="J52" s="118">
        <f t="shared" si="10"/>
        <v>112.705931249</v>
      </c>
      <c r="K52" s="119">
        <f t="shared" si="11"/>
        <v>112.705931249</v>
      </c>
      <c r="L52" s="119">
        <f t="shared" si="12"/>
        <v>0</v>
      </c>
      <c r="M52" s="15"/>
      <c r="N52" s="24"/>
      <c r="O52" s="24"/>
      <c r="P52" s="24"/>
      <c r="Q52" s="24"/>
      <c r="R52" s="24">
        <v>59.412316300000008</v>
      </c>
      <c r="S52" s="24">
        <v>53.293614949000002</v>
      </c>
      <c r="T52" s="24"/>
      <c r="U52" s="24"/>
      <c r="V52" s="24"/>
      <c r="W52" s="24"/>
      <c r="X52" s="24"/>
      <c r="Y52" s="24"/>
    </row>
    <row r="53" spans="5:25">
      <c r="E53" s="385" t="s">
        <v>457</v>
      </c>
      <c r="F53" s="385" t="s">
        <v>19</v>
      </c>
      <c r="G53" s="385" t="s">
        <v>508</v>
      </c>
      <c r="H53" s="385" t="s">
        <v>319</v>
      </c>
      <c r="I53" s="385" t="s">
        <v>472</v>
      </c>
      <c r="J53" s="118">
        <f t="shared" si="10"/>
        <v>112.18356899999999</v>
      </c>
      <c r="K53" s="119">
        <f t="shared" si="11"/>
        <v>112.18356899999999</v>
      </c>
      <c r="L53" s="119">
        <f t="shared" si="12"/>
        <v>0</v>
      </c>
      <c r="M53" s="15"/>
      <c r="N53" s="24"/>
      <c r="O53" s="24"/>
      <c r="P53" s="24"/>
      <c r="Q53" s="24"/>
      <c r="R53" s="24">
        <v>0</v>
      </c>
      <c r="S53" s="24">
        <v>112.18356899999999</v>
      </c>
      <c r="T53" s="24"/>
      <c r="U53" s="24"/>
      <c r="V53" s="24"/>
      <c r="W53" s="24"/>
      <c r="X53" s="24"/>
      <c r="Y53" s="24"/>
    </row>
    <row r="54" spans="5:25">
      <c r="E54" s="385" t="s">
        <v>450</v>
      </c>
      <c r="F54" s="385" t="s">
        <v>19</v>
      </c>
      <c r="G54" s="385" t="s">
        <v>282</v>
      </c>
      <c r="H54" s="385" t="s">
        <v>283</v>
      </c>
      <c r="I54" s="385" t="s">
        <v>466</v>
      </c>
      <c r="J54" s="118">
        <f t="shared" si="10"/>
        <v>0.93894539999999993</v>
      </c>
      <c r="K54" s="119">
        <f t="shared" si="11"/>
        <v>0.93894539999999993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>
        <v>0.93894539999999993</v>
      </c>
      <c r="U54" s="24"/>
      <c r="V54" s="24"/>
      <c r="W54" s="24"/>
      <c r="X54" s="24"/>
      <c r="Y54" s="24"/>
    </row>
    <row r="55" spans="5:25">
      <c r="E55" s="385" t="s">
        <v>450</v>
      </c>
      <c r="F55" s="385" t="s">
        <v>19</v>
      </c>
      <c r="G55" s="385" t="s">
        <v>500</v>
      </c>
      <c r="H55" s="385" t="s">
        <v>305</v>
      </c>
      <c r="I55" s="385" t="s">
        <v>466</v>
      </c>
      <c r="J55" s="118">
        <f t="shared" si="10"/>
        <v>4.4249754340000012</v>
      </c>
      <c r="K55" s="119">
        <f t="shared" si="11"/>
        <v>4.4249754340000012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4.4249754340000012</v>
      </c>
      <c r="T55" s="24"/>
      <c r="U55" s="24"/>
      <c r="V55" s="24"/>
      <c r="W55" s="24"/>
      <c r="X55" s="24"/>
      <c r="Y55" s="24"/>
    </row>
    <row r="56" spans="5:25">
      <c r="E56" s="385" t="s">
        <v>450</v>
      </c>
      <c r="F56" s="385" t="s">
        <v>19</v>
      </c>
      <c r="G56" s="385" t="s">
        <v>256</v>
      </c>
      <c r="H56" s="385" t="s">
        <v>303</v>
      </c>
      <c r="I56" s="385" t="s">
        <v>466</v>
      </c>
      <c r="J56" s="118">
        <f t="shared" si="10"/>
        <v>37.272208150999994</v>
      </c>
      <c r="K56" s="119">
        <f t="shared" si="11"/>
        <v>37.272208150999994</v>
      </c>
      <c r="L56" s="119">
        <f t="shared" si="12"/>
        <v>0</v>
      </c>
      <c r="M56" s="15"/>
      <c r="N56" s="24"/>
      <c r="O56" s="24"/>
      <c r="P56" s="24"/>
      <c r="Q56" s="24"/>
      <c r="R56" s="24">
        <v>7.8195113509999983</v>
      </c>
      <c r="S56" s="24">
        <v>29.452696799999998</v>
      </c>
      <c r="T56" s="24"/>
      <c r="U56" s="24"/>
      <c r="V56" s="24"/>
      <c r="W56" s="24"/>
      <c r="X56" s="24"/>
      <c r="Y56" s="24"/>
    </row>
    <row r="57" spans="5:25">
      <c r="E57" s="385" t="s">
        <v>450</v>
      </c>
      <c r="F57" s="385" t="s">
        <v>19</v>
      </c>
      <c r="G57" s="385" t="s">
        <v>500</v>
      </c>
      <c r="H57" s="385" t="s">
        <v>305</v>
      </c>
      <c r="I57" s="385" t="s">
        <v>472</v>
      </c>
      <c r="J57" s="118">
        <f t="shared" si="10"/>
        <v>36.726846472999995</v>
      </c>
      <c r="K57" s="119">
        <f t="shared" si="11"/>
        <v>36.726846472999995</v>
      </c>
      <c r="L57" s="119">
        <f t="shared" si="12"/>
        <v>0</v>
      </c>
      <c r="M57" s="15"/>
      <c r="N57" s="24"/>
      <c r="O57" s="24"/>
      <c r="P57" s="24"/>
      <c r="Q57" s="24"/>
      <c r="R57" s="24">
        <v>16.673765806000002</v>
      </c>
      <c r="S57" s="24">
        <v>20.053080666999996</v>
      </c>
      <c r="T57" s="24"/>
      <c r="U57" s="24"/>
      <c r="V57" s="24"/>
      <c r="W57" s="24"/>
      <c r="X57" s="24"/>
      <c r="Y57" s="24"/>
    </row>
    <row r="58" spans="5:25">
      <c r="E58" s="385" t="s">
        <v>496</v>
      </c>
      <c r="F58" s="385" t="s">
        <v>19</v>
      </c>
      <c r="G58" s="385" t="s">
        <v>256</v>
      </c>
      <c r="H58" s="385" t="s">
        <v>303</v>
      </c>
      <c r="I58" s="385" t="s">
        <v>466</v>
      </c>
      <c r="J58" s="118">
        <f t="shared" si="10"/>
        <v>31.109611310999998</v>
      </c>
      <c r="K58" s="119">
        <f t="shared" si="11"/>
        <v>31.109611310999998</v>
      </c>
      <c r="L58" s="119">
        <f t="shared" si="12"/>
        <v>0</v>
      </c>
      <c r="M58" s="15"/>
      <c r="N58" s="24"/>
      <c r="O58" s="24"/>
      <c r="P58" s="24"/>
      <c r="Q58" s="24"/>
      <c r="R58" s="24">
        <v>6.8511271109999994</v>
      </c>
      <c r="S58" s="24">
        <v>24.258484199999998</v>
      </c>
      <c r="T58" s="24"/>
      <c r="U58" s="24"/>
      <c r="V58" s="24"/>
      <c r="W58" s="24"/>
      <c r="X58" s="24"/>
      <c r="Y58" s="24"/>
    </row>
    <row r="59" spans="5:25">
      <c r="E59" s="385" t="s">
        <v>496</v>
      </c>
      <c r="F59" s="385" t="s">
        <v>19</v>
      </c>
      <c r="G59" s="385" t="s">
        <v>500</v>
      </c>
      <c r="H59" s="385" t="s">
        <v>305</v>
      </c>
      <c r="I59" s="385" t="s">
        <v>472</v>
      </c>
      <c r="J59" s="118">
        <f t="shared" si="10"/>
        <v>6.0859211000000002</v>
      </c>
      <c r="K59" s="119">
        <f t="shared" si="11"/>
        <v>6.0859211000000002</v>
      </c>
      <c r="L59" s="119">
        <f t="shared" si="12"/>
        <v>0</v>
      </c>
      <c r="M59" s="15"/>
      <c r="N59" s="24"/>
      <c r="O59" s="24"/>
      <c r="P59" s="24"/>
      <c r="Q59" s="24"/>
      <c r="R59" s="24">
        <v>6.0859211000000002</v>
      </c>
      <c r="S59" s="24"/>
      <c r="T59" s="24"/>
      <c r="U59" s="24"/>
      <c r="V59" s="24"/>
      <c r="W59" s="24"/>
      <c r="X59" s="24"/>
      <c r="Y59" s="24"/>
    </row>
    <row r="60" spans="5:25">
      <c r="E60" s="385" t="s">
        <v>497</v>
      </c>
      <c r="F60" s="385" t="s">
        <v>19</v>
      </c>
      <c r="G60" s="385" t="s">
        <v>256</v>
      </c>
      <c r="H60" s="385" t="s">
        <v>303</v>
      </c>
      <c r="I60" s="385" t="s">
        <v>466</v>
      </c>
      <c r="J60" s="118">
        <f t="shared" si="10"/>
        <v>30.777910495</v>
      </c>
      <c r="K60" s="119">
        <f t="shared" si="11"/>
        <v>30.777910495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>
        <v>30.777910495</v>
      </c>
      <c r="T60" s="24"/>
      <c r="U60" s="24"/>
      <c r="V60" s="24"/>
      <c r="W60" s="24"/>
      <c r="X60" s="24"/>
      <c r="Y60" s="24"/>
    </row>
    <row r="61" spans="5:25">
      <c r="E61" s="385" t="s">
        <v>441</v>
      </c>
      <c r="F61" s="385" t="s">
        <v>19</v>
      </c>
      <c r="G61" s="385" t="s">
        <v>441</v>
      </c>
      <c r="H61" s="385" t="s">
        <v>481</v>
      </c>
      <c r="I61" s="385" t="s">
        <v>466</v>
      </c>
      <c r="J61" s="118">
        <f t="shared" si="10"/>
        <v>697.84846073999995</v>
      </c>
      <c r="K61" s="119">
        <f t="shared" si="11"/>
        <v>697.84846073999995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>
        <v>697.84846073999995</v>
      </c>
      <c r="T61" s="24"/>
      <c r="U61" s="24"/>
      <c r="V61" s="24"/>
      <c r="W61" s="24"/>
      <c r="X61" s="24"/>
      <c r="Y61" s="24"/>
    </row>
    <row r="62" spans="5:25">
      <c r="E62" s="385" t="s">
        <v>482</v>
      </c>
      <c r="F62" s="385" t="s">
        <v>19</v>
      </c>
      <c r="G62" s="385" t="s">
        <v>258</v>
      </c>
      <c r="H62" s="385" t="s">
        <v>306</v>
      </c>
      <c r="I62" s="385" t="s">
        <v>466</v>
      </c>
      <c r="J62" s="118">
        <f t="shared" si="10"/>
        <v>5.4671155799999998</v>
      </c>
      <c r="K62" s="119">
        <f t="shared" si="11"/>
        <v>5.4671155799999998</v>
      </c>
      <c r="L62" s="119">
        <f t="shared" si="12"/>
        <v>0</v>
      </c>
      <c r="M62" s="15"/>
      <c r="N62" s="24"/>
      <c r="O62" s="24"/>
      <c r="P62" s="24"/>
      <c r="Q62" s="24"/>
      <c r="R62" s="24">
        <v>0.83296949999999992</v>
      </c>
      <c r="S62" s="24">
        <v>4.6341460799999998</v>
      </c>
      <c r="T62" s="24"/>
      <c r="U62" s="24"/>
      <c r="V62" s="24"/>
      <c r="W62" s="24"/>
      <c r="X62" s="24"/>
      <c r="Y62" s="24"/>
    </row>
    <row r="63" spans="5:25">
      <c r="E63" s="385" t="s">
        <v>509</v>
      </c>
      <c r="F63" s="385" t="s">
        <v>19</v>
      </c>
      <c r="G63" s="385" t="s">
        <v>447</v>
      </c>
      <c r="H63" s="385" t="s">
        <v>448</v>
      </c>
      <c r="I63" s="385" t="s">
        <v>466</v>
      </c>
      <c r="J63" s="118">
        <f t="shared" si="10"/>
        <v>15.330196200999998</v>
      </c>
      <c r="K63" s="119">
        <f t="shared" si="11"/>
        <v>15.330196200999998</v>
      </c>
      <c r="L63" s="119">
        <f t="shared" si="12"/>
        <v>0</v>
      </c>
      <c r="M63" s="15"/>
      <c r="N63" s="24"/>
      <c r="O63" s="24"/>
      <c r="P63" s="24"/>
      <c r="Q63" s="24"/>
      <c r="R63" s="24">
        <v>15.330196200999998</v>
      </c>
      <c r="S63" s="24"/>
      <c r="T63" s="24"/>
      <c r="U63" s="24"/>
      <c r="V63" s="24"/>
      <c r="W63" s="24"/>
      <c r="X63" s="24"/>
      <c r="Y63" s="24"/>
    </row>
    <row r="64" spans="5:25">
      <c r="E64" s="385" t="s">
        <v>509</v>
      </c>
      <c r="F64" s="385" t="s">
        <v>19</v>
      </c>
      <c r="G64" s="385" t="s">
        <v>247</v>
      </c>
      <c r="H64" s="385" t="s">
        <v>289</v>
      </c>
      <c r="I64" s="385" t="s">
        <v>466</v>
      </c>
      <c r="J64" s="118">
        <f t="shared" si="10"/>
        <v>2.3907126999999999</v>
      </c>
      <c r="K64" s="119">
        <f t="shared" si="11"/>
        <v>2.3907126999999999</v>
      </c>
      <c r="L64" s="119">
        <f t="shared" si="12"/>
        <v>0</v>
      </c>
      <c r="M64" s="15"/>
      <c r="N64" s="24"/>
      <c r="O64" s="24"/>
      <c r="P64" s="24"/>
      <c r="Q64" s="24"/>
      <c r="R64" s="24">
        <v>2.3907126999999999</v>
      </c>
      <c r="S64" s="24"/>
      <c r="T64" s="24"/>
      <c r="U64" s="24"/>
      <c r="V64" s="24"/>
      <c r="W64" s="24"/>
      <c r="X64" s="24"/>
      <c r="Y64" s="24"/>
    </row>
    <row r="65" spans="5:25">
      <c r="E65" s="385" t="s">
        <v>509</v>
      </c>
      <c r="F65" s="385" t="s">
        <v>19</v>
      </c>
      <c r="G65" s="385" t="s">
        <v>379</v>
      </c>
      <c r="H65" s="385" t="s">
        <v>291</v>
      </c>
      <c r="I65" s="385" t="s">
        <v>466</v>
      </c>
      <c r="J65" s="118">
        <f t="shared" si="10"/>
        <v>10.401400381</v>
      </c>
      <c r="K65" s="119">
        <f t="shared" si="11"/>
        <v>10.401400381</v>
      </c>
      <c r="L65" s="119">
        <f t="shared" si="12"/>
        <v>0</v>
      </c>
      <c r="N65" s="24"/>
      <c r="O65" s="24"/>
      <c r="P65" s="24"/>
      <c r="Q65" s="24"/>
      <c r="R65" s="24">
        <v>10.401400381</v>
      </c>
      <c r="S65" s="24"/>
      <c r="T65" s="24"/>
      <c r="U65" s="24"/>
      <c r="V65" s="24"/>
      <c r="W65" s="24"/>
      <c r="X65" s="24"/>
      <c r="Y65" s="24"/>
    </row>
    <row r="66" spans="5:25">
      <c r="E66" s="385" t="s">
        <v>509</v>
      </c>
      <c r="F66" s="385" t="s">
        <v>19</v>
      </c>
      <c r="G66" s="385" t="s">
        <v>454</v>
      </c>
      <c r="H66" s="385" t="s">
        <v>292</v>
      </c>
      <c r="I66" s="385" t="s">
        <v>466</v>
      </c>
      <c r="J66" s="118">
        <f t="shared" si="10"/>
        <v>9.7359303359999991</v>
      </c>
      <c r="K66" s="119">
        <f t="shared" si="11"/>
        <v>9.7359303359999991</v>
      </c>
      <c r="L66" s="119">
        <f t="shared" si="12"/>
        <v>0</v>
      </c>
      <c r="N66" s="24"/>
      <c r="O66" s="24"/>
      <c r="P66" s="24"/>
      <c r="Q66" s="24"/>
      <c r="R66" s="24">
        <v>9.7359303359999991</v>
      </c>
      <c r="S66" s="24"/>
      <c r="T66" s="24"/>
      <c r="U66" s="24"/>
      <c r="V66" s="24"/>
      <c r="W66" s="24"/>
      <c r="X66" s="24"/>
      <c r="Y66" s="24"/>
    </row>
    <row r="67" spans="5:25">
      <c r="E67" s="385" t="s">
        <v>509</v>
      </c>
      <c r="F67" s="385" t="s">
        <v>19</v>
      </c>
      <c r="G67" s="385" t="s">
        <v>293</v>
      </c>
      <c r="H67" s="385" t="s">
        <v>294</v>
      </c>
      <c r="I67" s="385" t="s">
        <v>466</v>
      </c>
      <c r="J67" s="118">
        <f t="shared" si="10"/>
        <v>3.8862866359999995</v>
      </c>
      <c r="K67" s="119">
        <f t="shared" si="11"/>
        <v>3.8862866359999995</v>
      </c>
      <c r="L67" s="119">
        <f t="shared" si="12"/>
        <v>0</v>
      </c>
      <c r="N67" s="24"/>
      <c r="O67" s="24"/>
      <c r="P67" s="24"/>
      <c r="Q67" s="24"/>
      <c r="R67" s="24">
        <v>3.8862866359999995</v>
      </c>
      <c r="S67" s="24"/>
      <c r="T67" s="24"/>
      <c r="U67" s="24"/>
      <c r="V67" s="24"/>
      <c r="W67" s="24"/>
      <c r="X67" s="24"/>
      <c r="Y67" s="24"/>
    </row>
    <row r="68" spans="5:25">
      <c r="E68" s="385" t="s">
        <v>483</v>
      </c>
      <c r="F68" s="385" t="s">
        <v>19</v>
      </c>
      <c r="G68" s="385" t="s">
        <v>258</v>
      </c>
      <c r="H68" s="385" t="s">
        <v>306</v>
      </c>
      <c r="I68" s="385" t="s">
        <v>466</v>
      </c>
      <c r="J68" s="118">
        <f t="shared" si="10"/>
        <v>23.937426840000001</v>
      </c>
      <c r="K68" s="119">
        <f t="shared" si="11"/>
        <v>23.937426840000001</v>
      </c>
      <c r="L68" s="119">
        <f t="shared" si="12"/>
        <v>0</v>
      </c>
      <c r="N68" s="24"/>
      <c r="O68" s="24"/>
      <c r="P68" s="24"/>
      <c r="Q68" s="24"/>
      <c r="R68" s="24">
        <v>14.791876226000001</v>
      </c>
      <c r="S68" s="24">
        <v>9.1455506139999994</v>
      </c>
      <c r="T68" s="24"/>
      <c r="U68" s="24"/>
      <c r="V68" s="24"/>
      <c r="W68" s="24"/>
      <c r="X68" s="24"/>
      <c r="Y68" s="24"/>
    </row>
    <row r="69" spans="5:25">
      <c r="E69" s="385" t="s">
        <v>484</v>
      </c>
      <c r="F69" s="385" t="s">
        <v>19</v>
      </c>
      <c r="G69" s="385" t="s">
        <v>264</v>
      </c>
      <c r="H69" s="385" t="s">
        <v>310</v>
      </c>
      <c r="I69" s="385" t="s">
        <v>472</v>
      </c>
      <c r="J69" s="118">
        <f t="shared" si="10"/>
        <v>0.110184352</v>
      </c>
      <c r="K69" s="119">
        <f t="shared" si="11"/>
        <v>0.110184352</v>
      </c>
      <c r="L69" s="119">
        <f t="shared" si="12"/>
        <v>0</v>
      </c>
      <c r="N69" s="24"/>
      <c r="O69" s="24"/>
      <c r="P69" s="24"/>
      <c r="Q69" s="24"/>
      <c r="R69" s="24"/>
      <c r="S69" s="24">
        <v>0.110184352</v>
      </c>
      <c r="T69" s="24"/>
      <c r="U69" s="24"/>
      <c r="V69" s="24"/>
      <c r="W69" s="24"/>
      <c r="X69" s="24"/>
      <c r="Y69" s="24"/>
    </row>
    <row r="70" spans="5:25">
      <c r="E70" s="385" t="s">
        <v>484</v>
      </c>
      <c r="F70" s="385" t="s">
        <v>19</v>
      </c>
      <c r="G70" s="385" t="s">
        <v>500</v>
      </c>
      <c r="H70" s="385" t="s">
        <v>305</v>
      </c>
      <c r="I70" s="385" t="s">
        <v>472</v>
      </c>
      <c r="J70" s="118">
        <f t="shared" si="10"/>
        <v>53.278013522000002</v>
      </c>
      <c r="K70" s="119">
        <f t="shared" si="11"/>
        <v>53.278013522000002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53.278013522000002</v>
      </c>
      <c r="Y70" s="24"/>
    </row>
    <row r="71" spans="5:25">
      <c r="E71" s="385" t="s">
        <v>484</v>
      </c>
      <c r="F71" s="385" t="s">
        <v>19</v>
      </c>
      <c r="G71" s="385" t="s">
        <v>503</v>
      </c>
      <c r="H71" s="385" t="s">
        <v>311</v>
      </c>
      <c r="I71" s="385" t="s">
        <v>472</v>
      </c>
      <c r="J71" s="118">
        <f t="shared" si="10"/>
        <v>1.173521574</v>
      </c>
      <c r="K71" s="119">
        <f t="shared" si="11"/>
        <v>1.173521574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1.173521574</v>
      </c>
      <c r="Y71" s="24"/>
    </row>
    <row r="72" spans="5:25">
      <c r="E72" s="385" t="s">
        <v>484</v>
      </c>
      <c r="F72" s="385" t="s">
        <v>19</v>
      </c>
      <c r="G72" s="385" t="s">
        <v>454</v>
      </c>
      <c r="H72" s="385" t="s">
        <v>292</v>
      </c>
      <c r="I72" s="385" t="s">
        <v>472</v>
      </c>
      <c r="J72" s="118">
        <f t="shared" si="10"/>
        <v>8.8069698539999983</v>
      </c>
      <c r="K72" s="119">
        <f t="shared" si="11"/>
        <v>8.8069698539999983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>
        <v>8.8069698539999983</v>
      </c>
      <c r="Y72" s="24"/>
    </row>
    <row r="73" spans="5:25">
      <c r="E73" s="385" t="s">
        <v>484</v>
      </c>
      <c r="F73" s="385" t="s">
        <v>19</v>
      </c>
      <c r="G73" s="385" t="s">
        <v>370</v>
      </c>
      <c r="H73" s="385" t="s">
        <v>308</v>
      </c>
      <c r="I73" s="385" t="s">
        <v>472</v>
      </c>
      <c r="J73" s="118">
        <f t="shared" si="10"/>
        <v>29.382537231999997</v>
      </c>
      <c r="K73" s="119">
        <f t="shared" si="11"/>
        <v>29.382537231999997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>
        <v>29.382537231999997</v>
      </c>
      <c r="Y73" s="24"/>
    </row>
    <row r="74" spans="5:25">
      <c r="E74" s="385" t="s">
        <v>451</v>
      </c>
      <c r="F74" s="385" t="s">
        <v>19</v>
      </c>
      <c r="G74" s="385" t="s">
        <v>504</v>
      </c>
      <c r="H74" s="385" t="s">
        <v>307</v>
      </c>
      <c r="I74" s="385" t="s">
        <v>466</v>
      </c>
      <c r="J74" s="118">
        <f t="shared" si="10"/>
        <v>30.791920951999991</v>
      </c>
      <c r="K74" s="119">
        <f t="shared" si="11"/>
        <v>30.791920951999991</v>
      </c>
      <c r="L74" s="119">
        <f t="shared" si="12"/>
        <v>0</v>
      </c>
      <c r="N74" s="24"/>
      <c r="O74" s="24"/>
      <c r="P74" s="24"/>
      <c r="Q74" s="24"/>
      <c r="R74" s="24">
        <v>30.791920951999991</v>
      </c>
      <c r="S74" s="24"/>
      <c r="T74" s="24"/>
      <c r="U74" s="24"/>
      <c r="V74" s="24"/>
      <c r="W74" s="24"/>
      <c r="X74" s="24"/>
      <c r="Y74" s="24"/>
    </row>
    <row r="75" spans="5:25">
      <c r="E75" s="385" t="s">
        <v>451</v>
      </c>
      <c r="F75" s="385" t="s">
        <v>19</v>
      </c>
      <c r="G75" s="385" t="s">
        <v>370</v>
      </c>
      <c r="H75" s="385" t="s">
        <v>308</v>
      </c>
      <c r="I75" s="385" t="s">
        <v>466</v>
      </c>
      <c r="J75" s="118">
        <f t="shared" si="10"/>
        <v>2.1636036089999999</v>
      </c>
      <c r="K75" s="119">
        <f t="shared" si="11"/>
        <v>2.1636036089999999</v>
      </c>
      <c r="L75" s="119">
        <f t="shared" si="12"/>
        <v>0</v>
      </c>
      <c r="N75" s="24"/>
      <c r="O75" s="24"/>
      <c r="P75" s="24"/>
      <c r="Q75" s="24"/>
      <c r="R75" s="24">
        <v>2.1636036089999999</v>
      </c>
      <c r="S75" s="24"/>
      <c r="T75" s="24"/>
      <c r="U75" s="24"/>
      <c r="V75" s="24"/>
      <c r="W75" s="24"/>
      <c r="X75" s="24"/>
      <c r="Y75" s="24"/>
    </row>
    <row r="76" spans="5:25">
      <c r="E76" s="385" t="s">
        <v>451</v>
      </c>
      <c r="F76" s="385" t="s">
        <v>19</v>
      </c>
      <c r="G76" s="385" t="s">
        <v>504</v>
      </c>
      <c r="H76" s="385" t="s">
        <v>307</v>
      </c>
      <c r="I76" s="385" t="s">
        <v>472</v>
      </c>
      <c r="J76" s="118">
        <f t="shared" si="10"/>
        <v>22.184576131</v>
      </c>
      <c r="K76" s="119">
        <f t="shared" si="11"/>
        <v>22.184576131</v>
      </c>
      <c r="L76" s="119">
        <f t="shared" si="12"/>
        <v>0</v>
      </c>
      <c r="N76" s="24"/>
      <c r="O76" s="24"/>
      <c r="P76" s="24"/>
      <c r="Q76" s="24"/>
      <c r="R76" s="24">
        <v>0</v>
      </c>
      <c r="S76" s="24">
        <v>22.184576131</v>
      </c>
      <c r="T76" s="24"/>
      <c r="U76" s="24"/>
      <c r="V76" s="24"/>
      <c r="W76" s="24"/>
      <c r="X76" s="24"/>
      <c r="Y76" s="24"/>
    </row>
    <row r="77" spans="5:25">
      <c r="E77" s="385" t="s">
        <v>451</v>
      </c>
      <c r="F77" s="385" t="s">
        <v>19</v>
      </c>
      <c r="G77" s="385" t="s">
        <v>370</v>
      </c>
      <c r="H77" s="385" t="s">
        <v>308</v>
      </c>
      <c r="I77" s="385" t="s">
        <v>472</v>
      </c>
      <c r="J77" s="118">
        <f t="shared" si="10"/>
        <v>1.192590007</v>
      </c>
      <c r="K77" s="119">
        <f t="shared" si="11"/>
        <v>1.192590007</v>
      </c>
      <c r="L77" s="119">
        <f t="shared" si="12"/>
        <v>0</v>
      </c>
      <c r="N77" s="24"/>
      <c r="O77" s="24"/>
      <c r="P77" s="24"/>
      <c r="Q77" s="24"/>
      <c r="R77" s="24">
        <v>1.192590007</v>
      </c>
      <c r="S77" s="24"/>
      <c r="T77" s="24"/>
      <c r="U77" s="24"/>
      <c r="V77" s="24"/>
      <c r="W77" s="24"/>
      <c r="X77" s="24"/>
      <c r="Y77" s="24"/>
    </row>
    <row r="78" spans="5:25">
      <c r="E78" s="385" t="s">
        <v>485</v>
      </c>
      <c r="F78" s="385" t="s">
        <v>19</v>
      </c>
      <c r="G78" s="385" t="s">
        <v>529</v>
      </c>
      <c r="H78" s="385" t="s">
        <v>530</v>
      </c>
      <c r="I78" s="385" t="s">
        <v>472</v>
      </c>
      <c r="J78" s="118">
        <f t="shared" si="10"/>
        <v>494.17683107000005</v>
      </c>
      <c r="K78" s="119">
        <f t="shared" si="11"/>
        <v>494.17683107000005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194.212621329</v>
      </c>
      <c r="V78" s="24">
        <v>299.96420974100005</v>
      </c>
      <c r="W78" s="24"/>
      <c r="X78" s="24"/>
      <c r="Y78" s="24"/>
    </row>
    <row r="79" spans="5:25">
      <c r="E79" s="385" t="s">
        <v>268</v>
      </c>
      <c r="F79" s="385" t="s">
        <v>19</v>
      </c>
      <c r="G79" s="385" t="s">
        <v>374</v>
      </c>
      <c r="H79" s="385" t="s">
        <v>317</v>
      </c>
      <c r="I79" s="385" t="s">
        <v>466</v>
      </c>
      <c r="J79" s="118">
        <f t="shared" si="10"/>
        <v>108.63164104800001</v>
      </c>
      <c r="K79" s="119">
        <f t="shared" si="11"/>
        <v>108.63164104800001</v>
      </c>
      <c r="L79" s="119">
        <f t="shared" si="12"/>
        <v>0</v>
      </c>
      <c r="N79" s="24"/>
      <c r="O79" s="24"/>
      <c r="P79" s="24"/>
      <c r="Q79" s="24"/>
      <c r="R79" s="24">
        <v>70.101955853999996</v>
      </c>
      <c r="S79" s="24">
        <v>38.529685194000002</v>
      </c>
      <c r="T79" s="24"/>
      <c r="U79" s="24"/>
      <c r="V79" s="24"/>
      <c r="W79" s="24"/>
      <c r="X79" s="24"/>
      <c r="Y79" s="24"/>
    </row>
    <row r="80" spans="5:25">
      <c r="E80" s="385" t="s">
        <v>506</v>
      </c>
      <c r="F80" s="385" t="s">
        <v>19</v>
      </c>
      <c r="G80" s="385" t="s">
        <v>374</v>
      </c>
      <c r="H80" s="385" t="s">
        <v>317</v>
      </c>
      <c r="I80" s="385" t="s">
        <v>466</v>
      </c>
      <c r="J80" s="118">
        <f t="shared" si="10"/>
        <v>46</v>
      </c>
      <c r="K80" s="119">
        <f t="shared" si="11"/>
        <v>46</v>
      </c>
      <c r="L80" s="119">
        <f t="shared" si="12"/>
        <v>0</v>
      </c>
      <c r="N80" s="24"/>
      <c r="O80" s="24"/>
      <c r="P80" s="24"/>
      <c r="Q80" s="24"/>
      <c r="R80" s="24">
        <v>45</v>
      </c>
      <c r="S80" s="24">
        <v>1</v>
      </c>
      <c r="T80" s="24"/>
      <c r="U80" s="24"/>
      <c r="V80" s="24"/>
      <c r="W80" s="24"/>
      <c r="X80" s="24"/>
      <c r="Y80" s="24"/>
    </row>
    <row r="81" spans="5:38">
      <c r="E81" s="385" t="s">
        <v>488</v>
      </c>
      <c r="F81" s="385" t="s">
        <v>19</v>
      </c>
      <c r="G81" s="385" t="s">
        <v>378</v>
      </c>
      <c r="H81" s="385" t="s">
        <v>290</v>
      </c>
      <c r="I81" s="385" t="s">
        <v>466</v>
      </c>
      <c r="J81" s="118">
        <f t="shared" ref="J81:J94" si="13">+K81+L81</f>
        <v>13.684561999999998</v>
      </c>
      <c r="K81" s="119">
        <f t="shared" ref="K81:K94" si="14">SUM(N81:Y81)</f>
        <v>13.684561999999998</v>
      </c>
      <c r="L81" s="119">
        <f t="shared" ref="L81:L94" si="15">SUM(AA81:AL81)</f>
        <v>0</v>
      </c>
      <c r="N81" s="24"/>
      <c r="O81" s="24"/>
      <c r="P81" s="24"/>
      <c r="Q81" s="24"/>
      <c r="R81" s="24">
        <v>13.684561999999998</v>
      </c>
      <c r="S81" s="24"/>
      <c r="T81" s="24"/>
      <c r="U81" s="24"/>
      <c r="V81" s="24"/>
      <c r="W81" s="24"/>
      <c r="X81" s="24"/>
      <c r="Y81" s="24"/>
    </row>
    <row r="82" spans="5:38">
      <c r="E82" s="385" t="s">
        <v>489</v>
      </c>
      <c r="F82" s="385" t="s">
        <v>19</v>
      </c>
      <c r="G82" s="385" t="s">
        <v>247</v>
      </c>
      <c r="H82" s="385" t="s">
        <v>289</v>
      </c>
      <c r="I82" s="385" t="s">
        <v>466</v>
      </c>
      <c r="J82" s="118">
        <f t="shared" si="13"/>
        <v>0.12876121199999999</v>
      </c>
      <c r="K82" s="119">
        <f t="shared" si="14"/>
        <v>0.12876121199999999</v>
      </c>
      <c r="L82" s="119">
        <f t="shared" si="15"/>
        <v>0</v>
      </c>
      <c r="N82" s="24"/>
      <c r="O82" s="24"/>
      <c r="P82" s="24"/>
      <c r="Q82" s="24"/>
      <c r="R82" s="24"/>
      <c r="S82" s="24">
        <v>0.12876121199999999</v>
      </c>
      <c r="T82" s="24"/>
      <c r="U82" s="24"/>
      <c r="V82" s="24"/>
      <c r="W82" s="24"/>
      <c r="X82" s="24"/>
      <c r="Y82" s="24"/>
    </row>
    <row r="83" spans="5:38">
      <c r="E83" s="385" t="s">
        <v>459</v>
      </c>
      <c r="F83" s="385" t="s">
        <v>19</v>
      </c>
      <c r="G83" s="385" t="s">
        <v>464</v>
      </c>
      <c r="H83" s="385" t="s">
        <v>461</v>
      </c>
      <c r="I83" s="385" t="s">
        <v>466</v>
      </c>
      <c r="J83" s="118">
        <f t="shared" si="13"/>
        <v>4.803295803000001</v>
      </c>
      <c r="K83" s="119">
        <f t="shared" si="14"/>
        <v>4.803295803000001</v>
      </c>
      <c r="L83" s="119">
        <f t="shared" si="15"/>
        <v>0</v>
      </c>
      <c r="N83" s="24"/>
      <c r="O83" s="24"/>
      <c r="P83" s="24"/>
      <c r="Q83" s="24"/>
      <c r="R83" s="24">
        <v>4.803295803000001</v>
      </c>
      <c r="S83" s="24"/>
      <c r="T83" s="24"/>
      <c r="U83" s="24"/>
      <c r="V83" s="24"/>
      <c r="W83" s="24"/>
      <c r="X83" s="24"/>
      <c r="Y83" s="24"/>
    </row>
    <row r="84" spans="5:38">
      <c r="E84" s="6"/>
      <c r="F84" s="7"/>
      <c r="G84" s="6"/>
      <c r="H84" s="10"/>
      <c r="I84" s="10"/>
      <c r="J84" s="118">
        <f t="shared" si="13"/>
        <v>0</v>
      </c>
      <c r="K84" s="119">
        <f t="shared" si="14"/>
        <v>0</v>
      </c>
      <c r="L84" s="119">
        <f t="shared" si="15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5:38">
      <c r="E85" s="6"/>
      <c r="F85" s="7"/>
      <c r="G85" s="6"/>
      <c r="H85" s="11"/>
      <c r="I85" s="11"/>
      <c r="J85" s="118">
        <f t="shared" si="13"/>
        <v>0</v>
      </c>
      <c r="K85" s="119">
        <f t="shared" si="14"/>
        <v>0</v>
      </c>
      <c r="L85" s="119">
        <f t="shared" si="15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5:38">
      <c r="E86" s="6"/>
      <c r="F86" s="7"/>
      <c r="G86" s="6"/>
      <c r="H86" s="11"/>
      <c r="I86" s="11"/>
      <c r="J86" s="118">
        <f t="shared" si="13"/>
        <v>0</v>
      </c>
      <c r="K86" s="119">
        <f t="shared" si="14"/>
        <v>0</v>
      </c>
      <c r="L86" s="119">
        <f t="shared" si="15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5:38">
      <c r="E87" s="6"/>
      <c r="F87" s="7"/>
      <c r="G87" s="6"/>
      <c r="H87" s="11"/>
      <c r="I87" s="11"/>
      <c r="J87" s="118">
        <f t="shared" si="13"/>
        <v>0</v>
      </c>
      <c r="K87" s="119">
        <f t="shared" si="14"/>
        <v>0</v>
      </c>
      <c r="L87" s="119">
        <f t="shared" si="15"/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5:38">
      <c r="E88" s="305" t="s">
        <v>449</v>
      </c>
      <c r="F88" s="7"/>
      <c r="G88" s="6"/>
      <c r="H88" s="11"/>
      <c r="I88" s="11"/>
      <c r="J88" s="118">
        <f t="shared" si="13"/>
        <v>0</v>
      </c>
      <c r="K88" s="119">
        <f t="shared" si="14"/>
        <v>0</v>
      </c>
      <c r="L88" s="119">
        <f t="shared" si="15"/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</row>
    <row r="89" spans="5:38">
      <c r="E89" s="305" t="s">
        <v>520</v>
      </c>
      <c r="F89" s="341" t="s">
        <v>19</v>
      </c>
      <c r="G89" s="305"/>
      <c r="H89" s="12"/>
      <c r="I89" s="12"/>
      <c r="J89" s="343">
        <f t="shared" si="13"/>
        <v>24</v>
      </c>
      <c r="K89" s="339">
        <f t="shared" si="14"/>
        <v>24</v>
      </c>
      <c r="L89" s="339">
        <f t="shared" si="15"/>
        <v>0</v>
      </c>
      <c r="M89" s="281"/>
      <c r="N89" s="24"/>
      <c r="O89" s="24"/>
      <c r="P89" s="24"/>
      <c r="Q89" s="24"/>
      <c r="R89" s="344"/>
      <c r="S89" s="344">
        <v>24</v>
      </c>
      <c r="T89" s="344"/>
      <c r="U89" s="24"/>
      <c r="V89" s="24"/>
      <c r="W89" s="24"/>
      <c r="X89" s="24"/>
      <c r="Y89" s="24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</row>
    <row r="90" spans="5:38">
      <c r="E90" s="305" t="s">
        <v>521</v>
      </c>
      <c r="F90" s="341" t="s">
        <v>19</v>
      </c>
      <c r="G90" s="305"/>
      <c r="H90" s="12"/>
      <c r="I90" s="12"/>
      <c r="J90" s="343">
        <f t="shared" si="13"/>
        <v>71</v>
      </c>
      <c r="K90" s="339">
        <f t="shared" si="14"/>
        <v>71</v>
      </c>
      <c r="L90" s="339">
        <f t="shared" si="15"/>
        <v>0</v>
      </c>
      <c r="M90" s="281"/>
      <c r="N90" s="24"/>
      <c r="O90" s="24"/>
      <c r="P90" s="24"/>
      <c r="Q90" s="24"/>
      <c r="R90" s="344">
        <v>36</v>
      </c>
      <c r="S90" s="344">
        <v>35</v>
      </c>
      <c r="T90" s="344"/>
      <c r="U90" s="24"/>
      <c r="V90" s="24"/>
      <c r="W90" s="24"/>
      <c r="X90" s="24"/>
      <c r="Y90" s="24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</row>
    <row r="91" spans="5:38">
      <c r="E91" s="305" t="s">
        <v>522</v>
      </c>
      <c r="F91" s="341" t="s">
        <v>19</v>
      </c>
      <c r="G91" s="305"/>
      <c r="H91" s="12"/>
      <c r="I91" s="12"/>
      <c r="J91" s="343">
        <f t="shared" si="13"/>
        <v>28</v>
      </c>
      <c r="K91" s="339">
        <f t="shared" si="14"/>
        <v>28</v>
      </c>
      <c r="L91" s="339">
        <f t="shared" si="15"/>
        <v>0</v>
      </c>
      <c r="M91" s="281"/>
      <c r="N91" s="24"/>
      <c r="O91" s="24"/>
      <c r="P91" s="24"/>
      <c r="Q91" s="24"/>
      <c r="R91" s="344"/>
      <c r="S91" s="344">
        <v>28</v>
      </c>
      <c r="T91" s="344"/>
      <c r="U91" s="24"/>
      <c r="V91" s="24"/>
      <c r="W91" s="24"/>
      <c r="X91" s="24"/>
      <c r="Y91" s="24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</row>
    <row r="92" spans="5:38">
      <c r="E92" s="305" t="s">
        <v>523</v>
      </c>
      <c r="F92" s="341" t="s">
        <v>19</v>
      </c>
      <c r="G92" s="305"/>
      <c r="H92" s="12"/>
      <c r="I92" s="12"/>
      <c r="J92" s="343">
        <f t="shared" si="13"/>
        <v>24</v>
      </c>
      <c r="K92" s="339">
        <f t="shared" si="14"/>
        <v>24</v>
      </c>
      <c r="L92" s="339">
        <f t="shared" si="15"/>
        <v>0</v>
      </c>
      <c r="M92" s="281"/>
      <c r="N92" s="24"/>
      <c r="O92" s="24"/>
      <c r="P92" s="24"/>
      <c r="Q92" s="24"/>
      <c r="R92" s="344"/>
      <c r="S92" s="344">
        <v>24</v>
      </c>
      <c r="T92" s="344"/>
      <c r="U92" s="24"/>
      <c r="V92" s="24"/>
      <c r="W92" s="24"/>
      <c r="X92" s="24"/>
      <c r="Y92" s="24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</row>
    <row r="93" spans="5:38">
      <c r="E93" s="305" t="s">
        <v>524</v>
      </c>
      <c r="F93" s="341" t="s">
        <v>19</v>
      </c>
      <c r="G93" s="305"/>
      <c r="H93" s="12"/>
      <c r="I93" s="12"/>
      <c r="J93" s="343">
        <f t="shared" si="13"/>
        <v>58</v>
      </c>
      <c r="K93" s="339">
        <f t="shared" si="14"/>
        <v>58</v>
      </c>
      <c r="L93" s="339">
        <f t="shared" si="15"/>
        <v>0</v>
      </c>
      <c r="M93" s="281"/>
      <c r="N93" s="24"/>
      <c r="O93" s="24"/>
      <c r="P93" s="24"/>
      <c r="Q93" s="24"/>
      <c r="R93" s="344">
        <v>58</v>
      </c>
      <c r="S93" s="344"/>
      <c r="T93" s="344"/>
      <c r="U93" s="24"/>
      <c r="V93" s="24"/>
      <c r="W93" s="24"/>
      <c r="X93" s="24"/>
      <c r="Y93" s="24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</row>
    <row r="94" spans="5:38">
      <c r="E94" s="305" t="s">
        <v>525</v>
      </c>
      <c r="F94" s="341" t="s">
        <v>19</v>
      </c>
      <c r="G94" s="305"/>
      <c r="H94" s="12"/>
      <c r="I94" s="12"/>
      <c r="J94" s="343">
        <f t="shared" si="13"/>
        <v>3</v>
      </c>
      <c r="K94" s="339">
        <f t="shared" si="14"/>
        <v>3</v>
      </c>
      <c r="L94" s="339">
        <f t="shared" si="15"/>
        <v>0</v>
      </c>
      <c r="M94" s="281"/>
      <c r="N94" s="24"/>
      <c r="O94" s="24"/>
      <c r="P94" s="24"/>
      <c r="Q94" s="24"/>
      <c r="R94" s="344">
        <v>3</v>
      </c>
      <c r="S94" s="344"/>
      <c r="T94" s="344"/>
      <c r="U94" s="24"/>
      <c r="V94" s="24"/>
      <c r="W94" s="24"/>
      <c r="X94" s="24"/>
      <c r="Y94" s="24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</row>
    <row r="96" spans="5:38">
      <c r="E96" s="191" t="s">
        <v>320</v>
      </c>
      <c r="F96" s="216">
        <v>46113</v>
      </c>
      <c r="G96" s="192">
        <v>182</v>
      </c>
      <c r="H96" s="271" t="s">
        <v>321</v>
      </c>
    </row>
    <row r="97" spans="5:8">
      <c r="E97" s="195" t="s">
        <v>526</v>
      </c>
      <c r="F97" s="217"/>
      <c r="G97" s="196">
        <v>61</v>
      </c>
      <c r="H97" s="271" t="s">
        <v>321</v>
      </c>
    </row>
    <row r="98" spans="5:8">
      <c r="E98" s="195" t="s">
        <v>527</v>
      </c>
      <c r="F98" s="217"/>
      <c r="G98" s="196">
        <v>35</v>
      </c>
      <c r="H98" s="271" t="s">
        <v>321</v>
      </c>
    </row>
    <row r="99" spans="5:8">
      <c r="E99" s="191" t="s">
        <v>320</v>
      </c>
      <c r="F99" s="216">
        <v>46142</v>
      </c>
      <c r="G99" s="192">
        <f>G96+G97-G98</f>
        <v>208</v>
      </c>
      <c r="H99" s="271" t="s">
        <v>321</v>
      </c>
    </row>
    <row r="101" spans="5:8">
      <c r="E101" s="356" t="s">
        <v>324</v>
      </c>
      <c r="F101" s="219"/>
      <c r="G101" s="202"/>
      <c r="H101" s="219" t="s">
        <v>325</v>
      </c>
    </row>
    <row r="102" spans="5:8">
      <c r="E102" s="315" t="s">
        <v>279</v>
      </c>
      <c r="F102" s="314"/>
      <c r="G102" s="315"/>
      <c r="H102" s="386">
        <v>148.15606699400001</v>
      </c>
    </row>
    <row r="103" spans="5:8">
      <c r="E103" s="315" t="s">
        <v>247</v>
      </c>
      <c r="F103" s="314"/>
      <c r="G103" s="315"/>
      <c r="H103" s="386">
        <v>1.4436236879999997</v>
      </c>
    </row>
    <row r="104" spans="5:8">
      <c r="E104" s="315" t="s">
        <v>285</v>
      </c>
      <c r="F104" s="314"/>
      <c r="G104" s="315"/>
      <c r="H104" s="386">
        <v>76.559977846999999</v>
      </c>
    </row>
    <row r="105" spans="5:8">
      <c r="E105" s="315" t="s">
        <v>379</v>
      </c>
      <c r="F105" s="314"/>
      <c r="G105" s="315"/>
      <c r="H105" s="386">
        <v>0.94471338399999993</v>
      </c>
    </row>
    <row r="106" spans="5:8">
      <c r="E106" s="315" t="s">
        <v>454</v>
      </c>
      <c r="F106" s="314"/>
      <c r="G106" s="315"/>
      <c r="H106" s="386">
        <v>2</v>
      </c>
    </row>
    <row r="107" spans="5:8">
      <c r="E107" s="315" t="s">
        <v>447</v>
      </c>
      <c r="F107" s="314"/>
      <c r="G107" s="315"/>
      <c r="H107" s="386">
        <v>1</v>
      </c>
    </row>
    <row r="108" spans="5:8">
      <c r="E108" s="315" t="s">
        <v>374</v>
      </c>
      <c r="F108" s="314"/>
      <c r="G108" s="315"/>
      <c r="H108" s="386">
        <v>15</v>
      </c>
    </row>
    <row r="109" spans="5:8">
      <c r="E109" s="315" t="s">
        <v>293</v>
      </c>
      <c r="F109" s="314"/>
      <c r="G109" s="315"/>
      <c r="H109" s="386">
        <v>2</v>
      </c>
    </row>
    <row r="110" spans="5:8">
      <c r="E110" s="315"/>
      <c r="F110" s="314"/>
      <c r="G110" s="315"/>
      <c r="H110" s="386"/>
    </row>
    <row r="111" spans="5:8">
      <c r="E111" s="315"/>
      <c r="F111" s="314"/>
      <c r="G111" s="315"/>
      <c r="H111" s="386"/>
    </row>
    <row r="112" spans="5:8">
      <c r="E112" s="315"/>
      <c r="F112" s="314"/>
      <c r="G112" s="315"/>
      <c r="H112" s="386"/>
    </row>
    <row r="113" spans="3:8">
      <c r="E113" s="387" t="s">
        <v>344</v>
      </c>
      <c r="F113" s="388"/>
      <c r="G113" s="387"/>
      <c r="H113" s="386">
        <f>SUM(H102:H112)</f>
        <v>247.10438191300003</v>
      </c>
    </row>
    <row r="114" spans="3:8">
      <c r="C114" s="205"/>
      <c r="D114" s="205"/>
      <c r="E114" s="205"/>
      <c r="F114" s="237"/>
      <c r="G114" s="205"/>
    </row>
    <row r="115" spans="3:8">
      <c r="C115" s="205"/>
      <c r="D115" s="205"/>
      <c r="E115" s="151" t="s">
        <v>330</v>
      </c>
      <c r="F115" s="151"/>
      <c r="G115" s="283">
        <f>'W19'!J19</f>
        <v>3494.8517523130004</v>
      </c>
    </row>
    <row r="116" spans="3:8">
      <c r="C116" s="205"/>
      <c r="D116" s="205"/>
      <c r="E116" s="151" t="s">
        <v>331</v>
      </c>
      <c r="F116" s="151"/>
      <c r="G116" s="283">
        <f>H113</f>
        <v>247.10438191300003</v>
      </c>
    </row>
    <row r="117" spans="3:8">
      <c r="C117" s="205"/>
      <c r="D117" s="205"/>
      <c r="E117" s="151" t="s">
        <v>332</v>
      </c>
      <c r="F117" s="151"/>
      <c r="G117" s="283">
        <f>J12-'W19'!J12</f>
        <v>35</v>
      </c>
    </row>
    <row r="118" spans="3:8">
      <c r="C118" s="205"/>
      <c r="D118" s="205"/>
      <c r="E118" s="151" t="s">
        <v>333</v>
      </c>
      <c r="F118" s="151"/>
      <c r="G118" s="283">
        <f>G115+G116-G117</f>
        <v>3706.9561342260004</v>
      </c>
    </row>
    <row r="119" spans="3:8">
      <c r="C119" s="205"/>
      <c r="D119" s="205"/>
      <c r="E119" s="151" t="s">
        <v>334</v>
      </c>
      <c r="F119" s="151"/>
      <c r="G119" s="283">
        <f>J19</f>
        <v>3709.0805545039998</v>
      </c>
    </row>
    <row r="120" spans="3:8">
      <c r="C120" s="205"/>
      <c r="D120" s="205"/>
      <c r="E120" s="151" t="s">
        <v>335</v>
      </c>
      <c r="F120" s="151"/>
      <c r="G120" s="284">
        <f>G118-G119</f>
        <v>-2.1244202779994339</v>
      </c>
    </row>
    <row r="121" spans="3:8">
      <c r="C121" s="205"/>
      <c r="D121" s="205"/>
      <c r="E121" s="205"/>
      <c r="F121" s="237"/>
      <c r="G121" s="205"/>
    </row>
    <row r="122" spans="3:8">
      <c r="C122" s="205"/>
      <c r="D122" s="205"/>
      <c r="E122" s="205"/>
      <c r="F122" s="237"/>
      <c r="G122" s="205"/>
    </row>
    <row r="123" spans="3:8">
      <c r="C123" s="205"/>
      <c r="D123" s="205"/>
      <c r="E123" s="205"/>
      <c r="F123" s="237"/>
      <c r="G123" s="205"/>
    </row>
    <row r="124" spans="3:8">
      <c r="C124" s="205"/>
      <c r="D124" s="205"/>
      <c r="E124" s="205"/>
      <c r="F124" s="237"/>
      <c r="G124" s="205"/>
    </row>
    <row r="125" spans="3:8">
      <c r="C125" s="205"/>
      <c r="D125" s="205"/>
      <c r="E125" s="205"/>
      <c r="F125" s="237"/>
      <c r="G125" s="205"/>
    </row>
    <row r="126" spans="3:8">
      <c r="C126" s="205"/>
      <c r="D126" s="205"/>
      <c r="E126" s="205"/>
      <c r="F126" s="237"/>
      <c r="G126" s="205"/>
    </row>
    <row r="127" spans="3:8">
      <c r="C127" s="205"/>
      <c r="D127" s="205"/>
      <c r="E127" s="205"/>
      <c r="F127" s="237"/>
      <c r="G127" s="205"/>
    </row>
    <row r="128" spans="3:8">
      <c r="C128" s="205"/>
      <c r="D128" s="205"/>
      <c r="E128" s="205"/>
      <c r="F128" s="237"/>
      <c r="G128" s="205"/>
    </row>
    <row r="129" spans="3:7">
      <c r="C129" s="205"/>
      <c r="D129" s="205"/>
      <c r="E129" s="205"/>
      <c r="F129" s="237"/>
      <c r="G129" s="205"/>
    </row>
  </sheetData>
  <sheetProtection formatCells="0" formatColumns="0" formatRows="0" insertRows="0" deleteRows="0" autoFilter="0"/>
  <autoFilter ref="E23:AL94" xr:uid="{00000000-0009-0000-0000-000016000000}"/>
  <sortState xmlns:xlrd2="http://schemas.microsoft.com/office/spreadsheetml/2017/richdata2" ref="E101:H111">
    <sortCondition ref="E101:E111"/>
  </sortState>
  <mergeCells count="1">
    <mergeCell ref="I4:J4"/>
  </mergeCells>
  <phoneticPr fontId="40"/>
  <dataValidations count="2">
    <dataValidation type="list" allowBlank="1" showInputMessage="1" showErrorMessage="1" sqref="F101 F24:F94" xr:uid="{B8E3739C-CF47-4BE1-83D9-E56B62341B8A}">
      <formula1>Liste</formula1>
    </dataValidation>
    <dataValidation type="list" allowBlank="1" showInputMessage="1" showErrorMessage="1" sqref="G2" xr:uid="{00000000-0002-0000-1600-000001000000}">
      <formula1>SOCIETE</formula1>
    </dataValidation>
  </dataValidations>
  <pageMargins left="0.17" right="0.17" top="0.37" bottom="0.23" header="0.31496062992125984" footer="0.16"/>
  <pageSetup paperSize="9" scale="46" orientation="landscape" r:id="rId1"/>
  <ignoredErrors>
    <ignoredError sqref="G115:G120 H113" unlocked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4">
    <tabColor theme="3" tint="0.59999389629810485"/>
    <pageSetUpPr fitToPage="1"/>
  </sheetPr>
  <dimension ref="D1:AL253"/>
  <sheetViews>
    <sheetView showGridLines="0" topLeftCell="E4" zoomScale="77" zoomScaleNormal="77" workbookViewId="0">
      <selection activeCell="L12" sqref="L12"/>
    </sheetView>
  </sheetViews>
  <sheetFormatPr defaultColWidth="8" defaultRowHeight="15"/>
  <cols>
    <col min="1" max="4" width="4" style="15" customWidth="1"/>
    <col min="5" max="5" width="29.85546875" style="15" customWidth="1"/>
    <col min="6" max="6" width="14.28515625" style="61" customWidth="1"/>
    <col min="7" max="7" width="14.85546875" style="15" customWidth="1"/>
    <col min="8" max="8" width="18.42578125" style="54" customWidth="1"/>
    <col min="9" max="9" width="15.42578125" style="54" bestFit="1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hidden="1" customWidth="1"/>
    <col min="15" max="17" width="12.140625" style="56" hidden="1" customWidth="1"/>
    <col min="18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99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5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W21</v>
      </c>
      <c r="I9" s="61"/>
      <c r="J9" s="161" t="str">
        <f>+"from "&amp;G6&amp;" 1 until end of "&amp;G4</f>
        <v>from May 1 until end of W21</v>
      </c>
      <c r="K9" s="79"/>
      <c r="L9" s="167" t="str">
        <f>+G6</f>
        <v>May</v>
      </c>
      <c r="M9" s="80"/>
      <c r="N9" s="80"/>
      <c r="O9" s="172" t="str">
        <f>+G4</f>
        <v>W21</v>
      </c>
      <c r="P9" s="173" t="str">
        <f>+VLOOKUP(G4, parameters!$G$9:$I$61,3,0)</f>
        <v>W20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600+320+797+430+J10</f>
        <v>2417</v>
      </c>
      <c r="I10" s="293"/>
      <c r="J10" s="159">
        <f>270</f>
        <v>270</v>
      </c>
      <c r="L10" s="159">
        <f>R17+J10</f>
        <v>878.04961534500001</v>
      </c>
      <c r="N10" s="55"/>
      <c r="O10" s="170">
        <f>+H10+K17</f>
        <v>5987.3926072039994</v>
      </c>
      <c r="P10" s="171" cm="1">
        <f t="array" aca="1" ref="P10" ca="1">INDIRECT(ADDRESS(10,15,,,VLOOKUP($G$4,parameters!$G:$I,3,0)))</f>
        <v>5919.2604655300001</v>
      </c>
      <c r="Q10" s="183">
        <f ca="1">O10-P10</f>
        <v>68.132141673999286</v>
      </c>
      <c r="R10" s="86"/>
    </row>
    <row r="11" spans="5:38" ht="20.45" customHeight="1">
      <c r="E11" s="87" t="s">
        <v>224</v>
      </c>
      <c r="F11" s="88"/>
      <c r="G11" s="89"/>
      <c r="H11" s="16">
        <f>13+8+3+3+J11</f>
        <v>29</v>
      </c>
      <c r="I11" s="293"/>
      <c r="J11" s="16">
        <v>2</v>
      </c>
      <c r="L11" s="159">
        <f>R18+J11</f>
        <v>12.260111127</v>
      </c>
      <c r="N11" s="55"/>
      <c r="O11" s="152">
        <f>+H11+K18</f>
        <v>115.820088974</v>
      </c>
      <c r="P11" s="153" cm="1">
        <f t="array" aca="1" ref="P11" ca="1">INDIRECT(ADDRESS(11,15,,,VLOOKUP($G$4,parameters!$G:$I,3,0)))</f>
        <v>115.820088974</v>
      </c>
      <c r="Q11" s="184">
        <f t="shared" ref="Q11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2446</v>
      </c>
      <c r="I12" s="293"/>
      <c r="J12" s="126">
        <f>SUM(J10:J11)</f>
        <v>272</v>
      </c>
      <c r="K12" s="65"/>
      <c r="L12" s="126">
        <f>SUM(L10:L11)</f>
        <v>890.30972647199997</v>
      </c>
      <c r="M12" s="65"/>
      <c r="N12" s="65"/>
      <c r="O12" s="154">
        <f>SUM(O10:O11)</f>
        <v>6103.2126961779995</v>
      </c>
      <c r="P12" s="155">
        <f ca="1">SUM(P10:P11)</f>
        <v>6035.0805545040002</v>
      </c>
      <c r="Q12" s="156">
        <f ca="1">O12-P12</f>
        <v>68.132141673999286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K13" s="55">
        <f>K11-K12</f>
        <v>0</v>
      </c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+SUMIF($F$24:$F$252,"External",$J$24:$J$252)</f>
        <v>3570.3926072039994</v>
      </c>
      <c r="K17" s="108">
        <f>+SUMIF($F$24:$F$252,"External",$K$24:$K$252)</f>
        <v>3570.3926072039994</v>
      </c>
      <c r="L17" s="109">
        <f>+SUMIF($F$24:$F$252,"External",$L$24:$L$252)</f>
        <v>0</v>
      </c>
      <c r="M17" s="110"/>
      <c r="N17" s="111">
        <f t="shared" ref="N17:Y17" si="1">+SUMIF($F$24:$F$252,"External",N$24:N$252)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608.04961534500001</v>
      </c>
      <c r="S17" s="111">
        <f t="shared" si="1"/>
        <v>658.42251608499998</v>
      </c>
      <c r="T17" s="111">
        <f t="shared" si="1"/>
        <v>875.91133249099994</v>
      </c>
      <c r="U17" s="111">
        <f t="shared" si="1"/>
        <v>377.81955930800007</v>
      </c>
      <c r="V17" s="111">
        <f t="shared" si="1"/>
        <v>557</v>
      </c>
      <c r="W17" s="111">
        <f t="shared" si="1"/>
        <v>71</v>
      </c>
      <c r="X17" s="111">
        <f t="shared" si="1"/>
        <v>291.18958397500001</v>
      </c>
      <c r="Y17" s="111">
        <f t="shared" si="1"/>
        <v>131</v>
      </c>
      <c r="Z17" s="112"/>
      <c r="AA17" s="111">
        <f t="shared" ref="AA17:AL17" si="2">+SUMIF($F$24:$F$252,"External",AA$24:AA$252)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+SUMIF($F$24:$F$252,"Group",$J$24:$J$252)</f>
        <v>86.820088974000001</v>
      </c>
      <c r="K18" s="113">
        <f>+SUMIF($F$24:$F$252,"Group",$K$24:$K$252)</f>
        <v>86.820088974000001</v>
      </c>
      <c r="L18" s="114">
        <f>SUMIF($F$24:$F$252,"Group",$L$24:$L$252)</f>
        <v>0</v>
      </c>
      <c r="M18" s="110"/>
      <c r="N18" s="114">
        <f t="shared" ref="N18:Y18" si="3">+SUMIF($F$24:$F$252,"Group",N$24:N$252)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10.260111127</v>
      </c>
      <c r="S18" s="114">
        <f t="shared" si="3"/>
        <v>0</v>
      </c>
      <c r="T18" s="114">
        <f t="shared" si="3"/>
        <v>0</v>
      </c>
      <c r="U18" s="114">
        <f t="shared" si="3"/>
        <v>76.559977846999999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+SUMIF($F$24:$F$252,"Group",AA$24:AA$252)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3657.2126961779995</v>
      </c>
      <c r="K19" s="115">
        <f>SUM(K17:K18)</f>
        <v>3657.2126961779995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618.30972647199997</v>
      </c>
      <c r="S19" s="116">
        <f t="shared" si="5"/>
        <v>658.42251608499998</v>
      </c>
      <c r="T19" s="116">
        <f t="shared" si="5"/>
        <v>875.91133249099994</v>
      </c>
      <c r="U19" s="116">
        <f t="shared" si="5"/>
        <v>454.37953715500009</v>
      </c>
      <c r="V19" s="116">
        <f t="shared" si="5"/>
        <v>557</v>
      </c>
      <c r="W19" s="116">
        <f t="shared" si="5"/>
        <v>71</v>
      </c>
      <c r="X19" s="116">
        <f t="shared" si="5"/>
        <v>291.18958397500001</v>
      </c>
      <c r="Y19" s="116">
        <f t="shared" si="5"/>
        <v>131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230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385" t="s">
        <v>507</v>
      </c>
      <c r="F24" s="385" t="s">
        <v>19</v>
      </c>
      <c r="G24" s="385" t="s">
        <v>464</v>
      </c>
      <c r="H24" s="385" t="s">
        <v>461</v>
      </c>
      <c r="I24" s="385" t="s">
        <v>472</v>
      </c>
      <c r="J24" s="118">
        <f t="shared" ref="J24" si="7">+K24+L24</f>
        <v>36.649137400000001</v>
      </c>
      <c r="K24" s="119">
        <f t="shared" ref="K24" si="8">SUM(N24:Y24)</f>
        <v>36.649137400000001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>
        <v>36.649137400000001</v>
      </c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385" t="s">
        <v>467</v>
      </c>
      <c r="F25" s="385" t="s">
        <v>19</v>
      </c>
      <c r="G25" s="385" t="s">
        <v>237</v>
      </c>
      <c r="H25" s="385" t="s">
        <v>277</v>
      </c>
      <c r="I25" s="385" t="s">
        <v>466</v>
      </c>
      <c r="J25" s="118">
        <f t="shared" ref="J25:J88" si="10">+K25+L25</f>
        <v>5.0559082999999996</v>
      </c>
      <c r="K25" s="119">
        <f t="shared" ref="K25:K88" si="11">SUM(N25:Y25)</f>
        <v>5.0559082999999996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>
        <v>5.0559082999999996</v>
      </c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385" t="s">
        <v>468</v>
      </c>
      <c r="F26" s="385" t="s">
        <v>19</v>
      </c>
      <c r="G26" s="385" t="s">
        <v>239</v>
      </c>
      <c r="H26" s="385" t="s">
        <v>278</v>
      </c>
      <c r="I26" s="385" t="s">
        <v>466</v>
      </c>
      <c r="J26" s="118">
        <f t="shared" si="10"/>
        <v>4.7944134859999998</v>
      </c>
      <c r="K26" s="119">
        <f t="shared" si="11"/>
        <v>4.7944134859999998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>
        <v>4.7944134859999998</v>
      </c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385" t="s">
        <v>492</v>
      </c>
      <c r="F27" s="385" t="s">
        <v>19</v>
      </c>
      <c r="G27" s="385" t="s">
        <v>239</v>
      </c>
      <c r="H27" s="385" t="s">
        <v>278</v>
      </c>
      <c r="I27" s="385" t="s">
        <v>466</v>
      </c>
      <c r="J27" s="118">
        <f t="shared" si="10"/>
        <v>1.6548602190000001</v>
      </c>
      <c r="K27" s="119">
        <f t="shared" si="11"/>
        <v>1.6548602190000001</v>
      </c>
      <c r="L27" s="119">
        <f t="shared" si="12"/>
        <v>0</v>
      </c>
      <c r="M27" s="23"/>
      <c r="N27" s="24"/>
      <c r="O27" s="24"/>
      <c r="P27" s="24"/>
      <c r="Q27" s="24"/>
      <c r="R27" s="24">
        <v>1.6548602190000001</v>
      </c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385" t="s">
        <v>469</v>
      </c>
      <c r="F28" s="385" t="s">
        <v>19</v>
      </c>
      <c r="G28" s="385" t="s">
        <v>237</v>
      </c>
      <c r="H28" s="385" t="s">
        <v>277</v>
      </c>
      <c r="I28" s="385" t="s">
        <v>466</v>
      </c>
      <c r="J28" s="118">
        <f t="shared" si="10"/>
        <v>8.2520863759999994</v>
      </c>
      <c r="K28" s="119">
        <f t="shared" si="11"/>
        <v>8.2520863759999994</v>
      </c>
      <c r="L28" s="119">
        <f t="shared" si="12"/>
        <v>0</v>
      </c>
      <c r="M28" s="23"/>
      <c r="N28" s="24"/>
      <c r="O28" s="24"/>
      <c r="P28" s="24"/>
      <c r="Q28" s="24"/>
      <c r="R28" s="24">
        <v>8.2520863759999994</v>
      </c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385" t="s">
        <v>470</v>
      </c>
      <c r="F29" s="385" t="s">
        <v>19</v>
      </c>
      <c r="G29" s="385" t="s">
        <v>279</v>
      </c>
      <c r="H29" s="385" t="s">
        <v>280</v>
      </c>
      <c r="I29" s="385" t="s">
        <v>472</v>
      </c>
      <c r="J29" s="118">
        <f t="shared" si="10"/>
        <v>341.48153104000005</v>
      </c>
      <c r="K29" s="119">
        <f t="shared" si="11"/>
        <v>341.48153104000005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>
        <v>7.4925780950000007</v>
      </c>
      <c r="U29" s="24">
        <v>185.83288595100004</v>
      </c>
      <c r="V29" s="24"/>
      <c r="W29" s="24"/>
      <c r="X29" s="24">
        <v>148.15606699400001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385" t="s">
        <v>281</v>
      </c>
      <c r="F30" s="385" t="s">
        <v>19</v>
      </c>
      <c r="G30" s="385" t="s">
        <v>282</v>
      </c>
      <c r="H30" s="385" t="s">
        <v>283</v>
      </c>
      <c r="I30" s="385" t="s">
        <v>466</v>
      </c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0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385" t="s">
        <v>281</v>
      </c>
      <c r="F31" s="385" t="s">
        <v>19</v>
      </c>
      <c r="G31" s="385" t="s">
        <v>282</v>
      </c>
      <c r="H31" s="385" t="s">
        <v>283</v>
      </c>
      <c r="I31" s="385" t="s">
        <v>472</v>
      </c>
      <c r="J31" s="118">
        <f t="shared" si="10"/>
        <v>23.816704992999998</v>
      </c>
      <c r="K31" s="119">
        <f t="shared" si="11"/>
        <v>23.816704992999998</v>
      </c>
      <c r="L31" s="119">
        <f t="shared" si="12"/>
        <v>0</v>
      </c>
      <c r="M31" s="23"/>
      <c r="N31" s="24"/>
      <c r="O31" s="24"/>
      <c r="P31" s="24"/>
      <c r="Q31" s="24"/>
      <c r="R31" s="24">
        <v>0.52151288699999998</v>
      </c>
      <c r="S31" s="24"/>
      <c r="T31" s="24"/>
      <c r="U31" s="24"/>
      <c r="V31" s="24"/>
      <c r="W31" s="24"/>
      <c r="X31" s="24">
        <v>23.295192105999998</v>
      </c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385" t="s">
        <v>446</v>
      </c>
      <c r="F32" s="385" t="s">
        <v>19</v>
      </c>
      <c r="G32" s="385" t="s">
        <v>493</v>
      </c>
      <c r="H32" s="385" t="s">
        <v>339</v>
      </c>
      <c r="I32" s="385" t="s">
        <v>472</v>
      </c>
      <c r="J32" s="118">
        <f t="shared" si="10"/>
        <v>3.1289627279999999</v>
      </c>
      <c r="K32" s="119">
        <f t="shared" si="11"/>
        <v>3.1289627279999999</v>
      </c>
      <c r="L32" s="119">
        <f t="shared" si="12"/>
        <v>0</v>
      </c>
      <c r="M32" s="15"/>
      <c r="N32" s="24"/>
      <c r="O32" s="24"/>
      <c r="P32" s="24"/>
      <c r="Q32" s="24"/>
      <c r="R32" s="24">
        <v>3.1289627279999999</v>
      </c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385" t="s">
        <v>446</v>
      </c>
      <c r="F33" s="385" t="s">
        <v>19</v>
      </c>
      <c r="G33" s="385" t="s">
        <v>493</v>
      </c>
      <c r="H33" s="385" t="s">
        <v>339</v>
      </c>
      <c r="I33" s="385" t="s">
        <v>472</v>
      </c>
      <c r="J33" s="118">
        <f t="shared" si="10"/>
        <v>1.8723552809999999</v>
      </c>
      <c r="K33" s="119">
        <f t="shared" si="11"/>
        <v>1.8723552809999999</v>
      </c>
      <c r="L33" s="119">
        <f t="shared" si="12"/>
        <v>0</v>
      </c>
      <c r="M33" s="15"/>
      <c r="N33" s="24"/>
      <c r="O33" s="24"/>
      <c r="P33" s="24"/>
      <c r="Q33" s="24"/>
      <c r="R33" s="24">
        <v>1.8723552809999999</v>
      </c>
      <c r="S33" s="24"/>
      <c r="T33" s="24"/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385" t="s">
        <v>473</v>
      </c>
      <c r="F34" s="385" t="s">
        <v>17</v>
      </c>
      <c r="G34" s="385" t="s">
        <v>493</v>
      </c>
      <c r="H34" s="385" t="s">
        <v>339</v>
      </c>
      <c r="I34" s="385" t="s">
        <v>472</v>
      </c>
      <c r="J34" s="118">
        <f t="shared" si="10"/>
        <v>86.820088974000001</v>
      </c>
      <c r="K34" s="119">
        <f t="shared" si="11"/>
        <v>86.820088974000001</v>
      </c>
      <c r="L34" s="119">
        <f t="shared" si="12"/>
        <v>0</v>
      </c>
      <c r="M34" s="15"/>
      <c r="N34" s="24"/>
      <c r="O34" s="24"/>
      <c r="P34" s="24"/>
      <c r="Q34" s="24"/>
      <c r="R34" s="24">
        <v>10.260111127</v>
      </c>
      <c r="S34" s="24"/>
      <c r="T34" s="24"/>
      <c r="U34" s="24">
        <v>76.559977846999999</v>
      </c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385" t="s">
        <v>474</v>
      </c>
      <c r="F35" s="385" t="s">
        <v>19</v>
      </c>
      <c r="G35" s="385" t="s">
        <v>279</v>
      </c>
      <c r="H35" s="385" t="s">
        <v>280</v>
      </c>
      <c r="I35" s="385" t="s">
        <v>472</v>
      </c>
      <c r="J35" s="118">
        <f t="shared" si="10"/>
        <v>114.986673357</v>
      </c>
      <c r="K35" s="119">
        <f t="shared" si="11"/>
        <v>114.986673357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>
        <v>114.986673357</v>
      </c>
      <c r="V35" s="24"/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385" t="s">
        <v>475</v>
      </c>
      <c r="F36" s="385" t="s">
        <v>19</v>
      </c>
      <c r="G36" s="385" t="s">
        <v>245</v>
      </c>
      <c r="H36" s="385" t="s">
        <v>288</v>
      </c>
      <c r="I36" s="385" t="s">
        <v>466</v>
      </c>
      <c r="J36" s="118">
        <f t="shared" si="10"/>
        <v>12.006004425</v>
      </c>
      <c r="K36" s="119">
        <f t="shared" si="11"/>
        <v>12.006004425</v>
      </c>
      <c r="L36" s="119">
        <f t="shared" si="12"/>
        <v>0</v>
      </c>
      <c r="M36" s="15"/>
      <c r="N36" s="24"/>
      <c r="O36" s="24"/>
      <c r="P36" s="24"/>
      <c r="Q36" s="24"/>
      <c r="R36" s="24">
        <v>12.006004425</v>
      </c>
      <c r="S36" s="24"/>
      <c r="T36" s="24"/>
      <c r="U36" s="24"/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385" t="s">
        <v>476</v>
      </c>
      <c r="F37" s="385" t="s">
        <v>19</v>
      </c>
      <c r="G37" s="385" t="s">
        <v>447</v>
      </c>
      <c r="H37" s="385" t="s">
        <v>448</v>
      </c>
      <c r="I37" s="385" t="s">
        <v>466</v>
      </c>
      <c r="J37" s="118">
        <f t="shared" si="10"/>
        <v>132.44015871100001</v>
      </c>
      <c r="K37" s="119">
        <f t="shared" si="11"/>
        <v>132.44015871100001</v>
      </c>
      <c r="L37" s="119">
        <f t="shared" si="12"/>
        <v>0</v>
      </c>
      <c r="M37" s="15"/>
      <c r="N37" s="24"/>
      <c r="O37" s="24"/>
      <c r="P37" s="24"/>
      <c r="Q37" s="24"/>
      <c r="R37" s="24">
        <v>25.854931411000003</v>
      </c>
      <c r="S37" s="24">
        <v>7.5852273000000006</v>
      </c>
      <c r="T37" s="24">
        <v>21</v>
      </c>
      <c r="U37" s="24">
        <v>16</v>
      </c>
      <c r="V37" s="24">
        <v>19</v>
      </c>
      <c r="W37" s="24">
        <v>7</v>
      </c>
      <c r="X37" s="24">
        <v>18</v>
      </c>
      <c r="Y37" s="24">
        <v>18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385" t="s">
        <v>476</v>
      </c>
      <c r="F38" s="385" t="s">
        <v>19</v>
      </c>
      <c r="G38" s="385" t="s">
        <v>247</v>
      </c>
      <c r="H38" s="385" t="s">
        <v>289</v>
      </c>
      <c r="I38" s="385" t="s">
        <v>466</v>
      </c>
      <c r="J38" s="118">
        <f t="shared" si="10"/>
        <v>125.048054131</v>
      </c>
      <c r="K38" s="119">
        <f t="shared" si="11"/>
        <v>125.048054131</v>
      </c>
      <c r="L38" s="119">
        <f t="shared" si="12"/>
        <v>0</v>
      </c>
      <c r="M38" s="15"/>
      <c r="N38" s="24"/>
      <c r="O38" s="24"/>
      <c r="P38" s="24"/>
      <c r="Q38" s="24"/>
      <c r="R38" s="24">
        <v>8.0480541310000007</v>
      </c>
      <c r="S38" s="24"/>
      <c r="T38" s="24">
        <v>17</v>
      </c>
      <c r="U38" s="24">
        <v>20</v>
      </c>
      <c r="V38" s="24">
        <v>24</v>
      </c>
      <c r="W38" s="24">
        <v>22</v>
      </c>
      <c r="X38" s="24">
        <v>18</v>
      </c>
      <c r="Y38" s="24">
        <v>16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385" t="s">
        <v>476</v>
      </c>
      <c r="F39" s="385" t="s">
        <v>19</v>
      </c>
      <c r="G39" s="385" t="s">
        <v>379</v>
      </c>
      <c r="H39" s="385" t="s">
        <v>291</v>
      </c>
      <c r="I39" s="385" t="s">
        <v>466</v>
      </c>
      <c r="J39" s="118">
        <f t="shared" si="10"/>
        <v>112.47061361900001</v>
      </c>
      <c r="K39" s="119">
        <f t="shared" si="11"/>
        <v>112.47061361900001</v>
      </c>
      <c r="L39" s="119">
        <f t="shared" si="12"/>
        <v>0</v>
      </c>
      <c r="M39" s="15"/>
      <c r="N39" s="24"/>
      <c r="O39" s="24"/>
      <c r="P39" s="24"/>
      <c r="Q39" s="24"/>
      <c r="R39" s="24">
        <v>12.612492618999996</v>
      </c>
      <c r="S39" s="24">
        <v>0.85812100000000002</v>
      </c>
      <c r="T39" s="24">
        <v>11</v>
      </c>
      <c r="U39" s="24">
        <v>16</v>
      </c>
      <c r="V39" s="24">
        <v>20</v>
      </c>
      <c r="W39" s="24">
        <v>17</v>
      </c>
      <c r="X39" s="24">
        <v>20</v>
      </c>
      <c r="Y39" s="24">
        <v>15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385" t="s">
        <v>476</v>
      </c>
      <c r="F40" s="385" t="s">
        <v>19</v>
      </c>
      <c r="G40" s="385" t="s">
        <v>378</v>
      </c>
      <c r="H40" s="385" t="s">
        <v>290</v>
      </c>
      <c r="I40" s="385" t="s">
        <v>466</v>
      </c>
      <c r="J40" s="118">
        <f t="shared" si="10"/>
        <v>70.486360617999992</v>
      </c>
      <c r="K40" s="119">
        <f t="shared" si="11"/>
        <v>70.486360617999992</v>
      </c>
      <c r="L40" s="119">
        <f t="shared" si="12"/>
        <v>0</v>
      </c>
      <c r="M40" s="15"/>
      <c r="N40" s="24"/>
      <c r="O40" s="24"/>
      <c r="P40" s="24"/>
      <c r="Q40" s="24"/>
      <c r="R40" s="24">
        <v>5.7235918009999995</v>
      </c>
      <c r="S40" s="24">
        <v>64.762768816999994</v>
      </c>
      <c r="T40" s="24"/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385" t="s">
        <v>476</v>
      </c>
      <c r="F41" s="385" t="s">
        <v>19</v>
      </c>
      <c r="G41" s="385" t="s">
        <v>454</v>
      </c>
      <c r="H41" s="385" t="s">
        <v>292</v>
      </c>
      <c r="I41" s="385" t="s">
        <v>466</v>
      </c>
      <c r="J41" s="118">
        <f t="shared" si="10"/>
        <v>84.48483164400001</v>
      </c>
      <c r="K41" s="119">
        <f t="shared" si="11"/>
        <v>84.48483164400001</v>
      </c>
      <c r="L41" s="119">
        <f t="shared" si="12"/>
        <v>0</v>
      </c>
      <c r="M41" s="15"/>
      <c r="N41" s="24"/>
      <c r="O41" s="24"/>
      <c r="P41" s="24"/>
      <c r="Q41" s="24"/>
      <c r="R41" s="24">
        <v>14.484831644000014</v>
      </c>
      <c r="S41" s="24"/>
      <c r="T41" s="24">
        <v>20</v>
      </c>
      <c r="U41" s="24">
        <v>25</v>
      </c>
      <c r="V41" s="24"/>
      <c r="W41" s="24">
        <v>25</v>
      </c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385" t="s">
        <v>476</v>
      </c>
      <c r="F42" s="385" t="s">
        <v>19</v>
      </c>
      <c r="G42" s="385" t="s">
        <v>293</v>
      </c>
      <c r="H42" s="385" t="s">
        <v>294</v>
      </c>
      <c r="I42" s="385" t="s">
        <v>466</v>
      </c>
      <c r="J42" s="118">
        <f t="shared" si="10"/>
        <v>86.413479183999996</v>
      </c>
      <c r="K42" s="119">
        <f t="shared" si="11"/>
        <v>86.413479183999996</v>
      </c>
      <c r="L42" s="119">
        <f t="shared" si="12"/>
        <v>0</v>
      </c>
      <c r="M42" s="15"/>
      <c r="N42" s="24"/>
      <c r="O42" s="24"/>
      <c r="P42" s="24"/>
      <c r="Q42" s="24"/>
      <c r="R42" s="24">
        <v>4.4134791840000007</v>
      </c>
      <c r="S42" s="24"/>
      <c r="T42" s="24"/>
      <c r="U42" s="24"/>
      <c r="V42" s="24"/>
      <c r="W42" s="24"/>
      <c r="X42" s="24"/>
      <c r="Y42" s="24">
        <v>82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385" t="s">
        <v>476</v>
      </c>
      <c r="F43" s="385" t="s">
        <v>19</v>
      </c>
      <c r="G43" s="385" t="s">
        <v>252</v>
      </c>
      <c r="H43" s="385" t="s">
        <v>295</v>
      </c>
      <c r="I43" s="385" t="s">
        <v>466</v>
      </c>
      <c r="J43" s="118">
        <f t="shared" si="10"/>
        <v>28.889723031999999</v>
      </c>
      <c r="K43" s="119">
        <f t="shared" si="11"/>
        <v>28.889723031999999</v>
      </c>
      <c r="L43" s="119">
        <f t="shared" si="12"/>
        <v>0</v>
      </c>
      <c r="M43" s="15"/>
      <c r="N43" s="24"/>
      <c r="O43" s="24"/>
      <c r="P43" s="24"/>
      <c r="Q43" s="24"/>
      <c r="R43" s="24">
        <v>7.2887223000000008</v>
      </c>
      <c r="S43" s="24">
        <v>20.822523132000001</v>
      </c>
      <c r="T43" s="24">
        <v>0.77847759999999999</v>
      </c>
      <c r="U43" s="24"/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385" t="s">
        <v>476</v>
      </c>
      <c r="F44" s="385" t="s">
        <v>19</v>
      </c>
      <c r="G44" s="385" t="s">
        <v>245</v>
      </c>
      <c r="H44" s="385" t="s">
        <v>288</v>
      </c>
      <c r="I44" s="385" t="s">
        <v>466</v>
      </c>
      <c r="J44" s="118">
        <f t="shared" si="10"/>
        <v>55.341008865999989</v>
      </c>
      <c r="K44" s="119">
        <f t="shared" si="11"/>
        <v>55.341008865999989</v>
      </c>
      <c r="L44" s="119">
        <f t="shared" si="12"/>
        <v>0</v>
      </c>
      <c r="M44" s="15"/>
      <c r="N44" s="24"/>
      <c r="O44" s="24"/>
      <c r="P44" s="24"/>
      <c r="Q44" s="24"/>
      <c r="R44" s="24">
        <v>11.480792961999999</v>
      </c>
      <c r="S44" s="24">
        <v>3.1564600039999995</v>
      </c>
      <c r="T44" s="24">
        <v>40.70375589999999</v>
      </c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385" t="s">
        <v>477</v>
      </c>
      <c r="F45" s="385" t="s">
        <v>19</v>
      </c>
      <c r="G45" s="385" t="s">
        <v>454</v>
      </c>
      <c r="H45" s="385" t="s">
        <v>292</v>
      </c>
      <c r="I45" s="385" t="s">
        <v>466</v>
      </c>
      <c r="J45" s="118">
        <f t="shared" si="10"/>
        <v>10.006058019999999</v>
      </c>
      <c r="K45" s="119">
        <f t="shared" si="11"/>
        <v>10.006058019999999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>
        <v>10.006058019999999</v>
      </c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385" t="s">
        <v>478</v>
      </c>
      <c r="F46" s="385" t="s">
        <v>19</v>
      </c>
      <c r="G46" s="385" t="s">
        <v>245</v>
      </c>
      <c r="H46" s="385" t="s">
        <v>288</v>
      </c>
      <c r="I46" s="385" t="s">
        <v>466</v>
      </c>
      <c r="J46" s="118">
        <f t="shared" si="10"/>
        <v>57.256929589999999</v>
      </c>
      <c r="K46" s="119">
        <f t="shared" si="11"/>
        <v>57.256929589999999</v>
      </c>
      <c r="L46" s="119">
        <f t="shared" si="12"/>
        <v>0</v>
      </c>
      <c r="M46" s="15"/>
      <c r="N46" s="24"/>
      <c r="O46" s="24"/>
      <c r="P46" s="24"/>
      <c r="Q46" s="24"/>
      <c r="R46" s="24">
        <v>57.256929589999999</v>
      </c>
      <c r="S46" s="24"/>
      <c r="T46" s="24"/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385" t="s">
        <v>414</v>
      </c>
      <c r="F47" s="385" t="s">
        <v>19</v>
      </c>
      <c r="G47" s="385" t="s">
        <v>245</v>
      </c>
      <c r="H47" s="385" t="s">
        <v>288</v>
      </c>
      <c r="I47" s="385" t="s">
        <v>466</v>
      </c>
      <c r="J47" s="118">
        <f t="shared" si="10"/>
        <v>86.815123510000006</v>
      </c>
      <c r="K47" s="119">
        <f t="shared" si="11"/>
        <v>86.815123510000006</v>
      </c>
      <c r="L47" s="119">
        <f t="shared" si="12"/>
        <v>0</v>
      </c>
      <c r="M47" s="15"/>
      <c r="N47" s="24"/>
      <c r="O47" s="24"/>
      <c r="P47" s="24"/>
      <c r="Q47" s="24"/>
      <c r="R47" s="24">
        <v>86.815123510000006</v>
      </c>
      <c r="S47" s="24"/>
      <c r="T47" s="24"/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385" t="s">
        <v>417</v>
      </c>
      <c r="F48" s="385" t="s">
        <v>19</v>
      </c>
      <c r="G48" s="385" t="s">
        <v>500</v>
      </c>
      <c r="H48" s="385" t="s">
        <v>305</v>
      </c>
      <c r="I48" s="385" t="s">
        <v>472</v>
      </c>
      <c r="J48" s="118">
        <f t="shared" si="10"/>
        <v>19.768845337000002</v>
      </c>
      <c r="K48" s="119">
        <f t="shared" si="11"/>
        <v>19.768845337000002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>
        <v>19.768845337000002</v>
      </c>
      <c r="T48" s="24"/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385" t="s">
        <v>479</v>
      </c>
      <c r="F49" s="385" t="s">
        <v>19</v>
      </c>
      <c r="G49" s="385" t="s">
        <v>494</v>
      </c>
      <c r="H49" s="385" t="s">
        <v>299</v>
      </c>
      <c r="I49" s="385" t="s">
        <v>466</v>
      </c>
      <c r="J49" s="118">
        <f t="shared" si="10"/>
        <v>18.264194112000002</v>
      </c>
      <c r="K49" s="119">
        <f t="shared" si="11"/>
        <v>18.264194112000002</v>
      </c>
      <c r="L49" s="119">
        <f t="shared" si="12"/>
        <v>0</v>
      </c>
      <c r="M49" s="15"/>
      <c r="N49" s="24"/>
      <c r="O49" s="24"/>
      <c r="P49" s="24"/>
      <c r="Q49" s="24"/>
      <c r="R49" s="24">
        <v>18.264194112000002</v>
      </c>
      <c r="S49" s="24"/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385" t="s">
        <v>480</v>
      </c>
      <c r="F50" s="385" t="s">
        <v>19</v>
      </c>
      <c r="G50" s="385" t="s">
        <v>502</v>
      </c>
      <c r="H50" s="385" t="s">
        <v>302</v>
      </c>
      <c r="I50" s="385" t="s">
        <v>466</v>
      </c>
      <c r="J50" s="118">
        <f t="shared" si="10"/>
        <v>91.311035562000001</v>
      </c>
      <c r="K50" s="119">
        <f t="shared" si="11"/>
        <v>91.311035562000001</v>
      </c>
      <c r="L50" s="119">
        <f t="shared" si="12"/>
        <v>0</v>
      </c>
      <c r="M50" s="15"/>
      <c r="N50" s="24"/>
      <c r="O50" s="24"/>
      <c r="P50" s="24"/>
      <c r="Q50" s="24"/>
      <c r="R50" s="24">
        <v>91.311035562000001</v>
      </c>
      <c r="S50" s="24"/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385" t="s">
        <v>457</v>
      </c>
      <c r="F51" s="385" t="s">
        <v>19</v>
      </c>
      <c r="G51" s="385" t="s">
        <v>374</v>
      </c>
      <c r="H51" s="385" t="s">
        <v>317</v>
      </c>
      <c r="I51" s="385" t="s">
        <v>466</v>
      </c>
      <c r="J51" s="118">
        <f t="shared" si="10"/>
        <v>112.70593124900002</v>
      </c>
      <c r="K51" s="119">
        <f t="shared" si="11"/>
        <v>112.70593124900002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>
        <v>112.70593124900002</v>
      </c>
      <c r="T51" s="24"/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385" t="s">
        <v>457</v>
      </c>
      <c r="F52" s="385" t="s">
        <v>19</v>
      </c>
      <c r="G52" s="385" t="s">
        <v>508</v>
      </c>
      <c r="H52" s="385" t="s">
        <v>319</v>
      </c>
      <c r="I52" s="385" t="s">
        <v>472</v>
      </c>
      <c r="J52" s="118">
        <f t="shared" si="10"/>
        <v>73.7821359</v>
      </c>
      <c r="K52" s="119">
        <f t="shared" si="11"/>
        <v>73.7821359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>
        <v>73.7821359</v>
      </c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385" t="s">
        <v>450</v>
      </c>
      <c r="F53" s="385" t="s">
        <v>19</v>
      </c>
      <c r="G53" s="385" t="s">
        <v>282</v>
      </c>
      <c r="H53" s="385" t="s">
        <v>283</v>
      </c>
      <c r="I53" s="385" t="s">
        <v>466</v>
      </c>
      <c r="J53" s="118">
        <f t="shared" si="10"/>
        <v>1.1014866999999999</v>
      </c>
      <c r="K53" s="119">
        <f t="shared" si="11"/>
        <v>1.1014866999999999</v>
      </c>
      <c r="L53" s="119">
        <f t="shared" si="12"/>
        <v>0</v>
      </c>
      <c r="M53" s="15"/>
      <c r="N53" s="24"/>
      <c r="O53" s="24"/>
      <c r="P53" s="24"/>
      <c r="Q53" s="24"/>
      <c r="R53" s="24">
        <v>0.1625413</v>
      </c>
      <c r="S53" s="24"/>
      <c r="T53" s="24">
        <v>0.93894539999999993</v>
      </c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385" t="s">
        <v>450</v>
      </c>
      <c r="F54" s="385" t="s">
        <v>19</v>
      </c>
      <c r="G54" s="385" t="s">
        <v>500</v>
      </c>
      <c r="H54" s="385" t="s">
        <v>305</v>
      </c>
      <c r="I54" s="385" t="s">
        <v>466</v>
      </c>
      <c r="J54" s="118">
        <f t="shared" si="10"/>
        <v>4.4249754340000003</v>
      </c>
      <c r="K54" s="119">
        <f t="shared" si="11"/>
        <v>4.4249754340000003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>
        <v>1.6043460999999998E-2</v>
      </c>
      <c r="T54" s="24">
        <v>4.4089319730000005</v>
      </c>
      <c r="U54" s="24"/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385" t="s">
        <v>450</v>
      </c>
      <c r="F55" s="385" t="s">
        <v>19</v>
      </c>
      <c r="G55" s="385" t="s">
        <v>256</v>
      </c>
      <c r="H55" s="385" t="s">
        <v>303</v>
      </c>
      <c r="I55" s="385" t="s">
        <v>466</v>
      </c>
      <c r="J55" s="118">
        <f t="shared" si="10"/>
        <v>36.796607191</v>
      </c>
      <c r="K55" s="119">
        <f t="shared" si="11"/>
        <v>36.796607191</v>
      </c>
      <c r="L55" s="119">
        <f t="shared" si="12"/>
        <v>0</v>
      </c>
      <c r="M55" s="15"/>
      <c r="N55" s="24"/>
      <c r="O55" s="24"/>
      <c r="P55" s="24"/>
      <c r="Q55" s="24"/>
      <c r="R55" s="24">
        <v>0.15695589099999999</v>
      </c>
      <c r="S55" s="24">
        <v>29.9246968</v>
      </c>
      <c r="T55" s="24">
        <v>6.7149544999999993</v>
      </c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385" t="s">
        <v>450</v>
      </c>
      <c r="F56" s="385" t="s">
        <v>19</v>
      </c>
      <c r="G56" s="385" t="s">
        <v>282</v>
      </c>
      <c r="H56" s="385" t="s">
        <v>283</v>
      </c>
      <c r="I56" s="385" t="s">
        <v>472</v>
      </c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>
        <v>0</v>
      </c>
      <c r="S56" s="24"/>
      <c r="T56" s="24"/>
      <c r="U56" s="24"/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385" t="s">
        <v>450</v>
      </c>
      <c r="F57" s="385" t="s">
        <v>19</v>
      </c>
      <c r="G57" s="385" t="s">
        <v>500</v>
      </c>
      <c r="H57" s="385" t="s">
        <v>305</v>
      </c>
      <c r="I57" s="385" t="s">
        <v>472</v>
      </c>
      <c r="J57" s="118">
        <f t="shared" si="10"/>
        <v>36.726846473000009</v>
      </c>
      <c r="K57" s="119">
        <f t="shared" si="11"/>
        <v>36.726846473000009</v>
      </c>
      <c r="L57" s="119">
        <f t="shared" si="12"/>
        <v>0</v>
      </c>
      <c r="M57" s="15"/>
      <c r="N57" s="24"/>
      <c r="O57" s="24"/>
      <c r="P57" s="24"/>
      <c r="Q57" s="24"/>
      <c r="R57" s="24">
        <v>16.673765806000002</v>
      </c>
      <c r="S57" s="24">
        <v>10.936627711000003</v>
      </c>
      <c r="T57" s="24">
        <v>9.1164529559999998</v>
      </c>
      <c r="U57" s="24"/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385" t="s">
        <v>496</v>
      </c>
      <c r="F58" s="385" t="s">
        <v>19</v>
      </c>
      <c r="G58" s="385" t="s">
        <v>256</v>
      </c>
      <c r="H58" s="385" t="s">
        <v>303</v>
      </c>
      <c r="I58" s="385" t="s">
        <v>466</v>
      </c>
      <c r="J58" s="118">
        <f t="shared" si="10"/>
        <v>23.023449911</v>
      </c>
      <c r="K58" s="119">
        <f t="shared" si="11"/>
        <v>23.023449911</v>
      </c>
      <c r="L58" s="119">
        <f t="shared" si="12"/>
        <v>0</v>
      </c>
      <c r="M58" s="15"/>
      <c r="N58" s="24"/>
      <c r="O58" s="24"/>
      <c r="P58" s="24"/>
      <c r="Q58" s="24"/>
      <c r="R58" s="24">
        <v>6.8511271109999994</v>
      </c>
      <c r="S58" s="24">
        <v>16.1723228</v>
      </c>
      <c r="T58" s="24"/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385" t="s">
        <v>496</v>
      </c>
      <c r="F59" s="385" t="s">
        <v>19</v>
      </c>
      <c r="G59" s="385" t="s">
        <v>500</v>
      </c>
      <c r="H59" s="385" t="s">
        <v>305</v>
      </c>
      <c r="I59" s="385" t="s">
        <v>472</v>
      </c>
      <c r="J59" s="118">
        <f t="shared" si="10"/>
        <v>6.0859211000000002</v>
      </c>
      <c r="K59" s="119">
        <f t="shared" si="11"/>
        <v>6.0859211000000002</v>
      </c>
      <c r="L59" s="119">
        <f t="shared" si="12"/>
        <v>0</v>
      </c>
      <c r="M59" s="15"/>
      <c r="N59" s="24"/>
      <c r="O59" s="24"/>
      <c r="P59" s="24"/>
      <c r="Q59" s="24"/>
      <c r="R59" s="24">
        <v>6.0859211000000002</v>
      </c>
      <c r="S59" s="24"/>
      <c r="T59" s="24"/>
      <c r="U59" s="24"/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385" t="s">
        <v>497</v>
      </c>
      <c r="F60" s="385" t="s">
        <v>19</v>
      </c>
      <c r="G60" s="385" t="s">
        <v>256</v>
      </c>
      <c r="H60" s="385" t="s">
        <v>303</v>
      </c>
      <c r="I60" s="385" t="s">
        <v>466</v>
      </c>
      <c r="J60" s="118">
        <f t="shared" si="10"/>
        <v>30.777910495</v>
      </c>
      <c r="K60" s="119">
        <f t="shared" si="11"/>
        <v>30.777910495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>
        <v>30.777910495</v>
      </c>
      <c r="T60" s="24"/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385" t="s">
        <v>441</v>
      </c>
      <c r="F61" s="385" t="s">
        <v>19</v>
      </c>
      <c r="G61" s="385" t="s">
        <v>441</v>
      </c>
      <c r="H61" s="385" t="s">
        <v>481</v>
      </c>
      <c r="I61" s="385" t="s">
        <v>466</v>
      </c>
      <c r="J61" s="118">
        <f t="shared" si="10"/>
        <v>697.84846073999995</v>
      </c>
      <c r="K61" s="119">
        <f t="shared" si="11"/>
        <v>697.84846073999995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>
        <v>0</v>
      </c>
      <c r="T61" s="24">
        <v>697.84846073999995</v>
      </c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385" t="s">
        <v>482</v>
      </c>
      <c r="F62" s="385" t="s">
        <v>19</v>
      </c>
      <c r="G62" s="385" t="s">
        <v>258</v>
      </c>
      <c r="H62" s="385" t="s">
        <v>306</v>
      </c>
      <c r="I62" s="385" t="s">
        <v>466</v>
      </c>
      <c r="J62" s="118">
        <f t="shared" si="10"/>
        <v>5.4671155799999998</v>
      </c>
      <c r="K62" s="119">
        <f t="shared" si="11"/>
        <v>5.4671155799999998</v>
      </c>
      <c r="L62" s="119">
        <f t="shared" si="12"/>
        <v>0</v>
      </c>
      <c r="M62" s="15"/>
      <c r="N62" s="24"/>
      <c r="O62" s="24"/>
      <c r="P62" s="24"/>
      <c r="Q62" s="24"/>
      <c r="R62" s="24">
        <v>0</v>
      </c>
      <c r="S62" s="24">
        <v>5.4671155799999998</v>
      </c>
      <c r="T62" s="24"/>
      <c r="U62" s="24"/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385" t="s">
        <v>509</v>
      </c>
      <c r="F63" s="385" t="s">
        <v>19</v>
      </c>
      <c r="G63" s="385" t="s">
        <v>447</v>
      </c>
      <c r="H63" s="385" t="s">
        <v>448</v>
      </c>
      <c r="I63" s="385" t="s">
        <v>466</v>
      </c>
      <c r="J63" s="118">
        <f t="shared" si="10"/>
        <v>15.330196200999998</v>
      </c>
      <c r="K63" s="119">
        <f t="shared" si="11"/>
        <v>15.330196200999998</v>
      </c>
      <c r="L63" s="119">
        <f t="shared" si="12"/>
        <v>0</v>
      </c>
      <c r="M63" s="15"/>
      <c r="N63" s="24"/>
      <c r="O63" s="24"/>
      <c r="P63" s="24"/>
      <c r="Q63" s="24"/>
      <c r="R63" s="24">
        <v>9.6171039649999983</v>
      </c>
      <c r="S63" s="24">
        <v>5.7130922359999996</v>
      </c>
      <c r="T63" s="24"/>
      <c r="U63" s="24"/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385" t="s">
        <v>509</v>
      </c>
      <c r="F64" s="385" t="s">
        <v>19</v>
      </c>
      <c r="G64" s="385" t="s">
        <v>247</v>
      </c>
      <c r="H64" s="385" t="s">
        <v>289</v>
      </c>
      <c r="I64" s="385" t="s">
        <v>466</v>
      </c>
      <c r="J64" s="118">
        <f t="shared" si="10"/>
        <v>2.3907126999999999</v>
      </c>
      <c r="K64" s="119">
        <f t="shared" si="11"/>
        <v>2.3907126999999999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>
        <v>2.3907126999999999</v>
      </c>
      <c r="T64" s="24"/>
      <c r="U64" s="24"/>
      <c r="V64" s="24"/>
      <c r="W64" s="24"/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385" t="s">
        <v>509</v>
      </c>
      <c r="F65" s="385" t="s">
        <v>19</v>
      </c>
      <c r="G65" s="385" t="s">
        <v>379</v>
      </c>
      <c r="H65" s="385" t="s">
        <v>291</v>
      </c>
      <c r="I65" s="385" t="s">
        <v>466</v>
      </c>
      <c r="J65" s="118">
        <f t="shared" si="10"/>
        <v>10.401400381</v>
      </c>
      <c r="K65" s="119">
        <f t="shared" si="11"/>
        <v>10.401400381</v>
      </c>
      <c r="L65" s="119">
        <f t="shared" si="12"/>
        <v>0</v>
      </c>
      <c r="N65" s="24"/>
      <c r="O65" s="24"/>
      <c r="P65" s="24"/>
      <c r="Q65" s="24"/>
      <c r="R65" s="24">
        <v>10.401400381</v>
      </c>
      <c r="S65" s="24"/>
      <c r="T65" s="24"/>
      <c r="U65" s="24"/>
      <c r="V65" s="24"/>
      <c r="W65" s="24"/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385" t="s">
        <v>509</v>
      </c>
      <c r="F66" s="385" t="s">
        <v>19</v>
      </c>
      <c r="G66" s="385" t="s">
        <v>454</v>
      </c>
      <c r="H66" s="385" t="s">
        <v>292</v>
      </c>
      <c r="I66" s="385" t="s">
        <v>466</v>
      </c>
      <c r="J66" s="118">
        <f t="shared" si="10"/>
        <v>9.7359303359999991</v>
      </c>
      <c r="K66" s="119">
        <f t="shared" si="11"/>
        <v>9.7359303359999991</v>
      </c>
      <c r="L66" s="119">
        <f t="shared" si="12"/>
        <v>0</v>
      </c>
      <c r="N66" s="24"/>
      <c r="O66" s="24"/>
      <c r="P66" s="24"/>
      <c r="Q66" s="24"/>
      <c r="R66" s="24">
        <v>9.7359303359999991</v>
      </c>
      <c r="S66" s="24"/>
      <c r="T66" s="24"/>
      <c r="U66" s="24"/>
      <c r="V66" s="24"/>
      <c r="W66" s="24"/>
      <c r="X66" s="24"/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385" t="s">
        <v>509</v>
      </c>
      <c r="F67" s="385" t="s">
        <v>19</v>
      </c>
      <c r="G67" s="385" t="s">
        <v>293</v>
      </c>
      <c r="H67" s="385" t="s">
        <v>294</v>
      </c>
      <c r="I67" s="385" t="s">
        <v>466</v>
      </c>
      <c r="J67" s="118">
        <f t="shared" si="10"/>
        <v>3.8862866359999995</v>
      </c>
      <c r="K67" s="119">
        <f t="shared" si="11"/>
        <v>3.8862866359999995</v>
      </c>
      <c r="L67" s="119">
        <f t="shared" si="12"/>
        <v>0</v>
      </c>
      <c r="N67" s="24"/>
      <c r="O67" s="24"/>
      <c r="P67" s="24"/>
      <c r="Q67" s="24"/>
      <c r="R67" s="24">
        <v>3.8862866359999995</v>
      </c>
      <c r="S67" s="24"/>
      <c r="T67" s="24"/>
      <c r="U67" s="24"/>
      <c r="V67" s="24"/>
      <c r="W67" s="24"/>
      <c r="X67" s="24"/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385" t="s">
        <v>483</v>
      </c>
      <c r="F68" s="385" t="s">
        <v>19</v>
      </c>
      <c r="G68" s="385" t="s">
        <v>258</v>
      </c>
      <c r="H68" s="385" t="s">
        <v>306</v>
      </c>
      <c r="I68" s="385" t="s">
        <v>466</v>
      </c>
      <c r="J68" s="118">
        <f t="shared" si="10"/>
        <v>23.937426840000001</v>
      </c>
      <c r="K68" s="119">
        <f t="shared" si="11"/>
        <v>23.937426840000001</v>
      </c>
      <c r="L68" s="119">
        <f t="shared" si="12"/>
        <v>0</v>
      </c>
      <c r="N68" s="24"/>
      <c r="O68" s="24"/>
      <c r="P68" s="24"/>
      <c r="Q68" s="24"/>
      <c r="R68" s="24">
        <v>14.791876226000001</v>
      </c>
      <c r="S68" s="24">
        <v>9.1455506139999994</v>
      </c>
      <c r="T68" s="24"/>
      <c r="U68" s="24"/>
      <c r="V68" s="24"/>
      <c r="W68" s="24"/>
      <c r="X68" s="24"/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385" t="s">
        <v>484</v>
      </c>
      <c r="F69" s="385" t="s">
        <v>19</v>
      </c>
      <c r="G69" s="385" t="s">
        <v>264</v>
      </c>
      <c r="H69" s="385" t="s">
        <v>310</v>
      </c>
      <c r="I69" s="385" t="s">
        <v>472</v>
      </c>
      <c r="J69" s="118">
        <f t="shared" si="10"/>
        <v>0.110184352</v>
      </c>
      <c r="K69" s="119">
        <f t="shared" si="11"/>
        <v>0.110184352</v>
      </c>
      <c r="L69" s="119">
        <f t="shared" si="12"/>
        <v>0</v>
      </c>
      <c r="N69" s="24"/>
      <c r="O69" s="24"/>
      <c r="P69" s="24"/>
      <c r="Q69" s="24"/>
      <c r="R69" s="24"/>
      <c r="S69" s="24">
        <v>0.110184352</v>
      </c>
      <c r="T69" s="24"/>
      <c r="U69" s="24"/>
      <c r="V69" s="24"/>
      <c r="W69" s="24"/>
      <c r="X69" s="24"/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385" t="s">
        <v>484</v>
      </c>
      <c r="F70" s="385" t="s">
        <v>19</v>
      </c>
      <c r="G70" s="385" t="s">
        <v>500</v>
      </c>
      <c r="H70" s="385" t="s">
        <v>305</v>
      </c>
      <c r="I70" s="385" t="s">
        <v>472</v>
      </c>
      <c r="J70" s="118">
        <f t="shared" si="10"/>
        <v>53.278013522000002</v>
      </c>
      <c r="K70" s="119">
        <f t="shared" si="11"/>
        <v>53.278013522000002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53.278013522000002</v>
      </c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385" t="s">
        <v>484</v>
      </c>
      <c r="F71" s="385" t="s">
        <v>19</v>
      </c>
      <c r="G71" s="385" t="s">
        <v>503</v>
      </c>
      <c r="H71" s="385" t="s">
        <v>311</v>
      </c>
      <c r="I71" s="385" t="s">
        <v>472</v>
      </c>
      <c r="J71" s="118">
        <f t="shared" si="10"/>
        <v>1.173521574</v>
      </c>
      <c r="K71" s="119">
        <f t="shared" si="11"/>
        <v>1.173521574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1.173521574</v>
      </c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385" t="s">
        <v>484</v>
      </c>
      <c r="F72" s="385" t="s">
        <v>19</v>
      </c>
      <c r="G72" s="385" t="s">
        <v>454</v>
      </c>
      <c r="H72" s="385" t="s">
        <v>292</v>
      </c>
      <c r="I72" s="385" t="s">
        <v>472</v>
      </c>
      <c r="J72" s="118">
        <f t="shared" si="10"/>
        <v>8.8069698539999983</v>
      </c>
      <c r="K72" s="119">
        <f t="shared" si="11"/>
        <v>8.8069698539999983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>
        <v>8.8069698539999983</v>
      </c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385" t="s">
        <v>484</v>
      </c>
      <c r="F73" s="385" t="s">
        <v>19</v>
      </c>
      <c r="G73" s="385" t="s">
        <v>370</v>
      </c>
      <c r="H73" s="385" t="s">
        <v>308</v>
      </c>
      <c r="I73" s="385" t="s">
        <v>472</v>
      </c>
      <c r="J73" s="118">
        <f t="shared" si="10"/>
        <v>29.382537232000004</v>
      </c>
      <c r="K73" s="119">
        <f t="shared" si="11"/>
        <v>29.382537232000004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>
        <v>28.902717307000003</v>
      </c>
      <c r="U73" s="24"/>
      <c r="V73" s="24"/>
      <c r="W73" s="24"/>
      <c r="X73" s="24">
        <v>0.47981992499999998</v>
      </c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385" t="s">
        <v>451</v>
      </c>
      <c r="F74" s="385" t="s">
        <v>19</v>
      </c>
      <c r="G74" s="385" t="s">
        <v>504</v>
      </c>
      <c r="H74" s="385" t="s">
        <v>307</v>
      </c>
      <c r="I74" s="385" t="s">
        <v>466</v>
      </c>
      <c r="J74" s="118">
        <f t="shared" si="10"/>
        <v>30.791920951999998</v>
      </c>
      <c r="K74" s="119">
        <f t="shared" si="11"/>
        <v>30.791920951999998</v>
      </c>
      <c r="L74" s="119">
        <f t="shared" si="12"/>
        <v>0</v>
      </c>
      <c r="N74" s="24"/>
      <c r="O74" s="24"/>
      <c r="P74" s="24"/>
      <c r="Q74" s="24"/>
      <c r="R74" s="24">
        <v>25.953061019999996</v>
      </c>
      <c r="S74" s="24">
        <v>4.8388599320000001</v>
      </c>
      <c r="T74" s="24"/>
      <c r="U74" s="24"/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385" t="s">
        <v>451</v>
      </c>
      <c r="F75" s="385" t="s">
        <v>19</v>
      </c>
      <c r="G75" s="385" t="s">
        <v>370</v>
      </c>
      <c r="H75" s="385" t="s">
        <v>308</v>
      </c>
      <c r="I75" s="385" t="s">
        <v>466</v>
      </c>
      <c r="J75" s="118">
        <f t="shared" si="10"/>
        <v>2.1636036089999999</v>
      </c>
      <c r="K75" s="119">
        <f t="shared" si="11"/>
        <v>2.1636036089999999</v>
      </c>
      <c r="L75" s="119">
        <f t="shared" si="12"/>
        <v>0</v>
      </c>
      <c r="N75" s="24"/>
      <c r="O75" s="24"/>
      <c r="P75" s="24"/>
      <c r="Q75" s="24"/>
      <c r="R75" s="24">
        <v>2.1636036089999999</v>
      </c>
      <c r="S75" s="24"/>
      <c r="T75" s="24"/>
      <c r="U75" s="24"/>
      <c r="V75" s="24"/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385" t="s">
        <v>451</v>
      </c>
      <c r="F76" s="385" t="s">
        <v>19</v>
      </c>
      <c r="G76" s="385" t="s">
        <v>504</v>
      </c>
      <c r="H76" s="385" t="s">
        <v>307</v>
      </c>
      <c r="I76" s="385" t="s">
        <v>472</v>
      </c>
      <c r="J76" s="118">
        <f t="shared" si="10"/>
        <v>22.184576131</v>
      </c>
      <c r="K76" s="119">
        <f t="shared" si="11"/>
        <v>22.184576131</v>
      </c>
      <c r="L76" s="119">
        <f t="shared" si="12"/>
        <v>0</v>
      </c>
      <c r="N76" s="24"/>
      <c r="O76" s="24"/>
      <c r="P76" s="24"/>
      <c r="Q76" s="24"/>
      <c r="R76" s="24"/>
      <c r="S76" s="24">
        <v>22.184576131</v>
      </c>
      <c r="T76" s="24"/>
      <c r="U76" s="24"/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385" t="s">
        <v>451</v>
      </c>
      <c r="F77" s="385" t="s">
        <v>19</v>
      </c>
      <c r="G77" s="385" t="s">
        <v>370</v>
      </c>
      <c r="H77" s="385" t="s">
        <v>308</v>
      </c>
      <c r="I77" s="385" t="s">
        <v>472</v>
      </c>
      <c r="J77" s="118">
        <f t="shared" si="10"/>
        <v>1.192590007</v>
      </c>
      <c r="K77" s="119">
        <f t="shared" si="11"/>
        <v>1.192590007</v>
      </c>
      <c r="L77" s="119">
        <f t="shared" si="12"/>
        <v>0</v>
      </c>
      <c r="N77" s="24"/>
      <c r="O77" s="24"/>
      <c r="P77" s="24"/>
      <c r="Q77" s="24"/>
      <c r="R77" s="24">
        <v>1.192590007</v>
      </c>
      <c r="S77" s="24"/>
      <c r="T77" s="24"/>
      <c r="U77" s="24"/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385" t="s">
        <v>485</v>
      </c>
      <c r="F78" s="385" t="s">
        <v>19</v>
      </c>
      <c r="G78" s="385" t="s">
        <v>529</v>
      </c>
      <c r="H78" s="385" t="s">
        <v>530</v>
      </c>
      <c r="I78" s="385" t="s">
        <v>472</v>
      </c>
      <c r="J78" s="118">
        <f t="shared" si="10"/>
        <v>494</v>
      </c>
      <c r="K78" s="119">
        <f t="shared" si="11"/>
        <v>494</v>
      </c>
      <c r="L78" s="119">
        <f t="shared" si="12"/>
        <v>0</v>
      </c>
      <c r="N78" s="24"/>
      <c r="O78" s="24"/>
      <c r="P78" s="24"/>
      <c r="Q78" s="24"/>
      <c r="R78" s="24">
        <v>0</v>
      </c>
      <c r="S78" s="24"/>
      <c r="T78" s="24"/>
      <c r="U78" s="24"/>
      <c r="V78" s="24">
        <v>494</v>
      </c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385" t="s">
        <v>268</v>
      </c>
      <c r="F79" s="385" t="s">
        <v>19</v>
      </c>
      <c r="G79" s="385" t="s">
        <v>374</v>
      </c>
      <c r="H79" s="385" t="s">
        <v>317</v>
      </c>
      <c r="I79" s="385" t="s">
        <v>466</v>
      </c>
      <c r="J79" s="118">
        <f t="shared" si="10"/>
        <v>72.391568790999997</v>
      </c>
      <c r="K79" s="119">
        <f t="shared" si="11"/>
        <v>72.391568790999997</v>
      </c>
      <c r="L79" s="119">
        <f t="shared" si="12"/>
        <v>0</v>
      </c>
      <c r="N79" s="24"/>
      <c r="O79" s="24"/>
      <c r="P79" s="24"/>
      <c r="Q79" s="24"/>
      <c r="R79" s="24">
        <v>13.899633412</v>
      </c>
      <c r="S79" s="24">
        <v>58.491935378999997</v>
      </c>
      <c r="T79" s="24"/>
      <c r="U79" s="24"/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385" t="s">
        <v>487</v>
      </c>
      <c r="F80" s="385" t="s">
        <v>19</v>
      </c>
      <c r="G80" s="385" t="s">
        <v>374</v>
      </c>
      <c r="H80" s="385" t="s">
        <v>317</v>
      </c>
      <c r="I80" s="385" t="s">
        <v>466</v>
      </c>
      <c r="J80" s="118">
        <f t="shared" si="10"/>
        <v>1.1826547569999999</v>
      </c>
      <c r="K80" s="119">
        <f t="shared" si="11"/>
        <v>1.1826547569999999</v>
      </c>
      <c r="L80" s="119">
        <f t="shared" si="12"/>
        <v>0</v>
      </c>
      <c r="N80" s="24"/>
      <c r="O80" s="24"/>
      <c r="P80" s="24"/>
      <c r="Q80" s="24"/>
      <c r="R80" s="24"/>
      <c r="S80" s="24">
        <v>1.1826547569999999</v>
      </c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385" t="s">
        <v>488</v>
      </c>
      <c r="F81" s="385" t="s">
        <v>19</v>
      </c>
      <c r="G81" s="385" t="s">
        <v>378</v>
      </c>
      <c r="H81" s="385" t="s">
        <v>290</v>
      </c>
      <c r="I81" s="385" t="s">
        <v>466</v>
      </c>
      <c r="J81" s="118">
        <f t="shared" si="10"/>
        <v>13.684561999999998</v>
      </c>
      <c r="K81" s="119">
        <f t="shared" si="11"/>
        <v>13.684561999999998</v>
      </c>
      <c r="L81" s="119">
        <f t="shared" si="12"/>
        <v>0</v>
      </c>
      <c r="N81" s="24"/>
      <c r="O81" s="24"/>
      <c r="P81" s="24"/>
      <c r="Q81" s="24"/>
      <c r="R81" s="24">
        <v>13.684561999999998</v>
      </c>
      <c r="S81" s="24"/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385" t="s">
        <v>489</v>
      </c>
      <c r="F82" s="385" t="s">
        <v>19</v>
      </c>
      <c r="G82" s="385" t="s">
        <v>247</v>
      </c>
      <c r="H82" s="385" t="s">
        <v>289</v>
      </c>
      <c r="I82" s="385" t="s">
        <v>466</v>
      </c>
      <c r="J82" s="118">
        <f t="shared" si="10"/>
        <v>0.12876121199999999</v>
      </c>
      <c r="K82" s="119">
        <f t="shared" si="11"/>
        <v>0.12876121199999999</v>
      </c>
      <c r="L82" s="119">
        <f t="shared" si="12"/>
        <v>0</v>
      </c>
      <c r="N82" s="24"/>
      <c r="O82" s="24"/>
      <c r="P82" s="24"/>
      <c r="Q82" s="24"/>
      <c r="R82" s="24"/>
      <c r="S82" s="24">
        <v>0.12876121199999999</v>
      </c>
      <c r="T82" s="2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385" t="s">
        <v>459</v>
      </c>
      <c r="F83" s="385" t="s">
        <v>19</v>
      </c>
      <c r="G83" s="385" t="s">
        <v>464</v>
      </c>
      <c r="H83" s="385" t="s">
        <v>461</v>
      </c>
      <c r="I83" s="385" t="s">
        <v>466</v>
      </c>
      <c r="J83" s="118">
        <f t="shared" si="10"/>
        <v>4.803295803000001</v>
      </c>
      <c r="K83" s="119">
        <f t="shared" si="11"/>
        <v>4.803295803000001</v>
      </c>
      <c r="L83" s="119">
        <f t="shared" si="12"/>
        <v>0</v>
      </c>
      <c r="N83" s="24"/>
      <c r="O83" s="24"/>
      <c r="P83" s="24"/>
      <c r="Q83" s="24"/>
      <c r="R83" s="24">
        <v>4.803295803000001</v>
      </c>
      <c r="S83" s="24"/>
      <c r="T83" s="24"/>
      <c r="U83" s="24"/>
      <c r="V83" s="2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390"/>
      <c r="F84" s="390"/>
      <c r="G84" s="390"/>
      <c r="H84" s="390"/>
      <c r="I84" s="390"/>
      <c r="J84" s="118">
        <f t="shared" si="10"/>
        <v>0</v>
      </c>
      <c r="K84" s="119">
        <f t="shared" si="11"/>
        <v>0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305" t="s">
        <v>449</v>
      </c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305" t="s">
        <v>520</v>
      </c>
      <c r="F87" s="341" t="s">
        <v>19</v>
      </c>
      <c r="G87" s="305"/>
      <c r="H87" s="12"/>
      <c r="I87" s="12"/>
      <c r="J87" s="343">
        <f t="shared" si="10"/>
        <v>24</v>
      </c>
      <c r="K87" s="339">
        <f t="shared" si="11"/>
        <v>24</v>
      </c>
      <c r="L87" s="339">
        <f t="shared" si="12"/>
        <v>0</v>
      </c>
      <c r="M87" s="281"/>
      <c r="N87" s="24"/>
      <c r="O87" s="24"/>
      <c r="P87" s="24"/>
      <c r="Q87" s="24"/>
      <c r="R87" s="344"/>
      <c r="S87" s="344">
        <v>24</v>
      </c>
      <c r="T87" s="344"/>
      <c r="U87" s="24"/>
      <c r="V87" s="2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305" t="s">
        <v>521</v>
      </c>
      <c r="F88" s="341" t="s">
        <v>19</v>
      </c>
      <c r="G88" s="305"/>
      <c r="H88" s="12"/>
      <c r="I88" s="12"/>
      <c r="J88" s="343">
        <f t="shared" si="10"/>
        <v>71</v>
      </c>
      <c r="K88" s="339">
        <f t="shared" si="11"/>
        <v>71</v>
      </c>
      <c r="L88" s="339">
        <f t="shared" si="12"/>
        <v>0</v>
      </c>
      <c r="M88" s="281"/>
      <c r="N88" s="24"/>
      <c r="O88" s="24"/>
      <c r="P88" s="24"/>
      <c r="Q88" s="24"/>
      <c r="R88" s="344">
        <v>36</v>
      </c>
      <c r="S88" s="344">
        <v>35</v>
      </c>
      <c r="T88" s="344"/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305" t="s">
        <v>522</v>
      </c>
      <c r="F89" s="341" t="s">
        <v>19</v>
      </c>
      <c r="G89" s="305"/>
      <c r="H89" s="12"/>
      <c r="I89" s="12"/>
      <c r="J89" s="343">
        <f t="shared" ref="J89:J92" si="13">+K89+L89</f>
        <v>28</v>
      </c>
      <c r="K89" s="339">
        <f t="shared" ref="K89:K92" si="14">SUM(N89:Y89)</f>
        <v>28</v>
      </c>
      <c r="L89" s="339">
        <f t="shared" ref="L89:L92" si="15">SUM(AA89:AL89)</f>
        <v>0</v>
      </c>
      <c r="M89" s="281"/>
      <c r="N89" s="24"/>
      <c r="O89" s="24"/>
      <c r="P89" s="24"/>
      <c r="Q89" s="24"/>
      <c r="R89" s="344"/>
      <c r="S89" s="344">
        <v>28</v>
      </c>
      <c r="T89" s="344"/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>
      <c r="E90" s="305" t="s">
        <v>523</v>
      </c>
      <c r="F90" s="341" t="s">
        <v>19</v>
      </c>
      <c r="G90" s="305"/>
      <c r="H90" s="12"/>
      <c r="I90" s="12"/>
      <c r="J90" s="343">
        <f t="shared" si="13"/>
        <v>24</v>
      </c>
      <c r="K90" s="339">
        <f t="shared" si="14"/>
        <v>24</v>
      </c>
      <c r="L90" s="339">
        <f t="shared" si="15"/>
        <v>0</v>
      </c>
      <c r="M90" s="281"/>
      <c r="N90" s="24"/>
      <c r="O90" s="24"/>
      <c r="P90" s="24"/>
      <c r="Q90" s="24"/>
      <c r="R90" s="344"/>
      <c r="S90" s="344">
        <v>24</v>
      </c>
      <c r="T90" s="344"/>
      <c r="U90" s="24"/>
      <c r="V90" s="24"/>
      <c r="W90" s="24"/>
      <c r="X90" s="24"/>
      <c r="Y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5:38">
      <c r="E91" s="305" t="s">
        <v>524</v>
      </c>
      <c r="F91" s="341" t="s">
        <v>19</v>
      </c>
      <c r="G91" s="305"/>
      <c r="H91" s="12"/>
      <c r="I91" s="12"/>
      <c r="J91" s="343">
        <f t="shared" si="13"/>
        <v>58</v>
      </c>
      <c r="K91" s="339">
        <f t="shared" si="14"/>
        <v>58</v>
      </c>
      <c r="L91" s="339">
        <f t="shared" si="15"/>
        <v>0</v>
      </c>
      <c r="M91" s="281"/>
      <c r="N91" s="24"/>
      <c r="O91" s="24"/>
      <c r="P91" s="24"/>
      <c r="Q91" s="24"/>
      <c r="R91" s="344">
        <v>58</v>
      </c>
      <c r="S91" s="344"/>
      <c r="T91" s="344"/>
      <c r="U91" s="24"/>
      <c r="V91" s="24"/>
      <c r="W91" s="24"/>
      <c r="X91" s="24"/>
      <c r="Y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5:38">
      <c r="E92" s="305" t="s">
        <v>525</v>
      </c>
      <c r="F92" s="341" t="s">
        <v>19</v>
      </c>
      <c r="G92" s="305"/>
      <c r="H92" s="12"/>
      <c r="I92" s="12"/>
      <c r="J92" s="343">
        <f t="shared" si="13"/>
        <v>3</v>
      </c>
      <c r="K92" s="339">
        <f t="shared" si="14"/>
        <v>3</v>
      </c>
      <c r="L92" s="339">
        <f t="shared" si="15"/>
        <v>0</v>
      </c>
      <c r="M92" s="281"/>
      <c r="N92" s="24"/>
      <c r="O92" s="24"/>
      <c r="P92" s="24"/>
      <c r="Q92" s="24"/>
      <c r="R92" s="344">
        <v>3</v>
      </c>
      <c r="S92" s="344"/>
      <c r="T92" s="344"/>
      <c r="U92" s="24"/>
      <c r="V92" s="24"/>
      <c r="W92" s="24"/>
      <c r="X92" s="24"/>
      <c r="Y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5:38">
      <c r="E93" s="315"/>
      <c r="F93" s="314"/>
      <c r="G93" s="315"/>
      <c r="H93" s="391"/>
      <c r="I93" s="394"/>
      <c r="J93" s="369"/>
      <c r="K93" s="370"/>
      <c r="L93" s="370"/>
    </row>
    <row r="94" spans="5:38">
      <c r="E94" s="191" t="s">
        <v>320</v>
      </c>
      <c r="F94" s="216">
        <v>46113</v>
      </c>
      <c r="G94" s="192">
        <v>182</v>
      </c>
      <c r="H94" s="393" t="s">
        <v>321</v>
      </c>
      <c r="I94" s="371"/>
      <c r="J94" s="369"/>
      <c r="K94" s="370"/>
      <c r="L94" s="370"/>
    </row>
    <row r="95" spans="5:38">
      <c r="E95" s="195" t="s">
        <v>526</v>
      </c>
      <c r="F95" s="217"/>
      <c r="G95" s="196">
        <v>61</v>
      </c>
      <c r="H95" s="393" t="s">
        <v>321</v>
      </c>
      <c r="I95" s="372"/>
      <c r="J95" s="369"/>
      <c r="K95" s="370"/>
      <c r="L95" s="370"/>
    </row>
    <row r="96" spans="5:38">
      <c r="E96" s="195" t="s">
        <v>527</v>
      </c>
      <c r="F96" s="217"/>
      <c r="G96" s="196">
        <v>35</v>
      </c>
      <c r="H96" s="393" t="s">
        <v>321</v>
      </c>
      <c r="I96" s="300"/>
      <c r="J96" s="369"/>
      <c r="K96" s="370"/>
      <c r="L96" s="370"/>
    </row>
    <row r="97" spans="5:12">
      <c r="E97" s="191" t="s">
        <v>320</v>
      </c>
      <c r="F97" s="216">
        <v>46142</v>
      </c>
      <c r="G97" s="192">
        <f>G94+G95-G96</f>
        <v>208</v>
      </c>
      <c r="H97" s="393" t="s">
        <v>321</v>
      </c>
      <c r="I97" s="300"/>
      <c r="J97" s="369"/>
      <c r="K97" s="370"/>
      <c r="L97" s="370"/>
    </row>
    <row r="98" spans="5:12">
      <c r="E98" s="395"/>
      <c r="F98" s="396"/>
      <c r="G98" s="397"/>
      <c r="H98" s="398"/>
      <c r="I98" s="300"/>
      <c r="J98" s="369"/>
      <c r="K98" s="370"/>
      <c r="L98" s="370"/>
    </row>
    <row r="99" spans="5:12">
      <c r="E99" s="446" t="s">
        <v>531</v>
      </c>
      <c r="F99" s="447"/>
      <c r="G99" s="447"/>
      <c r="H99" s="447"/>
      <c r="I99" s="300"/>
      <c r="J99" s="369"/>
      <c r="K99" s="370"/>
      <c r="L99" s="370"/>
    </row>
    <row r="100" spans="5:12">
      <c r="E100" s="356" t="s">
        <v>324</v>
      </c>
      <c r="F100" s="219"/>
      <c r="G100" s="202"/>
      <c r="H100" s="219" t="s">
        <v>325</v>
      </c>
      <c r="I100" s="300"/>
      <c r="J100" s="369"/>
      <c r="K100" s="370"/>
      <c r="L100" s="370"/>
    </row>
    <row r="101" spans="5:12">
      <c r="E101" s="290" t="s">
        <v>258</v>
      </c>
      <c r="F101" s="314"/>
      <c r="G101" s="315"/>
      <c r="H101" s="392">
        <v>0</v>
      </c>
      <c r="I101" s="300"/>
      <c r="J101" s="369"/>
      <c r="K101" s="370"/>
      <c r="L101" s="370"/>
    </row>
    <row r="102" spans="5:12">
      <c r="E102" s="290" t="s">
        <v>282</v>
      </c>
      <c r="F102" s="314"/>
      <c r="G102" s="315"/>
      <c r="H102" s="392">
        <v>0.1625413</v>
      </c>
      <c r="I102" s="300"/>
      <c r="J102" s="369"/>
      <c r="K102" s="370"/>
      <c r="L102" s="370"/>
    </row>
    <row r="103" spans="5:12">
      <c r="E103" s="290" t="s">
        <v>247</v>
      </c>
      <c r="F103" s="314"/>
      <c r="G103" s="315"/>
      <c r="H103" s="392">
        <v>3.8418849310000001</v>
      </c>
      <c r="I103" s="300"/>
      <c r="J103" s="369"/>
      <c r="K103" s="370"/>
      <c r="L103" s="370"/>
    </row>
    <row r="104" spans="5:12">
      <c r="E104" s="290" t="s">
        <v>285</v>
      </c>
      <c r="F104" s="314"/>
      <c r="G104" s="315"/>
      <c r="H104" s="392">
        <v>0</v>
      </c>
      <c r="I104" s="300"/>
      <c r="J104" s="369"/>
      <c r="K104" s="370"/>
      <c r="L104" s="370"/>
    </row>
    <row r="105" spans="5:12">
      <c r="E105" s="290" t="s">
        <v>529</v>
      </c>
      <c r="F105" s="314"/>
      <c r="G105" s="315"/>
      <c r="H105" s="392">
        <v>0</v>
      </c>
      <c r="I105" s="300"/>
      <c r="J105" s="369"/>
      <c r="K105" s="370"/>
      <c r="L105" s="370"/>
    </row>
    <row r="106" spans="5:12">
      <c r="E106" s="290" t="s">
        <v>379</v>
      </c>
      <c r="F106" s="314"/>
      <c r="G106" s="315"/>
      <c r="H106" s="392">
        <v>5.4708587089999998</v>
      </c>
      <c r="I106" s="300"/>
      <c r="J106" s="369"/>
      <c r="K106" s="370"/>
      <c r="L106" s="370"/>
    </row>
    <row r="107" spans="5:12">
      <c r="E107" s="290" t="s">
        <v>378</v>
      </c>
      <c r="F107" s="314"/>
      <c r="G107" s="315"/>
      <c r="H107" s="392">
        <v>61.290194720999985</v>
      </c>
      <c r="I107" s="300"/>
      <c r="J107" s="369"/>
      <c r="K107" s="370"/>
      <c r="L107" s="370"/>
    </row>
    <row r="108" spans="5:12">
      <c r="E108" s="290" t="s">
        <v>500</v>
      </c>
      <c r="F108" s="314"/>
      <c r="G108" s="315"/>
      <c r="H108" s="392">
        <v>0</v>
      </c>
      <c r="I108" s="300"/>
      <c r="J108" s="369"/>
      <c r="K108" s="370"/>
      <c r="L108" s="370"/>
    </row>
    <row r="109" spans="5:12">
      <c r="E109" s="290" t="s">
        <v>374</v>
      </c>
      <c r="F109" s="314"/>
      <c r="G109" s="315"/>
      <c r="H109" s="392">
        <v>1.6219367099999999</v>
      </c>
      <c r="I109" s="300"/>
      <c r="J109" s="369"/>
      <c r="K109" s="370"/>
      <c r="L109" s="370"/>
    </row>
    <row r="110" spans="5:12">
      <c r="E110" s="290" t="s">
        <v>293</v>
      </c>
      <c r="F110" s="314"/>
      <c r="G110" s="315"/>
      <c r="H110" s="392">
        <v>0.29061150000000002</v>
      </c>
      <c r="I110" s="368"/>
      <c r="J110" s="369"/>
      <c r="K110" s="370"/>
      <c r="L110" s="370"/>
    </row>
    <row r="111" spans="5:12">
      <c r="E111" s="290" t="s">
        <v>245</v>
      </c>
      <c r="F111" s="314"/>
      <c r="G111" s="315"/>
      <c r="H111" s="392">
        <v>2.7463550969999995</v>
      </c>
      <c r="I111" s="368"/>
      <c r="J111" s="369"/>
      <c r="K111" s="370"/>
      <c r="L111" s="370"/>
    </row>
    <row r="112" spans="5:12">
      <c r="E112" s="387" t="s">
        <v>344</v>
      </c>
      <c r="F112" s="388"/>
      <c r="G112" s="387"/>
      <c r="H112" s="374">
        <f>SUM(H101:H111)</f>
        <v>75.424382967999989</v>
      </c>
      <c r="I112" s="368"/>
      <c r="J112" s="369"/>
      <c r="K112" s="370"/>
      <c r="L112" s="370"/>
    </row>
    <row r="113" spans="5:12">
      <c r="H113" s="300"/>
      <c r="I113" s="300"/>
      <c r="J113" s="369"/>
      <c r="K113" s="370"/>
      <c r="L113" s="370"/>
    </row>
    <row r="114" spans="5:12">
      <c r="E114" s="227"/>
      <c r="F114" s="278"/>
      <c r="G114" s="227"/>
      <c r="H114" s="368"/>
      <c r="I114" s="368"/>
      <c r="J114" s="369"/>
      <c r="K114" s="370"/>
      <c r="L114" s="370"/>
    </row>
    <row r="115" spans="5:12">
      <c r="E115" s="151"/>
      <c r="F115" s="257"/>
      <c r="G115" s="151"/>
      <c r="H115" s="368"/>
      <c r="I115" s="368"/>
      <c r="J115" s="369"/>
      <c r="K115" s="370"/>
      <c r="L115" s="370"/>
    </row>
    <row r="116" spans="5:12">
      <c r="E116" s="151" t="s">
        <v>330</v>
      </c>
      <c r="F116" s="151"/>
      <c r="G116" s="283">
        <f>'W20'!J19</f>
        <v>3709.0805545039998</v>
      </c>
      <c r="H116" s="368"/>
      <c r="I116" s="368"/>
      <c r="J116" s="369"/>
      <c r="K116" s="370"/>
      <c r="L116" s="370"/>
    </row>
    <row r="117" spans="5:12">
      <c r="E117" s="151" t="s">
        <v>331</v>
      </c>
      <c r="F117" s="151"/>
      <c r="G117" s="283">
        <f>H112</f>
        <v>75.424382967999989</v>
      </c>
      <c r="H117" s="368"/>
      <c r="I117" s="368"/>
      <c r="J117" s="369"/>
      <c r="K117" s="370"/>
      <c r="L117" s="370"/>
    </row>
    <row r="118" spans="5:12">
      <c r="E118" s="151" t="s">
        <v>332</v>
      </c>
      <c r="F118" s="151"/>
      <c r="G118" s="283">
        <f>J12-'W20'!J12</f>
        <v>120</v>
      </c>
      <c r="H118" s="368"/>
      <c r="I118" s="368"/>
      <c r="J118" s="369"/>
      <c r="K118" s="370"/>
      <c r="L118" s="370"/>
    </row>
    <row r="119" spans="5:12">
      <c r="E119" s="151" t="s">
        <v>333</v>
      </c>
      <c r="F119" s="151"/>
      <c r="G119" s="283">
        <f>G116+G117-G118</f>
        <v>3664.5049374719997</v>
      </c>
      <c r="H119" s="368"/>
      <c r="I119" s="368"/>
      <c r="J119" s="369"/>
      <c r="K119" s="370"/>
      <c r="L119" s="370"/>
    </row>
    <row r="120" spans="5:12">
      <c r="E120" s="151" t="s">
        <v>334</v>
      </c>
      <c r="F120" s="151"/>
      <c r="G120" s="283">
        <f>J19</f>
        <v>3657.2126961779995</v>
      </c>
      <c r="H120" s="368"/>
      <c r="I120" s="368"/>
      <c r="J120" s="369"/>
      <c r="K120" s="370"/>
      <c r="L120" s="370"/>
    </row>
    <row r="121" spans="5:12">
      <c r="E121" s="151" t="s">
        <v>335</v>
      </c>
      <c r="F121" s="151"/>
      <c r="G121" s="284">
        <f>G119-G120</f>
        <v>7.2922412940001777</v>
      </c>
      <c r="H121" s="368"/>
      <c r="I121" s="368"/>
      <c r="J121" s="369"/>
      <c r="K121" s="370"/>
      <c r="L121" s="370"/>
    </row>
    <row r="122" spans="5:12">
      <c r="E122" s="227"/>
      <c r="F122" s="278"/>
      <c r="G122" s="227"/>
      <c r="H122" s="368"/>
      <c r="I122" s="368"/>
      <c r="J122" s="369"/>
      <c r="K122" s="370"/>
      <c r="L122" s="370"/>
    </row>
    <row r="123" spans="5:12">
      <c r="E123" s="227"/>
      <c r="F123" s="278"/>
      <c r="G123" s="227"/>
      <c r="H123" s="399"/>
      <c r="I123" s="399"/>
      <c r="J123" s="369"/>
      <c r="K123" s="370"/>
      <c r="L123" s="370"/>
    </row>
    <row r="124" spans="5:12">
      <c r="E124" s="227"/>
      <c r="F124" s="278"/>
      <c r="G124" s="227"/>
      <c r="H124" s="399"/>
      <c r="I124" s="399"/>
      <c r="J124" s="369"/>
      <c r="K124" s="370"/>
      <c r="L124" s="370"/>
    </row>
    <row r="125" spans="5:12">
      <c r="E125" s="227"/>
      <c r="F125" s="278"/>
      <c r="G125" s="227"/>
      <c r="H125" s="400"/>
      <c r="I125" s="400"/>
      <c r="J125" s="369"/>
      <c r="K125" s="370"/>
      <c r="L125" s="370"/>
    </row>
    <row r="126" spans="5:12">
      <c r="E126" s="227"/>
      <c r="F126" s="278"/>
      <c r="G126" s="227"/>
      <c r="H126" s="368"/>
      <c r="I126" s="368"/>
      <c r="J126" s="369"/>
      <c r="K126" s="370"/>
      <c r="L126" s="370"/>
    </row>
    <row r="127" spans="5:12">
      <c r="E127" s="227"/>
      <c r="F127" s="278"/>
      <c r="G127" s="227"/>
      <c r="H127" s="368"/>
      <c r="I127" s="368"/>
      <c r="J127" s="369"/>
      <c r="K127" s="370"/>
      <c r="L127" s="370"/>
    </row>
    <row r="128" spans="5:12">
      <c r="E128" s="227"/>
      <c r="F128" s="278"/>
      <c r="G128" s="227"/>
      <c r="H128" s="368"/>
      <c r="I128" s="368"/>
      <c r="J128" s="369"/>
      <c r="K128" s="370"/>
      <c r="L128" s="370"/>
    </row>
    <row r="129" spans="5:12">
      <c r="E129" s="227"/>
      <c r="F129" s="278"/>
      <c r="G129" s="227"/>
      <c r="H129" s="368"/>
      <c r="I129" s="368"/>
      <c r="J129" s="369"/>
      <c r="K129" s="370"/>
      <c r="L129" s="370"/>
    </row>
    <row r="130" spans="5:12">
      <c r="E130" s="227"/>
      <c r="F130" s="278"/>
      <c r="G130" s="227"/>
      <c r="H130" s="368"/>
      <c r="I130" s="368"/>
      <c r="J130" s="369"/>
      <c r="K130" s="370"/>
      <c r="L130" s="370"/>
    </row>
    <row r="131" spans="5:12">
      <c r="E131" s="227"/>
      <c r="F131" s="278"/>
      <c r="G131" s="227"/>
      <c r="H131" s="368"/>
      <c r="I131" s="368"/>
      <c r="J131" s="369"/>
      <c r="K131" s="370"/>
      <c r="L131" s="370"/>
    </row>
    <row r="132" spans="5:12">
      <c r="E132" s="227"/>
      <c r="F132" s="278"/>
      <c r="G132" s="227"/>
      <c r="H132" s="368"/>
      <c r="I132" s="368"/>
      <c r="J132" s="369"/>
      <c r="K132" s="370"/>
      <c r="L132" s="370"/>
    </row>
    <row r="133" spans="5:12">
      <c r="E133" s="227"/>
      <c r="F133" s="278"/>
      <c r="G133" s="227"/>
      <c r="H133" s="368"/>
      <c r="I133" s="368"/>
      <c r="J133" s="369"/>
      <c r="K133" s="370"/>
      <c r="L133" s="370"/>
    </row>
    <row r="134" spans="5:12">
      <c r="E134" s="227"/>
      <c r="F134" s="278"/>
      <c r="G134" s="227"/>
      <c r="H134" s="368"/>
      <c r="I134" s="368"/>
      <c r="J134" s="369"/>
      <c r="K134" s="370"/>
      <c r="L134" s="370"/>
    </row>
    <row r="135" spans="5:12">
      <c r="E135" s="227"/>
      <c r="F135" s="278"/>
      <c r="G135" s="227"/>
      <c r="H135" s="368"/>
      <c r="I135" s="368"/>
      <c r="J135" s="369"/>
      <c r="K135" s="370"/>
      <c r="L135" s="370"/>
    </row>
    <row r="136" spans="5:12">
      <c r="H136" s="300"/>
      <c r="I136" s="300"/>
      <c r="J136" s="369"/>
      <c r="K136" s="370"/>
      <c r="L136" s="370"/>
    </row>
    <row r="137" spans="5:12">
      <c r="H137" s="300"/>
      <c r="I137" s="300"/>
      <c r="J137" s="369"/>
      <c r="K137" s="370"/>
      <c r="L137" s="370"/>
    </row>
    <row r="138" spans="5:12">
      <c r="H138" s="300"/>
      <c r="I138" s="300"/>
      <c r="J138" s="369"/>
      <c r="K138" s="370"/>
      <c r="L138" s="370"/>
    </row>
    <row r="139" spans="5:12">
      <c r="H139" s="368"/>
      <c r="I139" s="368"/>
      <c r="J139" s="369"/>
      <c r="K139" s="370"/>
      <c r="L139" s="370"/>
    </row>
    <row r="140" spans="5:12">
      <c r="H140" s="368"/>
      <c r="I140" s="368"/>
      <c r="J140" s="369"/>
      <c r="K140" s="370"/>
      <c r="L140" s="370"/>
    </row>
    <row r="141" spans="5:12">
      <c r="E141" s="227"/>
      <c r="H141" s="368"/>
      <c r="I141" s="368"/>
      <c r="J141" s="369"/>
      <c r="K141" s="370"/>
      <c r="L141" s="370"/>
    </row>
    <row r="142" spans="5:12">
      <c r="H142" s="371"/>
      <c r="I142" s="371"/>
      <c r="J142" s="369"/>
      <c r="K142" s="370"/>
      <c r="L142" s="370"/>
    </row>
    <row r="143" spans="5:12">
      <c r="H143" s="371"/>
      <c r="I143" s="371"/>
      <c r="J143" s="369"/>
      <c r="K143" s="370"/>
      <c r="L143" s="370"/>
    </row>
    <row r="144" spans="5:12">
      <c r="H144" s="372"/>
      <c r="I144" s="372"/>
      <c r="J144" s="369"/>
      <c r="K144" s="370"/>
      <c r="L144" s="370"/>
    </row>
    <row r="145" spans="5:12">
      <c r="H145" s="300"/>
      <c r="I145" s="300"/>
      <c r="J145" s="369"/>
      <c r="K145" s="370"/>
      <c r="L145" s="370"/>
    </row>
    <row r="146" spans="5:12">
      <c r="H146" s="300"/>
      <c r="I146" s="300"/>
      <c r="J146" s="369"/>
      <c r="K146" s="370"/>
      <c r="L146" s="370"/>
    </row>
    <row r="147" spans="5:12">
      <c r="H147" s="300"/>
      <c r="I147" s="300"/>
      <c r="J147" s="369"/>
      <c r="K147" s="370"/>
      <c r="L147" s="370"/>
    </row>
    <row r="148" spans="5:12">
      <c r="H148" s="300"/>
      <c r="I148" s="300"/>
      <c r="J148" s="369"/>
      <c r="K148" s="370"/>
      <c r="L148" s="370"/>
    </row>
    <row r="149" spans="5:12">
      <c r="H149" s="300"/>
      <c r="I149" s="300"/>
      <c r="J149" s="369"/>
      <c r="K149" s="370"/>
      <c r="L149" s="370"/>
    </row>
    <row r="150" spans="5:12">
      <c r="H150" s="300"/>
      <c r="I150" s="300"/>
      <c r="J150" s="369"/>
      <c r="K150" s="370"/>
      <c r="L150" s="370"/>
    </row>
    <row r="151" spans="5:12">
      <c r="H151" s="300"/>
      <c r="I151" s="300"/>
      <c r="J151" s="369"/>
      <c r="K151" s="370"/>
      <c r="L151" s="370"/>
    </row>
    <row r="152" spans="5:12">
      <c r="H152" s="300"/>
      <c r="I152" s="300"/>
      <c r="J152" s="369"/>
      <c r="K152" s="370"/>
      <c r="L152" s="370"/>
    </row>
    <row r="153" spans="5:12">
      <c r="H153" s="300"/>
      <c r="I153" s="300"/>
      <c r="J153" s="369"/>
      <c r="K153" s="370"/>
      <c r="L153" s="370"/>
    </row>
    <row r="154" spans="5:12">
      <c r="H154" s="300"/>
      <c r="I154" s="300"/>
      <c r="J154" s="369"/>
      <c r="K154" s="370"/>
      <c r="L154" s="370"/>
    </row>
    <row r="155" spans="5:12">
      <c r="H155" s="300"/>
      <c r="I155" s="300"/>
      <c r="J155" s="369"/>
      <c r="K155" s="370"/>
      <c r="L155" s="370"/>
    </row>
    <row r="156" spans="5:12">
      <c r="H156" s="300"/>
      <c r="I156" s="300"/>
      <c r="J156" s="369"/>
      <c r="K156" s="370"/>
      <c r="L156" s="370"/>
    </row>
    <row r="157" spans="5:12">
      <c r="H157" s="300"/>
      <c r="I157" s="300"/>
      <c r="J157" s="369"/>
      <c r="K157" s="370"/>
      <c r="L157" s="370"/>
    </row>
    <row r="158" spans="5:12">
      <c r="H158" s="368"/>
      <c r="I158" s="368"/>
      <c r="J158" s="369"/>
      <c r="K158" s="370"/>
      <c r="L158" s="370"/>
    </row>
    <row r="159" spans="5:12">
      <c r="H159" s="368"/>
      <c r="I159" s="368"/>
      <c r="J159" s="369"/>
      <c r="K159" s="370"/>
      <c r="L159" s="370"/>
    </row>
    <row r="160" spans="5:12">
      <c r="E160" s="227"/>
      <c r="H160" s="368"/>
      <c r="I160" s="368"/>
      <c r="J160" s="369"/>
      <c r="K160" s="370"/>
      <c r="L160" s="370"/>
    </row>
    <row r="161" spans="5:12">
      <c r="H161" s="300"/>
      <c r="I161" s="300"/>
      <c r="J161" s="369"/>
      <c r="K161" s="370"/>
      <c r="L161" s="370"/>
    </row>
    <row r="162" spans="5:12">
      <c r="H162" s="300"/>
      <c r="I162" s="300"/>
      <c r="J162" s="369"/>
      <c r="K162" s="370"/>
      <c r="L162" s="370"/>
    </row>
    <row r="163" spans="5:12">
      <c r="H163" s="300"/>
      <c r="I163" s="300"/>
      <c r="J163" s="369"/>
      <c r="K163" s="370"/>
      <c r="L163" s="370"/>
    </row>
    <row r="164" spans="5:12">
      <c r="H164" s="300"/>
      <c r="I164" s="300"/>
      <c r="J164" s="369"/>
      <c r="K164" s="370"/>
      <c r="L164" s="370"/>
    </row>
    <row r="165" spans="5:12">
      <c r="H165" s="300"/>
      <c r="I165" s="300"/>
      <c r="J165" s="369"/>
      <c r="K165" s="370"/>
      <c r="L165" s="370"/>
    </row>
    <row r="166" spans="5:12">
      <c r="E166" s="227"/>
      <c r="H166" s="300"/>
      <c r="I166" s="300"/>
      <c r="J166" s="369"/>
      <c r="K166" s="370"/>
      <c r="L166" s="370"/>
    </row>
    <row r="167" spans="5:12">
      <c r="H167" s="300"/>
      <c r="I167" s="300"/>
      <c r="J167" s="369"/>
      <c r="K167" s="370"/>
      <c r="L167" s="370"/>
    </row>
    <row r="168" spans="5:12">
      <c r="H168" s="300"/>
      <c r="I168" s="300"/>
      <c r="J168" s="369"/>
      <c r="K168" s="370"/>
      <c r="L168" s="370"/>
    </row>
    <row r="169" spans="5:12">
      <c r="H169" s="300"/>
      <c r="I169" s="300"/>
      <c r="J169" s="369"/>
      <c r="K169" s="370"/>
      <c r="L169" s="370"/>
    </row>
    <row r="170" spans="5:12">
      <c r="H170" s="371"/>
      <c r="I170" s="371"/>
      <c r="J170" s="369"/>
      <c r="K170" s="370"/>
      <c r="L170" s="370"/>
    </row>
    <row r="171" spans="5:12">
      <c r="H171" s="371"/>
      <c r="I171" s="371"/>
      <c r="J171" s="369"/>
      <c r="K171" s="370"/>
      <c r="L171" s="370"/>
    </row>
    <row r="172" spans="5:12">
      <c r="H172" s="372"/>
      <c r="I172" s="372"/>
      <c r="J172" s="369"/>
      <c r="K172" s="370"/>
      <c r="L172" s="370"/>
    </row>
    <row r="173" spans="5:12">
      <c r="H173" s="300"/>
      <c r="I173" s="300"/>
      <c r="J173" s="369"/>
      <c r="K173" s="370"/>
      <c r="L173" s="370"/>
    </row>
    <row r="174" spans="5:12">
      <c r="H174" s="300"/>
      <c r="I174" s="300"/>
      <c r="J174" s="369"/>
      <c r="K174" s="370"/>
      <c r="L174" s="370"/>
    </row>
    <row r="175" spans="5:12">
      <c r="H175" s="300"/>
      <c r="I175" s="300"/>
      <c r="J175" s="369"/>
      <c r="K175" s="370"/>
      <c r="L175" s="370"/>
    </row>
    <row r="176" spans="5:12">
      <c r="H176" s="300"/>
      <c r="I176" s="300"/>
      <c r="J176" s="369"/>
      <c r="K176" s="370"/>
      <c r="L176" s="370"/>
    </row>
    <row r="177" spans="5:12">
      <c r="H177" s="300"/>
      <c r="I177" s="300"/>
      <c r="J177" s="369"/>
      <c r="K177" s="370"/>
      <c r="L177" s="370"/>
    </row>
    <row r="178" spans="5:12">
      <c r="H178" s="300"/>
      <c r="I178" s="300"/>
      <c r="J178" s="369"/>
      <c r="K178" s="370"/>
      <c r="L178" s="370"/>
    </row>
    <row r="179" spans="5:12">
      <c r="H179" s="300"/>
      <c r="I179" s="300"/>
      <c r="J179" s="369"/>
      <c r="K179" s="370"/>
      <c r="L179" s="370"/>
    </row>
    <row r="180" spans="5:12">
      <c r="H180" s="300"/>
      <c r="I180" s="300"/>
      <c r="J180" s="369"/>
      <c r="K180" s="370"/>
      <c r="L180" s="370"/>
    </row>
    <row r="181" spans="5:12">
      <c r="H181" s="300"/>
      <c r="I181" s="300"/>
      <c r="J181" s="369"/>
      <c r="K181" s="370"/>
      <c r="L181" s="370"/>
    </row>
    <row r="182" spans="5:12">
      <c r="H182" s="300"/>
      <c r="I182" s="300"/>
      <c r="J182" s="369"/>
      <c r="K182" s="370"/>
      <c r="L182" s="370"/>
    </row>
    <row r="183" spans="5:12">
      <c r="H183" s="300"/>
      <c r="I183" s="300"/>
      <c r="J183" s="369"/>
      <c r="K183" s="370"/>
      <c r="L183" s="370"/>
    </row>
    <row r="184" spans="5:12">
      <c r="H184" s="300"/>
      <c r="I184" s="300"/>
      <c r="J184" s="369"/>
      <c r="K184" s="370"/>
      <c r="L184" s="370"/>
    </row>
    <row r="185" spans="5:12">
      <c r="H185" s="300"/>
      <c r="I185" s="300"/>
      <c r="J185" s="369"/>
      <c r="K185" s="370"/>
      <c r="L185" s="370"/>
    </row>
    <row r="186" spans="5:12">
      <c r="H186" s="368"/>
      <c r="I186" s="368"/>
      <c r="J186" s="369"/>
      <c r="K186" s="370"/>
      <c r="L186" s="370"/>
    </row>
    <row r="187" spans="5:12">
      <c r="H187" s="368"/>
      <c r="I187" s="368"/>
      <c r="J187" s="369"/>
      <c r="K187" s="370"/>
      <c r="L187" s="370"/>
    </row>
    <row r="188" spans="5:12">
      <c r="E188" s="227"/>
      <c r="H188" s="368"/>
      <c r="I188" s="368"/>
      <c r="J188" s="369"/>
      <c r="K188" s="370"/>
      <c r="L188" s="370"/>
    </row>
    <row r="189" spans="5:12">
      <c r="H189" s="371"/>
      <c r="I189" s="371"/>
      <c r="J189" s="369"/>
      <c r="K189" s="370"/>
      <c r="L189" s="370"/>
    </row>
    <row r="190" spans="5:12">
      <c r="H190" s="371"/>
      <c r="I190" s="371"/>
      <c r="J190" s="369"/>
      <c r="K190" s="370"/>
      <c r="L190" s="370"/>
    </row>
    <row r="191" spans="5:12">
      <c r="H191" s="372"/>
      <c r="I191" s="372"/>
      <c r="J191" s="369"/>
      <c r="K191" s="370"/>
      <c r="L191" s="370"/>
    </row>
    <row r="192" spans="5:12">
      <c r="H192" s="300"/>
      <c r="I192" s="300"/>
      <c r="J192" s="369"/>
      <c r="K192" s="370"/>
      <c r="L192" s="370"/>
    </row>
    <row r="193" spans="5:12">
      <c r="H193" s="300"/>
      <c r="I193" s="300"/>
      <c r="J193" s="369"/>
      <c r="K193" s="370"/>
      <c r="L193" s="370"/>
    </row>
    <row r="194" spans="5:12">
      <c r="H194" s="300"/>
      <c r="I194" s="300"/>
      <c r="J194" s="369"/>
      <c r="K194" s="370"/>
      <c r="L194" s="370"/>
    </row>
    <row r="195" spans="5:12">
      <c r="H195" s="300"/>
      <c r="I195" s="300"/>
      <c r="J195" s="369"/>
      <c r="K195" s="370"/>
      <c r="L195" s="370"/>
    </row>
    <row r="196" spans="5:12">
      <c r="H196" s="300"/>
      <c r="I196" s="300"/>
      <c r="J196" s="369"/>
      <c r="K196" s="370"/>
      <c r="L196" s="370"/>
    </row>
    <row r="197" spans="5:12">
      <c r="H197" s="300"/>
      <c r="I197" s="300"/>
      <c r="J197" s="369"/>
      <c r="K197" s="370"/>
      <c r="L197" s="370"/>
    </row>
    <row r="198" spans="5:12">
      <c r="H198" s="300"/>
      <c r="I198" s="300"/>
      <c r="J198" s="369"/>
      <c r="K198" s="370"/>
      <c r="L198" s="370"/>
    </row>
    <row r="199" spans="5:12">
      <c r="H199" s="300"/>
      <c r="I199" s="300"/>
      <c r="J199" s="369"/>
      <c r="K199" s="370"/>
      <c r="L199" s="370"/>
    </row>
    <row r="200" spans="5:12">
      <c r="H200" s="300"/>
      <c r="I200" s="300"/>
      <c r="J200" s="369"/>
      <c r="K200" s="370"/>
      <c r="L200" s="370"/>
    </row>
    <row r="201" spans="5:12">
      <c r="H201" s="300"/>
      <c r="I201" s="300"/>
      <c r="J201" s="369"/>
      <c r="K201" s="370"/>
      <c r="L201" s="370"/>
    </row>
    <row r="202" spans="5:12">
      <c r="H202" s="300"/>
      <c r="I202" s="300"/>
      <c r="J202" s="369"/>
      <c r="K202" s="370"/>
      <c r="L202" s="370"/>
    </row>
    <row r="203" spans="5:12">
      <c r="H203" s="300"/>
      <c r="I203" s="300"/>
      <c r="J203" s="369"/>
      <c r="K203" s="370"/>
      <c r="L203" s="370"/>
    </row>
    <row r="204" spans="5:12">
      <c r="H204" s="300"/>
      <c r="I204" s="300"/>
      <c r="J204" s="369"/>
      <c r="K204" s="370"/>
      <c r="L204" s="370"/>
    </row>
    <row r="205" spans="5:12">
      <c r="H205" s="368"/>
      <c r="I205" s="368"/>
      <c r="J205" s="369"/>
      <c r="K205" s="370"/>
      <c r="L205" s="370"/>
    </row>
    <row r="206" spans="5:12">
      <c r="H206" s="368"/>
      <c r="I206" s="368"/>
      <c r="J206" s="369"/>
      <c r="K206" s="370"/>
      <c r="L206" s="370"/>
    </row>
    <row r="207" spans="5:12">
      <c r="E207" s="227"/>
      <c r="H207" s="368"/>
      <c r="I207" s="368"/>
      <c r="J207" s="369"/>
      <c r="K207" s="370"/>
      <c r="L207" s="370"/>
    </row>
    <row r="208" spans="5:12">
      <c r="H208" s="300"/>
      <c r="I208" s="300"/>
      <c r="J208" s="369"/>
      <c r="K208" s="370"/>
      <c r="L208" s="370"/>
    </row>
    <row r="209" spans="5:12">
      <c r="H209" s="300"/>
      <c r="I209" s="300"/>
      <c r="J209" s="369"/>
      <c r="K209" s="370"/>
      <c r="L209" s="370"/>
    </row>
    <row r="210" spans="5:12">
      <c r="H210" s="300"/>
      <c r="I210" s="300"/>
      <c r="J210" s="369"/>
      <c r="K210" s="370"/>
      <c r="L210" s="370"/>
    </row>
    <row r="211" spans="5:12">
      <c r="H211" s="300"/>
      <c r="I211" s="300"/>
      <c r="J211" s="369"/>
      <c r="K211" s="370"/>
      <c r="L211" s="370"/>
    </row>
    <row r="212" spans="5:12">
      <c r="H212" s="300"/>
      <c r="I212" s="300"/>
      <c r="J212" s="369"/>
      <c r="K212" s="370"/>
      <c r="L212" s="370"/>
    </row>
    <row r="213" spans="5:12">
      <c r="E213" s="227"/>
      <c r="H213" s="300"/>
      <c r="I213" s="300"/>
      <c r="J213" s="369"/>
      <c r="K213" s="370"/>
      <c r="L213" s="370"/>
    </row>
    <row r="214" spans="5:12">
      <c r="H214" s="300"/>
      <c r="I214" s="300"/>
      <c r="J214" s="369"/>
      <c r="K214" s="370"/>
      <c r="L214" s="370"/>
    </row>
    <row r="215" spans="5:12">
      <c r="H215" s="300"/>
      <c r="I215" s="300"/>
      <c r="J215" s="369"/>
      <c r="K215" s="370"/>
      <c r="L215" s="370"/>
    </row>
    <row r="216" spans="5:12">
      <c r="H216" s="300"/>
      <c r="I216" s="300"/>
      <c r="J216" s="369"/>
      <c r="K216" s="370"/>
      <c r="L216" s="370"/>
    </row>
    <row r="217" spans="5:12">
      <c r="H217" s="300"/>
      <c r="I217" s="300"/>
      <c r="J217" s="369"/>
      <c r="K217" s="370"/>
      <c r="L217" s="370"/>
    </row>
    <row r="218" spans="5:12">
      <c r="H218" s="371"/>
      <c r="I218" s="371"/>
      <c r="J218" s="369"/>
      <c r="K218" s="370"/>
      <c r="L218" s="370"/>
    </row>
    <row r="219" spans="5:12">
      <c r="H219" s="371"/>
      <c r="I219" s="371"/>
      <c r="J219" s="369"/>
      <c r="K219" s="370"/>
      <c r="L219" s="370"/>
    </row>
    <row r="220" spans="5:12">
      <c r="H220" s="372"/>
      <c r="I220" s="372"/>
      <c r="J220" s="369"/>
      <c r="K220" s="370"/>
      <c r="L220" s="370"/>
    </row>
    <row r="221" spans="5:12">
      <c r="H221" s="300"/>
      <c r="I221" s="300"/>
      <c r="J221" s="369"/>
      <c r="K221" s="370"/>
      <c r="L221" s="370"/>
    </row>
    <row r="222" spans="5:12">
      <c r="H222" s="300"/>
      <c r="I222" s="300"/>
      <c r="J222" s="369"/>
      <c r="K222" s="370"/>
      <c r="L222" s="370"/>
    </row>
    <row r="223" spans="5:12">
      <c r="H223" s="300"/>
      <c r="I223" s="300"/>
      <c r="J223" s="369"/>
      <c r="K223" s="370"/>
      <c r="L223" s="370"/>
    </row>
    <row r="224" spans="5:12">
      <c r="H224" s="300"/>
      <c r="I224" s="300"/>
      <c r="J224" s="369"/>
      <c r="K224" s="370"/>
      <c r="L224" s="370"/>
    </row>
    <row r="225" spans="5:12">
      <c r="H225" s="300"/>
      <c r="I225" s="300"/>
      <c r="J225" s="369"/>
      <c r="K225" s="370"/>
      <c r="L225" s="370"/>
    </row>
    <row r="226" spans="5:12">
      <c r="H226" s="300"/>
      <c r="I226" s="300"/>
      <c r="J226" s="369"/>
      <c r="K226" s="370"/>
      <c r="L226" s="370"/>
    </row>
    <row r="227" spans="5:12">
      <c r="H227" s="300"/>
      <c r="I227" s="300"/>
      <c r="J227" s="369"/>
      <c r="K227" s="370"/>
      <c r="L227" s="370"/>
    </row>
    <row r="228" spans="5:12">
      <c r="H228" s="300"/>
      <c r="I228" s="300"/>
      <c r="J228" s="369"/>
      <c r="K228" s="370"/>
      <c r="L228" s="370"/>
    </row>
    <row r="229" spans="5:12">
      <c r="H229" s="300"/>
      <c r="I229" s="300"/>
      <c r="J229" s="369"/>
      <c r="K229" s="370"/>
      <c r="L229" s="370"/>
    </row>
    <row r="230" spans="5:12">
      <c r="H230" s="300"/>
      <c r="I230" s="300"/>
      <c r="J230" s="369"/>
      <c r="K230" s="370"/>
      <c r="L230" s="370"/>
    </row>
    <row r="231" spans="5:12">
      <c r="H231" s="300"/>
      <c r="I231" s="300"/>
      <c r="J231" s="369"/>
      <c r="K231" s="370"/>
      <c r="L231" s="370"/>
    </row>
    <row r="232" spans="5:12">
      <c r="H232" s="300"/>
      <c r="I232" s="300"/>
      <c r="J232" s="369"/>
      <c r="K232" s="370"/>
      <c r="L232" s="370"/>
    </row>
    <row r="233" spans="5:12">
      <c r="H233" s="300"/>
      <c r="I233" s="300"/>
      <c r="J233" s="369"/>
      <c r="K233" s="370"/>
      <c r="L233" s="370"/>
    </row>
    <row r="234" spans="5:12">
      <c r="H234" s="300"/>
      <c r="I234" s="300"/>
      <c r="J234" s="369"/>
      <c r="K234" s="370"/>
      <c r="L234" s="370"/>
    </row>
    <row r="235" spans="5:12">
      <c r="H235" s="368"/>
      <c r="I235" s="368"/>
      <c r="J235" s="369"/>
      <c r="K235" s="370"/>
      <c r="L235" s="370"/>
    </row>
    <row r="236" spans="5:12">
      <c r="H236" s="368"/>
      <c r="I236" s="368"/>
      <c r="J236" s="369"/>
      <c r="K236" s="370"/>
      <c r="L236" s="370"/>
    </row>
    <row r="237" spans="5:12">
      <c r="E237" s="227"/>
      <c r="H237" s="368"/>
      <c r="I237" s="368"/>
      <c r="J237" s="369"/>
      <c r="K237" s="370"/>
      <c r="L237" s="370"/>
    </row>
    <row r="238" spans="5:12">
      <c r="H238" s="300"/>
      <c r="I238" s="300"/>
      <c r="J238" s="369"/>
      <c r="K238" s="370"/>
      <c r="L238" s="370"/>
    </row>
    <row r="239" spans="5:12">
      <c r="H239" s="300"/>
      <c r="I239" s="300"/>
      <c r="J239" s="369"/>
      <c r="K239" s="370"/>
      <c r="L239" s="370"/>
    </row>
    <row r="240" spans="5:12">
      <c r="H240" s="300"/>
      <c r="I240" s="300"/>
      <c r="J240" s="369"/>
      <c r="K240" s="370"/>
      <c r="L240" s="370"/>
    </row>
    <row r="241" spans="5:12">
      <c r="H241" s="300"/>
      <c r="I241" s="300"/>
      <c r="J241" s="369"/>
      <c r="K241" s="370"/>
      <c r="L241" s="370"/>
    </row>
    <row r="242" spans="5:12">
      <c r="H242" s="300"/>
      <c r="I242" s="300"/>
      <c r="J242" s="369"/>
      <c r="K242" s="370"/>
      <c r="L242" s="370"/>
    </row>
    <row r="243" spans="5:12">
      <c r="E243" s="227"/>
      <c r="H243" s="300"/>
      <c r="I243" s="300"/>
      <c r="J243" s="369"/>
      <c r="K243" s="370"/>
      <c r="L243" s="370"/>
    </row>
    <row r="244" spans="5:12">
      <c r="H244" s="300"/>
      <c r="I244" s="300"/>
      <c r="J244" s="369"/>
      <c r="K244" s="370"/>
      <c r="L244" s="370"/>
    </row>
    <row r="245" spans="5:12">
      <c r="H245" s="300"/>
      <c r="I245" s="300"/>
      <c r="J245" s="369"/>
      <c r="K245" s="370"/>
      <c r="L245" s="370"/>
    </row>
    <row r="246" spans="5:12">
      <c r="H246" s="300"/>
      <c r="I246" s="300"/>
      <c r="J246" s="369"/>
      <c r="K246" s="370"/>
      <c r="L246" s="370"/>
    </row>
    <row r="247" spans="5:12">
      <c r="H247" s="300"/>
      <c r="I247" s="300"/>
      <c r="J247" s="369"/>
      <c r="K247" s="370"/>
      <c r="L247" s="370"/>
    </row>
    <row r="248" spans="5:12">
      <c r="H248" s="300"/>
      <c r="I248" s="300"/>
      <c r="J248" s="369"/>
      <c r="K248" s="370"/>
      <c r="L248" s="370"/>
    </row>
    <row r="249" spans="5:12">
      <c r="H249" s="300"/>
      <c r="I249" s="300"/>
      <c r="J249" s="369"/>
      <c r="K249" s="370"/>
      <c r="L249" s="370"/>
    </row>
    <row r="250" spans="5:12">
      <c r="H250" s="300"/>
      <c r="I250" s="300"/>
      <c r="J250" s="369"/>
      <c r="K250" s="370"/>
      <c r="L250" s="370"/>
    </row>
    <row r="251" spans="5:12">
      <c r="H251" s="300"/>
      <c r="I251" s="300"/>
      <c r="J251" s="369"/>
      <c r="K251" s="370"/>
      <c r="L251" s="370"/>
    </row>
    <row r="252" spans="5:12" s="22" customFormat="1">
      <c r="E252" s="15"/>
      <c r="F252" s="61"/>
      <c r="G252" s="15"/>
      <c r="H252" s="300"/>
      <c r="I252" s="300"/>
      <c r="J252" s="369"/>
      <c r="K252" s="370"/>
      <c r="L252" s="370"/>
    </row>
    <row r="253" spans="5:12">
      <c r="J253" s="369"/>
      <c r="K253" s="370"/>
      <c r="L253" s="370"/>
    </row>
  </sheetData>
  <sheetProtection formatCells="0" formatColumns="0" formatRows="0" insertRows="0" deleteRows="0" autoFilter="0"/>
  <autoFilter ref="E23:AL398" xr:uid="{00000000-0009-0000-0000-000017000000}"/>
  <mergeCells count="2">
    <mergeCell ref="I4:J4"/>
    <mergeCell ref="E99:H99"/>
  </mergeCells>
  <phoneticPr fontId="40"/>
  <dataValidations count="2">
    <dataValidation type="list" allowBlank="1" showInputMessage="1" showErrorMessage="1" sqref="G2" xr:uid="{00000000-0002-0000-1700-000000000000}">
      <formula1>SOCIETE</formula1>
    </dataValidation>
    <dataValidation type="list" allowBlank="1" showInputMessage="1" showErrorMessage="1" sqref="F122:F252 F24:F93 F113:F115 F100" xr:uid="{C5540BB0-A9C0-46AD-8F7B-6E0037F4261E}">
      <formula1>Liste</formula1>
    </dataValidation>
  </dataValidations>
  <pageMargins left="0.17" right="0.17" top="0.37" bottom="0.23" header="0.31496062992125984" footer="0.16"/>
  <pageSetup paperSize="9" scale="62" orientation="landscape" r:id="rId1"/>
  <ignoredErrors>
    <ignoredError sqref="G116:G121 P10 H112" unlockedFormula="1"/>
  </ignoredError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5">
    <tabColor theme="3" tint="0.59999389629810485"/>
    <pageSetUpPr fitToPage="1"/>
  </sheetPr>
  <dimension ref="D1:AL140"/>
  <sheetViews>
    <sheetView showGridLines="0" topLeftCell="A5" zoomScale="68" zoomScaleNormal="68" workbookViewId="0">
      <selection activeCell="J19" sqref="J19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36.140625" style="54" bestFit="1" customWidth="1"/>
    <col min="9" max="9" width="23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102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May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May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W22</v>
      </c>
      <c r="I9" s="61"/>
      <c r="J9" s="161" t="str">
        <f>+"from "&amp;G6&amp;" 1 until end of "&amp;G4</f>
        <v>from May 1 until end of W22</v>
      </c>
      <c r="K9" s="79"/>
      <c r="L9" s="167" t="str">
        <f>+G6</f>
        <v>May</v>
      </c>
      <c r="M9" s="80"/>
      <c r="N9" s="80"/>
      <c r="O9" s="172" t="str">
        <f>+G4</f>
        <v>W22</v>
      </c>
      <c r="P9" s="173" t="str">
        <f>+VLOOKUP(G4, parameters!$G$9:$I$61,3,0)</f>
        <v>W21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600+320+797+430+J10</f>
        <v>2611</v>
      </c>
      <c r="I10" s="61"/>
      <c r="J10" s="159">
        <f>512-178+130</f>
        <v>464</v>
      </c>
      <c r="L10" s="159">
        <f>R17+J10</f>
        <v>464</v>
      </c>
      <c r="N10" s="55"/>
      <c r="O10" s="170">
        <f>+H10+K17</f>
        <v>6173.6596395059996</v>
      </c>
      <c r="P10" s="171" cm="1">
        <f t="array" aca="1" ref="P10" ca="1">INDIRECT(ADDRESS(10,15,,,VLOOKUP($G$4,parameters!$G:$I,3,0)))</f>
        <v>5987.3926072039994</v>
      </c>
      <c r="Q10" s="183">
        <f ca="1">O10-P10</f>
        <v>186.26703230200019</v>
      </c>
      <c r="R10" s="86"/>
    </row>
    <row r="11" spans="5:38" ht="20.45" customHeight="1">
      <c r="E11" s="87" t="s">
        <v>224</v>
      </c>
      <c r="F11" s="88"/>
      <c r="G11" s="89"/>
      <c r="H11" s="16">
        <f>13+8+3+3+J11</f>
        <v>29</v>
      </c>
      <c r="I11" s="61"/>
      <c r="J11" s="16">
        <v>2</v>
      </c>
      <c r="L11" s="159">
        <f>R18+J11</f>
        <v>2</v>
      </c>
      <c r="N11" s="55"/>
      <c r="O11" s="152">
        <f>+H11+K18</f>
        <v>115.820088974</v>
      </c>
      <c r="P11" s="153" cm="1">
        <f t="array" aca="1" ref="P11" ca="1">INDIRECT(ADDRESS(11,15,,,VLOOKUP($G$4,parameters!$G:$I,3,0)))</f>
        <v>115.820088974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2640</v>
      </c>
      <c r="I12" s="293"/>
      <c r="J12" s="126">
        <f>SUM(J10:J11)</f>
        <v>466</v>
      </c>
      <c r="K12" s="65"/>
      <c r="L12" s="126">
        <f>SUM(L10:L11)</f>
        <v>466</v>
      </c>
      <c r="M12" s="65"/>
      <c r="N12" s="65"/>
      <c r="O12" s="154">
        <f>SUM(O10:O11)</f>
        <v>6289.4797284799997</v>
      </c>
      <c r="P12" s="155">
        <f ca="1">SUM(P10:P11)</f>
        <v>6103.2126961779995</v>
      </c>
      <c r="Q12" s="156">
        <f t="shared" ca="1" si="0"/>
        <v>186.26703230200019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+SUMIF($F$24:$F$95,"External",$J$24:$J$95)</f>
        <v>3562.6596395059996</v>
      </c>
      <c r="K17" s="108">
        <f>+SUMIF($F$24:$F$95,"External",$K$24:$K$95)</f>
        <v>3562.6596395059996</v>
      </c>
      <c r="L17" s="109">
        <f>+SUMIF($F$24:$F$95,"External",$L$24:$L$95)</f>
        <v>0</v>
      </c>
      <c r="M17" s="110"/>
      <c r="N17" s="111">
        <f t="shared" ref="N17:Y17" si="1">+SUMIF($F$24:$F$95,"External",N$24:N$95)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1096.1545641550001</v>
      </c>
      <c r="T17" s="111">
        <f t="shared" si="1"/>
        <v>931.77462825899988</v>
      </c>
      <c r="U17" s="111">
        <f t="shared" si="1"/>
        <v>484.23700584700003</v>
      </c>
      <c r="V17" s="111">
        <f t="shared" si="1"/>
        <v>557.17683107000016</v>
      </c>
      <c r="W17" s="111">
        <f t="shared" si="1"/>
        <v>71.127026200000003</v>
      </c>
      <c r="X17" s="111">
        <f t="shared" si="1"/>
        <v>291.18958397500001</v>
      </c>
      <c r="Y17" s="111">
        <f t="shared" si="1"/>
        <v>131</v>
      </c>
      <c r="Z17" s="112"/>
      <c r="AA17" s="111">
        <f t="shared" ref="AA17:AL17" si="2">+SUMIF($F$24:$F$95,"External",AA$24:AA$95)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+SUMIF($F$24:$F$95,"Group",$J$24:$J$95)</f>
        <v>86.820088974000001</v>
      </c>
      <c r="K18" s="113">
        <f>+SUMIF($F$24:$F$95,"Group",$K$24:$K$95)</f>
        <v>86.820088974000001</v>
      </c>
      <c r="L18" s="114">
        <f>SUMIF($F$24:$F$95,"Group",$L$24:$L$95)</f>
        <v>0</v>
      </c>
      <c r="M18" s="110"/>
      <c r="N18" s="114">
        <f t="shared" ref="N18:Y18" si="3">+SUMIF($F$24:$F$95,"Group",N$24:N$95)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76.559977846999999</v>
      </c>
      <c r="U18" s="114">
        <f t="shared" si="3"/>
        <v>10.260111127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+SUMIF($F$24:$F$95,"Group",AA$24:AA$95)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3649.4797284799997</v>
      </c>
      <c r="K19" s="115">
        <f>SUM(K17:K18)</f>
        <v>3649.4797284799997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1096.1545641550001</v>
      </c>
      <c r="T19" s="116">
        <f t="shared" si="5"/>
        <v>1008.3346061059999</v>
      </c>
      <c r="U19" s="116">
        <f t="shared" si="5"/>
        <v>494.49711697400005</v>
      </c>
      <c r="V19" s="116">
        <f t="shared" si="5"/>
        <v>557.17683107000016</v>
      </c>
      <c r="W19" s="116">
        <f t="shared" si="5"/>
        <v>71.127026200000003</v>
      </c>
      <c r="X19" s="116">
        <f t="shared" si="5"/>
        <v>291.18958397500001</v>
      </c>
      <c r="Y19" s="116">
        <f t="shared" si="5"/>
        <v>131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IF(SUM(J24:J95)=J19,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532</v>
      </c>
      <c r="F24" s="7" t="s">
        <v>19</v>
      </c>
      <c r="G24" s="6" t="s">
        <v>494</v>
      </c>
      <c r="H24" s="6" t="s">
        <v>299</v>
      </c>
      <c r="I24" s="6" t="s">
        <v>466</v>
      </c>
      <c r="J24" s="118">
        <f t="shared" ref="J24" si="7">+K24+L24</f>
        <v>2.639858496</v>
      </c>
      <c r="K24" s="119">
        <f t="shared" ref="K24" si="8">SUM(N24:Y24)</f>
        <v>2.639858496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2.639858496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507</v>
      </c>
      <c r="F25" s="7" t="s">
        <v>19</v>
      </c>
      <c r="G25" s="6" t="s">
        <v>464</v>
      </c>
      <c r="H25" s="246" t="s">
        <v>461</v>
      </c>
      <c r="I25" s="246" t="s">
        <v>472</v>
      </c>
      <c r="J25" s="118">
        <f t="shared" ref="J25:J88" si="10">+K25+L25</f>
        <v>36.649137400000001</v>
      </c>
      <c r="K25" s="119">
        <f t="shared" ref="K25:K88" si="11">SUM(N25:Y25)</f>
        <v>36.649137400000001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>
        <v>36.649137400000001</v>
      </c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467</v>
      </c>
      <c r="F26" s="7" t="s">
        <v>19</v>
      </c>
      <c r="G26" s="6" t="s">
        <v>237</v>
      </c>
      <c r="H26" s="246" t="s">
        <v>277</v>
      </c>
      <c r="I26" s="246" t="s">
        <v>466</v>
      </c>
      <c r="J26" s="118">
        <f t="shared" si="10"/>
        <v>5.0559082999999996</v>
      </c>
      <c r="K26" s="119">
        <f t="shared" si="11"/>
        <v>5.0559082999999996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>
        <v>5.0559082999999996</v>
      </c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468</v>
      </c>
      <c r="F27" s="7" t="s">
        <v>19</v>
      </c>
      <c r="G27" s="6" t="s">
        <v>239</v>
      </c>
      <c r="H27" s="246" t="s">
        <v>278</v>
      </c>
      <c r="I27" s="246" t="s">
        <v>466</v>
      </c>
      <c r="J27" s="118">
        <f t="shared" si="10"/>
        <v>6.4492737049999995</v>
      </c>
      <c r="K27" s="119">
        <f t="shared" si="11"/>
        <v>6.4492737049999995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>
        <v>4.7944134859999998</v>
      </c>
      <c r="T27" s="24"/>
      <c r="U27" s="24">
        <v>1.6548602190000001</v>
      </c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469</v>
      </c>
      <c r="F28" s="7" t="s">
        <v>19</v>
      </c>
      <c r="G28" s="6" t="s">
        <v>237</v>
      </c>
      <c r="H28" s="246" t="s">
        <v>277</v>
      </c>
      <c r="I28" s="246" t="s">
        <v>466</v>
      </c>
      <c r="J28" s="118">
        <f t="shared" si="10"/>
        <v>8.2520863759999994</v>
      </c>
      <c r="K28" s="119">
        <f t="shared" si="11"/>
        <v>8.2520863759999994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>
        <v>8.2520863759999994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470</v>
      </c>
      <c r="F29" s="7" t="s">
        <v>19</v>
      </c>
      <c r="G29" s="6" t="s">
        <v>279</v>
      </c>
      <c r="H29" s="247" t="s">
        <v>280</v>
      </c>
      <c r="I29" s="247" t="s">
        <v>472</v>
      </c>
      <c r="J29" s="118">
        <f t="shared" si="10"/>
        <v>348.54004460100009</v>
      </c>
      <c r="K29" s="119">
        <f t="shared" si="11"/>
        <v>348.54004460100009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>
        <v>14.551091656000001</v>
      </c>
      <c r="U29" s="24">
        <v>185.83288595100004</v>
      </c>
      <c r="V29" s="24"/>
      <c r="W29" s="24"/>
      <c r="X29" s="24">
        <v>148.15606699400001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7" t="s">
        <v>19</v>
      </c>
      <c r="G30" s="6" t="s">
        <v>282</v>
      </c>
      <c r="H30" s="245" t="s">
        <v>283</v>
      </c>
      <c r="I30" s="245" t="s">
        <v>466</v>
      </c>
      <c r="J30" s="118">
        <f t="shared" si="10"/>
        <v>30.828297585000044</v>
      </c>
      <c r="K30" s="119">
        <f t="shared" si="11"/>
        <v>30.828297585000044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30.828297585000044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281</v>
      </c>
      <c r="F31" s="7" t="s">
        <v>19</v>
      </c>
      <c r="G31" s="6" t="s">
        <v>282</v>
      </c>
      <c r="H31" s="245" t="s">
        <v>283</v>
      </c>
      <c r="I31" s="245" t="s">
        <v>472</v>
      </c>
      <c r="J31" s="118">
        <f t="shared" si="10"/>
        <v>23.816704992999998</v>
      </c>
      <c r="K31" s="119">
        <f t="shared" si="11"/>
        <v>23.816704992999998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>
        <v>0.52151288699999998</v>
      </c>
      <c r="T31" s="24"/>
      <c r="U31" s="24"/>
      <c r="V31" s="24"/>
      <c r="W31" s="24"/>
      <c r="X31" s="24">
        <v>23.295192105999998</v>
      </c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446</v>
      </c>
      <c r="F32" s="7" t="s">
        <v>19</v>
      </c>
      <c r="G32" s="6" t="s">
        <v>464</v>
      </c>
      <c r="H32" s="245" t="s">
        <v>461</v>
      </c>
      <c r="I32" s="245" t="s">
        <v>472</v>
      </c>
      <c r="J32" s="118">
        <f t="shared" si="10"/>
        <v>1.201596313</v>
      </c>
      <c r="K32" s="119">
        <f t="shared" si="11"/>
        <v>1.201596313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>
        <v>1.201596313</v>
      </c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446</v>
      </c>
      <c r="F33" s="7" t="s">
        <v>19</v>
      </c>
      <c r="G33" s="6" t="s">
        <v>493</v>
      </c>
      <c r="H33" s="245" t="s">
        <v>339</v>
      </c>
      <c r="I33" s="245" t="s">
        <v>472</v>
      </c>
      <c r="J33" s="118">
        <f t="shared" si="10"/>
        <v>5.0013180090000011</v>
      </c>
      <c r="K33" s="119">
        <f t="shared" si="11"/>
        <v>5.0013180090000011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>
        <v>5.0013180090000011</v>
      </c>
      <c r="T33" s="24"/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473</v>
      </c>
      <c r="F34" s="7" t="s">
        <v>17</v>
      </c>
      <c r="G34" s="6" t="s">
        <v>493</v>
      </c>
      <c r="H34" s="245" t="s">
        <v>339</v>
      </c>
      <c r="I34" s="245" t="s">
        <v>472</v>
      </c>
      <c r="J34" s="118">
        <f t="shared" si="10"/>
        <v>86.820088974000001</v>
      </c>
      <c r="K34" s="119">
        <f t="shared" si="11"/>
        <v>86.820088974000001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>
        <v>76.559977846999999</v>
      </c>
      <c r="U34" s="24">
        <v>10.260111127</v>
      </c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474</v>
      </c>
      <c r="F35" s="7" t="s">
        <v>19</v>
      </c>
      <c r="G35" s="6" t="s">
        <v>279</v>
      </c>
      <c r="H35" s="245" t="s">
        <v>280</v>
      </c>
      <c r="I35" s="245" t="s">
        <v>472</v>
      </c>
      <c r="J35" s="118">
        <f t="shared" si="10"/>
        <v>114.986673357</v>
      </c>
      <c r="K35" s="119">
        <f t="shared" si="11"/>
        <v>114.986673357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>
        <v>114.986673357</v>
      </c>
      <c r="V35" s="24"/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475</v>
      </c>
      <c r="F36" s="7" t="s">
        <v>19</v>
      </c>
      <c r="G36" s="6" t="s">
        <v>245</v>
      </c>
      <c r="H36" s="245" t="s">
        <v>288</v>
      </c>
      <c r="I36" s="245" t="s">
        <v>466</v>
      </c>
      <c r="J36" s="118">
        <f t="shared" si="10"/>
        <v>12.006004425</v>
      </c>
      <c r="K36" s="119">
        <f t="shared" si="11"/>
        <v>12.006004425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>
        <v>12.006004425</v>
      </c>
      <c r="T36" s="24"/>
      <c r="U36" s="24"/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476</v>
      </c>
      <c r="F37" s="7" t="s">
        <v>19</v>
      </c>
      <c r="G37" s="6" t="s">
        <v>447</v>
      </c>
      <c r="H37" s="245" t="s">
        <v>448</v>
      </c>
      <c r="I37" s="245" t="s">
        <v>466</v>
      </c>
      <c r="J37" s="118">
        <f t="shared" si="10"/>
        <v>132</v>
      </c>
      <c r="K37" s="119">
        <f t="shared" si="11"/>
        <v>132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>
        <v>33</v>
      </c>
      <c r="T37" s="24">
        <v>21</v>
      </c>
      <c r="U37" s="24">
        <v>16</v>
      </c>
      <c r="V37" s="24">
        <v>19</v>
      </c>
      <c r="W37" s="24">
        <v>7</v>
      </c>
      <c r="X37" s="24">
        <v>18</v>
      </c>
      <c r="Y37" s="24">
        <v>18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476</v>
      </c>
      <c r="F38" s="7" t="s">
        <v>19</v>
      </c>
      <c r="G38" s="6" t="s">
        <v>247</v>
      </c>
      <c r="H38" s="245" t="s">
        <v>289</v>
      </c>
      <c r="I38" s="245" t="s">
        <v>466</v>
      </c>
      <c r="J38" s="118">
        <f t="shared" si="10"/>
        <v>128.73526859899999</v>
      </c>
      <c r="K38" s="119">
        <f t="shared" si="11"/>
        <v>128.73526859899999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>
        <v>7.7352685990000003</v>
      </c>
      <c r="T38" s="24">
        <v>19</v>
      </c>
      <c r="U38" s="24">
        <v>20</v>
      </c>
      <c r="V38" s="24">
        <v>24</v>
      </c>
      <c r="W38" s="24">
        <v>22</v>
      </c>
      <c r="X38" s="24">
        <v>18</v>
      </c>
      <c r="Y38" s="24">
        <v>18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476</v>
      </c>
      <c r="F39" s="7" t="s">
        <v>19</v>
      </c>
      <c r="G39" s="6" t="s">
        <v>379</v>
      </c>
      <c r="H39" s="245" t="s">
        <v>291</v>
      </c>
      <c r="I39" s="245" t="s">
        <v>466</v>
      </c>
      <c r="J39" s="118">
        <f t="shared" si="10"/>
        <v>113.91028251899999</v>
      </c>
      <c r="K39" s="119">
        <f t="shared" si="11"/>
        <v>113.91028251899999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>
        <v>14.910282518999997</v>
      </c>
      <c r="T39" s="24">
        <v>11</v>
      </c>
      <c r="U39" s="24">
        <v>16</v>
      </c>
      <c r="V39" s="24">
        <v>20</v>
      </c>
      <c r="W39" s="24">
        <v>17</v>
      </c>
      <c r="X39" s="24">
        <v>20</v>
      </c>
      <c r="Y39" s="24">
        <v>15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476</v>
      </c>
      <c r="F40" s="7" t="s">
        <v>19</v>
      </c>
      <c r="G40" s="6" t="s">
        <v>378</v>
      </c>
      <c r="H40" s="245" t="s">
        <v>290</v>
      </c>
      <c r="I40" s="245" t="s">
        <v>466</v>
      </c>
      <c r="J40" s="118">
        <f t="shared" si="10"/>
        <v>55.376277989999984</v>
      </c>
      <c r="K40" s="119">
        <f t="shared" si="11"/>
        <v>55.376277989999984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>
        <v>55.376277989999984</v>
      </c>
      <c r="T40" s="24"/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476</v>
      </c>
      <c r="F41" s="7" t="s">
        <v>19</v>
      </c>
      <c r="G41" s="6" t="s">
        <v>454</v>
      </c>
      <c r="H41" s="245" t="s">
        <v>292</v>
      </c>
      <c r="I41" s="245" t="s">
        <v>466</v>
      </c>
      <c r="J41" s="118">
        <f t="shared" si="10"/>
        <v>85.850113243999999</v>
      </c>
      <c r="K41" s="119">
        <f t="shared" si="11"/>
        <v>85.850113243999999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>
        <v>13.350113243999999</v>
      </c>
      <c r="T41" s="24">
        <v>22.5</v>
      </c>
      <c r="U41" s="24">
        <v>25</v>
      </c>
      <c r="V41" s="24"/>
      <c r="W41" s="24">
        <v>25</v>
      </c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476</v>
      </c>
      <c r="F42" s="7" t="s">
        <v>19</v>
      </c>
      <c r="G42" s="6" t="s">
        <v>293</v>
      </c>
      <c r="H42" s="245" t="s">
        <v>294</v>
      </c>
      <c r="I42" s="245" t="s">
        <v>466</v>
      </c>
      <c r="J42" s="118">
        <f t="shared" si="10"/>
        <v>84.457110422</v>
      </c>
      <c r="K42" s="119">
        <f t="shared" si="11"/>
        <v>84.457110422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>
        <v>4.4571104220000004</v>
      </c>
      <c r="T42" s="24"/>
      <c r="U42" s="24"/>
      <c r="V42" s="24"/>
      <c r="W42" s="24"/>
      <c r="X42" s="24"/>
      <c r="Y42" s="24">
        <v>80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476</v>
      </c>
      <c r="F43" s="7" t="s">
        <v>19</v>
      </c>
      <c r="G43" s="6" t="s">
        <v>252</v>
      </c>
      <c r="H43" s="245" t="s">
        <v>295</v>
      </c>
      <c r="I43" s="245" t="s">
        <v>466</v>
      </c>
      <c r="J43" s="118">
        <f t="shared" si="10"/>
        <v>23.792977355000001</v>
      </c>
      <c r="K43" s="119">
        <f t="shared" si="11"/>
        <v>23.792977355000001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>
        <v>22.620769655</v>
      </c>
      <c r="T43" s="24">
        <v>1.0451815</v>
      </c>
      <c r="U43" s="24"/>
      <c r="V43" s="24"/>
      <c r="W43" s="24">
        <v>0.12702620000000001</v>
      </c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476</v>
      </c>
      <c r="F44" s="7" t="s">
        <v>19</v>
      </c>
      <c r="G44" s="6" t="s">
        <v>245</v>
      </c>
      <c r="H44" s="245" t="s">
        <v>288</v>
      </c>
      <c r="I44" s="245" t="s">
        <v>466</v>
      </c>
      <c r="J44" s="118">
        <f t="shared" si="10"/>
        <v>54.64222706599999</v>
      </c>
      <c r="K44" s="119">
        <f t="shared" si="11"/>
        <v>54.64222706599999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>
        <v>8.2303276080000014</v>
      </c>
      <c r="T44" s="24">
        <v>44.471887899999984</v>
      </c>
      <c r="U44" s="24">
        <v>1.9400115580000001</v>
      </c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476</v>
      </c>
      <c r="F45" s="7" t="s">
        <v>19</v>
      </c>
      <c r="G45" s="6" t="s">
        <v>251</v>
      </c>
      <c r="H45" s="245" t="s">
        <v>290</v>
      </c>
      <c r="I45" s="245" t="s">
        <v>466</v>
      </c>
      <c r="J45" s="118">
        <f t="shared" si="10"/>
        <v>0.28018470000000001</v>
      </c>
      <c r="K45" s="119">
        <f t="shared" si="11"/>
        <v>0.28018470000000001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>
        <v>0.28018470000000001</v>
      </c>
      <c r="T45" s="24">
        <v>0</v>
      </c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476</v>
      </c>
      <c r="F46" s="7" t="s">
        <v>19</v>
      </c>
      <c r="G46" s="6" t="s">
        <v>535</v>
      </c>
      <c r="H46" s="246" t="s">
        <v>290</v>
      </c>
      <c r="I46" s="246" t="s">
        <v>466</v>
      </c>
      <c r="J46" s="118">
        <f t="shared" si="10"/>
        <v>5.769236396000001</v>
      </c>
      <c r="K46" s="119">
        <f t="shared" si="11"/>
        <v>5.769236396000001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>
        <v>5.769236396000001</v>
      </c>
      <c r="T46" s="24"/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477</v>
      </c>
      <c r="F47" s="7" t="s">
        <v>19</v>
      </c>
      <c r="G47" s="6" t="s">
        <v>454</v>
      </c>
      <c r="H47" s="246" t="s">
        <v>292</v>
      </c>
      <c r="I47" s="246" t="s">
        <v>466</v>
      </c>
      <c r="J47" s="118">
        <f t="shared" si="10"/>
        <v>10.006058019999999</v>
      </c>
      <c r="K47" s="119">
        <f t="shared" si="11"/>
        <v>10.006058019999999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>
        <v>10.006058019999999</v>
      </c>
      <c r="U47" s="24"/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478</v>
      </c>
      <c r="F48" s="7" t="s">
        <v>19</v>
      </c>
      <c r="G48" s="6" t="s">
        <v>245</v>
      </c>
      <c r="H48" s="247" t="s">
        <v>288</v>
      </c>
      <c r="I48" s="247" t="s">
        <v>466</v>
      </c>
      <c r="J48" s="118">
        <f t="shared" si="10"/>
        <v>57.256929589999999</v>
      </c>
      <c r="K48" s="119">
        <f t="shared" si="11"/>
        <v>57.256929589999999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>
        <v>57.256929589999999</v>
      </c>
      <c r="T48" s="24"/>
      <c r="U48" s="24"/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414</v>
      </c>
      <c r="F49" s="7" t="s">
        <v>19</v>
      </c>
      <c r="G49" s="6" t="s">
        <v>245</v>
      </c>
      <c r="H49" s="245" t="s">
        <v>288</v>
      </c>
      <c r="I49" s="245" t="s">
        <v>466</v>
      </c>
      <c r="J49" s="118">
        <f t="shared" si="10"/>
        <v>86.815123510000006</v>
      </c>
      <c r="K49" s="119">
        <f t="shared" si="11"/>
        <v>86.815123510000006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>
        <v>86.815123510000006</v>
      </c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417</v>
      </c>
      <c r="F50" s="7" t="s">
        <v>19</v>
      </c>
      <c r="G50" s="6" t="s">
        <v>500</v>
      </c>
      <c r="H50" s="245" t="s">
        <v>305</v>
      </c>
      <c r="I50" s="245" t="s">
        <v>472</v>
      </c>
      <c r="J50" s="118">
        <f t="shared" si="10"/>
        <v>19.768845337000002</v>
      </c>
      <c r="K50" s="119">
        <f t="shared" si="11"/>
        <v>19.768845337000002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>
        <v>19.768845337000002</v>
      </c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479</v>
      </c>
      <c r="F51" s="7" t="s">
        <v>19</v>
      </c>
      <c r="G51" s="6" t="s">
        <v>494</v>
      </c>
      <c r="H51" s="245" t="s">
        <v>299</v>
      </c>
      <c r="I51" s="245" t="s">
        <v>466</v>
      </c>
      <c r="J51" s="118">
        <f t="shared" si="10"/>
        <v>18.264194112000002</v>
      </c>
      <c r="K51" s="119">
        <f t="shared" si="11"/>
        <v>18.264194112000002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>
        <v>18.171664578000001</v>
      </c>
      <c r="U51" s="24">
        <v>9.2529533999999997E-2</v>
      </c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480</v>
      </c>
      <c r="F52" s="7" t="s">
        <v>19</v>
      </c>
      <c r="G52" s="6" t="s">
        <v>502</v>
      </c>
      <c r="H52" s="245" t="s">
        <v>302</v>
      </c>
      <c r="I52" s="245" t="s">
        <v>466</v>
      </c>
      <c r="J52" s="118">
        <f t="shared" si="10"/>
        <v>91.311035562000001</v>
      </c>
      <c r="K52" s="119">
        <f t="shared" si="11"/>
        <v>91.311035562000001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>
        <v>91.311035562000001</v>
      </c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457</v>
      </c>
      <c r="F53" s="7" t="s">
        <v>19</v>
      </c>
      <c r="G53" s="6" t="s">
        <v>536</v>
      </c>
      <c r="H53" s="245" t="s">
        <v>319</v>
      </c>
      <c r="I53" s="245" t="s">
        <v>472</v>
      </c>
      <c r="J53" s="118">
        <f t="shared" si="10"/>
        <v>61.582842500000005</v>
      </c>
      <c r="K53" s="119">
        <f t="shared" si="11"/>
        <v>61.582842500000005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>
        <v>61.582842500000005</v>
      </c>
      <c r="T53" s="24"/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457</v>
      </c>
      <c r="F54" s="7" t="s">
        <v>19</v>
      </c>
      <c r="G54" s="6" t="s">
        <v>374</v>
      </c>
      <c r="H54" s="245" t="s">
        <v>317</v>
      </c>
      <c r="I54" s="245" t="s">
        <v>466</v>
      </c>
      <c r="J54" s="118">
        <f t="shared" si="10"/>
        <v>23.6645106</v>
      </c>
      <c r="K54" s="119">
        <f t="shared" si="11"/>
        <v>23.6645106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>
        <v>17.778382499999999</v>
      </c>
      <c r="T54" s="24"/>
      <c r="U54" s="24">
        <v>5.8861281000000005</v>
      </c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450</v>
      </c>
      <c r="F55" s="7" t="s">
        <v>19</v>
      </c>
      <c r="G55" s="6" t="s">
        <v>282</v>
      </c>
      <c r="H55" s="245" t="s">
        <v>283</v>
      </c>
      <c r="I55" s="245" t="s">
        <v>466</v>
      </c>
      <c r="J55" s="118">
        <f t="shared" si="10"/>
        <v>1.1014866999999999</v>
      </c>
      <c r="K55" s="119">
        <f t="shared" si="11"/>
        <v>1.1014866999999999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0.1625413</v>
      </c>
      <c r="T55" s="24">
        <v>0.93894539999999993</v>
      </c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450</v>
      </c>
      <c r="F56" s="7" t="s">
        <v>19</v>
      </c>
      <c r="G56" s="6" t="s">
        <v>282</v>
      </c>
      <c r="H56" s="245" t="s">
        <v>283</v>
      </c>
      <c r="I56" s="245" t="s">
        <v>472</v>
      </c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>
        <v>0</v>
      </c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450</v>
      </c>
      <c r="F57" s="7" t="s">
        <v>19</v>
      </c>
      <c r="G57" s="6" t="s">
        <v>500</v>
      </c>
      <c r="H57" s="245" t="s">
        <v>305</v>
      </c>
      <c r="I57" s="245" t="s">
        <v>466</v>
      </c>
      <c r="J57" s="118">
        <f t="shared" si="10"/>
        <v>4.4249754340000012</v>
      </c>
      <c r="K57" s="119">
        <f t="shared" si="11"/>
        <v>4.4249754340000012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>
        <v>1.6043460999999998E-2</v>
      </c>
      <c r="T57" s="24">
        <v>4.4089319730000014</v>
      </c>
      <c r="U57" s="24"/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450</v>
      </c>
      <c r="F58" s="7" t="s">
        <v>19</v>
      </c>
      <c r="G58" s="6" t="s">
        <v>500</v>
      </c>
      <c r="H58" s="245" t="s">
        <v>305</v>
      </c>
      <c r="I58" s="245" t="s">
        <v>472</v>
      </c>
      <c r="J58" s="118">
        <f t="shared" si="10"/>
        <v>42.812767573000002</v>
      </c>
      <c r="K58" s="119">
        <f t="shared" si="11"/>
        <v>42.812767573000002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>
        <v>10.936627711000002</v>
      </c>
      <c r="T58" s="24">
        <v>15.202374056000002</v>
      </c>
      <c r="U58" s="24">
        <v>16.673765806000002</v>
      </c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450</v>
      </c>
      <c r="F59" s="7" t="s">
        <v>19</v>
      </c>
      <c r="G59" s="6" t="s">
        <v>256</v>
      </c>
      <c r="H59" s="245" t="s">
        <v>303</v>
      </c>
      <c r="I59" s="245" t="s">
        <v>466</v>
      </c>
      <c r="J59" s="118">
        <f t="shared" si="10"/>
        <v>67.866825402000018</v>
      </c>
      <c r="K59" s="119">
        <f t="shared" si="11"/>
        <v>67.866825402000018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>
        <v>54.143787900000014</v>
      </c>
      <c r="T59" s="24">
        <v>6.7149544999999993</v>
      </c>
      <c r="U59" s="24">
        <v>7.0080830019999993</v>
      </c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441</v>
      </c>
      <c r="F60" s="7" t="s">
        <v>19</v>
      </c>
      <c r="G60" s="6" t="s">
        <v>441</v>
      </c>
      <c r="H60" s="245" t="s">
        <v>481</v>
      </c>
      <c r="I60" s="245" t="s">
        <v>466</v>
      </c>
      <c r="J60" s="118">
        <f t="shared" si="10"/>
        <v>697.84846073999995</v>
      </c>
      <c r="K60" s="119">
        <f t="shared" si="11"/>
        <v>697.84846073999995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>
        <v>0</v>
      </c>
      <c r="T60" s="24">
        <v>697.84846073999995</v>
      </c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482</v>
      </c>
      <c r="F61" s="7" t="s">
        <v>19</v>
      </c>
      <c r="G61" s="6" t="s">
        <v>258</v>
      </c>
      <c r="H61" s="245" t="s">
        <v>306</v>
      </c>
      <c r="I61" s="245" t="s">
        <v>466</v>
      </c>
      <c r="J61" s="118">
        <f t="shared" si="10"/>
        <v>5.4671155799999998</v>
      </c>
      <c r="K61" s="119">
        <f t="shared" si="11"/>
        <v>5.4671155799999998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>
        <v>5.4671155799999998</v>
      </c>
      <c r="T61" s="24"/>
      <c r="U61" s="24">
        <v>0</v>
      </c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509</v>
      </c>
      <c r="F62" s="7" t="s">
        <v>19</v>
      </c>
      <c r="G62" s="6" t="s">
        <v>447</v>
      </c>
      <c r="H62" s="245" t="s">
        <v>448</v>
      </c>
      <c r="I62" s="245" t="s">
        <v>466</v>
      </c>
      <c r="J62" s="118">
        <f t="shared" si="10"/>
        <v>15.330196200999996</v>
      </c>
      <c r="K62" s="119">
        <f t="shared" si="11"/>
        <v>15.330196200999996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>
        <v>15.330196200999996</v>
      </c>
      <c r="T62" s="24"/>
      <c r="U62" s="24"/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 t="s">
        <v>509</v>
      </c>
      <c r="F63" s="7" t="s">
        <v>19</v>
      </c>
      <c r="G63" s="6" t="s">
        <v>247</v>
      </c>
      <c r="H63" s="245" t="s">
        <v>289</v>
      </c>
      <c r="I63" s="245" t="s">
        <v>466</v>
      </c>
      <c r="J63" s="118">
        <f t="shared" si="10"/>
        <v>2.3907126999999999</v>
      </c>
      <c r="K63" s="119">
        <f t="shared" si="11"/>
        <v>2.3907126999999999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>
        <v>2.3907126999999999</v>
      </c>
      <c r="T63" s="24"/>
      <c r="U63" s="24"/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6" t="s">
        <v>509</v>
      </c>
      <c r="F64" s="7" t="s">
        <v>19</v>
      </c>
      <c r="G64" s="6" t="s">
        <v>379</v>
      </c>
      <c r="H64" s="245" t="s">
        <v>291</v>
      </c>
      <c r="I64" s="245" t="s">
        <v>466</v>
      </c>
      <c r="J64" s="118">
        <f t="shared" si="10"/>
        <v>10.401400381</v>
      </c>
      <c r="K64" s="119">
        <f t="shared" si="11"/>
        <v>10.401400381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>
        <v>10.401400381</v>
      </c>
      <c r="T64" s="24"/>
      <c r="U64" s="24"/>
      <c r="V64" s="24"/>
      <c r="W64" s="24"/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6" t="s">
        <v>509</v>
      </c>
      <c r="F65" s="7" t="s">
        <v>19</v>
      </c>
      <c r="G65" s="6" t="s">
        <v>454</v>
      </c>
      <c r="H65" s="245" t="s">
        <v>292</v>
      </c>
      <c r="I65" s="245" t="s">
        <v>466</v>
      </c>
      <c r="J65" s="118">
        <f t="shared" si="10"/>
        <v>9.7359303359999991</v>
      </c>
      <c r="K65" s="119">
        <f t="shared" si="11"/>
        <v>9.7359303359999991</v>
      </c>
      <c r="L65" s="119">
        <f t="shared" si="12"/>
        <v>0</v>
      </c>
      <c r="N65" s="24"/>
      <c r="O65" s="24"/>
      <c r="P65" s="24"/>
      <c r="Q65" s="24"/>
      <c r="R65" s="24"/>
      <c r="S65" s="24">
        <v>9.7359303359999991</v>
      </c>
      <c r="T65" s="24"/>
      <c r="U65" s="24"/>
      <c r="V65" s="24"/>
      <c r="W65" s="24"/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6" t="s">
        <v>509</v>
      </c>
      <c r="F66" s="7" t="s">
        <v>19</v>
      </c>
      <c r="G66" s="6" t="s">
        <v>293</v>
      </c>
      <c r="H66" s="245" t="s">
        <v>294</v>
      </c>
      <c r="I66" s="245" t="s">
        <v>466</v>
      </c>
      <c r="J66" s="118">
        <f t="shared" si="10"/>
        <v>3.8862866359999995</v>
      </c>
      <c r="K66" s="119">
        <f t="shared" si="11"/>
        <v>3.8862866359999995</v>
      </c>
      <c r="L66" s="119">
        <f t="shared" si="12"/>
        <v>0</v>
      </c>
      <c r="N66" s="24"/>
      <c r="O66" s="24"/>
      <c r="P66" s="24"/>
      <c r="Q66" s="24"/>
      <c r="R66" s="24"/>
      <c r="S66" s="24">
        <v>3.8862866359999995</v>
      </c>
      <c r="T66" s="24"/>
      <c r="U66" s="24"/>
      <c r="V66" s="24"/>
      <c r="W66" s="24"/>
      <c r="X66" s="24"/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6" t="s">
        <v>483</v>
      </c>
      <c r="F67" s="7" t="s">
        <v>19</v>
      </c>
      <c r="G67" s="6" t="s">
        <v>258</v>
      </c>
      <c r="H67" s="245" t="s">
        <v>306</v>
      </c>
      <c r="I67" s="245" t="s">
        <v>466</v>
      </c>
      <c r="J67" s="118">
        <f t="shared" si="10"/>
        <v>19.442721626999997</v>
      </c>
      <c r="K67" s="119">
        <f t="shared" si="11"/>
        <v>19.442721626999997</v>
      </c>
      <c r="L67" s="119">
        <f t="shared" si="12"/>
        <v>0</v>
      </c>
      <c r="N67" s="24"/>
      <c r="O67" s="24"/>
      <c r="P67" s="24"/>
      <c r="Q67" s="24"/>
      <c r="R67" s="24"/>
      <c r="S67" s="24">
        <v>4.6508454009999998</v>
      </c>
      <c r="T67" s="24"/>
      <c r="U67" s="24">
        <v>14.791876225999998</v>
      </c>
      <c r="V67" s="24"/>
      <c r="W67" s="24"/>
      <c r="X67" s="24"/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6" t="s">
        <v>484</v>
      </c>
      <c r="F68" s="7" t="s">
        <v>19</v>
      </c>
      <c r="G68" s="6" t="s">
        <v>264</v>
      </c>
      <c r="H68" s="245" t="s">
        <v>310</v>
      </c>
      <c r="I68" s="245" t="s">
        <v>472</v>
      </c>
      <c r="J68" s="118">
        <f t="shared" si="10"/>
        <v>0.110184352</v>
      </c>
      <c r="K68" s="119">
        <f t="shared" si="11"/>
        <v>0.110184352</v>
      </c>
      <c r="L68" s="119">
        <f t="shared" si="12"/>
        <v>0</v>
      </c>
      <c r="N68" s="24"/>
      <c r="O68" s="24"/>
      <c r="P68" s="24"/>
      <c r="Q68" s="24"/>
      <c r="R68" s="24"/>
      <c r="S68" s="24">
        <v>0.110184352</v>
      </c>
      <c r="T68" s="24"/>
      <c r="U68" s="24"/>
      <c r="V68" s="24"/>
      <c r="W68" s="24"/>
      <c r="X68" s="24"/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6" t="s">
        <v>484</v>
      </c>
      <c r="F69" s="7" t="s">
        <v>19</v>
      </c>
      <c r="G69" s="6" t="s">
        <v>500</v>
      </c>
      <c r="H69" s="245" t="s">
        <v>305</v>
      </c>
      <c r="I69" s="245" t="s">
        <v>472</v>
      </c>
      <c r="J69" s="118">
        <f t="shared" si="10"/>
        <v>53.278013522000002</v>
      </c>
      <c r="K69" s="119">
        <f t="shared" si="11"/>
        <v>53.278013522000002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>
        <v>53.278013522000002</v>
      </c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6" t="s">
        <v>484</v>
      </c>
      <c r="F70" s="7" t="s">
        <v>19</v>
      </c>
      <c r="G70" s="6" t="s">
        <v>503</v>
      </c>
      <c r="H70" s="245" t="s">
        <v>311</v>
      </c>
      <c r="I70" s="245" t="s">
        <v>472</v>
      </c>
      <c r="J70" s="118">
        <f t="shared" si="10"/>
        <v>1.173521574</v>
      </c>
      <c r="K70" s="119">
        <f t="shared" si="11"/>
        <v>1.173521574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1.173521574</v>
      </c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6" t="s">
        <v>484</v>
      </c>
      <c r="F71" s="7" t="s">
        <v>19</v>
      </c>
      <c r="G71" s="6" t="s">
        <v>454</v>
      </c>
      <c r="H71" s="245" t="s">
        <v>292</v>
      </c>
      <c r="I71" s="245" t="s">
        <v>472</v>
      </c>
      <c r="J71" s="118">
        <f t="shared" si="10"/>
        <v>8.8069698540000001</v>
      </c>
      <c r="K71" s="119">
        <f t="shared" si="11"/>
        <v>8.8069698540000001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8.8069698540000001</v>
      </c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6" t="s">
        <v>484</v>
      </c>
      <c r="F72" s="7" t="s">
        <v>19</v>
      </c>
      <c r="G72" s="6" t="s">
        <v>370</v>
      </c>
      <c r="H72" s="245" t="s">
        <v>308</v>
      </c>
      <c r="I72" s="245" t="s">
        <v>472</v>
      </c>
      <c r="J72" s="118">
        <f t="shared" si="10"/>
        <v>29.382537232000004</v>
      </c>
      <c r="K72" s="119">
        <f t="shared" si="11"/>
        <v>29.382537232000004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>
        <v>28.902717307000003</v>
      </c>
      <c r="U72" s="24"/>
      <c r="V72" s="24"/>
      <c r="W72" s="24"/>
      <c r="X72" s="24">
        <v>0.47981992499999998</v>
      </c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6" t="s">
        <v>451</v>
      </c>
      <c r="F73" s="7" t="s">
        <v>19</v>
      </c>
      <c r="G73" s="6" t="s">
        <v>504</v>
      </c>
      <c r="H73" s="245" t="s">
        <v>307</v>
      </c>
      <c r="I73" s="245" t="s">
        <v>466</v>
      </c>
      <c r="J73" s="118">
        <f t="shared" si="10"/>
        <v>36.460446962999995</v>
      </c>
      <c r="K73" s="119">
        <f t="shared" si="11"/>
        <v>36.460446962999995</v>
      </c>
      <c r="L73" s="119">
        <f t="shared" si="12"/>
        <v>0</v>
      </c>
      <c r="N73" s="24"/>
      <c r="O73" s="24"/>
      <c r="P73" s="24"/>
      <c r="Q73" s="24"/>
      <c r="R73" s="24"/>
      <c r="S73" s="24">
        <v>10.507385942999999</v>
      </c>
      <c r="T73" s="24"/>
      <c r="U73" s="24">
        <v>25.953061019999996</v>
      </c>
      <c r="V73" s="24"/>
      <c r="W73" s="24"/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6" t="s">
        <v>451</v>
      </c>
      <c r="F74" s="7" t="s">
        <v>19</v>
      </c>
      <c r="G74" s="6" t="s">
        <v>504</v>
      </c>
      <c r="H74" s="246" t="s">
        <v>307</v>
      </c>
      <c r="I74" s="246" t="s">
        <v>472</v>
      </c>
      <c r="J74" s="118">
        <f t="shared" si="10"/>
        <v>22.184576131</v>
      </c>
      <c r="K74" s="119">
        <f t="shared" si="11"/>
        <v>22.184576131</v>
      </c>
      <c r="L74" s="119">
        <f t="shared" si="12"/>
        <v>0</v>
      </c>
      <c r="N74" s="24"/>
      <c r="O74" s="24"/>
      <c r="P74" s="24"/>
      <c r="Q74" s="24"/>
      <c r="R74" s="24"/>
      <c r="S74" s="24">
        <v>22.184576131</v>
      </c>
      <c r="T74" s="24"/>
      <c r="U74" s="24"/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6" t="s">
        <v>451</v>
      </c>
      <c r="F75" s="7" t="s">
        <v>19</v>
      </c>
      <c r="G75" s="6" t="s">
        <v>370</v>
      </c>
      <c r="H75" s="246" t="s">
        <v>308</v>
      </c>
      <c r="I75" s="246" t="s">
        <v>466</v>
      </c>
      <c r="J75" s="118">
        <f t="shared" si="10"/>
        <v>2.1636036089999999</v>
      </c>
      <c r="K75" s="119">
        <f t="shared" si="11"/>
        <v>2.1636036089999999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>
        <v>2.1636036089999999</v>
      </c>
      <c r="U75" s="24"/>
      <c r="V75" s="24"/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6" t="s">
        <v>451</v>
      </c>
      <c r="F76" s="7" t="s">
        <v>19</v>
      </c>
      <c r="G76" s="6" t="s">
        <v>370</v>
      </c>
      <c r="H76" s="247" t="s">
        <v>308</v>
      </c>
      <c r="I76" s="247" t="s">
        <v>472</v>
      </c>
      <c r="J76" s="118">
        <f t="shared" si="10"/>
        <v>1.192590007</v>
      </c>
      <c r="K76" s="119">
        <f t="shared" si="11"/>
        <v>1.192590007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>
        <v>1.192590007</v>
      </c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6" t="s">
        <v>533</v>
      </c>
      <c r="F77" s="7" t="s">
        <v>19</v>
      </c>
      <c r="G77" s="6" t="s">
        <v>494</v>
      </c>
      <c r="H77" s="245" t="s">
        <v>299</v>
      </c>
      <c r="I77" s="245" t="s">
        <v>466</v>
      </c>
      <c r="J77" s="118">
        <f t="shared" si="10"/>
        <v>1.7938620000000001</v>
      </c>
      <c r="K77" s="119">
        <f t="shared" si="11"/>
        <v>1.7938620000000001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>
        <v>1.7938620000000001</v>
      </c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6" t="s">
        <v>485</v>
      </c>
      <c r="F78" s="7" t="s">
        <v>19</v>
      </c>
      <c r="G78" s="6" t="s">
        <v>529</v>
      </c>
      <c r="H78" s="245" t="s">
        <v>530</v>
      </c>
      <c r="I78" s="245" t="s">
        <v>472</v>
      </c>
      <c r="J78" s="118">
        <f t="shared" si="10"/>
        <v>494.17683107000011</v>
      </c>
      <c r="K78" s="119">
        <f t="shared" si="11"/>
        <v>494.17683107000011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24">
        <v>494.17683107000011</v>
      </c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6" t="s">
        <v>534</v>
      </c>
      <c r="F79" s="7" t="s">
        <v>19</v>
      </c>
      <c r="G79" s="6" t="s">
        <v>537</v>
      </c>
      <c r="H79" s="245" t="s">
        <v>538</v>
      </c>
      <c r="I79" s="245" t="s">
        <v>472</v>
      </c>
      <c r="J79" s="118">
        <f t="shared" si="10"/>
        <v>0.59711550000000002</v>
      </c>
      <c r="K79" s="119">
        <f t="shared" si="11"/>
        <v>0.59711550000000002</v>
      </c>
      <c r="L79" s="119">
        <f t="shared" si="12"/>
        <v>0</v>
      </c>
      <c r="N79" s="24"/>
      <c r="O79" s="24"/>
      <c r="P79" s="24"/>
      <c r="Q79" s="24"/>
      <c r="R79" s="24"/>
      <c r="S79" s="24">
        <v>0.59711550000000002</v>
      </c>
      <c r="T79" s="24"/>
      <c r="U79" s="24"/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6" t="s">
        <v>268</v>
      </c>
      <c r="F80" s="7" t="s">
        <v>19</v>
      </c>
      <c r="G80" s="6" t="s">
        <v>374</v>
      </c>
      <c r="H80" s="245" t="s">
        <v>317</v>
      </c>
      <c r="I80" s="245" t="s">
        <v>466</v>
      </c>
      <c r="J80" s="118">
        <f t="shared" si="10"/>
        <v>153.92111352799998</v>
      </c>
      <c r="K80" s="119">
        <f t="shared" si="11"/>
        <v>153.92111352799998</v>
      </c>
      <c r="L80" s="119">
        <f t="shared" si="12"/>
        <v>0</v>
      </c>
      <c r="N80" s="24"/>
      <c r="O80" s="24"/>
      <c r="P80" s="24"/>
      <c r="Q80" s="24"/>
      <c r="R80" s="24"/>
      <c r="S80" s="24">
        <v>140.02148011599999</v>
      </c>
      <c r="T80" s="24">
        <v>13.848757020000001</v>
      </c>
      <c r="U80" s="24">
        <v>5.0876391999999999E-2</v>
      </c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6" t="s">
        <v>487</v>
      </c>
      <c r="F81" s="7" t="s">
        <v>19</v>
      </c>
      <c r="G81" s="6" t="s">
        <v>374</v>
      </c>
      <c r="H81" s="245" t="s">
        <v>317</v>
      </c>
      <c r="I81" s="245" t="s">
        <v>466</v>
      </c>
      <c r="J81" s="118">
        <f t="shared" si="10"/>
        <v>1.1826547569999999</v>
      </c>
      <c r="K81" s="119">
        <f t="shared" si="11"/>
        <v>1.1826547569999999</v>
      </c>
      <c r="L81" s="119">
        <f t="shared" si="12"/>
        <v>0</v>
      </c>
      <c r="N81" s="24"/>
      <c r="O81" s="24"/>
      <c r="P81" s="24"/>
      <c r="Q81" s="24"/>
      <c r="R81" s="24"/>
      <c r="S81" s="24">
        <v>1.1826547569999999</v>
      </c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6" t="s">
        <v>488</v>
      </c>
      <c r="F82" s="7" t="s">
        <v>19</v>
      </c>
      <c r="G82" s="6" t="s">
        <v>378</v>
      </c>
      <c r="H82" s="245" t="s">
        <v>290</v>
      </c>
      <c r="I82" s="245" t="s">
        <v>466</v>
      </c>
      <c r="J82" s="118">
        <f t="shared" si="10"/>
        <v>13.684561999999998</v>
      </c>
      <c r="K82" s="119">
        <f t="shared" si="11"/>
        <v>13.684561999999998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>
        <v>13.684561999999998</v>
      </c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6" t="s">
        <v>489</v>
      </c>
      <c r="F83" s="7" t="s">
        <v>19</v>
      </c>
      <c r="G83" s="6" t="s">
        <v>247</v>
      </c>
      <c r="H83" s="245" t="s">
        <v>289</v>
      </c>
      <c r="I83" s="245" t="s">
        <v>466</v>
      </c>
      <c r="J83" s="118">
        <f t="shared" si="10"/>
        <v>0.12876121199999999</v>
      </c>
      <c r="K83" s="119">
        <f t="shared" si="11"/>
        <v>0.12876121199999999</v>
      </c>
      <c r="L83" s="119">
        <f t="shared" si="12"/>
        <v>0</v>
      </c>
      <c r="N83" s="24"/>
      <c r="O83" s="24"/>
      <c r="P83" s="24"/>
      <c r="Q83" s="24"/>
      <c r="R83" s="24"/>
      <c r="S83" s="24">
        <v>0.12876121199999999</v>
      </c>
      <c r="T83" s="24"/>
      <c r="U83" s="24"/>
      <c r="V83" s="2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6" t="s">
        <v>459</v>
      </c>
      <c r="F84" s="7" t="s">
        <v>19</v>
      </c>
      <c r="G84" s="6" t="s">
        <v>464</v>
      </c>
      <c r="H84" s="245" t="s">
        <v>461</v>
      </c>
      <c r="I84" s="245" t="s">
        <v>466</v>
      </c>
      <c r="J84" s="118">
        <f t="shared" si="10"/>
        <v>4.803295803000001</v>
      </c>
      <c r="K84" s="119">
        <f t="shared" si="11"/>
        <v>4.803295803000001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>
        <v>4.803295803000001</v>
      </c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305" t="s">
        <v>449</v>
      </c>
      <c r="F87" s="341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  <c r="N87" s="24"/>
      <c r="O87" s="24"/>
      <c r="P87" s="24"/>
      <c r="Q87" s="24"/>
      <c r="R87" s="344"/>
      <c r="T87" s="344"/>
      <c r="U87" s="24"/>
      <c r="V87" s="2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305" t="s">
        <v>520</v>
      </c>
      <c r="F88" s="341" t="s">
        <v>19</v>
      </c>
      <c r="G88" s="6"/>
      <c r="H88" s="11"/>
      <c r="I88" s="11"/>
      <c r="J88" s="118">
        <f t="shared" si="10"/>
        <v>24</v>
      </c>
      <c r="K88" s="119">
        <f t="shared" si="11"/>
        <v>24</v>
      </c>
      <c r="L88" s="119">
        <f t="shared" si="12"/>
        <v>0</v>
      </c>
      <c r="N88" s="24"/>
      <c r="O88" s="24"/>
      <c r="P88" s="24"/>
      <c r="Q88" s="24"/>
      <c r="R88" s="344"/>
      <c r="S88" s="344">
        <v>24</v>
      </c>
      <c r="T88" s="344"/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305" t="s">
        <v>521</v>
      </c>
      <c r="F89" s="341" t="s">
        <v>19</v>
      </c>
      <c r="G89" s="6"/>
      <c r="H89" s="11"/>
      <c r="I89" s="11"/>
      <c r="J89" s="118">
        <f t="shared" ref="J89:J95" si="13">+K89+L89</f>
        <v>71</v>
      </c>
      <c r="K89" s="119">
        <f t="shared" ref="K89:K95" si="14">SUM(N89:Y89)</f>
        <v>71</v>
      </c>
      <c r="L89" s="119">
        <f t="shared" ref="L89:L95" si="15">SUM(AA89:AL89)</f>
        <v>0</v>
      </c>
      <c r="N89" s="24"/>
      <c r="O89" s="24"/>
      <c r="P89" s="24"/>
      <c r="Q89" s="24"/>
      <c r="R89" s="344"/>
      <c r="S89" s="344">
        <f>35+36</f>
        <v>71</v>
      </c>
      <c r="T89" s="344"/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>
      <c r="E90" s="305" t="s">
        <v>522</v>
      </c>
      <c r="F90" s="341" t="s">
        <v>19</v>
      </c>
      <c r="G90" s="6"/>
      <c r="H90" s="12"/>
      <c r="I90" s="12"/>
      <c r="J90" s="118">
        <f t="shared" si="13"/>
        <v>28</v>
      </c>
      <c r="K90" s="119">
        <f t="shared" si="14"/>
        <v>28</v>
      </c>
      <c r="L90" s="119">
        <f t="shared" si="15"/>
        <v>0</v>
      </c>
      <c r="N90" s="24"/>
      <c r="O90" s="24"/>
      <c r="P90" s="24"/>
      <c r="Q90" s="24"/>
      <c r="R90" s="344"/>
      <c r="S90" s="344">
        <v>28</v>
      </c>
      <c r="T90" s="344"/>
      <c r="U90" s="24"/>
      <c r="V90" s="24"/>
      <c r="W90" s="24"/>
      <c r="X90" s="24"/>
      <c r="Y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5:38">
      <c r="E91" s="305" t="s">
        <v>523</v>
      </c>
      <c r="F91" s="341" t="s">
        <v>19</v>
      </c>
      <c r="G91" s="6"/>
      <c r="H91" s="12"/>
      <c r="I91" s="12"/>
      <c r="J91" s="118">
        <f t="shared" si="13"/>
        <v>24</v>
      </c>
      <c r="K91" s="119">
        <f t="shared" si="14"/>
        <v>24</v>
      </c>
      <c r="L91" s="119">
        <f t="shared" si="15"/>
        <v>0</v>
      </c>
      <c r="N91" s="24"/>
      <c r="O91" s="24"/>
      <c r="P91" s="24"/>
      <c r="Q91" s="24"/>
      <c r="R91" s="344"/>
      <c r="S91" s="344">
        <v>24</v>
      </c>
      <c r="T91" s="344"/>
      <c r="U91" s="24"/>
      <c r="V91" s="24"/>
      <c r="W91" s="24"/>
      <c r="X91" s="24"/>
      <c r="Y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5:38">
      <c r="E92" s="305" t="s">
        <v>524</v>
      </c>
      <c r="F92" s="341" t="s">
        <v>19</v>
      </c>
      <c r="G92" s="6"/>
      <c r="H92" s="12"/>
      <c r="I92" s="12"/>
      <c r="J92" s="118">
        <f t="shared" si="13"/>
        <v>58</v>
      </c>
      <c r="K92" s="119">
        <f t="shared" si="14"/>
        <v>58</v>
      </c>
      <c r="L92" s="119">
        <f t="shared" si="15"/>
        <v>0</v>
      </c>
      <c r="N92" s="24"/>
      <c r="O92" s="24"/>
      <c r="P92" s="24"/>
      <c r="Q92" s="24"/>
      <c r="R92" s="344"/>
      <c r="S92" s="344">
        <v>58</v>
      </c>
      <c r="T92" s="344"/>
      <c r="U92" s="24"/>
      <c r="V92" s="24"/>
      <c r="W92" s="24"/>
      <c r="X92" s="24"/>
      <c r="Y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5:38">
      <c r="E93" s="305" t="s">
        <v>525</v>
      </c>
      <c r="F93" s="341" t="s">
        <v>19</v>
      </c>
      <c r="G93" s="6"/>
      <c r="H93" s="9"/>
      <c r="I93" s="9"/>
      <c r="J93" s="118">
        <f t="shared" si="13"/>
        <v>3</v>
      </c>
      <c r="K93" s="119">
        <f t="shared" si="14"/>
        <v>3</v>
      </c>
      <c r="L93" s="119">
        <f t="shared" si="15"/>
        <v>0</v>
      </c>
      <c r="N93" s="24"/>
      <c r="O93" s="24"/>
      <c r="P93" s="24"/>
      <c r="Q93" s="24"/>
      <c r="R93" s="24"/>
      <c r="S93" s="344">
        <v>3</v>
      </c>
      <c r="T93" s="24"/>
      <c r="U93" s="24"/>
      <c r="V93" s="24"/>
      <c r="W93" s="24"/>
      <c r="X93" s="24"/>
      <c r="Y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</row>
    <row r="94" spans="5:38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</row>
    <row r="95" spans="5:38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spans="5:38">
      <c r="J96" s="118"/>
      <c r="K96" s="119"/>
      <c r="L96" s="119"/>
    </row>
    <row r="98" spans="5:8">
      <c r="E98" s="191" t="s">
        <v>320</v>
      </c>
      <c r="F98" s="216">
        <v>46113</v>
      </c>
      <c r="G98" s="192">
        <v>182</v>
      </c>
      <c r="H98" s="393" t="s">
        <v>321</v>
      </c>
    </row>
    <row r="99" spans="5:8">
      <c r="E99" s="195" t="s">
        <v>526</v>
      </c>
      <c r="F99" s="217"/>
      <c r="G99" s="196">
        <v>61</v>
      </c>
      <c r="H99" s="393" t="s">
        <v>321</v>
      </c>
    </row>
    <row r="100" spans="5:8">
      <c r="E100" s="195" t="s">
        <v>527</v>
      </c>
      <c r="F100" s="217"/>
      <c r="G100" s="196">
        <v>35</v>
      </c>
      <c r="H100" s="393" t="s">
        <v>321</v>
      </c>
    </row>
    <row r="101" spans="5:8">
      <c r="E101" s="191" t="s">
        <v>320</v>
      </c>
      <c r="F101" s="216">
        <v>46142</v>
      </c>
      <c r="G101" s="192">
        <f>G98+G99-G100</f>
        <v>208</v>
      </c>
      <c r="H101" s="393" t="s">
        <v>321</v>
      </c>
    </row>
    <row r="105" spans="5:8">
      <c r="E105" s="446" t="s">
        <v>531</v>
      </c>
      <c r="F105" s="447"/>
      <c r="G105" s="447"/>
      <c r="H105" s="447"/>
    </row>
    <row r="106" spans="5:8">
      <c r="E106" s="356" t="s">
        <v>324</v>
      </c>
      <c r="F106" s="219"/>
      <c r="G106" s="202"/>
      <c r="H106" s="219" t="s">
        <v>325</v>
      </c>
    </row>
    <row r="107" spans="5:8">
      <c r="E107" s="290" t="s">
        <v>464</v>
      </c>
      <c r="F107" s="314"/>
      <c r="G107" s="315"/>
      <c r="H107" s="392">
        <v>1</v>
      </c>
    </row>
    <row r="108" spans="5:8">
      <c r="E108" s="290" t="s">
        <v>279</v>
      </c>
      <c r="F108" s="314"/>
      <c r="G108" s="315"/>
      <c r="H108" s="392">
        <v>7</v>
      </c>
    </row>
    <row r="109" spans="5:8">
      <c r="E109" s="290" t="s">
        <v>282</v>
      </c>
      <c r="F109" s="314"/>
      <c r="G109" s="315"/>
      <c r="H109" s="392">
        <v>31</v>
      </c>
    </row>
    <row r="110" spans="5:8">
      <c r="E110" s="290" t="s">
        <v>247</v>
      </c>
      <c r="F110" s="314"/>
      <c r="G110" s="315"/>
      <c r="H110" s="392">
        <v>3</v>
      </c>
    </row>
    <row r="111" spans="5:8">
      <c r="E111" s="290" t="s">
        <v>494</v>
      </c>
      <c r="F111" s="314"/>
      <c r="G111" s="315"/>
      <c r="H111" s="392">
        <v>4</v>
      </c>
    </row>
    <row r="112" spans="5:8">
      <c r="E112" s="290" t="s">
        <v>504</v>
      </c>
      <c r="F112" s="314"/>
      <c r="G112" s="315"/>
      <c r="H112" s="392">
        <v>6</v>
      </c>
    </row>
    <row r="113" spans="4:19">
      <c r="E113" s="290" t="s">
        <v>374</v>
      </c>
      <c r="F113" s="314"/>
      <c r="G113" s="315"/>
      <c r="H113" s="392">
        <v>87</v>
      </c>
    </row>
    <row r="114" spans="4:19">
      <c r="E114" s="290" t="s">
        <v>249</v>
      </c>
      <c r="F114" s="314"/>
      <c r="G114" s="315"/>
      <c r="H114" s="392">
        <v>3</v>
      </c>
    </row>
    <row r="115" spans="4:19">
      <c r="E115" s="290"/>
      <c r="F115" s="314"/>
      <c r="G115" s="315"/>
      <c r="H115" s="392"/>
    </row>
    <row r="116" spans="4:19">
      <c r="E116" s="290"/>
      <c r="F116" s="314"/>
      <c r="G116" s="315"/>
      <c r="H116" s="392"/>
    </row>
    <row r="117" spans="4:19">
      <c r="E117" s="290"/>
      <c r="F117" s="314"/>
      <c r="G117" s="315"/>
      <c r="H117" s="392"/>
    </row>
    <row r="118" spans="4:19">
      <c r="E118" s="387" t="s">
        <v>344</v>
      </c>
      <c r="F118" s="388"/>
      <c r="G118" s="387"/>
      <c r="H118" s="374">
        <f>SUM(H107:H117)</f>
        <v>142</v>
      </c>
      <c r="J118" s="401"/>
    </row>
    <row r="119" spans="4:19">
      <c r="E119" s="227"/>
      <c r="F119" s="278"/>
      <c r="G119" s="227"/>
      <c r="H119" s="280"/>
      <c r="I119" s="280"/>
      <c r="J119" s="280"/>
      <c r="K119" s="281"/>
      <c r="L119" s="281"/>
      <c r="M119" s="281"/>
      <c r="N119" s="73"/>
      <c r="O119" s="73"/>
      <c r="P119" s="73"/>
      <c r="Q119" s="73"/>
      <c r="R119" s="73"/>
      <c r="S119" s="73"/>
    </row>
    <row r="120" spans="4:19">
      <c r="D120" s="151"/>
      <c r="E120" s="227"/>
      <c r="F120" s="278"/>
      <c r="G120" s="227"/>
      <c r="H120" s="280"/>
      <c r="I120" s="280"/>
      <c r="J120" s="280"/>
      <c r="K120" s="281"/>
      <c r="L120" s="281"/>
      <c r="M120" s="281"/>
      <c r="N120" s="73"/>
      <c r="O120" s="73"/>
      <c r="P120" s="73"/>
      <c r="Q120" s="73"/>
      <c r="R120" s="73"/>
      <c r="S120" s="73"/>
    </row>
    <row r="121" spans="4:19">
      <c r="D121" s="151"/>
      <c r="E121" s="227" t="s">
        <v>330</v>
      </c>
      <c r="F121" s="227"/>
      <c r="G121" s="295">
        <f>'W21'!J19</f>
        <v>3657.2126961779995</v>
      </c>
      <c r="H121" s="280"/>
      <c r="I121" s="280"/>
      <c r="J121" s="280"/>
      <c r="K121" s="281"/>
      <c r="L121" s="281"/>
      <c r="M121" s="281"/>
      <c r="N121" s="73"/>
      <c r="O121" s="73"/>
      <c r="P121" s="73"/>
      <c r="Q121" s="73"/>
      <c r="R121" s="73"/>
      <c r="S121" s="73"/>
    </row>
    <row r="122" spans="4:19">
      <c r="D122" s="151"/>
      <c r="E122" s="227" t="s">
        <v>331</v>
      </c>
      <c r="F122" s="227"/>
      <c r="G122" s="295">
        <f>H118</f>
        <v>142</v>
      </c>
      <c r="H122" s="280"/>
      <c r="I122" s="279"/>
      <c r="J122" s="279"/>
      <c r="K122" s="281"/>
      <c r="L122" s="281"/>
      <c r="M122" s="281"/>
      <c r="N122" s="73"/>
      <c r="O122" s="73"/>
      <c r="P122" s="73"/>
      <c r="Q122" s="73"/>
      <c r="R122" s="73"/>
      <c r="S122" s="73"/>
    </row>
    <row r="123" spans="4:19">
      <c r="D123" s="151"/>
      <c r="E123" s="227" t="s">
        <v>332</v>
      </c>
      <c r="F123" s="227"/>
      <c r="G123" s="295">
        <f>J12-'W21'!J12</f>
        <v>194</v>
      </c>
      <c r="H123" s="280"/>
      <c r="I123" s="279"/>
      <c r="J123" s="279"/>
      <c r="K123" s="281"/>
      <c r="L123" s="281"/>
      <c r="M123" s="281"/>
      <c r="N123" s="73"/>
      <c r="O123" s="73"/>
      <c r="P123" s="73"/>
      <c r="Q123" s="73"/>
      <c r="R123" s="73"/>
      <c r="S123" s="73"/>
    </row>
    <row r="124" spans="4:19">
      <c r="D124" s="151"/>
      <c r="E124" s="227" t="s">
        <v>333</v>
      </c>
      <c r="F124" s="227"/>
      <c r="G124" s="295">
        <f>G121+G122-G123</f>
        <v>3605.2126961779995</v>
      </c>
      <c r="H124" s="280"/>
      <c r="I124" s="279"/>
      <c r="J124" s="279"/>
      <c r="K124" s="281"/>
      <c r="L124" s="281"/>
      <c r="M124" s="281"/>
      <c r="N124" s="73"/>
      <c r="O124" s="73"/>
      <c r="P124" s="73"/>
      <c r="Q124" s="73"/>
      <c r="R124" s="73"/>
      <c r="S124" s="73"/>
    </row>
    <row r="125" spans="4:19">
      <c r="D125" s="151"/>
      <c r="E125" s="227" t="s">
        <v>334</v>
      </c>
      <c r="F125" s="227"/>
      <c r="G125" s="295">
        <f>J19</f>
        <v>3649.4797284799997</v>
      </c>
      <c r="H125" s="280"/>
      <c r="I125" s="280"/>
      <c r="J125" s="280"/>
      <c r="K125" s="281"/>
      <c r="L125" s="281"/>
      <c r="M125" s="281"/>
      <c r="N125" s="73"/>
      <c r="O125" s="73"/>
      <c r="P125" s="73"/>
      <c r="Q125" s="73"/>
      <c r="R125" s="73"/>
      <c r="S125" s="73"/>
    </row>
    <row r="126" spans="4:19">
      <c r="D126" s="151"/>
      <c r="E126" s="227" t="s">
        <v>335</v>
      </c>
      <c r="F126" s="227"/>
      <c r="G126" s="296">
        <f>G124-G125</f>
        <v>-44.267032302000189</v>
      </c>
      <c r="H126" s="280"/>
      <c r="I126" s="280"/>
      <c r="J126" s="280"/>
      <c r="K126" s="281"/>
      <c r="L126" s="281"/>
      <c r="M126" s="281"/>
      <c r="N126" s="73"/>
      <c r="O126" s="73"/>
      <c r="P126" s="73"/>
      <c r="Q126" s="73"/>
      <c r="R126" s="73"/>
      <c r="S126" s="73"/>
    </row>
    <row r="127" spans="4:19">
      <c r="D127" s="151"/>
      <c r="E127" s="227"/>
      <c r="F127" s="278"/>
      <c r="G127" s="227"/>
      <c r="H127" s="280"/>
      <c r="I127" s="280"/>
      <c r="J127" s="280"/>
      <c r="K127" s="281"/>
      <c r="L127" s="281"/>
      <c r="M127" s="281"/>
      <c r="N127" s="73"/>
      <c r="O127" s="73"/>
      <c r="P127" s="73"/>
      <c r="Q127" s="73"/>
      <c r="R127" s="73"/>
      <c r="S127" s="73"/>
    </row>
    <row r="128" spans="4:19">
      <c r="D128" s="151"/>
      <c r="E128" s="227"/>
      <c r="F128" s="278"/>
      <c r="G128" s="227"/>
      <c r="H128" s="280"/>
      <c r="I128" s="280"/>
      <c r="J128" s="280"/>
      <c r="K128" s="281"/>
      <c r="L128" s="281"/>
      <c r="M128" s="281"/>
      <c r="N128" s="73"/>
      <c r="O128" s="73"/>
      <c r="P128" s="73"/>
      <c r="Q128" s="73"/>
      <c r="R128" s="73"/>
      <c r="S128" s="73"/>
    </row>
    <row r="129" spans="4:19">
      <c r="D129" s="151"/>
      <c r="E129" s="227"/>
      <c r="F129" s="278"/>
      <c r="G129" s="227"/>
      <c r="H129" s="280"/>
      <c r="I129" s="280"/>
      <c r="J129" s="280"/>
      <c r="K129" s="281"/>
      <c r="L129" s="281"/>
      <c r="M129" s="281"/>
      <c r="N129" s="73"/>
      <c r="O129" s="73"/>
      <c r="P129" s="73"/>
      <c r="Q129" s="73"/>
      <c r="R129" s="73"/>
      <c r="S129" s="73"/>
    </row>
    <row r="130" spans="4:19">
      <c r="D130" s="151"/>
      <c r="E130" s="227"/>
      <c r="F130" s="278"/>
      <c r="G130" s="227"/>
      <c r="H130" s="280"/>
      <c r="I130" s="280"/>
      <c r="J130" s="280"/>
      <c r="K130" s="281"/>
      <c r="L130" s="281"/>
      <c r="M130" s="281"/>
      <c r="N130" s="73"/>
      <c r="O130" s="73"/>
      <c r="P130" s="73"/>
      <c r="Q130" s="73"/>
      <c r="R130" s="73"/>
      <c r="S130" s="73"/>
    </row>
    <row r="131" spans="4:19">
      <c r="E131" s="227"/>
      <c r="F131" s="278"/>
      <c r="G131" s="227"/>
      <c r="H131" s="280"/>
      <c r="I131" s="280"/>
      <c r="J131" s="280"/>
      <c r="K131" s="281"/>
      <c r="L131" s="281"/>
      <c r="M131" s="281"/>
      <c r="N131" s="73"/>
      <c r="O131" s="73"/>
      <c r="P131" s="73"/>
      <c r="Q131" s="73"/>
      <c r="R131" s="73"/>
      <c r="S131" s="73"/>
    </row>
    <row r="132" spans="4:19">
      <c r="E132" s="227"/>
      <c r="F132" s="278"/>
      <c r="G132" s="227"/>
      <c r="H132" s="280"/>
      <c r="I132" s="280"/>
      <c r="J132" s="280"/>
      <c r="K132" s="281"/>
      <c r="L132" s="281"/>
      <c r="M132" s="281"/>
      <c r="N132" s="73"/>
      <c r="O132" s="73"/>
      <c r="P132" s="73"/>
      <c r="Q132" s="73"/>
      <c r="R132" s="73"/>
      <c r="S132" s="73"/>
    </row>
    <row r="133" spans="4:19">
      <c r="E133" s="227"/>
      <c r="F133" s="278"/>
      <c r="G133" s="227"/>
      <c r="H133" s="280"/>
      <c r="I133" s="280"/>
      <c r="J133" s="280"/>
      <c r="K133" s="281"/>
      <c r="L133" s="281"/>
      <c r="M133" s="281"/>
      <c r="N133" s="73"/>
      <c r="O133" s="73"/>
      <c r="P133" s="73"/>
      <c r="Q133" s="73"/>
      <c r="R133" s="73"/>
      <c r="S133" s="73"/>
    </row>
    <row r="134" spans="4:19">
      <c r="E134" s="227"/>
      <c r="F134" s="278"/>
      <c r="G134" s="227"/>
      <c r="H134" s="280"/>
      <c r="I134" s="280"/>
      <c r="J134" s="280"/>
      <c r="K134" s="281"/>
      <c r="L134" s="281"/>
      <c r="M134" s="281"/>
      <c r="N134" s="73"/>
      <c r="O134" s="73"/>
      <c r="P134" s="73"/>
      <c r="Q134" s="73"/>
      <c r="R134" s="73"/>
      <c r="S134" s="73"/>
    </row>
    <row r="135" spans="4:19">
      <c r="E135" s="227"/>
      <c r="F135" s="278"/>
      <c r="G135" s="227"/>
      <c r="H135" s="280"/>
      <c r="I135" s="280"/>
      <c r="J135" s="280"/>
      <c r="K135" s="281"/>
      <c r="L135" s="281"/>
      <c r="M135" s="281"/>
      <c r="N135" s="73"/>
      <c r="O135" s="73"/>
      <c r="P135" s="73"/>
      <c r="Q135" s="73"/>
      <c r="R135" s="73"/>
      <c r="S135" s="73"/>
    </row>
    <row r="136" spans="4:19">
      <c r="E136" s="227"/>
      <c r="F136" s="278"/>
      <c r="G136" s="227"/>
      <c r="H136" s="280"/>
      <c r="I136" s="280"/>
      <c r="J136" s="280"/>
      <c r="K136" s="281"/>
      <c r="L136" s="281"/>
      <c r="M136" s="281"/>
      <c r="N136" s="73"/>
      <c r="O136" s="73"/>
      <c r="P136" s="73"/>
      <c r="Q136" s="73"/>
      <c r="R136" s="73"/>
      <c r="S136" s="73"/>
    </row>
    <row r="137" spans="4:19">
      <c r="E137" s="227"/>
      <c r="F137" s="278"/>
      <c r="G137" s="227"/>
      <c r="H137" s="280"/>
      <c r="I137" s="280"/>
      <c r="J137" s="280"/>
      <c r="K137" s="281"/>
      <c r="L137" s="281"/>
      <c r="M137" s="281"/>
      <c r="N137" s="73"/>
      <c r="O137" s="73"/>
      <c r="P137" s="73"/>
      <c r="Q137" s="73"/>
      <c r="R137" s="73"/>
      <c r="S137" s="73"/>
    </row>
    <row r="138" spans="4:19">
      <c r="E138" s="227"/>
      <c r="F138" s="278"/>
      <c r="G138" s="227"/>
      <c r="H138" s="280"/>
      <c r="I138" s="280"/>
      <c r="J138" s="280"/>
      <c r="K138" s="281"/>
      <c r="L138" s="281"/>
      <c r="M138" s="281"/>
      <c r="N138" s="73"/>
      <c r="O138" s="73"/>
      <c r="P138" s="73"/>
      <c r="Q138" s="73"/>
      <c r="R138" s="73"/>
      <c r="S138" s="73"/>
    </row>
    <row r="139" spans="4:19">
      <c r="E139" s="227"/>
      <c r="F139" s="278"/>
      <c r="G139" s="227"/>
      <c r="H139" s="280"/>
      <c r="I139" s="280"/>
      <c r="J139" s="280"/>
      <c r="K139" s="281"/>
      <c r="L139" s="281"/>
      <c r="M139" s="281"/>
      <c r="N139" s="73"/>
      <c r="O139" s="73"/>
      <c r="P139" s="73"/>
      <c r="Q139" s="73"/>
      <c r="R139" s="73"/>
      <c r="S139" s="73"/>
    </row>
    <row r="140" spans="4:19">
      <c r="E140" s="227"/>
      <c r="F140" s="278"/>
      <c r="G140" s="227"/>
      <c r="H140" s="280"/>
      <c r="I140" s="280"/>
      <c r="J140" s="280"/>
      <c r="K140" s="281"/>
      <c r="L140" s="281"/>
      <c r="M140" s="281"/>
      <c r="N140" s="73"/>
      <c r="O140" s="73"/>
      <c r="P140" s="73"/>
      <c r="Q140" s="73"/>
      <c r="R140" s="73"/>
      <c r="S140" s="73"/>
    </row>
  </sheetData>
  <sheetProtection formatCells="0" formatColumns="0" formatRows="0" insertRows="0" deleteRows="0" autoFilter="0"/>
  <autoFilter ref="E23:AL241" xr:uid="{00000000-0009-0000-0000-000018000000}"/>
  <mergeCells count="2">
    <mergeCell ref="I4:J4"/>
    <mergeCell ref="E105:H105"/>
  </mergeCells>
  <phoneticPr fontId="40"/>
  <dataValidations count="2">
    <dataValidation type="list" allowBlank="1" showInputMessage="1" showErrorMessage="1" sqref="G2" xr:uid="{00000000-0002-0000-1800-000000000000}">
      <formula1>SOCIETE</formula1>
    </dataValidation>
    <dataValidation type="list" allowBlank="1" showInputMessage="1" showErrorMessage="1" sqref="F24:F95 F106" xr:uid="{560C35D3-8631-49D2-A05B-3BC69A36D299}">
      <formula1>Liste</formula1>
    </dataValidation>
  </dataValidations>
  <pageMargins left="0.17" right="0.17" top="0.37" bottom="0.23" header="0.31496062992125984" footer="0.16"/>
  <pageSetup paperSize="9" scale="47" orientation="landscape" r:id="rId1"/>
  <ignoredErrors>
    <ignoredError sqref="G121:G126" unlockedFormula="1"/>
  </ignoredError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6">
    <tabColor theme="4" tint="-0.499984740745262"/>
    <pageSetUpPr fitToPage="1"/>
  </sheetPr>
  <dimension ref="D1:AL125"/>
  <sheetViews>
    <sheetView showGridLines="0" topLeftCell="A8" zoomScale="75" zoomScaleNormal="75" workbookViewId="0">
      <selection activeCell="Q10" sqref="Q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105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June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June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W23</v>
      </c>
      <c r="I9" s="61"/>
      <c r="J9" s="161" t="str">
        <f>+"from "&amp;G6&amp;" 1 until end of "&amp;G4</f>
        <v>from June 1 until end of W23</v>
      </c>
      <c r="K9" s="79"/>
      <c r="L9" s="167" t="str">
        <f>+G6</f>
        <v>June</v>
      </c>
      <c r="M9" s="80"/>
      <c r="N9" s="80"/>
      <c r="O9" s="172" t="str">
        <f>+G4</f>
        <v>W23</v>
      </c>
      <c r="P9" s="173" t="str">
        <f>+VLOOKUP(G4, parameters!$G$9:$I$61,3,0)</f>
        <v>W22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600+320+797+430+396+J10</f>
        <v>2699</v>
      </c>
      <c r="I10" s="61"/>
      <c r="J10" s="159">
        <v>156</v>
      </c>
      <c r="L10" s="159">
        <f>S17+J10</f>
        <v>1084.355701293</v>
      </c>
      <c r="N10" s="55"/>
      <c r="O10" s="170">
        <f>+H10+K17</f>
        <v>6076.6706491259993</v>
      </c>
      <c r="P10" s="171" cm="1">
        <f t="array" aca="1" ref="P10" ca="1">INDIRECT(ADDRESS(10,15,,,VLOOKUP($G$4,parameters!$G:$I,3,0)))</f>
        <v>6173.6596395059996</v>
      </c>
      <c r="Q10" s="183">
        <f ca="1">O10-P10</f>
        <v>-96.988990380000359</v>
      </c>
      <c r="R10" s="86"/>
    </row>
    <row r="11" spans="5:38" ht="20.45" customHeight="1">
      <c r="E11" s="87" t="s">
        <v>224</v>
      </c>
      <c r="F11" s="88"/>
      <c r="G11" s="89"/>
      <c r="H11" s="16">
        <f>13+8+3+3+2+J11</f>
        <v>31</v>
      </c>
      <c r="I11" s="61"/>
      <c r="J11" s="16">
        <v>2</v>
      </c>
      <c r="L11" s="159">
        <f>S18+J11</f>
        <v>2</v>
      </c>
      <c r="N11" s="55"/>
      <c r="O11" s="152">
        <f>+H11+K18</f>
        <v>117.820088974</v>
      </c>
      <c r="P11" s="153" cm="1">
        <f t="array" aca="1" ref="P11" ca="1">INDIRECT(ADDRESS(11,15,,,VLOOKUP($G$4,parameters!$G:$I,3,0)))</f>
        <v>115.820088974</v>
      </c>
      <c r="Q11" s="184">
        <f t="shared" ref="Q11:Q12" ca="1" si="0">O11-P11</f>
        <v>2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2730</v>
      </c>
      <c r="I12" s="61"/>
      <c r="J12" s="126">
        <f>SUM(J10:J11)</f>
        <v>158</v>
      </c>
      <c r="K12" s="65"/>
      <c r="L12" s="126">
        <f>SUM(L10:L11)</f>
        <v>1086.355701293</v>
      </c>
      <c r="M12" s="65"/>
      <c r="N12" s="65"/>
      <c r="O12" s="154">
        <f>SUM(O10:O11)</f>
        <v>6194.4907380999994</v>
      </c>
      <c r="P12" s="155">
        <f ca="1">SUM(P10:P11)</f>
        <v>6289.4797284799997</v>
      </c>
      <c r="Q12" s="156">
        <f t="shared" ca="1" si="0"/>
        <v>-94.988990380000359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+SUMIF($F$24:$F$99,"External",$J$24:$J$99)</f>
        <v>3377.6706491259997</v>
      </c>
      <c r="K17" s="108">
        <f>+SUMIF($F$24:$F$99,"External",$K$24:$K$99)</f>
        <v>3377.6706491259997</v>
      </c>
      <c r="L17" s="109">
        <f>+SUMIF($F$24:$F$99,"External",$L$24:$L$99)</f>
        <v>0</v>
      </c>
      <c r="M17" s="110"/>
      <c r="N17" s="111">
        <f t="shared" ref="N17:Y17" si="1">+SUMIF($F$24:$F$99,"External",N$24:N$99)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928.35570129300004</v>
      </c>
      <c r="T17" s="111">
        <f t="shared" si="1"/>
        <v>960.33062876099996</v>
      </c>
      <c r="U17" s="111">
        <f t="shared" si="1"/>
        <v>488.73219734400004</v>
      </c>
      <c r="V17" s="111">
        <f t="shared" si="1"/>
        <v>567.17683107000016</v>
      </c>
      <c r="W17" s="111">
        <f t="shared" si="1"/>
        <v>66.018384900000001</v>
      </c>
      <c r="X17" s="111">
        <f t="shared" si="1"/>
        <v>259.05690575800003</v>
      </c>
      <c r="Y17" s="111">
        <f t="shared" si="1"/>
        <v>108</v>
      </c>
      <c r="Z17" s="112"/>
      <c r="AA17" s="111">
        <f t="shared" ref="AA17:AL17" si="2">+SUMIF($F$24:$F$99,"External",AA$24:AA$99)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+SUMIF($F$24:$F$99,"Group",$J$24:$J$99)</f>
        <v>86.820088974000001</v>
      </c>
      <c r="K18" s="113">
        <f>+SUMIF($F$24:$F$99,"Group",$K$24:$K$99)</f>
        <v>86.820088974000001</v>
      </c>
      <c r="L18" s="114">
        <f>SUMIF($F$24:$F$99,"Group",$L$24:$L$99)</f>
        <v>0</v>
      </c>
      <c r="M18" s="110"/>
      <c r="N18" s="114">
        <f t="shared" ref="N18:Y18" si="3">+SUMIF($F$24:$F$99,"Group",N$24:N$99)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76.559977846999999</v>
      </c>
      <c r="U18" s="114">
        <f t="shared" si="3"/>
        <v>10.260111127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+SUMIF($F$24:$F$99,"Group",AA$24:AA$99)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3464.4907380999998</v>
      </c>
      <c r="K19" s="115">
        <f>SUM(K17:K18)</f>
        <v>3464.4907380999998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928.35570129300004</v>
      </c>
      <c r="T19" s="116">
        <f t="shared" si="5"/>
        <v>1036.8906066079999</v>
      </c>
      <c r="U19" s="116">
        <f t="shared" si="5"/>
        <v>498.99230847100006</v>
      </c>
      <c r="V19" s="116">
        <f t="shared" si="5"/>
        <v>567.17683107000016</v>
      </c>
      <c r="W19" s="116">
        <f t="shared" si="5"/>
        <v>66.018384900000001</v>
      </c>
      <c r="X19" s="116">
        <f t="shared" si="5"/>
        <v>259.05690575800003</v>
      </c>
      <c r="Y19" s="116">
        <f t="shared" si="5"/>
        <v>108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532</v>
      </c>
      <c r="F24" s="7" t="s">
        <v>19</v>
      </c>
      <c r="G24" s="6" t="s">
        <v>494</v>
      </c>
      <c r="H24" s="187" t="s">
        <v>299</v>
      </c>
      <c r="I24" s="187" t="s">
        <v>466</v>
      </c>
      <c r="J24" s="118">
        <f t="shared" ref="J24" si="7">+K24+L24</f>
        <v>2.639858496</v>
      </c>
      <c r="K24" s="119">
        <f t="shared" ref="K24" si="8">SUM(N24:Y24)</f>
        <v>2.639858496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2.639858496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507</v>
      </c>
      <c r="F25" s="7" t="s">
        <v>19</v>
      </c>
      <c r="G25" s="6" t="s">
        <v>464</v>
      </c>
      <c r="H25" s="188" t="s">
        <v>461</v>
      </c>
      <c r="I25" s="188" t="s">
        <v>472</v>
      </c>
      <c r="J25" s="118">
        <f t="shared" ref="J25:J87" si="10">+K25+L25</f>
        <v>36.649137400000001</v>
      </c>
      <c r="K25" s="119">
        <f t="shared" ref="K25:K87" si="11">SUM(N25:Y25)</f>
        <v>36.649137400000001</v>
      </c>
      <c r="L25" s="119">
        <f t="shared" ref="L25:L87" si="12">SUM(AA25:AL25)</f>
        <v>0</v>
      </c>
      <c r="M25" s="23"/>
      <c r="N25" s="24"/>
      <c r="O25" s="24"/>
      <c r="P25" s="24"/>
      <c r="Q25" s="24"/>
      <c r="R25" s="24"/>
      <c r="S25" s="24">
        <v>36.649137400000001</v>
      </c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467</v>
      </c>
      <c r="F26" s="7" t="s">
        <v>19</v>
      </c>
      <c r="G26" s="6" t="s">
        <v>237</v>
      </c>
      <c r="H26" s="188" t="s">
        <v>277</v>
      </c>
      <c r="I26" s="188" t="s">
        <v>466</v>
      </c>
      <c r="J26" s="118">
        <f t="shared" si="10"/>
        <v>5.0559082999999996</v>
      </c>
      <c r="K26" s="119">
        <f t="shared" si="11"/>
        <v>5.0559082999999996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>
        <v>5.0559082999999996</v>
      </c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468</v>
      </c>
      <c r="F27" s="7" t="s">
        <v>19</v>
      </c>
      <c r="G27" s="6" t="s">
        <v>239</v>
      </c>
      <c r="H27" s="188" t="s">
        <v>278</v>
      </c>
      <c r="I27" s="188" t="s">
        <v>466</v>
      </c>
      <c r="J27" s="118">
        <f t="shared" si="10"/>
        <v>6.4492737049999995</v>
      </c>
      <c r="K27" s="119">
        <f t="shared" si="11"/>
        <v>6.4492737049999995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>
        <v>4.7944134859999998</v>
      </c>
      <c r="T27" s="24"/>
      <c r="U27" s="24">
        <v>1.6548602190000001</v>
      </c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469</v>
      </c>
      <c r="F28" s="7" t="s">
        <v>19</v>
      </c>
      <c r="G28" s="6" t="s">
        <v>237</v>
      </c>
      <c r="H28" s="188" t="s">
        <v>277</v>
      </c>
      <c r="I28" s="188" t="s">
        <v>466</v>
      </c>
      <c r="J28" s="118">
        <f t="shared" si="10"/>
        <v>8.2520863759999994</v>
      </c>
      <c r="K28" s="119">
        <f t="shared" si="11"/>
        <v>8.2520863759999994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>
        <v>8.2520863759999994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470</v>
      </c>
      <c r="F29" s="7" t="s">
        <v>19</v>
      </c>
      <c r="G29" s="6" t="s">
        <v>279</v>
      </c>
      <c r="H29" s="189" t="s">
        <v>280</v>
      </c>
      <c r="I29" s="189" t="s">
        <v>472</v>
      </c>
      <c r="J29" s="118">
        <f t="shared" si="10"/>
        <v>348.54004460100009</v>
      </c>
      <c r="K29" s="119">
        <f t="shared" si="11"/>
        <v>348.54004460100009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>
        <v>14.551091656000001</v>
      </c>
      <c r="U29" s="24">
        <v>185.83288595100004</v>
      </c>
      <c r="V29" s="24"/>
      <c r="W29" s="24"/>
      <c r="X29" s="24">
        <v>148.15606699400001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541</v>
      </c>
      <c r="F30" s="7" t="s">
        <v>19</v>
      </c>
      <c r="G30" s="6" t="s">
        <v>279</v>
      </c>
      <c r="H30" s="190" t="s">
        <v>280</v>
      </c>
      <c r="I30" s="190" t="s">
        <v>472</v>
      </c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0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281</v>
      </c>
      <c r="F31" s="7" t="s">
        <v>19</v>
      </c>
      <c r="G31" s="6" t="s">
        <v>282</v>
      </c>
      <c r="H31" s="190" t="s">
        <v>283</v>
      </c>
      <c r="I31" s="190" t="s">
        <v>466</v>
      </c>
      <c r="J31" s="118">
        <f t="shared" si="10"/>
        <v>28.516127208000025</v>
      </c>
      <c r="K31" s="119">
        <f t="shared" si="11"/>
        <v>28.516127208000025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>
        <v>28.516127208000025</v>
      </c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281</v>
      </c>
      <c r="F32" s="7" t="s">
        <v>19</v>
      </c>
      <c r="G32" s="6" t="s">
        <v>282</v>
      </c>
      <c r="H32" s="190" t="s">
        <v>283</v>
      </c>
      <c r="I32" s="190" t="s">
        <v>472</v>
      </c>
      <c r="J32" s="118">
        <f t="shared" si="10"/>
        <v>23.816704992999998</v>
      </c>
      <c r="K32" s="119">
        <f t="shared" si="11"/>
        <v>23.816704992999998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>
        <v>0.52151288699999998</v>
      </c>
      <c r="T32" s="24"/>
      <c r="U32" s="24"/>
      <c r="V32" s="24"/>
      <c r="W32" s="24"/>
      <c r="X32" s="24">
        <v>23.295192105999998</v>
      </c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341</v>
      </c>
      <c r="F33" s="7" t="s">
        <v>19</v>
      </c>
      <c r="G33" s="6" t="s">
        <v>500</v>
      </c>
      <c r="H33" s="190" t="s">
        <v>305</v>
      </c>
      <c r="I33" s="190" t="s">
        <v>472</v>
      </c>
      <c r="J33" s="118">
        <f t="shared" si="10"/>
        <v>0.71211540000000007</v>
      </c>
      <c r="K33" s="119">
        <f t="shared" si="11"/>
        <v>0.71211540000000007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>
        <v>0.71211540000000007</v>
      </c>
      <c r="T33" s="24"/>
      <c r="U33" s="24"/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446</v>
      </c>
      <c r="F34" s="7" t="s">
        <v>19</v>
      </c>
      <c r="G34" s="6" t="s">
        <v>464</v>
      </c>
      <c r="H34" s="190" t="s">
        <v>461</v>
      </c>
      <c r="I34" s="190" t="s">
        <v>472</v>
      </c>
      <c r="J34" s="118">
        <f t="shared" si="10"/>
        <v>1.201596313</v>
      </c>
      <c r="K34" s="119">
        <f t="shared" si="11"/>
        <v>1.201596313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>
        <v>1.201596313</v>
      </c>
      <c r="T34" s="24"/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446</v>
      </c>
      <c r="F35" s="7" t="s">
        <v>19</v>
      </c>
      <c r="G35" s="6" t="s">
        <v>493</v>
      </c>
      <c r="H35" s="190" t="s">
        <v>339</v>
      </c>
      <c r="I35" s="190" t="s">
        <v>472</v>
      </c>
      <c r="J35" s="118">
        <f t="shared" si="10"/>
        <v>5.0013180090000011</v>
      </c>
      <c r="K35" s="119">
        <f t="shared" si="11"/>
        <v>5.0013180090000011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>
        <v>5.0013180090000011</v>
      </c>
      <c r="T35" s="24"/>
      <c r="U35" s="24"/>
      <c r="V35" s="24"/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473</v>
      </c>
      <c r="F36" s="7" t="s">
        <v>17</v>
      </c>
      <c r="G36" s="6" t="s">
        <v>493</v>
      </c>
      <c r="H36" s="190" t="s">
        <v>339</v>
      </c>
      <c r="I36" s="190" t="s">
        <v>472</v>
      </c>
      <c r="J36" s="118">
        <f t="shared" si="10"/>
        <v>86.820088974000001</v>
      </c>
      <c r="K36" s="119">
        <f t="shared" si="11"/>
        <v>86.820088974000001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>
        <v>76.559977846999999</v>
      </c>
      <c r="U36" s="24">
        <v>10.260111127</v>
      </c>
      <c r="V36" s="24"/>
      <c r="W36" s="24"/>
      <c r="X36" s="24"/>
      <c r="Y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474</v>
      </c>
      <c r="F37" s="7" t="s">
        <v>19</v>
      </c>
      <c r="G37" s="6" t="s">
        <v>279</v>
      </c>
      <c r="H37" s="190" t="s">
        <v>280</v>
      </c>
      <c r="I37" s="190" t="s">
        <v>472</v>
      </c>
      <c r="J37" s="118">
        <f t="shared" si="10"/>
        <v>114.986673357</v>
      </c>
      <c r="K37" s="119">
        <f t="shared" si="11"/>
        <v>114.986673357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>
        <v>114.986673357</v>
      </c>
      <c r="V37" s="24"/>
      <c r="W37" s="24"/>
      <c r="X37" s="24"/>
      <c r="Y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475</v>
      </c>
      <c r="F38" s="7" t="s">
        <v>19</v>
      </c>
      <c r="G38" s="6" t="s">
        <v>245</v>
      </c>
      <c r="H38" s="190" t="s">
        <v>288</v>
      </c>
      <c r="I38" s="190" t="s">
        <v>466</v>
      </c>
      <c r="J38" s="118">
        <f t="shared" si="10"/>
        <v>12.006004425</v>
      </c>
      <c r="K38" s="119">
        <f t="shared" si="11"/>
        <v>12.006004425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>
        <v>12.006004425</v>
      </c>
      <c r="T38" s="24"/>
      <c r="U38" s="24"/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476</v>
      </c>
      <c r="F39" s="7" t="s">
        <v>19</v>
      </c>
      <c r="G39" s="6" t="s">
        <v>447</v>
      </c>
      <c r="H39" s="190" t="s">
        <v>448</v>
      </c>
      <c r="I39" s="190" t="s">
        <v>466</v>
      </c>
      <c r="J39" s="118">
        <f t="shared" si="10"/>
        <v>62.656677737999999</v>
      </c>
      <c r="K39" s="119">
        <f t="shared" si="11"/>
        <v>62.656677737999999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>
        <f>17.315319038+2.45</f>
        <v>19.765319037999998</v>
      </c>
      <c r="T39" s="24">
        <v>21</v>
      </c>
      <c r="U39" s="24">
        <v>17</v>
      </c>
      <c r="V39" s="24"/>
      <c r="W39" s="24">
        <v>4.8913587000000005</v>
      </c>
      <c r="X39" s="24"/>
      <c r="Y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476</v>
      </c>
      <c r="F40" s="7" t="s">
        <v>19</v>
      </c>
      <c r="G40" s="6" t="s">
        <v>247</v>
      </c>
      <c r="H40" s="190" t="s">
        <v>289</v>
      </c>
      <c r="I40" s="190" t="s">
        <v>466</v>
      </c>
      <c r="J40" s="118">
        <f t="shared" si="10"/>
        <v>90.771026798999998</v>
      </c>
      <c r="K40" s="119">
        <f t="shared" si="11"/>
        <v>90.771026798999998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>
        <v>7.7710267989999995</v>
      </c>
      <c r="T40" s="24">
        <v>17</v>
      </c>
      <c r="U40" s="24">
        <v>20</v>
      </c>
      <c r="V40" s="24">
        <v>24</v>
      </c>
      <c r="W40" s="24">
        <v>22</v>
      </c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476</v>
      </c>
      <c r="F41" s="7" t="s">
        <v>19</v>
      </c>
      <c r="G41" s="6" t="s">
        <v>535</v>
      </c>
      <c r="H41" s="6" t="s">
        <v>290</v>
      </c>
      <c r="I41" s="6" t="s">
        <v>466</v>
      </c>
      <c r="J41" s="118">
        <f t="shared" si="10"/>
        <v>8.4418757319999997</v>
      </c>
      <c r="K41" s="119">
        <f t="shared" si="11"/>
        <v>8.4418757319999997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>
        <v>8.4418757319999997</v>
      </c>
      <c r="T41" s="24"/>
      <c r="U41" s="24"/>
      <c r="V41" s="24"/>
      <c r="W41" s="24"/>
      <c r="X41" s="24"/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476</v>
      </c>
      <c r="F42" s="7" t="s">
        <v>19</v>
      </c>
      <c r="G42" s="6" t="s">
        <v>379</v>
      </c>
      <c r="H42" s="6" t="s">
        <v>291</v>
      </c>
      <c r="I42" s="6" t="s">
        <v>466</v>
      </c>
      <c r="J42" s="118">
        <f t="shared" si="10"/>
        <v>61.713563318999995</v>
      </c>
      <c r="K42" s="119">
        <f t="shared" si="11"/>
        <v>61.713563318999995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>
        <v>13.713563318999997</v>
      </c>
      <c r="T42" s="24">
        <v>20</v>
      </c>
      <c r="U42" s="24"/>
      <c r="V42" s="24"/>
      <c r="W42" s="24"/>
      <c r="X42" s="24"/>
      <c r="Y42" s="24">
        <v>28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476</v>
      </c>
      <c r="F43" s="6" t="s">
        <v>19</v>
      </c>
      <c r="G43" s="6" t="s">
        <v>378</v>
      </c>
      <c r="H43" s="6" t="s">
        <v>290</v>
      </c>
      <c r="I43" s="6" t="s">
        <v>466</v>
      </c>
      <c r="J43" s="118">
        <f t="shared" si="10"/>
        <v>54.876277989999984</v>
      </c>
      <c r="K43" s="119">
        <f t="shared" si="11"/>
        <v>54.876277989999984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>
        <v>54.876277989999984</v>
      </c>
      <c r="T43" s="24"/>
      <c r="U43" s="24"/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476</v>
      </c>
      <c r="F44" s="6" t="s">
        <v>19</v>
      </c>
      <c r="G44" s="6" t="s">
        <v>454</v>
      </c>
      <c r="H44" s="6" t="s">
        <v>292</v>
      </c>
      <c r="I44" s="6" t="s">
        <v>466</v>
      </c>
      <c r="J44" s="118">
        <f t="shared" si="10"/>
        <v>121.57932484400001</v>
      </c>
      <c r="K44" s="119">
        <f t="shared" si="11"/>
        <v>121.57932484400001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>
        <v>4.7921129440000012</v>
      </c>
      <c r="T44" s="24">
        <f>116.7872119-100</f>
        <v>16.787211900000003</v>
      </c>
      <c r="U44" s="24">
        <v>25</v>
      </c>
      <c r="V44" s="24">
        <v>25</v>
      </c>
      <c r="W44" s="24">
        <v>25</v>
      </c>
      <c r="X44" s="24">
        <v>25</v>
      </c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476</v>
      </c>
      <c r="F45" s="6" t="s">
        <v>19</v>
      </c>
      <c r="G45" s="6" t="s">
        <v>293</v>
      </c>
      <c r="H45" s="6" t="s">
        <v>294</v>
      </c>
      <c r="I45" s="6" t="s">
        <v>466</v>
      </c>
      <c r="J45" s="118">
        <f t="shared" si="10"/>
        <v>88.166498922000002</v>
      </c>
      <c r="K45" s="119">
        <f t="shared" si="11"/>
        <v>88.166498922000002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>
        <v>4.1664989220000006</v>
      </c>
      <c r="T45" s="24">
        <v>4</v>
      </c>
      <c r="U45" s="24"/>
      <c r="V45" s="24"/>
      <c r="W45" s="24"/>
      <c r="X45" s="24"/>
      <c r="Y45" s="24">
        <v>80</v>
      </c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476</v>
      </c>
      <c r="F46" s="6" t="s">
        <v>19</v>
      </c>
      <c r="G46" s="6" t="s">
        <v>251</v>
      </c>
      <c r="H46" s="6" t="s">
        <v>290</v>
      </c>
      <c r="I46" s="6" t="s">
        <v>466</v>
      </c>
      <c r="J46" s="118">
        <f t="shared" si="10"/>
        <v>18.101734699999998</v>
      </c>
      <c r="K46" s="119">
        <f t="shared" si="11"/>
        <v>18.101734699999998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>
        <v>0.28018470000000001</v>
      </c>
      <c r="T46" s="24">
        <v>17.821549999999998</v>
      </c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476</v>
      </c>
      <c r="F47" s="6" t="s">
        <v>19</v>
      </c>
      <c r="G47" s="6" t="s">
        <v>252</v>
      </c>
      <c r="H47" s="6" t="s">
        <v>295</v>
      </c>
      <c r="I47" s="6" t="s">
        <v>466</v>
      </c>
      <c r="J47" s="118">
        <f t="shared" si="10"/>
        <v>27.145771455000002</v>
      </c>
      <c r="K47" s="119">
        <f t="shared" si="11"/>
        <v>27.145771455000002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>
        <v>26.476629855000002</v>
      </c>
      <c r="T47" s="24">
        <v>0.35749999999999998</v>
      </c>
      <c r="U47" s="24">
        <v>0.18461540000000001</v>
      </c>
      <c r="V47" s="24"/>
      <c r="W47" s="24">
        <v>0.12702620000000001</v>
      </c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476</v>
      </c>
      <c r="F48" s="6" t="s">
        <v>19</v>
      </c>
      <c r="G48" s="6" t="s">
        <v>245</v>
      </c>
      <c r="H48" s="6" t="s">
        <v>288</v>
      </c>
      <c r="I48" s="6" t="s">
        <v>466</v>
      </c>
      <c r="J48" s="118">
        <f t="shared" si="10"/>
        <v>64.275904166000004</v>
      </c>
      <c r="K48" s="119">
        <f t="shared" si="11"/>
        <v>64.275904166000004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>
        <v>18.335892607999998</v>
      </c>
      <c r="T48" s="24">
        <v>30</v>
      </c>
      <c r="U48" s="24">
        <v>1.9400115580000001</v>
      </c>
      <c r="V48" s="24"/>
      <c r="W48" s="24">
        <v>14</v>
      </c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477</v>
      </c>
      <c r="F49" s="6" t="s">
        <v>19</v>
      </c>
      <c r="G49" s="6" t="s">
        <v>454</v>
      </c>
      <c r="H49" s="6" t="s">
        <v>292</v>
      </c>
      <c r="I49" s="6" t="s">
        <v>466</v>
      </c>
      <c r="J49" s="118">
        <f t="shared" si="10"/>
        <v>10.006058019999999</v>
      </c>
      <c r="K49" s="119">
        <f t="shared" si="11"/>
        <v>10.006058019999999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>
        <v>10.006058019999999</v>
      </c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478</v>
      </c>
      <c r="F50" s="6" t="s">
        <v>19</v>
      </c>
      <c r="G50" s="6" t="s">
        <v>245</v>
      </c>
      <c r="H50" s="6" t="s">
        <v>288</v>
      </c>
      <c r="I50" s="6" t="s">
        <v>466</v>
      </c>
      <c r="J50" s="118">
        <f t="shared" si="10"/>
        <v>57.256929589999999</v>
      </c>
      <c r="K50" s="119">
        <f t="shared" si="11"/>
        <v>57.256929589999999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>
        <v>45.805543671999999</v>
      </c>
      <c r="T50" s="24">
        <v>11.451385918</v>
      </c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414</v>
      </c>
      <c r="F51" s="6" t="s">
        <v>19</v>
      </c>
      <c r="G51" s="6" t="s">
        <v>245</v>
      </c>
      <c r="H51" s="6" t="s">
        <v>288</v>
      </c>
      <c r="I51" s="6" t="s">
        <v>466</v>
      </c>
      <c r="J51" s="118">
        <f t="shared" si="10"/>
        <v>86.815123509999992</v>
      </c>
      <c r="K51" s="119">
        <f t="shared" si="11"/>
        <v>86.815123509999992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>
        <v>80.159701425999998</v>
      </c>
      <c r="T51" s="24">
        <v>6.6554220840000005</v>
      </c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417</v>
      </c>
      <c r="F52" s="6" t="s">
        <v>19</v>
      </c>
      <c r="G52" s="6" t="s">
        <v>500</v>
      </c>
      <c r="H52" s="6" t="s">
        <v>305</v>
      </c>
      <c r="I52" s="6" t="s">
        <v>472</v>
      </c>
      <c r="J52" s="118">
        <f t="shared" si="10"/>
        <v>19.768845337000002</v>
      </c>
      <c r="K52" s="119">
        <f t="shared" si="11"/>
        <v>19.768845337000002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>
        <v>19.768845337000002</v>
      </c>
      <c r="T52" s="24"/>
      <c r="U52" s="24"/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479</v>
      </c>
      <c r="F53" s="6" t="s">
        <v>19</v>
      </c>
      <c r="G53" s="6" t="s">
        <v>494</v>
      </c>
      <c r="H53" s="6" t="s">
        <v>299</v>
      </c>
      <c r="I53" s="6" t="s">
        <v>466</v>
      </c>
      <c r="J53" s="118">
        <f t="shared" si="10"/>
        <v>18.264194112000002</v>
      </c>
      <c r="K53" s="119">
        <f t="shared" si="11"/>
        <v>18.264194112000002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>
        <v>18.171664578000001</v>
      </c>
      <c r="U53" s="24">
        <v>9.2529533999999997E-2</v>
      </c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457</v>
      </c>
      <c r="F54" s="6" t="s">
        <v>19</v>
      </c>
      <c r="G54" s="6" t="s">
        <v>536</v>
      </c>
      <c r="H54" s="6" t="s">
        <v>319</v>
      </c>
      <c r="I54" s="6" t="s">
        <v>472</v>
      </c>
      <c r="J54" s="118">
        <f t="shared" si="10"/>
        <v>43.443893699999997</v>
      </c>
      <c r="K54" s="119">
        <f t="shared" si="11"/>
        <v>43.443893699999997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>
        <v>43.443893699999997</v>
      </c>
      <c r="T54" s="24"/>
      <c r="U54" s="24"/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457</v>
      </c>
      <c r="F55" s="6" t="s">
        <v>19</v>
      </c>
      <c r="G55" s="6" t="s">
        <v>374</v>
      </c>
      <c r="H55" s="6" t="s">
        <v>317</v>
      </c>
      <c r="I55" s="6" t="s">
        <v>466</v>
      </c>
      <c r="J55" s="118">
        <f t="shared" si="10"/>
        <v>17.593769679000001</v>
      </c>
      <c r="K55" s="119">
        <f t="shared" si="11"/>
        <v>17.593769679000001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17.593769679000001</v>
      </c>
      <c r="T55" s="24"/>
      <c r="U55" s="24"/>
      <c r="V55" s="24"/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450</v>
      </c>
      <c r="F56" s="6" t="s">
        <v>19</v>
      </c>
      <c r="G56" s="6" t="s">
        <v>282</v>
      </c>
      <c r="H56" s="6" t="s">
        <v>283</v>
      </c>
      <c r="I56" s="6" t="s">
        <v>466</v>
      </c>
      <c r="J56" s="118">
        <f t="shared" si="10"/>
        <v>1.1014866999999999</v>
      </c>
      <c r="K56" s="119">
        <f t="shared" si="11"/>
        <v>1.1014866999999999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>
        <v>0.1625413</v>
      </c>
      <c r="T56" s="24">
        <v>0.93894539999999993</v>
      </c>
      <c r="U56" s="24"/>
      <c r="V56" s="24"/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450</v>
      </c>
      <c r="F57" s="6" t="s">
        <v>19</v>
      </c>
      <c r="G57" s="6" t="s">
        <v>282</v>
      </c>
      <c r="H57" s="6" t="s">
        <v>283</v>
      </c>
      <c r="I57" s="6" t="s">
        <v>472</v>
      </c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>
        <v>0</v>
      </c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450</v>
      </c>
      <c r="F58" s="6" t="s">
        <v>19</v>
      </c>
      <c r="G58" s="6" t="s">
        <v>500</v>
      </c>
      <c r="H58" s="6" t="s">
        <v>305</v>
      </c>
      <c r="I58" s="6" t="s">
        <v>466</v>
      </c>
      <c r="J58" s="118">
        <f t="shared" si="10"/>
        <v>4.4249754340000003</v>
      </c>
      <c r="K58" s="119">
        <f t="shared" si="11"/>
        <v>4.4249754340000003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>
        <v>1.6043460999999998E-2</v>
      </c>
      <c r="T58" s="24">
        <v>4.4089319730000005</v>
      </c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450</v>
      </c>
      <c r="F59" s="6" t="s">
        <v>19</v>
      </c>
      <c r="G59" s="6" t="s">
        <v>500</v>
      </c>
      <c r="H59" s="6" t="s">
        <v>305</v>
      </c>
      <c r="I59" s="6" t="s">
        <v>472</v>
      </c>
      <c r="J59" s="118">
        <f t="shared" si="10"/>
        <v>53.505413292999989</v>
      </c>
      <c r="K59" s="119">
        <f t="shared" si="11"/>
        <v>53.505413292999989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>
        <v>21.629273430999991</v>
      </c>
      <c r="T59" s="24">
        <v>15.202374056000002</v>
      </c>
      <c r="U59" s="24">
        <v>16.673765806000002</v>
      </c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450</v>
      </c>
      <c r="F60" s="6" t="s">
        <v>19</v>
      </c>
      <c r="G60" s="6" t="s">
        <v>256</v>
      </c>
      <c r="H60" s="6" t="s">
        <v>303</v>
      </c>
      <c r="I60" s="6" t="s">
        <v>466</v>
      </c>
      <c r="J60" s="118">
        <f t="shared" si="10"/>
        <v>62.32025250200001</v>
      </c>
      <c r="K60" s="119">
        <f t="shared" si="11"/>
        <v>62.32025250200001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>
        <v>48.597215000000013</v>
      </c>
      <c r="T60" s="24">
        <v>6.7149544999999993</v>
      </c>
      <c r="U60" s="24">
        <v>7.0080830019999993</v>
      </c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441</v>
      </c>
      <c r="F61" s="6" t="s">
        <v>19</v>
      </c>
      <c r="G61" s="6" t="s">
        <v>441</v>
      </c>
      <c r="H61" s="6" t="s">
        <v>481</v>
      </c>
      <c r="I61" s="6" t="s">
        <v>466</v>
      </c>
      <c r="J61" s="118">
        <f t="shared" si="10"/>
        <v>697.84846073999995</v>
      </c>
      <c r="K61" s="119">
        <f t="shared" si="11"/>
        <v>697.84846073999995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>
        <v>0</v>
      </c>
      <c r="T61" s="24">
        <v>697.84846073999995</v>
      </c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482</v>
      </c>
      <c r="F62" s="6" t="s">
        <v>19</v>
      </c>
      <c r="G62" s="6" t="s">
        <v>258</v>
      </c>
      <c r="H62" s="6" t="s">
        <v>306</v>
      </c>
      <c r="I62" s="6" t="s">
        <v>466</v>
      </c>
      <c r="J62" s="118">
        <f t="shared" si="10"/>
        <v>5.6337094800000003</v>
      </c>
      <c r="K62" s="119">
        <f t="shared" si="11"/>
        <v>5.6337094800000003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>
        <v>5.6337094800000003</v>
      </c>
      <c r="T62" s="24"/>
      <c r="U62" s="24">
        <v>0</v>
      </c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 t="s">
        <v>509</v>
      </c>
      <c r="F63" s="6" t="s">
        <v>19</v>
      </c>
      <c r="G63" s="6" t="s">
        <v>447</v>
      </c>
      <c r="H63" s="6" t="s">
        <v>448</v>
      </c>
      <c r="I63" s="6" t="s">
        <v>466</v>
      </c>
      <c r="J63" s="118">
        <f t="shared" si="10"/>
        <v>15.330196200999996</v>
      </c>
      <c r="K63" s="119">
        <f t="shared" si="11"/>
        <v>15.330196200999996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>
        <v>15.330196200999996</v>
      </c>
      <c r="T63" s="24"/>
      <c r="U63" s="24"/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6" t="s">
        <v>509</v>
      </c>
      <c r="F64" s="6" t="s">
        <v>19</v>
      </c>
      <c r="G64" s="6" t="s">
        <v>247</v>
      </c>
      <c r="H64" s="6" t="s">
        <v>289</v>
      </c>
      <c r="I64" s="6" t="s">
        <v>466</v>
      </c>
      <c r="J64" s="118">
        <f t="shared" si="10"/>
        <v>2.3907126999999999</v>
      </c>
      <c r="K64" s="119">
        <f t="shared" si="11"/>
        <v>2.3907126999999999</v>
      </c>
      <c r="L64" s="119">
        <f t="shared" si="12"/>
        <v>0</v>
      </c>
      <c r="N64" s="24"/>
      <c r="O64" s="24"/>
      <c r="P64" s="24"/>
      <c r="Q64" s="24"/>
      <c r="R64" s="24"/>
      <c r="S64" s="24">
        <v>2.3907126999999999</v>
      </c>
      <c r="T64" s="24"/>
      <c r="U64" s="24"/>
      <c r="V64" s="24"/>
      <c r="W64" s="24"/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6" t="s">
        <v>509</v>
      </c>
      <c r="F65" s="6" t="s">
        <v>19</v>
      </c>
      <c r="G65" s="6" t="s">
        <v>379</v>
      </c>
      <c r="H65" s="6" t="s">
        <v>291</v>
      </c>
      <c r="I65" s="6" t="s">
        <v>466</v>
      </c>
      <c r="J65" s="118">
        <f t="shared" si="10"/>
        <v>10.401400381</v>
      </c>
      <c r="K65" s="119">
        <f t="shared" si="11"/>
        <v>10.401400381</v>
      </c>
      <c r="L65" s="119">
        <f t="shared" si="12"/>
        <v>0</v>
      </c>
      <c r="N65" s="24"/>
      <c r="O65" s="24"/>
      <c r="P65" s="24"/>
      <c r="Q65" s="24"/>
      <c r="R65" s="24"/>
      <c r="S65" s="24">
        <v>10.401400381</v>
      </c>
      <c r="T65" s="24"/>
      <c r="U65" s="24"/>
      <c r="V65" s="24"/>
      <c r="W65" s="24"/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6" t="s">
        <v>509</v>
      </c>
      <c r="F66" s="6" t="s">
        <v>19</v>
      </c>
      <c r="G66" s="6" t="s">
        <v>454</v>
      </c>
      <c r="H66" s="6" t="s">
        <v>292</v>
      </c>
      <c r="I66" s="6" t="s">
        <v>466</v>
      </c>
      <c r="J66" s="118">
        <f t="shared" si="10"/>
        <v>9.7359303360000009</v>
      </c>
      <c r="K66" s="119">
        <f t="shared" si="11"/>
        <v>9.7359303360000009</v>
      </c>
      <c r="L66" s="119">
        <f t="shared" si="12"/>
        <v>0</v>
      </c>
      <c r="N66" s="24"/>
      <c r="O66" s="24"/>
      <c r="P66" s="24"/>
      <c r="Q66" s="24"/>
      <c r="R66" s="24"/>
      <c r="S66" s="24">
        <v>9.7359303360000009</v>
      </c>
      <c r="T66" s="24"/>
      <c r="U66" s="24"/>
      <c r="V66" s="24"/>
      <c r="W66" s="24"/>
      <c r="X66" s="24"/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6" t="s">
        <v>509</v>
      </c>
      <c r="F67" s="6" t="s">
        <v>19</v>
      </c>
      <c r="G67" s="6" t="s">
        <v>293</v>
      </c>
      <c r="H67" s="6" t="s">
        <v>294</v>
      </c>
      <c r="I67" s="6" t="s">
        <v>466</v>
      </c>
      <c r="J67" s="118">
        <f t="shared" si="10"/>
        <v>3.8862866359999995</v>
      </c>
      <c r="K67" s="119">
        <f t="shared" si="11"/>
        <v>3.8862866359999995</v>
      </c>
      <c r="L67" s="119">
        <f t="shared" si="12"/>
        <v>0</v>
      </c>
      <c r="N67" s="24"/>
      <c r="O67" s="24"/>
      <c r="P67" s="24"/>
      <c r="Q67" s="24"/>
      <c r="R67" s="24"/>
      <c r="S67" s="24">
        <v>3.8862866359999995</v>
      </c>
      <c r="T67" s="24"/>
      <c r="U67" s="24"/>
      <c r="V67" s="24"/>
      <c r="W67" s="24"/>
      <c r="X67" s="24"/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6" t="s">
        <v>483</v>
      </c>
      <c r="F68" s="6" t="s">
        <v>19</v>
      </c>
      <c r="G68" s="6" t="s">
        <v>258</v>
      </c>
      <c r="H68" s="6" t="s">
        <v>306</v>
      </c>
      <c r="I68" s="6" t="s">
        <v>466</v>
      </c>
      <c r="J68" s="118">
        <f t="shared" si="10"/>
        <v>19.442721626999997</v>
      </c>
      <c r="K68" s="119">
        <f t="shared" si="11"/>
        <v>19.442721626999997</v>
      </c>
      <c r="L68" s="119">
        <f t="shared" si="12"/>
        <v>0</v>
      </c>
      <c r="N68" s="24"/>
      <c r="O68" s="24"/>
      <c r="P68" s="24"/>
      <c r="Q68" s="24"/>
      <c r="R68" s="24"/>
      <c r="S68" s="24">
        <v>4.6508454009999998</v>
      </c>
      <c r="T68" s="24"/>
      <c r="U68" s="24">
        <v>14.791876225999999</v>
      </c>
      <c r="V68" s="24"/>
      <c r="W68" s="24"/>
      <c r="X68" s="24"/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6" t="s">
        <v>484</v>
      </c>
      <c r="F69" s="6" t="s">
        <v>19</v>
      </c>
      <c r="G69" s="6" t="s">
        <v>264</v>
      </c>
      <c r="H69" s="6" t="s">
        <v>310</v>
      </c>
      <c r="I69" s="6" t="s">
        <v>472</v>
      </c>
      <c r="J69" s="118">
        <f t="shared" si="10"/>
        <v>0.110184352</v>
      </c>
      <c r="K69" s="119">
        <f t="shared" si="11"/>
        <v>0.110184352</v>
      </c>
      <c r="L69" s="119">
        <f t="shared" si="12"/>
        <v>0</v>
      </c>
      <c r="N69" s="24"/>
      <c r="O69" s="24"/>
      <c r="P69" s="24"/>
      <c r="Q69" s="24"/>
      <c r="R69" s="24"/>
      <c r="S69" s="24">
        <v>0.110184352</v>
      </c>
      <c r="T69" s="24"/>
      <c r="U69" s="24"/>
      <c r="V69" s="24"/>
      <c r="W69" s="24"/>
      <c r="X69" s="24"/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6" t="s">
        <v>484</v>
      </c>
      <c r="F70" s="6" t="s">
        <v>19</v>
      </c>
      <c r="G70" s="6" t="s">
        <v>500</v>
      </c>
      <c r="H70" s="6" t="s">
        <v>305</v>
      </c>
      <c r="I70" s="6" t="s">
        <v>472</v>
      </c>
      <c r="J70" s="118">
        <f t="shared" si="10"/>
        <v>53.278013522000002</v>
      </c>
      <c r="K70" s="119">
        <f t="shared" si="11"/>
        <v>53.278013522000002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53.278013522000002</v>
      </c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6" t="s">
        <v>484</v>
      </c>
      <c r="F71" s="6" t="s">
        <v>19</v>
      </c>
      <c r="G71" s="6" t="s">
        <v>503</v>
      </c>
      <c r="H71" s="6" t="s">
        <v>311</v>
      </c>
      <c r="I71" s="6" t="s">
        <v>472</v>
      </c>
      <c r="J71" s="118">
        <f t="shared" si="10"/>
        <v>1.173521574</v>
      </c>
      <c r="K71" s="119">
        <f t="shared" si="11"/>
        <v>1.173521574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1.173521574</v>
      </c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6" t="s">
        <v>484</v>
      </c>
      <c r="F72" s="6" t="s">
        <v>19</v>
      </c>
      <c r="G72" s="6" t="s">
        <v>454</v>
      </c>
      <c r="H72" s="6" t="s">
        <v>292</v>
      </c>
      <c r="I72" s="6" t="s">
        <v>472</v>
      </c>
      <c r="J72" s="118">
        <f t="shared" si="10"/>
        <v>7.6742916369999987</v>
      </c>
      <c r="K72" s="119">
        <f t="shared" si="11"/>
        <v>7.6742916369999987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>
        <v>7.6742916369999987</v>
      </c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6" t="s">
        <v>484</v>
      </c>
      <c r="F73" s="6" t="s">
        <v>19</v>
      </c>
      <c r="G73" s="6" t="s">
        <v>370</v>
      </c>
      <c r="H73" s="6" t="s">
        <v>308</v>
      </c>
      <c r="I73" s="6" t="s">
        <v>472</v>
      </c>
      <c r="J73" s="118">
        <f t="shared" si="10"/>
        <v>29.382537232000004</v>
      </c>
      <c r="K73" s="119">
        <f t="shared" si="11"/>
        <v>29.382537232000004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>
        <v>28.902717307000003</v>
      </c>
      <c r="U73" s="24"/>
      <c r="V73" s="24"/>
      <c r="W73" s="24"/>
      <c r="X73" s="24">
        <v>0.47981992499999998</v>
      </c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6" t="s">
        <v>451</v>
      </c>
      <c r="F74" s="6" t="s">
        <v>19</v>
      </c>
      <c r="G74" s="6" t="s">
        <v>504</v>
      </c>
      <c r="H74" s="6" t="s">
        <v>307</v>
      </c>
      <c r="I74" s="6" t="s">
        <v>466</v>
      </c>
      <c r="J74" s="118">
        <f t="shared" si="10"/>
        <v>30.791920951999998</v>
      </c>
      <c r="K74" s="119">
        <f t="shared" si="11"/>
        <v>30.791920951999998</v>
      </c>
      <c r="L74" s="119">
        <f t="shared" si="12"/>
        <v>0</v>
      </c>
      <c r="N74" s="24"/>
      <c r="O74" s="24"/>
      <c r="P74" s="24"/>
      <c r="Q74" s="24"/>
      <c r="R74" s="24"/>
      <c r="S74" s="24">
        <v>4.8388599320000001</v>
      </c>
      <c r="T74" s="24"/>
      <c r="U74" s="24">
        <v>25.953061019999996</v>
      </c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6" t="s">
        <v>451</v>
      </c>
      <c r="F75" s="6" t="s">
        <v>19</v>
      </c>
      <c r="G75" s="6" t="s">
        <v>504</v>
      </c>
      <c r="H75" s="6" t="s">
        <v>307</v>
      </c>
      <c r="I75" s="6" t="s">
        <v>472</v>
      </c>
      <c r="J75" s="118">
        <f t="shared" si="10"/>
        <v>22.184576131</v>
      </c>
      <c r="K75" s="119">
        <f t="shared" si="11"/>
        <v>22.184576131</v>
      </c>
      <c r="L75" s="119">
        <f t="shared" si="12"/>
        <v>0</v>
      </c>
      <c r="N75" s="24"/>
      <c r="O75" s="24"/>
      <c r="P75" s="24"/>
      <c r="Q75" s="24"/>
      <c r="R75" s="24"/>
      <c r="S75" s="24">
        <v>22.184576131</v>
      </c>
      <c r="T75" s="24"/>
      <c r="U75" s="24"/>
      <c r="V75" s="24"/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6" t="s">
        <v>451</v>
      </c>
      <c r="F76" s="6" t="s">
        <v>19</v>
      </c>
      <c r="G76" s="6" t="s">
        <v>370</v>
      </c>
      <c r="H76" s="6" t="s">
        <v>308</v>
      </c>
      <c r="I76" s="6" t="s">
        <v>466</v>
      </c>
      <c r="J76" s="118">
        <f t="shared" si="10"/>
        <v>2.1636036089999999</v>
      </c>
      <c r="K76" s="119">
        <f t="shared" si="11"/>
        <v>2.1636036089999999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>
        <v>2.1636036089999999</v>
      </c>
      <c r="U76" s="24"/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6" t="s">
        <v>451</v>
      </c>
      <c r="F77" s="6" t="s">
        <v>19</v>
      </c>
      <c r="G77" s="6" t="s">
        <v>370</v>
      </c>
      <c r="H77" s="6" t="s">
        <v>308</v>
      </c>
      <c r="I77" s="6" t="s">
        <v>472</v>
      </c>
      <c r="J77" s="118">
        <f t="shared" si="10"/>
        <v>1.192590007</v>
      </c>
      <c r="K77" s="119">
        <f t="shared" si="11"/>
        <v>1.192590007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>
        <v>1.192590007</v>
      </c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6" t="s">
        <v>533</v>
      </c>
      <c r="F78" s="6" t="s">
        <v>19</v>
      </c>
      <c r="G78" s="6" t="s">
        <v>494</v>
      </c>
      <c r="H78" s="6" t="s">
        <v>299</v>
      </c>
      <c r="I78" s="6" t="s">
        <v>466</v>
      </c>
      <c r="J78" s="118">
        <f t="shared" si="10"/>
        <v>1.7938620000000001</v>
      </c>
      <c r="K78" s="119">
        <f t="shared" si="11"/>
        <v>1.7938620000000001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1.7938620000000001</v>
      </c>
      <c r="V78" s="24"/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6" t="s">
        <v>485</v>
      </c>
      <c r="F79" s="6" t="s">
        <v>19</v>
      </c>
      <c r="G79" s="6" t="s">
        <v>529</v>
      </c>
      <c r="H79" s="6" t="s">
        <v>530</v>
      </c>
      <c r="I79" s="6" t="s">
        <v>472</v>
      </c>
      <c r="J79" s="118">
        <f t="shared" si="10"/>
        <v>494.17683107000011</v>
      </c>
      <c r="K79" s="119">
        <f t="shared" si="11"/>
        <v>494.17683107000011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24">
        <v>494.17683107000011</v>
      </c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6" t="s">
        <v>534</v>
      </c>
      <c r="F80" s="6" t="s">
        <v>19</v>
      </c>
      <c r="G80" s="6" t="s">
        <v>537</v>
      </c>
      <c r="H80" s="6" t="s">
        <v>538</v>
      </c>
      <c r="I80" s="6" t="s">
        <v>472</v>
      </c>
      <c r="J80" s="118">
        <f t="shared" si="10"/>
        <v>0.59711550000000002</v>
      </c>
      <c r="K80" s="119">
        <f t="shared" si="11"/>
        <v>0.59711550000000002</v>
      </c>
      <c r="L80" s="119">
        <f t="shared" si="12"/>
        <v>0</v>
      </c>
      <c r="N80" s="24"/>
      <c r="O80" s="24"/>
      <c r="P80" s="24"/>
      <c r="Q80" s="24"/>
      <c r="R80" s="24"/>
      <c r="S80" s="24">
        <v>0.59711550000000002</v>
      </c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6" t="s">
        <v>268</v>
      </c>
      <c r="F81" s="6" t="s">
        <v>19</v>
      </c>
      <c r="G81" s="6" t="s">
        <v>374</v>
      </c>
      <c r="H81" s="6" t="s">
        <v>317</v>
      </c>
      <c r="I81" s="6" t="s">
        <v>466</v>
      </c>
      <c r="J81" s="118">
        <f t="shared" si="10"/>
        <v>117.92975934499999</v>
      </c>
      <c r="K81" s="119">
        <f t="shared" si="11"/>
        <v>117.92975934499999</v>
      </c>
      <c r="L81" s="119">
        <f t="shared" si="12"/>
        <v>0</v>
      </c>
      <c r="N81" s="24"/>
      <c r="O81" s="24"/>
      <c r="P81" s="24"/>
      <c r="Q81" s="24"/>
      <c r="R81" s="24"/>
      <c r="S81" s="24">
        <v>104.03012593299999</v>
      </c>
      <c r="T81" s="24">
        <v>13.848757020000001</v>
      </c>
      <c r="U81" s="24">
        <v>5.0876391999999999E-2</v>
      </c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6" t="s">
        <v>487</v>
      </c>
      <c r="F82" s="6" t="s">
        <v>19</v>
      </c>
      <c r="G82" s="6" t="s">
        <v>374</v>
      </c>
      <c r="H82" s="6" t="s">
        <v>317</v>
      </c>
      <c r="I82" s="6" t="s">
        <v>466</v>
      </c>
      <c r="J82" s="118">
        <f t="shared" si="10"/>
        <v>1.1826547569999999</v>
      </c>
      <c r="K82" s="119">
        <f t="shared" si="11"/>
        <v>1.1826547569999999</v>
      </c>
      <c r="L82" s="119">
        <f t="shared" si="12"/>
        <v>0</v>
      </c>
      <c r="N82" s="24"/>
      <c r="O82" s="24"/>
      <c r="P82" s="24"/>
      <c r="Q82" s="24"/>
      <c r="R82" s="24"/>
      <c r="S82" s="24">
        <v>1.1826547569999999</v>
      </c>
      <c r="T82" s="2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6" t="s">
        <v>488</v>
      </c>
      <c r="F83" s="6" t="s">
        <v>19</v>
      </c>
      <c r="G83" s="6" t="s">
        <v>378</v>
      </c>
      <c r="H83" s="6" t="s">
        <v>290</v>
      </c>
      <c r="I83" s="6" t="s">
        <v>466</v>
      </c>
      <c r="J83" s="118">
        <f t="shared" si="10"/>
        <v>13.684562</v>
      </c>
      <c r="K83" s="119">
        <f t="shared" si="11"/>
        <v>13.684562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>
        <v>13.684562</v>
      </c>
      <c r="V83" s="2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6" t="s">
        <v>489</v>
      </c>
      <c r="F84" s="6" t="s">
        <v>19</v>
      </c>
      <c r="G84" s="6" t="s">
        <v>247</v>
      </c>
      <c r="H84" s="6" t="s">
        <v>289</v>
      </c>
      <c r="I84" s="6" t="s">
        <v>466</v>
      </c>
      <c r="J84" s="118">
        <f t="shared" si="10"/>
        <v>0.12876121199999999</v>
      </c>
      <c r="K84" s="119">
        <f t="shared" si="11"/>
        <v>0.12876121199999999</v>
      </c>
      <c r="L84" s="119">
        <f t="shared" si="12"/>
        <v>0</v>
      </c>
      <c r="N84" s="24"/>
      <c r="O84" s="24"/>
      <c r="P84" s="24"/>
      <c r="Q84" s="24"/>
      <c r="R84" s="24"/>
      <c r="S84" s="24">
        <v>0.12876121199999999</v>
      </c>
      <c r="T84" s="24"/>
      <c r="U84" s="24"/>
      <c r="V84" s="24"/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6"/>
      <c r="F85" s="6"/>
      <c r="G85" s="6"/>
      <c r="H85" s="6"/>
      <c r="I85" s="6"/>
      <c r="J85" s="118">
        <f t="shared" si="10"/>
        <v>0</v>
      </c>
      <c r="K85" s="119">
        <f t="shared" si="11"/>
        <v>0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6"/>
      <c r="F86" s="6"/>
      <c r="G86" s="6"/>
      <c r="H86" s="6"/>
      <c r="I86" s="6"/>
      <c r="J86" s="118">
        <f t="shared" si="10"/>
        <v>0</v>
      </c>
      <c r="K86" s="119">
        <f t="shared" si="11"/>
        <v>0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6"/>
      <c r="F87" s="6"/>
      <c r="G87" s="6"/>
      <c r="H87" s="6"/>
      <c r="I87" s="6"/>
      <c r="J87" s="118">
        <f t="shared" si="10"/>
        <v>0</v>
      </c>
      <c r="K87" s="119">
        <f t="shared" si="11"/>
        <v>0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6"/>
      <c r="F88" s="6"/>
      <c r="G88" s="6"/>
      <c r="H88" s="6"/>
      <c r="I88" s="6"/>
      <c r="J88" s="118">
        <f t="shared" ref="J88:J99" si="13">+K88+L88</f>
        <v>0</v>
      </c>
      <c r="K88" s="119">
        <f t="shared" ref="K88:K99" si="14">SUM(N88:Y88)</f>
        <v>0</v>
      </c>
      <c r="L88" s="119">
        <f t="shared" ref="L88:L99" si="15">SUM(AA88:AL88)</f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6"/>
      <c r="F89" s="6"/>
      <c r="G89" s="6"/>
      <c r="H89" s="6"/>
      <c r="I89" s="6"/>
      <c r="J89" s="118">
        <f t="shared" si="13"/>
        <v>0</v>
      </c>
      <c r="K89" s="119">
        <f t="shared" si="14"/>
        <v>0</v>
      </c>
      <c r="L89" s="119">
        <f t="shared" si="15"/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>
      <c r="E90" s="305" t="s">
        <v>449</v>
      </c>
      <c r="F90" s="6"/>
      <c r="G90" s="6"/>
      <c r="H90" s="6"/>
      <c r="I90" s="6"/>
      <c r="J90" s="118">
        <f t="shared" si="13"/>
        <v>0</v>
      </c>
      <c r="K90" s="119">
        <f t="shared" si="14"/>
        <v>0</v>
      </c>
      <c r="L90" s="119">
        <f t="shared" si="15"/>
        <v>0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5:38">
      <c r="E91" s="6"/>
      <c r="F91" s="6"/>
      <c r="G91" s="6"/>
      <c r="H91" s="6"/>
      <c r="I91" s="6"/>
      <c r="J91" s="118">
        <f t="shared" si="13"/>
        <v>0</v>
      </c>
      <c r="K91" s="119">
        <f t="shared" si="14"/>
        <v>0</v>
      </c>
      <c r="L91" s="119">
        <f t="shared" si="15"/>
        <v>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5:38">
      <c r="E92" s="305" t="s">
        <v>520</v>
      </c>
      <c r="F92" s="305" t="s">
        <v>19</v>
      </c>
      <c r="G92" s="6"/>
      <c r="H92" s="6"/>
      <c r="I92" s="6"/>
      <c r="J92" s="118">
        <f t="shared" si="13"/>
        <v>24</v>
      </c>
      <c r="K92" s="119">
        <f t="shared" si="14"/>
        <v>24</v>
      </c>
      <c r="L92" s="119">
        <f t="shared" si="15"/>
        <v>0</v>
      </c>
      <c r="N92" s="24"/>
      <c r="O92" s="24"/>
      <c r="P92" s="24"/>
      <c r="Q92" s="24"/>
      <c r="R92" s="344"/>
      <c r="S92" s="344"/>
      <c r="T92" s="306"/>
      <c r="U92" s="306"/>
      <c r="V92" s="344">
        <v>24</v>
      </c>
      <c r="W92" s="24"/>
      <c r="X92" s="24"/>
      <c r="Y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5:38">
      <c r="E93" s="305" t="s">
        <v>521</v>
      </c>
      <c r="F93" s="305" t="s">
        <v>19</v>
      </c>
      <c r="G93" s="6"/>
      <c r="H93" s="6"/>
      <c r="I93" s="6"/>
      <c r="J93" s="118">
        <f t="shared" si="13"/>
        <v>45</v>
      </c>
      <c r="K93" s="119">
        <f t="shared" si="14"/>
        <v>45</v>
      </c>
      <c r="L93" s="119">
        <f t="shared" si="15"/>
        <v>0</v>
      </c>
      <c r="N93" s="24"/>
      <c r="O93" s="24"/>
      <c r="P93" s="24"/>
      <c r="Q93" s="24"/>
      <c r="R93" s="344"/>
      <c r="S93" s="344">
        <v>15</v>
      </c>
      <c r="T93" s="306"/>
      <c r="U93" s="344">
        <v>30</v>
      </c>
      <c r="V93" s="306"/>
      <c r="W93" s="24"/>
      <c r="X93" s="24"/>
      <c r="Y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</row>
    <row r="94" spans="5:38">
      <c r="E94" s="305" t="s">
        <v>522</v>
      </c>
      <c r="F94" s="305" t="s">
        <v>19</v>
      </c>
      <c r="G94" s="6"/>
      <c r="H94" s="6"/>
      <c r="I94" s="6"/>
      <c r="J94" s="118">
        <f t="shared" si="13"/>
        <v>8</v>
      </c>
      <c r="K94" s="119">
        <f t="shared" si="14"/>
        <v>8</v>
      </c>
      <c r="L94" s="119">
        <f t="shared" si="15"/>
        <v>0</v>
      </c>
      <c r="N94" s="24"/>
      <c r="O94" s="24"/>
      <c r="P94" s="24"/>
      <c r="Q94" s="24"/>
      <c r="R94" s="344"/>
      <c r="S94" s="344">
        <v>8</v>
      </c>
      <c r="T94" s="306"/>
      <c r="U94" s="306"/>
      <c r="V94" s="306"/>
      <c r="W94" s="24"/>
      <c r="X94" s="24"/>
      <c r="Y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</row>
    <row r="95" spans="5:38">
      <c r="E95" s="305" t="s">
        <v>523</v>
      </c>
      <c r="F95" s="305" t="s">
        <v>19</v>
      </c>
      <c r="G95" s="6"/>
      <c r="H95" s="6"/>
      <c r="I95" s="6"/>
      <c r="J95" s="118">
        <f t="shared" si="13"/>
        <v>14.5</v>
      </c>
      <c r="K95" s="119">
        <f t="shared" si="14"/>
        <v>14.5</v>
      </c>
      <c r="L95" s="119">
        <f t="shared" si="15"/>
        <v>0</v>
      </c>
      <c r="N95" s="24"/>
      <c r="O95" s="24"/>
      <c r="P95" s="24"/>
      <c r="Q95" s="24"/>
      <c r="R95" s="344"/>
      <c r="S95" s="344">
        <v>12</v>
      </c>
      <c r="T95" s="306">
        <v>2.5</v>
      </c>
      <c r="U95" s="306"/>
      <c r="V95" s="306"/>
      <c r="W95" s="24"/>
      <c r="X95" s="24"/>
      <c r="Y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spans="5:38">
      <c r="E96" s="305" t="s">
        <v>524</v>
      </c>
      <c r="F96" s="305" t="s">
        <v>19</v>
      </c>
      <c r="G96" s="6"/>
      <c r="H96" s="6"/>
      <c r="I96" s="6"/>
      <c r="J96" s="118">
        <f t="shared" si="13"/>
        <v>58</v>
      </c>
      <c r="K96" s="119">
        <f t="shared" si="14"/>
        <v>58</v>
      </c>
      <c r="L96" s="119">
        <f t="shared" si="15"/>
        <v>0</v>
      </c>
      <c r="N96" s="24"/>
      <c r="O96" s="24"/>
      <c r="P96" s="24"/>
      <c r="Q96" s="24"/>
      <c r="R96" s="344"/>
      <c r="S96" s="344">
        <v>58</v>
      </c>
      <c r="T96" s="306"/>
      <c r="U96" s="306"/>
      <c r="V96" s="306"/>
      <c r="W96" s="24"/>
      <c r="X96" s="24"/>
      <c r="Y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</row>
    <row r="97" spans="5:38">
      <c r="E97" s="305" t="s">
        <v>457</v>
      </c>
      <c r="F97" s="305" t="s">
        <v>19</v>
      </c>
      <c r="G97" s="6"/>
      <c r="H97" s="6"/>
      <c r="I97" s="6"/>
      <c r="J97" s="118">
        <f t="shared" si="13"/>
        <v>109</v>
      </c>
      <c r="K97" s="119">
        <f t="shared" si="14"/>
        <v>109</v>
      </c>
      <c r="L97" s="119">
        <f t="shared" si="15"/>
        <v>0</v>
      </c>
      <c r="N97" s="24"/>
      <c r="O97" s="24"/>
      <c r="P97" s="24"/>
      <c r="Q97" s="24"/>
      <c r="R97" s="24"/>
      <c r="S97" s="306">
        <v>109</v>
      </c>
      <c r="T97" s="306"/>
      <c r="U97" s="306"/>
      <c r="V97" s="306"/>
      <c r="W97" s="24"/>
      <c r="X97" s="24"/>
      <c r="Y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</row>
    <row r="98" spans="5:38">
      <c r="E98" s="305" t="s">
        <v>487</v>
      </c>
      <c r="F98" s="305" t="s">
        <v>19</v>
      </c>
      <c r="G98" s="6"/>
      <c r="H98" s="6"/>
      <c r="I98" s="6"/>
      <c r="J98" s="118">
        <f t="shared" si="13"/>
        <v>11</v>
      </c>
      <c r="K98" s="119">
        <f t="shared" si="14"/>
        <v>11</v>
      </c>
      <c r="L98" s="119">
        <f t="shared" si="15"/>
        <v>0</v>
      </c>
      <c r="N98" s="24"/>
      <c r="O98" s="24"/>
      <c r="P98" s="24"/>
      <c r="Q98" s="24"/>
      <c r="R98" s="24"/>
      <c r="S98" s="306">
        <v>11</v>
      </c>
      <c r="T98" s="306"/>
      <c r="U98" s="306"/>
      <c r="V98" s="306"/>
      <c r="W98" s="306"/>
      <c r="X98" s="306"/>
      <c r="Y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99" spans="5:38">
      <c r="E99" s="305"/>
      <c r="F99" s="305"/>
      <c r="G99" s="6"/>
      <c r="H99" s="6"/>
      <c r="I99" s="6"/>
      <c r="J99" s="118">
        <f t="shared" si="13"/>
        <v>0</v>
      </c>
      <c r="K99" s="119">
        <f t="shared" si="14"/>
        <v>0</v>
      </c>
      <c r="L99" s="119">
        <f t="shared" si="15"/>
        <v>0</v>
      </c>
      <c r="N99" s="24"/>
      <c r="O99" s="24"/>
      <c r="P99" s="24"/>
      <c r="Q99" s="24"/>
      <c r="R99" s="24"/>
      <c r="S99" s="306"/>
      <c r="T99" s="306"/>
      <c r="U99" s="306"/>
      <c r="V99" s="306"/>
      <c r="W99" s="306"/>
      <c r="X99" s="306"/>
      <c r="Y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</row>
    <row r="101" spans="5:38">
      <c r="E101" s="191" t="s">
        <v>320</v>
      </c>
      <c r="F101" s="216">
        <v>46143</v>
      </c>
      <c r="G101" s="192">
        <v>208</v>
      </c>
      <c r="H101" s="393" t="s">
        <v>321</v>
      </c>
    </row>
    <row r="102" spans="5:38">
      <c r="E102" s="195" t="s">
        <v>539</v>
      </c>
      <c r="F102" s="217"/>
      <c r="G102" s="196">
        <v>137</v>
      </c>
      <c r="H102" s="393" t="s">
        <v>321</v>
      </c>
      <c r="I102" s="299"/>
    </row>
    <row r="103" spans="5:38">
      <c r="E103" s="195" t="s">
        <v>540</v>
      </c>
      <c r="F103" s="217"/>
      <c r="G103" s="196">
        <v>75</v>
      </c>
      <c r="H103" s="393" t="s">
        <v>321</v>
      </c>
    </row>
    <row r="104" spans="5:38">
      <c r="E104" s="191" t="s">
        <v>320</v>
      </c>
      <c r="F104" s="216">
        <v>46173</v>
      </c>
      <c r="G104" s="192">
        <f>G101+G102-G103</f>
        <v>270</v>
      </c>
      <c r="H104" s="393" t="s">
        <v>321</v>
      </c>
      <c r="J104" s="299"/>
    </row>
    <row r="106" spans="5:38">
      <c r="E106" s="446" t="s">
        <v>531</v>
      </c>
      <c r="F106" s="447"/>
      <c r="G106" s="447"/>
      <c r="H106" s="447"/>
    </row>
    <row r="107" spans="5:38">
      <c r="E107" s="356" t="s">
        <v>324</v>
      </c>
      <c r="F107" s="219"/>
      <c r="G107" s="202"/>
      <c r="H107" s="219" t="s">
        <v>325</v>
      </c>
      <c r="I107" s="299">
        <f>G104-G101</f>
        <v>62</v>
      </c>
      <c r="J107" s="299">
        <f>G102-G103</f>
        <v>62</v>
      </c>
    </row>
    <row r="108" spans="5:38">
      <c r="E108" s="290" t="s">
        <v>454</v>
      </c>
      <c r="F108" s="314"/>
      <c r="G108" s="315"/>
      <c r="H108" s="392">
        <v>35</v>
      </c>
      <c r="I108" s="299"/>
    </row>
    <row r="109" spans="5:38">
      <c r="E109" s="290" t="s">
        <v>500</v>
      </c>
      <c r="F109" s="314"/>
      <c r="G109" s="315"/>
      <c r="H109" s="392">
        <v>11</v>
      </c>
      <c r="I109" s="401"/>
    </row>
    <row r="110" spans="5:38">
      <c r="E110" s="290" t="s">
        <v>374</v>
      </c>
      <c r="F110" s="314"/>
      <c r="G110" s="315"/>
      <c r="H110" s="392">
        <v>12</v>
      </c>
      <c r="I110" s="299"/>
    </row>
    <row r="111" spans="5:38">
      <c r="E111" s="290" t="s">
        <v>252</v>
      </c>
      <c r="F111" s="314"/>
      <c r="G111" s="315"/>
      <c r="H111" s="392">
        <v>6</v>
      </c>
    </row>
    <row r="112" spans="5:38">
      <c r="E112" s="290"/>
      <c r="F112" s="314"/>
      <c r="G112" s="315"/>
      <c r="H112" s="392"/>
    </row>
    <row r="113" spans="5:9">
      <c r="E113" s="387" t="s">
        <v>344</v>
      </c>
      <c r="F113" s="388"/>
      <c r="G113" s="387"/>
      <c r="H113" s="374">
        <f>SUM(H108:H112)</f>
        <v>64</v>
      </c>
    </row>
    <row r="114" spans="5:9">
      <c r="E114" s="227"/>
      <c r="F114" s="278"/>
      <c r="G114" s="227"/>
      <c r="H114" s="280"/>
      <c r="I114" s="280"/>
    </row>
    <row r="115" spans="5:9">
      <c r="E115" s="227"/>
      <c r="F115" s="278"/>
      <c r="G115" s="227"/>
      <c r="H115" s="280"/>
      <c r="I115" s="280"/>
    </row>
    <row r="116" spans="5:9">
      <c r="E116" s="227" t="s">
        <v>330</v>
      </c>
      <c r="F116" s="227"/>
      <c r="G116" s="295">
        <f>'W22'!J19</f>
        <v>3649.4797284799997</v>
      </c>
      <c r="H116" s="280"/>
      <c r="I116" s="280"/>
    </row>
    <row r="117" spans="5:9">
      <c r="E117" s="227" t="s">
        <v>331</v>
      </c>
      <c r="F117" s="227"/>
      <c r="G117" s="295">
        <f>H113</f>
        <v>64</v>
      </c>
      <c r="H117" s="280"/>
      <c r="I117" s="280"/>
    </row>
    <row r="118" spans="5:9">
      <c r="E118" s="227" t="s">
        <v>332</v>
      </c>
      <c r="F118" s="227"/>
      <c r="G118" s="295">
        <f>J12</f>
        <v>158</v>
      </c>
      <c r="H118" s="280"/>
      <c r="I118" s="280"/>
    </row>
    <row r="119" spans="5:9">
      <c r="E119" s="227" t="s">
        <v>333</v>
      </c>
      <c r="F119" s="227"/>
      <c r="G119" s="295">
        <f>G116+G117-G118</f>
        <v>3555.4797284799997</v>
      </c>
      <c r="H119" s="280"/>
      <c r="I119" s="280"/>
    </row>
    <row r="120" spans="5:9">
      <c r="E120" s="227" t="s">
        <v>334</v>
      </c>
      <c r="F120" s="227"/>
      <c r="G120" s="295">
        <f>J19</f>
        <v>3464.4907380999998</v>
      </c>
      <c r="H120" s="280"/>
      <c r="I120" s="280"/>
    </row>
    <row r="121" spans="5:9">
      <c r="E121" s="227" t="s">
        <v>335</v>
      </c>
      <c r="F121" s="227"/>
      <c r="G121" s="296">
        <f>G119-G120</f>
        <v>90.988990379999905</v>
      </c>
      <c r="H121" s="280"/>
      <c r="I121" s="280"/>
    </row>
    <row r="122" spans="5:9">
      <c r="E122" s="227"/>
      <c r="F122" s="278"/>
      <c r="G122" s="227"/>
      <c r="H122" s="280"/>
      <c r="I122" s="280"/>
    </row>
    <row r="123" spans="5:9">
      <c r="E123" s="227"/>
      <c r="F123" s="278"/>
      <c r="G123" s="227"/>
      <c r="H123" s="280"/>
      <c r="I123" s="280"/>
    </row>
    <row r="124" spans="5:9">
      <c r="E124" s="227"/>
      <c r="F124" s="278"/>
      <c r="G124" s="227"/>
      <c r="H124" s="280"/>
      <c r="I124" s="280"/>
    </row>
    <row r="125" spans="5:9">
      <c r="E125" s="227"/>
      <c r="F125" s="278"/>
      <c r="G125" s="227"/>
      <c r="H125" s="280"/>
      <c r="I125" s="280"/>
    </row>
  </sheetData>
  <sheetProtection formatCells="0" formatColumns="0" formatRows="0" insertRows="0" deleteRows="0" autoFilter="0"/>
  <autoFilter ref="E23:AL238" xr:uid="{00000000-0009-0000-0000-000019000000}"/>
  <mergeCells count="2">
    <mergeCell ref="I4:J4"/>
    <mergeCell ref="E106:H106"/>
  </mergeCells>
  <phoneticPr fontId="40"/>
  <dataValidations count="2">
    <dataValidation type="list" allowBlank="1" showInputMessage="1" showErrorMessage="1" sqref="G2" xr:uid="{00000000-0002-0000-1900-000001000000}">
      <formula1>SOCIETE</formula1>
    </dataValidation>
    <dataValidation type="list" allowBlank="1" showInputMessage="1" showErrorMessage="1" sqref="F107 F24:F99" xr:uid="{20F7FB98-CC35-4D0E-9E5C-F148F302B6F7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6:G121" unlockedFormula="1"/>
  </ignoredError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7">
    <tabColor theme="4" tint="-0.499984740745262"/>
    <pageSetUpPr fitToPage="1"/>
  </sheetPr>
  <dimension ref="D1:AL117"/>
  <sheetViews>
    <sheetView showGridLines="0" topLeftCell="A8" zoomScale="70" zoomScaleNormal="70" workbookViewId="0">
      <selection activeCell="J12" sqref="J1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108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June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June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W24</v>
      </c>
      <c r="I9" s="61"/>
      <c r="J9" s="161" t="str">
        <f>+"from "&amp;G6&amp;" 1 until end of "&amp;G4</f>
        <v>from June 1 until end of W24</v>
      </c>
      <c r="K9" s="79"/>
      <c r="L9" s="167" t="str">
        <f>+G6</f>
        <v>June</v>
      </c>
      <c r="M9" s="80"/>
      <c r="N9" s="80"/>
      <c r="O9" s="172" t="str">
        <f>+G4</f>
        <v>W24</v>
      </c>
      <c r="P9" s="173" t="str">
        <f>+VLOOKUP(G4, parameters!$G$9:$I$61,3,0)</f>
        <v>W23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600+320+797+430+396+J10</f>
        <v>2852</v>
      </c>
      <c r="I10" s="61"/>
      <c r="J10" s="159">
        <f>338-29</f>
        <v>309</v>
      </c>
      <c r="L10" s="159">
        <f>S17+J10</f>
        <v>1092.3607832749999</v>
      </c>
      <c r="N10" s="55"/>
      <c r="O10" s="170">
        <f>+H10+K17</f>
        <v>6108.3864608909998</v>
      </c>
      <c r="P10" s="171" cm="1">
        <f t="array" aca="1" ref="P10" ca="1">INDIRECT(ADDRESS(10,15,,,VLOOKUP($G$4,parameters!$G:$I,3,0)))</f>
        <v>6076.6706491259993</v>
      </c>
      <c r="Q10" s="183">
        <f ca="1">O10-P10</f>
        <v>31.715811765000581</v>
      </c>
      <c r="R10" s="86"/>
    </row>
    <row r="11" spans="5:38" ht="20.45" customHeight="1">
      <c r="E11" s="87" t="s">
        <v>224</v>
      </c>
      <c r="F11" s="88"/>
      <c r="G11" s="89"/>
      <c r="H11" s="16">
        <f>13+8+3+3+2+J11</f>
        <v>31</v>
      </c>
      <c r="I11" s="61"/>
      <c r="J11" s="16">
        <v>2</v>
      </c>
      <c r="L11" s="159">
        <f>S18+J11</f>
        <v>2</v>
      </c>
      <c r="N11" s="55"/>
      <c r="O11" s="152">
        <f>+H11+K18</f>
        <v>117.820088974</v>
      </c>
      <c r="P11" s="153" cm="1">
        <f t="array" aca="1" ref="P11" ca="1">INDIRECT(ADDRESS(11,15,,,VLOOKUP($G$4,parameters!$G:$I,3,0)))</f>
        <v>117.820088974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2883</v>
      </c>
      <c r="I12" s="293"/>
      <c r="J12" s="126">
        <f>SUM(J10:J11)</f>
        <v>311</v>
      </c>
      <c r="K12" s="65"/>
      <c r="L12" s="126">
        <f>SUM(L10:L11)</f>
        <v>1094.3607832749999</v>
      </c>
      <c r="M12" s="65"/>
      <c r="N12" s="65"/>
      <c r="O12" s="154">
        <f>SUM(O10:O11)</f>
        <v>6226.2065498649999</v>
      </c>
      <c r="P12" s="155">
        <f ca="1">SUM(P10:P11)</f>
        <v>6194.4907380999994</v>
      </c>
      <c r="Q12" s="156">
        <f t="shared" ca="1" si="0"/>
        <v>31.715811765000581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+SUMIF($F$24:$F$95,"External",$J$24:$J$95)</f>
        <v>3256.3864608909998</v>
      </c>
      <c r="K17" s="108">
        <f>+SUMIF($F$24:$F$95,"External",$K$24:$K$95)</f>
        <v>3256.3864608909998</v>
      </c>
      <c r="L17" s="109">
        <f>+SUMIF($F$24:$F$95,"External",$L$24:$L$95)</f>
        <v>0</v>
      </c>
      <c r="M17" s="110"/>
      <c r="N17" s="111">
        <f t="shared" ref="N17:Y17" si="1">+SUMIF($F$24:$F$95,"External",N$24:N$95)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783.36078327500002</v>
      </c>
      <c r="T17" s="111">
        <f t="shared" si="1"/>
        <v>1291.5615913399999</v>
      </c>
      <c r="U17" s="111">
        <f t="shared" si="1"/>
        <v>424.21196454799997</v>
      </c>
      <c r="V17" s="111">
        <f t="shared" si="1"/>
        <v>518.17683107000016</v>
      </c>
      <c r="W17" s="111">
        <f t="shared" si="1"/>
        <v>5.0183849000000009</v>
      </c>
      <c r="X17" s="111">
        <f t="shared" si="1"/>
        <v>234.05690575800003</v>
      </c>
      <c r="Y17" s="111">
        <f t="shared" si="1"/>
        <v>0</v>
      </c>
      <c r="Z17" s="112"/>
      <c r="AA17" s="111">
        <f t="shared" ref="AA17:AL17" si="2">+SUMIF($F$24:$F$95,"External",AA$24:AA$95)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+SUMIF($F$24:$F$95,"Group",$J$24:$J$95)</f>
        <v>86.820088974000001</v>
      </c>
      <c r="K18" s="113">
        <f>+SUMIF($F$24:$F$95,"Group",$K$24:$K$95)</f>
        <v>86.820088974000001</v>
      </c>
      <c r="L18" s="114">
        <f>SUMIF($F$24:$F$95,"Group",$L$24:$L$95)</f>
        <v>0</v>
      </c>
      <c r="M18" s="110"/>
      <c r="N18" s="114">
        <f t="shared" ref="N18:Y18" si="3">+SUMIF($F$24:$F$95,"Group",N$24:N$95)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76.559977846999999</v>
      </c>
      <c r="U18" s="114">
        <f t="shared" si="3"/>
        <v>10.260111127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+SUMIF($F$24:$F$95,"Group",AA$24:AA$95)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3343.2065498649999</v>
      </c>
      <c r="K19" s="115">
        <f>SUM(K17:K18)</f>
        <v>3343.2065498649999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783.36078327500002</v>
      </c>
      <c r="T19" s="116">
        <f t="shared" si="5"/>
        <v>1368.121569187</v>
      </c>
      <c r="U19" s="116">
        <f t="shared" si="5"/>
        <v>434.47207567499999</v>
      </c>
      <c r="V19" s="116">
        <f t="shared" si="5"/>
        <v>518.17683107000016</v>
      </c>
      <c r="W19" s="116">
        <f t="shared" si="5"/>
        <v>5.0183849000000009</v>
      </c>
      <c r="X19" s="116">
        <f t="shared" si="5"/>
        <v>234.05690575800003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IF(SUM(J24:J95)=J19,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467</v>
      </c>
      <c r="F24" s="7" t="s">
        <v>19</v>
      </c>
      <c r="G24" s="6" t="s">
        <v>237</v>
      </c>
      <c r="H24" s="187" t="s">
        <v>277</v>
      </c>
      <c r="I24" s="187" t="s">
        <v>466</v>
      </c>
      <c r="J24" s="118">
        <f t="shared" ref="J24" si="7">+K24+L24</f>
        <v>5.0559082999999996</v>
      </c>
      <c r="K24" s="119">
        <f t="shared" ref="K24" si="8">SUM(N24:Y24)</f>
        <v>5.0559082999999996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>
        <v>5.0559082999999996</v>
      </c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7" t="s">
        <v>19</v>
      </c>
      <c r="G25" s="6" t="s">
        <v>239</v>
      </c>
      <c r="H25" s="6" t="s">
        <v>278</v>
      </c>
      <c r="I25" s="6" t="s">
        <v>466</v>
      </c>
      <c r="J25" s="118">
        <f t="shared" ref="J25:J88" si="10">+K25+L25</f>
        <v>6.4492737049999995</v>
      </c>
      <c r="K25" s="119">
        <f t="shared" ref="K25:K88" si="11">SUM(N25:Y25)</f>
        <v>6.4492737049999995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>
        <v>4.7944134859999998</v>
      </c>
      <c r="T25" s="24"/>
      <c r="U25" s="24">
        <v>1.6548602190000001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6" t="s">
        <v>277</v>
      </c>
      <c r="I26" s="6" t="s">
        <v>466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>
        <v>8.2520863759999994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470</v>
      </c>
      <c r="F27" s="7" t="s">
        <v>19</v>
      </c>
      <c r="G27" s="6" t="s">
        <v>279</v>
      </c>
      <c r="H27" s="6" t="s">
        <v>280</v>
      </c>
      <c r="I27" s="6" t="s">
        <v>472</v>
      </c>
      <c r="J27" s="118">
        <f t="shared" si="10"/>
        <v>348.54004460100009</v>
      </c>
      <c r="K27" s="119">
        <f t="shared" si="11"/>
        <v>348.54004460100009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>
        <v>14.551091656000001</v>
      </c>
      <c r="U27" s="24">
        <v>185.83288595100004</v>
      </c>
      <c r="V27" s="24"/>
      <c r="W27" s="24"/>
      <c r="X27" s="24">
        <v>148.15606699400001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281</v>
      </c>
      <c r="F28" s="7" t="s">
        <v>19</v>
      </c>
      <c r="G28" s="6" t="s">
        <v>282</v>
      </c>
      <c r="H28" s="6" t="s">
        <v>283</v>
      </c>
      <c r="I28" s="6" t="s">
        <v>466</v>
      </c>
      <c r="J28" s="118">
        <f t="shared" si="10"/>
        <v>8.2301131049999992</v>
      </c>
      <c r="K28" s="119">
        <f t="shared" si="11"/>
        <v>8.2301131049999992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>
        <v>8.2301131049999992</v>
      </c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6" t="s">
        <v>283</v>
      </c>
      <c r="I29" s="6" t="s">
        <v>472</v>
      </c>
      <c r="J29" s="118">
        <f t="shared" si="10"/>
        <v>23.295192105999998</v>
      </c>
      <c r="K29" s="119">
        <f t="shared" si="11"/>
        <v>23.295192105999998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>
        <v>23.295192105999998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446</v>
      </c>
      <c r="F30" s="7" t="s">
        <v>19</v>
      </c>
      <c r="G30" s="6" t="s">
        <v>493</v>
      </c>
      <c r="H30" s="6" t="s">
        <v>339</v>
      </c>
      <c r="I30" s="6" t="s">
        <v>472</v>
      </c>
      <c r="J30" s="118">
        <f t="shared" si="10"/>
        <v>5.0013180090000011</v>
      </c>
      <c r="K30" s="119">
        <f t="shared" si="11"/>
        <v>5.0013180090000011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5.0013180090000011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473</v>
      </c>
      <c r="F31" s="7" t="s">
        <v>17</v>
      </c>
      <c r="G31" s="6" t="s">
        <v>493</v>
      </c>
      <c r="H31" s="6" t="s">
        <v>339</v>
      </c>
      <c r="I31" s="6" t="s">
        <v>472</v>
      </c>
      <c r="J31" s="118">
        <f t="shared" si="10"/>
        <v>86.820088974000001</v>
      </c>
      <c r="K31" s="119">
        <f t="shared" si="11"/>
        <v>86.820088974000001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>
        <v>76.559977846999999</v>
      </c>
      <c r="U31" s="24">
        <v>10.260111127</v>
      </c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474</v>
      </c>
      <c r="F32" s="6" t="s">
        <v>19</v>
      </c>
      <c r="G32" s="6" t="s">
        <v>279</v>
      </c>
      <c r="H32" s="6" t="s">
        <v>280</v>
      </c>
      <c r="I32" s="6" t="s">
        <v>472</v>
      </c>
      <c r="J32" s="118">
        <f t="shared" si="10"/>
        <v>114.986673357</v>
      </c>
      <c r="K32" s="119">
        <f t="shared" si="11"/>
        <v>114.986673357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>
        <v>114.986673357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475</v>
      </c>
      <c r="F33" s="7" t="s">
        <v>19</v>
      </c>
      <c r="G33" s="6" t="s">
        <v>245</v>
      </c>
      <c r="H33" s="6" t="s">
        <v>288</v>
      </c>
      <c r="I33" s="6" t="s">
        <v>466</v>
      </c>
      <c r="J33" s="118">
        <f t="shared" si="10"/>
        <v>11.451385918</v>
      </c>
      <c r="K33" s="119">
        <f t="shared" si="11"/>
        <v>11.451385918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>
        <v>11.451385918</v>
      </c>
      <c r="T33" s="24"/>
      <c r="U33" s="24"/>
      <c r="V33" s="24"/>
      <c r="W33" s="24"/>
      <c r="X33" s="24"/>
      <c r="Y33" s="24"/>
    </row>
    <row r="34" spans="5:25">
      <c r="E34" s="6" t="s">
        <v>476</v>
      </c>
      <c r="F34" s="7" t="s">
        <v>19</v>
      </c>
      <c r="G34" s="6" t="s">
        <v>447</v>
      </c>
      <c r="H34" s="6" t="s">
        <v>448</v>
      </c>
      <c r="I34" s="6" t="s">
        <v>466</v>
      </c>
      <c r="J34" s="118">
        <f t="shared" si="10"/>
        <v>63.591164437999993</v>
      </c>
      <c r="K34" s="119">
        <f t="shared" si="11"/>
        <v>63.591164437999993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>
        <v>20.645047338000001</v>
      </c>
      <c r="T34" s="24">
        <v>38.054758399999997</v>
      </c>
      <c r="U34" s="24"/>
      <c r="V34" s="24"/>
      <c r="W34" s="24">
        <v>4.8913587000000005</v>
      </c>
      <c r="X34" s="24"/>
      <c r="Y34" s="24"/>
    </row>
    <row r="35" spans="5:25">
      <c r="E35" s="6" t="s">
        <v>476</v>
      </c>
      <c r="F35" s="7" t="s">
        <v>19</v>
      </c>
      <c r="G35" s="6" t="s">
        <v>247</v>
      </c>
      <c r="H35" s="6" t="s">
        <v>289</v>
      </c>
      <c r="I35" s="6" t="s">
        <v>466</v>
      </c>
      <c r="J35" s="118">
        <f t="shared" si="10"/>
        <v>87.229728446000024</v>
      </c>
      <c r="K35" s="119">
        <f t="shared" si="11"/>
        <v>87.229728446000024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>
        <v>4.4953750459999995</v>
      </c>
      <c r="T35" s="24">
        <v>82.734353400000018</v>
      </c>
      <c r="U35" s="24"/>
      <c r="V35" s="24"/>
      <c r="W35" s="24"/>
      <c r="X35" s="24"/>
      <c r="Y35" s="24"/>
    </row>
    <row r="36" spans="5:25">
      <c r="E36" s="6" t="s">
        <v>476</v>
      </c>
      <c r="F36" s="7" t="s">
        <v>19</v>
      </c>
      <c r="G36" s="6" t="s">
        <v>542</v>
      </c>
      <c r="H36" s="6" t="s">
        <v>290</v>
      </c>
      <c r="I36" s="6" t="s">
        <v>466</v>
      </c>
      <c r="J36" s="118">
        <f t="shared" si="10"/>
        <v>8.4418757319999997</v>
      </c>
      <c r="K36" s="119">
        <f t="shared" si="11"/>
        <v>8.4418757319999997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>
        <v>8.4418757319999997</v>
      </c>
      <c r="T36" s="24"/>
      <c r="U36" s="24"/>
      <c r="V36" s="24"/>
      <c r="W36" s="24"/>
      <c r="X36" s="24"/>
      <c r="Y36" s="24"/>
    </row>
    <row r="37" spans="5:25">
      <c r="E37" s="6" t="s">
        <v>476</v>
      </c>
      <c r="F37" s="7" t="s">
        <v>19</v>
      </c>
      <c r="G37" s="6" t="s">
        <v>379</v>
      </c>
      <c r="H37" s="6" t="s">
        <v>291</v>
      </c>
      <c r="I37" s="6" t="s">
        <v>466</v>
      </c>
      <c r="J37" s="118">
        <f t="shared" si="10"/>
        <v>69.845002264999991</v>
      </c>
      <c r="K37" s="119">
        <f t="shared" si="11"/>
        <v>69.845002264999991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>
        <v>13.604588960999999</v>
      </c>
      <c r="T37" s="24">
        <v>56.240413303999993</v>
      </c>
      <c r="U37" s="24"/>
      <c r="V37" s="24"/>
      <c r="W37" s="24"/>
      <c r="X37" s="24"/>
      <c r="Y37" s="24"/>
    </row>
    <row r="38" spans="5:25">
      <c r="E38" s="6" t="s">
        <v>476</v>
      </c>
      <c r="F38" s="7" t="s">
        <v>19</v>
      </c>
      <c r="G38" s="6" t="s">
        <v>378</v>
      </c>
      <c r="H38" s="6" t="s">
        <v>290</v>
      </c>
      <c r="I38" s="6" t="s">
        <v>466</v>
      </c>
      <c r="J38" s="118">
        <f t="shared" si="10"/>
        <v>51.101749889999986</v>
      </c>
      <c r="K38" s="119">
        <f t="shared" si="11"/>
        <v>51.101749889999986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>
        <v>51.101749889999986</v>
      </c>
      <c r="T38" s="24"/>
      <c r="U38" s="24"/>
      <c r="V38" s="24"/>
      <c r="W38" s="24"/>
      <c r="X38" s="24"/>
      <c r="Y38" s="24"/>
    </row>
    <row r="39" spans="5:25">
      <c r="E39" s="6" t="s">
        <v>476</v>
      </c>
      <c r="F39" s="7" t="s">
        <v>19</v>
      </c>
      <c r="G39" s="6" t="s">
        <v>454</v>
      </c>
      <c r="H39" s="6" t="s">
        <v>292</v>
      </c>
      <c r="I39" s="6" t="s">
        <v>466</v>
      </c>
      <c r="J39" s="118">
        <f t="shared" si="10"/>
        <v>121.69895054399997</v>
      </c>
      <c r="K39" s="119">
        <f t="shared" si="11"/>
        <v>121.69895054399997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>
        <v>4.7921129440000012</v>
      </c>
      <c r="T39" s="24">
        <v>116.78721189999997</v>
      </c>
      <c r="U39" s="24">
        <v>0.1196257</v>
      </c>
      <c r="V39" s="24"/>
      <c r="W39" s="24"/>
      <c r="X39" s="24"/>
      <c r="Y39" s="24"/>
    </row>
    <row r="40" spans="5:25">
      <c r="E40" s="6" t="s">
        <v>476</v>
      </c>
      <c r="F40" s="7" t="s">
        <v>19</v>
      </c>
      <c r="G40" s="6" t="s">
        <v>508</v>
      </c>
      <c r="H40" s="6" t="s">
        <v>319</v>
      </c>
      <c r="I40" s="6" t="s">
        <v>466</v>
      </c>
      <c r="J40" s="118">
        <f t="shared" si="10"/>
        <v>0.45984680000000039</v>
      </c>
      <c r="K40" s="119">
        <f t="shared" si="11"/>
        <v>0.45984680000000039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>
        <v>0.45984680000000039</v>
      </c>
      <c r="T40" s="24"/>
      <c r="U40" s="24"/>
      <c r="V40" s="24"/>
      <c r="W40" s="24"/>
      <c r="X40" s="24"/>
      <c r="Y40" s="24"/>
    </row>
    <row r="41" spans="5:25">
      <c r="E41" s="6" t="s">
        <v>476</v>
      </c>
      <c r="F41" s="7" t="s">
        <v>19</v>
      </c>
      <c r="G41" s="6" t="s">
        <v>293</v>
      </c>
      <c r="H41" s="6" t="s">
        <v>294</v>
      </c>
      <c r="I41" s="6" t="s">
        <v>466</v>
      </c>
      <c r="J41" s="118">
        <f t="shared" si="10"/>
        <v>91.430537991999998</v>
      </c>
      <c r="K41" s="119">
        <f t="shared" si="11"/>
        <v>91.430537991999998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>
        <v>7.2144085919999927</v>
      </c>
      <c r="T41" s="24">
        <v>84.2161294</v>
      </c>
      <c r="U41" s="24"/>
      <c r="V41" s="24"/>
      <c r="W41" s="24"/>
      <c r="X41" s="24"/>
      <c r="Y41" s="24"/>
    </row>
    <row r="42" spans="5:25">
      <c r="E42" s="6" t="s">
        <v>476</v>
      </c>
      <c r="F42" s="7" t="s">
        <v>19</v>
      </c>
      <c r="G42" s="6" t="s">
        <v>251</v>
      </c>
      <c r="H42" s="6" t="s">
        <v>290</v>
      </c>
      <c r="I42" s="6" t="s">
        <v>466</v>
      </c>
      <c r="J42" s="118">
        <f t="shared" si="10"/>
        <v>18.101734699999998</v>
      </c>
      <c r="K42" s="119">
        <f t="shared" si="11"/>
        <v>18.101734699999998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>
        <v>0.28018470000000001</v>
      </c>
      <c r="T42" s="24">
        <v>17.821549999999998</v>
      </c>
      <c r="U42" s="24"/>
      <c r="V42" s="24"/>
      <c r="W42" s="24"/>
      <c r="X42" s="24"/>
      <c r="Y42" s="24"/>
    </row>
    <row r="43" spans="5:25">
      <c r="E43" s="6" t="s">
        <v>476</v>
      </c>
      <c r="F43" s="7" t="s">
        <v>19</v>
      </c>
      <c r="G43" s="6" t="s">
        <v>252</v>
      </c>
      <c r="H43" s="6" t="s">
        <v>295</v>
      </c>
      <c r="I43" s="6" t="s">
        <v>466</v>
      </c>
      <c r="J43" s="118">
        <f t="shared" si="10"/>
        <v>27.145771455000002</v>
      </c>
      <c r="K43" s="119">
        <f t="shared" si="11"/>
        <v>27.145771455000002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>
        <v>26.476629855000002</v>
      </c>
      <c r="T43" s="24">
        <v>0.35749999999999998</v>
      </c>
      <c r="U43" s="24">
        <v>0.18461540000000001</v>
      </c>
      <c r="V43" s="24"/>
      <c r="W43" s="24">
        <v>0.12702620000000001</v>
      </c>
      <c r="X43" s="24"/>
      <c r="Y43" s="24"/>
    </row>
    <row r="44" spans="5:25">
      <c r="E44" s="6" t="s">
        <v>476</v>
      </c>
      <c r="F44" s="7" t="s">
        <v>19</v>
      </c>
      <c r="G44" s="6" t="s">
        <v>245</v>
      </c>
      <c r="H44" s="6" t="s">
        <v>288</v>
      </c>
      <c r="I44" s="6" t="s">
        <v>466</v>
      </c>
      <c r="J44" s="118">
        <f t="shared" si="10"/>
        <v>62.754744406999983</v>
      </c>
      <c r="K44" s="119">
        <f t="shared" si="11"/>
        <v>62.754744406999983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>
        <v>16.342844949</v>
      </c>
      <c r="T44" s="24">
        <v>44.471887899999984</v>
      </c>
      <c r="U44" s="24">
        <v>1.9400115580000001</v>
      </c>
      <c r="V44" s="24"/>
      <c r="W44" s="24"/>
      <c r="X44" s="24"/>
      <c r="Y44" s="24"/>
    </row>
    <row r="45" spans="5:25">
      <c r="E45" s="6" t="s">
        <v>477</v>
      </c>
      <c r="F45" s="7" t="s">
        <v>19</v>
      </c>
      <c r="G45" s="6" t="s">
        <v>454</v>
      </c>
      <c r="H45" s="6" t="s">
        <v>292</v>
      </c>
      <c r="I45" s="6" t="s">
        <v>466</v>
      </c>
      <c r="J45" s="118">
        <f t="shared" si="10"/>
        <v>10.006058019999999</v>
      </c>
      <c r="K45" s="119">
        <f t="shared" si="11"/>
        <v>10.006058019999999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>
        <v>10.006058019999999</v>
      </c>
      <c r="U45" s="24"/>
      <c r="V45" s="24"/>
      <c r="W45" s="24"/>
      <c r="X45" s="24"/>
      <c r="Y45" s="24"/>
    </row>
    <row r="46" spans="5:25">
      <c r="E46" s="6" t="s">
        <v>478</v>
      </c>
      <c r="F46" s="7" t="s">
        <v>19</v>
      </c>
      <c r="G46" s="6" t="s">
        <v>245</v>
      </c>
      <c r="H46" s="6" t="s">
        <v>288</v>
      </c>
      <c r="I46" s="6" t="s">
        <v>466</v>
      </c>
      <c r="J46" s="118">
        <f t="shared" si="10"/>
        <v>57.256929589999999</v>
      </c>
      <c r="K46" s="119">
        <f t="shared" si="11"/>
        <v>57.256929589999999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>
        <v>45.805543671999999</v>
      </c>
      <c r="T46" s="24">
        <v>11.451385918</v>
      </c>
      <c r="U46" s="24"/>
      <c r="V46" s="24"/>
      <c r="W46" s="24"/>
      <c r="X46" s="24"/>
      <c r="Y46" s="24"/>
    </row>
    <row r="47" spans="5:25">
      <c r="E47" s="6" t="s">
        <v>414</v>
      </c>
      <c r="F47" s="7" t="s">
        <v>19</v>
      </c>
      <c r="G47" s="6" t="s">
        <v>245</v>
      </c>
      <c r="H47" s="6" t="s">
        <v>288</v>
      </c>
      <c r="I47" s="6" t="s">
        <v>466</v>
      </c>
      <c r="J47" s="118">
        <f t="shared" si="10"/>
        <v>80.159701425999998</v>
      </c>
      <c r="K47" s="119">
        <f t="shared" si="11"/>
        <v>80.159701425999998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>
        <v>80.159701425999998</v>
      </c>
      <c r="T47" s="24"/>
      <c r="U47" s="24"/>
      <c r="V47" s="24"/>
      <c r="W47" s="24"/>
      <c r="X47" s="24"/>
      <c r="Y47" s="24"/>
    </row>
    <row r="48" spans="5:25">
      <c r="E48" s="6" t="s">
        <v>417</v>
      </c>
      <c r="F48" s="7" t="s">
        <v>19</v>
      </c>
      <c r="G48" s="6" t="s">
        <v>500</v>
      </c>
      <c r="H48" s="6" t="s">
        <v>305</v>
      </c>
      <c r="I48" s="6" t="s">
        <v>472</v>
      </c>
      <c r="J48" s="118">
        <f t="shared" si="10"/>
        <v>19.768845337000002</v>
      </c>
      <c r="K48" s="119">
        <f t="shared" si="11"/>
        <v>19.768845337000002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>
        <v>19.768845337000002</v>
      </c>
      <c r="T48" s="24"/>
      <c r="U48" s="24"/>
      <c r="V48" s="24"/>
      <c r="W48" s="24"/>
      <c r="X48" s="24"/>
      <c r="Y48" s="24"/>
    </row>
    <row r="49" spans="5:25">
      <c r="E49" s="6" t="s">
        <v>479</v>
      </c>
      <c r="F49" s="7" t="s">
        <v>19</v>
      </c>
      <c r="G49" s="6" t="s">
        <v>494</v>
      </c>
      <c r="H49" s="6" t="s">
        <v>299</v>
      </c>
      <c r="I49" s="6" t="s">
        <v>466</v>
      </c>
      <c r="J49" s="118">
        <f t="shared" si="10"/>
        <v>18.264194112000002</v>
      </c>
      <c r="K49" s="119">
        <f t="shared" si="11"/>
        <v>18.264194112000002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>
        <v>18.171664578000001</v>
      </c>
      <c r="U49" s="24">
        <v>9.2529533999999997E-2</v>
      </c>
      <c r="V49" s="24"/>
      <c r="W49" s="24"/>
      <c r="X49" s="24"/>
      <c r="Y49" s="24"/>
    </row>
    <row r="50" spans="5:25">
      <c r="E50" s="6" t="s">
        <v>457</v>
      </c>
      <c r="F50" s="7" t="s">
        <v>19</v>
      </c>
      <c r="G50" s="6" t="s">
        <v>536</v>
      </c>
      <c r="H50" s="6" t="s">
        <v>319</v>
      </c>
      <c r="I50" s="6" t="s">
        <v>472</v>
      </c>
      <c r="J50" s="118">
        <f t="shared" si="10"/>
        <v>4.8802835</v>
      </c>
      <c r="K50" s="119">
        <f t="shared" si="11"/>
        <v>4.8802835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>
        <v>4.8802835</v>
      </c>
      <c r="T50" s="24"/>
      <c r="U50" s="24"/>
      <c r="V50" s="24"/>
      <c r="W50" s="24"/>
      <c r="X50" s="24"/>
      <c r="Y50" s="24"/>
    </row>
    <row r="51" spans="5:25">
      <c r="E51" s="6" t="s">
        <v>450</v>
      </c>
      <c r="F51" s="7" t="s">
        <v>19</v>
      </c>
      <c r="G51" s="6" t="s">
        <v>282</v>
      </c>
      <c r="H51" s="6" t="s">
        <v>283</v>
      </c>
      <c r="I51" s="6" t="s">
        <v>466</v>
      </c>
      <c r="J51" s="118">
        <f t="shared" si="10"/>
        <v>2.4244975760000003</v>
      </c>
      <c r="K51" s="119">
        <f t="shared" si="11"/>
        <v>2.4244975760000003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>
        <v>1.4855521760000001</v>
      </c>
      <c r="T51" s="24">
        <v>0.93894539999999993</v>
      </c>
      <c r="U51" s="24"/>
      <c r="V51" s="24"/>
      <c r="W51" s="24"/>
      <c r="X51" s="24"/>
      <c r="Y51" s="24"/>
    </row>
    <row r="52" spans="5:25">
      <c r="E52" s="6" t="s">
        <v>450</v>
      </c>
      <c r="F52" s="7" t="s">
        <v>19</v>
      </c>
      <c r="G52" s="6" t="s">
        <v>282</v>
      </c>
      <c r="H52" s="6" t="s">
        <v>283</v>
      </c>
      <c r="I52" s="6" t="s">
        <v>472</v>
      </c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>
        <v>0</v>
      </c>
      <c r="V52" s="24"/>
      <c r="W52" s="24"/>
      <c r="X52" s="24"/>
      <c r="Y52" s="24"/>
    </row>
    <row r="53" spans="5:25">
      <c r="E53" s="6" t="s">
        <v>450</v>
      </c>
      <c r="F53" s="7" t="s">
        <v>19</v>
      </c>
      <c r="G53" s="6" t="s">
        <v>500</v>
      </c>
      <c r="H53" s="6" t="s">
        <v>305</v>
      </c>
      <c r="I53" s="6" t="s">
        <v>466</v>
      </c>
      <c r="J53" s="118">
        <f t="shared" si="10"/>
        <v>4.4249754340000012</v>
      </c>
      <c r="K53" s="119">
        <f t="shared" si="11"/>
        <v>4.4249754340000012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>
        <v>1.6043460999999998E-2</v>
      </c>
      <c r="T53" s="24">
        <v>4.4089319730000014</v>
      </c>
      <c r="U53" s="24"/>
      <c r="V53" s="24"/>
      <c r="W53" s="24"/>
      <c r="X53" s="24"/>
      <c r="Y53" s="24"/>
    </row>
    <row r="54" spans="5:25">
      <c r="E54" s="6" t="s">
        <v>450</v>
      </c>
      <c r="F54" s="7" t="s">
        <v>19</v>
      </c>
      <c r="G54" s="6" t="s">
        <v>500</v>
      </c>
      <c r="H54" s="6" t="s">
        <v>305</v>
      </c>
      <c r="I54" s="6" t="s">
        <v>472</v>
      </c>
      <c r="J54" s="118">
        <f t="shared" si="10"/>
        <v>53.505413293000004</v>
      </c>
      <c r="K54" s="119">
        <f t="shared" si="11"/>
        <v>53.505413293000004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>
        <v>21.629273430999994</v>
      </c>
      <c r="T54" s="24">
        <v>15.202374056</v>
      </c>
      <c r="U54" s="24">
        <v>16.673765806000002</v>
      </c>
      <c r="V54" s="24"/>
      <c r="W54" s="24"/>
      <c r="X54" s="24"/>
      <c r="Y54" s="24"/>
    </row>
    <row r="55" spans="5:25">
      <c r="E55" s="6" t="s">
        <v>450</v>
      </c>
      <c r="F55" s="7" t="s">
        <v>19</v>
      </c>
      <c r="G55" s="6" t="s">
        <v>256</v>
      </c>
      <c r="H55" s="6" t="s">
        <v>303</v>
      </c>
      <c r="I55" s="6" t="s">
        <v>466</v>
      </c>
      <c r="J55" s="118">
        <f t="shared" si="10"/>
        <v>62.32025250200001</v>
      </c>
      <c r="K55" s="119">
        <f t="shared" si="11"/>
        <v>62.32025250200001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48.597215000000013</v>
      </c>
      <c r="T55" s="24">
        <v>6.7149544999999993</v>
      </c>
      <c r="U55" s="24">
        <v>7.0080830019999993</v>
      </c>
      <c r="V55" s="24"/>
      <c r="W55" s="24"/>
      <c r="X55" s="24"/>
      <c r="Y55" s="24"/>
    </row>
    <row r="56" spans="5:25">
      <c r="E56" s="6" t="s">
        <v>441</v>
      </c>
      <c r="F56" s="7" t="s">
        <v>19</v>
      </c>
      <c r="G56" s="6" t="s">
        <v>441</v>
      </c>
      <c r="H56" s="6" t="s">
        <v>481</v>
      </c>
      <c r="I56" s="6" t="s">
        <v>466</v>
      </c>
      <c r="J56" s="118">
        <f t="shared" si="10"/>
        <v>697.84846073999995</v>
      </c>
      <c r="K56" s="119">
        <f t="shared" si="11"/>
        <v>697.84846073999995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>
        <v>0</v>
      </c>
      <c r="T56" s="24">
        <v>697.84846073999995</v>
      </c>
      <c r="U56" s="24"/>
      <c r="V56" s="24"/>
      <c r="W56" s="24"/>
      <c r="X56" s="24"/>
      <c r="Y56" s="24"/>
    </row>
    <row r="57" spans="5:25">
      <c r="E57" s="6" t="s">
        <v>482</v>
      </c>
      <c r="F57" s="7" t="s">
        <v>19</v>
      </c>
      <c r="G57" s="6" t="s">
        <v>258</v>
      </c>
      <c r="H57" s="6" t="s">
        <v>306</v>
      </c>
      <c r="I57" s="6" t="s">
        <v>466</v>
      </c>
      <c r="J57" s="118">
        <f t="shared" si="10"/>
        <v>37.814000964999927</v>
      </c>
      <c r="K57" s="119">
        <f t="shared" si="11"/>
        <v>37.814000964999927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>
        <v>5.6337094800000003</v>
      </c>
      <c r="T57" s="24">
        <v>32.180291484999927</v>
      </c>
      <c r="U57" s="24">
        <v>0</v>
      </c>
      <c r="V57" s="24"/>
      <c r="W57" s="24"/>
      <c r="X57" s="24"/>
      <c r="Y57" s="24"/>
    </row>
    <row r="58" spans="5:25">
      <c r="E58" s="6" t="s">
        <v>509</v>
      </c>
      <c r="F58" s="7" t="s">
        <v>19</v>
      </c>
      <c r="G58" s="6" t="s">
        <v>447</v>
      </c>
      <c r="H58" s="6" t="s">
        <v>448</v>
      </c>
      <c r="I58" s="6" t="s">
        <v>466</v>
      </c>
      <c r="J58" s="118">
        <f t="shared" si="10"/>
        <v>15.330196200999996</v>
      </c>
      <c r="K58" s="119">
        <f t="shared" si="11"/>
        <v>15.330196200999996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>
        <v>15.330196200999996</v>
      </c>
      <c r="T58" s="24"/>
      <c r="U58" s="24"/>
      <c r="V58" s="24"/>
      <c r="W58" s="24"/>
      <c r="X58" s="24"/>
      <c r="Y58" s="24"/>
    </row>
    <row r="59" spans="5:25">
      <c r="E59" s="6" t="s">
        <v>509</v>
      </c>
      <c r="F59" s="7" t="s">
        <v>19</v>
      </c>
      <c r="G59" s="6" t="s">
        <v>247</v>
      </c>
      <c r="H59" s="6" t="s">
        <v>289</v>
      </c>
      <c r="I59" s="6" t="s">
        <v>466</v>
      </c>
      <c r="J59" s="118">
        <f t="shared" si="10"/>
        <v>2.3907126999999999</v>
      </c>
      <c r="K59" s="119">
        <f t="shared" si="11"/>
        <v>2.3907126999999999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>
        <v>2.3907126999999999</v>
      </c>
      <c r="T59" s="24"/>
      <c r="U59" s="24"/>
      <c r="V59" s="24"/>
      <c r="W59" s="24"/>
      <c r="X59" s="24"/>
      <c r="Y59" s="24"/>
    </row>
    <row r="60" spans="5:25">
      <c r="E60" s="6" t="s">
        <v>509</v>
      </c>
      <c r="F60" s="7" t="s">
        <v>19</v>
      </c>
      <c r="G60" s="6" t="s">
        <v>379</v>
      </c>
      <c r="H60" s="6" t="s">
        <v>291</v>
      </c>
      <c r="I60" s="6" t="s">
        <v>466</v>
      </c>
      <c r="J60" s="118">
        <f t="shared" si="10"/>
        <v>10.401400381</v>
      </c>
      <c r="K60" s="119">
        <f t="shared" si="11"/>
        <v>10.401400381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>
        <v>10.401400381</v>
      </c>
      <c r="T60" s="24"/>
      <c r="U60" s="24"/>
      <c r="V60" s="24"/>
      <c r="W60" s="24"/>
      <c r="X60" s="24"/>
      <c r="Y60" s="24"/>
    </row>
    <row r="61" spans="5:25">
      <c r="E61" s="6" t="s">
        <v>509</v>
      </c>
      <c r="F61" s="7" t="s">
        <v>19</v>
      </c>
      <c r="G61" s="6" t="s">
        <v>454</v>
      </c>
      <c r="H61" s="6" t="s">
        <v>292</v>
      </c>
      <c r="I61" s="6" t="s">
        <v>466</v>
      </c>
      <c r="J61" s="118">
        <f t="shared" si="10"/>
        <v>9.7359303359999991</v>
      </c>
      <c r="K61" s="119">
        <f t="shared" si="11"/>
        <v>9.7359303359999991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>
        <v>9.7359303359999991</v>
      </c>
      <c r="T61" s="24"/>
      <c r="U61" s="24"/>
      <c r="V61" s="24"/>
      <c r="W61" s="24"/>
      <c r="X61" s="24"/>
      <c r="Y61" s="24"/>
    </row>
    <row r="62" spans="5:25">
      <c r="E62" s="6" t="s">
        <v>509</v>
      </c>
      <c r="F62" s="7" t="s">
        <v>19</v>
      </c>
      <c r="G62" s="6" t="s">
        <v>293</v>
      </c>
      <c r="H62" s="6" t="s">
        <v>294</v>
      </c>
      <c r="I62" s="6" t="s">
        <v>466</v>
      </c>
      <c r="J62" s="118">
        <f t="shared" si="10"/>
        <v>3.8862866359999995</v>
      </c>
      <c r="K62" s="119">
        <f t="shared" si="11"/>
        <v>3.8862866359999995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>
        <v>3.8862866359999995</v>
      </c>
      <c r="T62" s="24"/>
      <c r="U62" s="24"/>
      <c r="V62" s="24"/>
      <c r="W62" s="24"/>
      <c r="X62" s="24"/>
      <c r="Y62" s="24"/>
    </row>
    <row r="63" spans="5:25">
      <c r="E63" s="6" t="s">
        <v>483</v>
      </c>
      <c r="F63" s="7" t="s">
        <v>19</v>
      </c>
      <c r="G63" s="6" t="s">
        <v>258</v>
      </c>
      <c r="H63" s="6" t="s">
        <v>306</v>
      </c>
      <c r="I63" s="6" t="s">
        <v>466</v>
      </c>
      <c r="J63" s="118">
        <f t="shared" si="10"/>
        <v>19.442721626999997</v>
      </c>
      <c r="K63" s="119">
        <f t="shared" si="11"/>
        <v>19.442721626999997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>
        <v>4.6508454009999998</v>
      </c>
      <c r="T63" s="24"/>
      <c r="U63" s="24">
        <v>14.791876225999999</v>
      </c>
      <c r="V63" s="24"/>
      <c r="W63" s="24"/>
      <c r="X63" s="24"/>
      <c r="Y63" s="24"/>
    </row>
    <row r="64" spans="5:25">
      <c r="E64" s="6" t="s">
        <v>484</v>
      </c>
      <c r="F64" s="7" t="s">
        <v>19</v>
      </c>
      <c r="G64" s="6" t="s">
        <v>264</v>
      </c>
      <c r="H64" s="6" t="s">
        <v>310</v>
      </c>
      <c r="I64" s="6" t="s">
        <v>472</v>
      </c>
      <c r="J64" s="118">
        <f t="shared" si="10"/>
        <v>0.110184352</v>
      </c>
      <c r="K64" s="119">
        <f t="shared" si="11"/>
        <v>0.110184352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>
        <v>0.110184352</v>
      </c>
      <c r="T64" s="24"/>
      <c r="U64" s="24"/>
      <c r="V64" s="24"/>
      <c r="W64" s="24"/>
      <c r="X64" s="24"/>
      <c r="Y64" s="24"/>
    </row>
    <row r="65" spans="5:25">
      <c r="E65" s="6" t="s">
        <v>484</v>
      </c>
      <c r="F65" s="7" t="s">
        <v>19</v>
      </c>
      <c r="G65" s="6" t="s">
        <v>500</v>
      </c>
      <c r="H65" s="6" t="s">
        <v>305</v>
      </c>
      <c r="I65" s="6" t="s">
        <v>472</v>
      </c>
      <c r="J65" s="118">
        <f t="shared" si="10"/>
        <v>53.278013522000002</v>
      </c>
      <c r="K65" s="119">
        <f t="shared" si="11"/>
        <v>53.278013522000002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53.278013522000002</v>
      </c>
      <c r="Y65" s="24"/>
    </row>
    <row r="66" spans="5:25">
      <c r="E66" s="6" t="s">
        <v>484</v>
      </c>
      <c r="F66" s="7" t="s">
        <v>19</v>
      </c>
      <c r="G66" s="6" t="s">
        <v>503</v>
      </c>
      <c r="H66" s="6" t="s">
        <v>311</v>
      </c>
      <c r="I66" s="6" t="s">
        <v>472</v>
      </c>
      <c r="J66" s="118">
        <f t="shared" si="10"/>
        <v>1.173521574</v>
      </c>
      <c r="K66" s="119">
        <f t="shared" si="11"/>
        <v>1.173521574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>
        <v>1.173521574</v>
      </c>
      <c r="Y66" s="24"/>
    </row>
    <row r="67" spans="5:25">
      <c r="E67" s="6" t="s">
        <v>484</v>
      </c>
      <c r="F67" s="7" t="s">
        <v>19</v>
      </c>
      <c r="G67" s="6" t="s">
        <v>454</v>
      </c>
      <c r="H67" s="6" t="s">
        <v>292</v>
      </c>
      <c r="I67" s="6" t="s">
        <v>472</v>
      </c>
      <c r="J67" s="118">
        <f t="shared" si="10"/>
        <v>7.6742916369999996</v>
      </c>
      <c r="K67" s="119">
        <f t="shared" si="11"/>
        <v>7.6742916369999996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7.6742916369999996</v>
      </c>
      <c r="Y67" s="24"/>
    </row>
    <row r="68" spans="5:25">
      <c r="E68" s="6" t="s">
        <v>484</v>
      </c>
      <c r="F68" s="7" t="s">
        <v>19</v>
      </c>
      <c r="G68" s="6" t="s">
        <v>370</v>
      </c>
      <c r="H68" s="6" t="s">
        <v>308</v>
      </c>
      <c r="I68" s="6" t="s">
        <v>472</v>
      </c>
      <c r="J68" s="118">
        <f t="shared" si="10"/>
        <v>29.382537232000004</v>
      </c>
      <c r="K68" s="119">
        <f t="shared" si="11"/>
        <v>29.382537232000004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>
        <v>28.902717307000003</v>
      </c>
      <c r="U68" s="24"/>
      <c r="V68" s="24"/>
      <c r="W68" s="24"/>
      <c r="X68" s="24">
        <v>0.47981992499999998</v>
      </c>
      <c r="Y68" s="24"/>
    </row>
    <row r="69" spans="5:25">
      <c r="E69" s="6" t="s">
        <v>451</v>
      </c>
      <c r="F69" s="7" t="s">
        <v>19</v>
      </c>
      <c r="G69" s="6" t="s">
        <v>504</v>
      </c>
      <c r="H69" s="6" t="s">
        <v>307</v>
      </c>
      <c r="I69" s="6" t="s">
        <v>466</v>
      </c>
      <c r="J69" s="118">
        <f t="shared" si="10"/>
        <v>30.791920951999998</v>
      </c>
      <c r="K69" s="119">
        <f t="shared" si="11"/>
        <v>30.791920951999998</v>
      </c>
      <c r="L69" s="119">
        <f t="shared" si="12"/>
        <v>0</v>
      </c>
      <c r="N69" s="24"/>
      <c r="O69" s="24"/>
      <c r="P69" s="24"/>
      <c r="Q69" s="24"/>
      <c r="R69" s="24"/>
      <c r="S69" s="24">
        <v>4.8388599320000001</v>
      </c>
      <c r="T69" s="24"/>
      <c r="U69" s="24">
        <v>25.953061019999996</v>
      </c>
      <c r="V69" s="24"/>
      <c r="W69" s="24"/>
      <c r="X69" s="24"/>
      <c r="Y69" s="24"/>
    </row>
    <row r="70" spans="5:25">
      <c r="E70" s="6" t="s">
        <v>451</v>
      </c>
      <c r="F70" s="7" t="s">
        <v>19</v>
      </c>
      <c r="G70" s="6" t="s">
        <v>504</v>
      </c>
      <c r="H70" s="6" t="s">
        <v>307</v>
      </c>
      <c r="I70" s="6" t="s">
        <v>472</v>
      </c>
      <c r="J70" s="118">
        <f t="shared" si="10"/>
        <v>0</v>
      </c>
      <c r="K70" s="119">
        <f t="shared" si="11"/>
        <v>0</v>
      </c>
      <c r="L70" s="119">
        <f t="shared" si="12"/>
        <v>0</v>
      </c>
      <c r="N70" s="24"/>
      <c r="O70" s="24"/>
      <c r="P70" s="24"/>
      <c r="Q70" s="24"/>
      <c r="R70" s="24"/>
      <c r="S70" s="24">
        <v>0</v>
      </c>
      <c r="T70" s="24"/>
      <c r="U70" s="24"/>
      <c r="V70" s="24"/>
      <c r="W70" s="24"/>
      <c r="X70" s="24"/>
      <c r="Y70" s="24"/>
    </row>
    <row r="71" spans="5:25">
      <c r="E71" s="6" t="s">
        <v>451</v>
      </c>
      <c r="F71" s="7" t="s">
        <v>19</v>
      </c>
      <c r="G71" s="6" t="s">
        <v>370</v>
      </c>
      <c r="H71" s="6" t="s">
        <v>308</v>
      </c>
      <c r="I71" s="6" t="s">
        <v>466</v>
      </c>
      <c r="J71" s="118">
        <f t="shared" si="10"/>
        <v>2.1636036089999999</v>
      </c>
      <c r="K71" s="119">
        <f t="shared" si="11"/>
        <v>2.1636036089999999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>
        <v>2.1636036089999999</v>
      </c>
      <c r="U71" s="24"/>
      <c r="V71" s="24"/>
      <c r="W71" s="24"/>
      <c r="X71" s="24"/>
      <c r="Y71" s="24"/>
    </row>
    <row r="72" spans="5:25">
      <c r="E72" s="6" t="s">
        <v>451</v>
      </c>
      <c r="F72" s="7" t="s">
        <v>19</v>
      </c>
      <c r="G72" s="6" t="s">
        <v>370</v>
      </c>
      <c r="H72" s="6" t="s">
        <v>308</v>
      </c>
      <c r="I72" s="6" t="s">
        <v>472</v>
      </c>
      <c r="J72" s="118">
        <f t="shared" si="10"/>
        <v>1.192590007</v>
      </c>
      <c r="K72" s="119">
        <f t="shared" si="11"/>
        <v>1.192590007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>
        <v>1.192590007</v>
      </c>
      <c r="V72" s="24"/>
      <c r="W72" s="24"/>
      <c r="X72" s="24"/>
      <c r="Y72" s="24"/>
    </row>
    <row r="73" spans="5:25">
      <c r="E73" s="6" t="s">
        <v>533</v>
      </c>
      <c r="F73" s="7" t="s">
        <v>19</v>
      </c>
      <c r="G73" s="6" t="s">
        <v>494</v>
      </c>
      <c r="H73" s="6" t="s">
        <v>299</v>
      </c>
      <c r="I73" s="6" t="s">
        <v>466</v>
      </c>
      <c r="J73" s="118">
        <f t="shared" si="10"/>
        <v>1.7938620000000001</v>
      </c>
      <c r="K73" s="119">
        <f t="shared" si="11"/>
        <v>1.7938620000000001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>
        <v>1.7938620000000001</v>
      </c>
      <c r="V73" s="24"/>
      <c r="W73" s="24"/>
      <c r="X73" s="24"/>
      <c r="Y73" s="24"/>
    </row>
    <row r="74" spans="5:25">
      <c r="E74" s="6" t="s">
        <v>485</v>
      </c>
      <c r="F74" s="7" t="s">
        <v>19</v>
      </c>
      <c r="G74" s="6" t="s">
        <v>529</v>
      </c>
      <c r="H74" s="6" t="s">
        <v>530</v>
      </c>
      <c r="I74" s="6" t="s">
        <v>472</v>
      </c>
      <c r="J74" s="118">
        <f t="shared" si="10"/>
        <v>494.17683107000011</v>
      </c>
      <c r="K74" s="119">
        <f t="shared" si="11"/>
        <v>494.17683107000011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>
        <v>494.17683107000011</v>
      </c>
      <c r="W74" s="24"/>
      <c r="X74" s="24"/>
      <c r="Y74" s="24"/>
    </row>
    <row r="75" spans="5:25">
      <c r="E75" s="6" t="s">
        <v>534</v>
      </c>
      <c r="F75" s="7" t="s">
        <v>19</v>
      </c>
      <c r="G75" s="6" t="s">
        <v>537</v>
      </c>
      <c r="H75" s="6" t="s">
        <v>538</v>
      </c>
      <c r="I75" s="6" t="s">
        <v>472</v>
      </c>
      <c r="J75" s="118">
        <f t="shared" si="10"/>
        <v>0.59711550000000002</v>
      </c>
      <c r="K75" s="119">
        <f t="shared" si="11"/>
        <v>0.59711550000000002</v>
      </c>
      <c r="L75" s="119">
        <f t="shared" si="12"/>
        <v>0</v>
      </c>
      <c r="N75" s="24"/>
      <c r="O75" s="24"/>
      <c r="P75" s="24"/>
      <c r="Q75" s="24"/>
      <c r="R75" s="24"/>
      <c r="S75" s="24">
        <v>0.59711550000000002</v>
      </c>
      <c r="T75" s="24"/>
      <c r="U75" s="24"/>
      <c r="V75" s="24"/>
      <c r="W75" s="24"/>
      <c r="X75" s="24"/>
      <c r="Y75" s="24"/>
    </row>
    <row r="76" spans="5:25">
      <c r="E76" s="6" t="s">
        <v>268</v>
      </c>
      <c r="F76" s="7" t="s">
        <v>19</v>
      </c>
      <c r="G76" s="6" t="s">
        <v>374</v>
      </c>
      <c r="H76" s="6" t="s">
        <v>317</v>
      </c>
      <c r="I76" s="6" t="s">
        <v>466</v>
      </c>
      <c r="J76" s="118">
        <f t="shared" si="10"/>
        <v>106.63204894499999</v>
      </c>
      <c r="K76" s="119">
        <f t="shared" si="11"/>
        <v>106.63204894499999</v>
      </c>
      <c r="L76" s="119">
        <f t="shared" si="12"/>
        <v>0</v>
      </c>
      <c r="N76" s="24"/>
      <c r="O76" s="24"/>
      <c r="P76" s="24"/>
      <c r="Q76" s="24"/>
      <c r="R76" s="24"/>
      <c r="S76" s="24">
        <v>100.74386475899999</v>
      </c>
      <c r="T76" s="24">
        <v>5.837307794</v>
      </c>
      <c r="U76" s="24">
        <v>5.0876391999999999E-2</v>
      </c>
      <c r="V76" s="24"/>
      <c r="W76" s="24"/>
      <c r="X76" s="24"/>
      <c r="Y76" s="24"/>
    </row>
    <row r="77" spans="5:25">
      <c r="E77" s="6" t="s">
        <v>487</v>
      </c>
      <c r="F77" s="7" t="s">
        <v>19</v>
      </c>
      <c r="G77" s="6" t="s">
        <v>374</v>
      </c>
      <c r="H77" s="6" t="s">
        <v>317</v>
      </c>
      <c r="I77" s="6" t="s">
        <v>466</v>
      </c>
      <c r="J77" s="118">
        <f t="shared" si="10"/>
        <v>1.1826547569999999</v>
      </c>
      <c r="K77" s="119">
        <f t="shared" si="11"/>
        <v>1.1826547569999999</v>
      </c>
      <c r="L77" s="119">
        <f t="shared" si="12"/>
        <v>0</v>
      </c>
      <c r="N77" s="24"/>
      <c r="O77" s="24"/>
      <c r="P77" s="24"/>
      <c r="Q77" s="24"/>
      <c r="R77" s="24"/>
      <c r="S77" s="24">
        <v>1.1826547569999999</v>
      </c>
      <c r="T77" s="24"/>
      <c r="U77" s="24"/>
      <c r="V77" s="24"/>
      <c r="W77" s="24"/>
      <c r="X77" s="24"/>
      <c r="Y77" s="24"/>
    </row>
    <row r="78" spans="5:25">
      <c r="E78" s="6" t="s">
        <v>488</v>
      </c>
      <c r="F78" s="7" t="s">
        <v>19</v>
      </c>
      <c r="G78" s="6" t="s">
        <v>378</v>
      </c>
      <c r="H78" s="6" t="s">
        <v>290</v>
      </c>
      <c r="I78" s="6" t="s">
        <v>466</v>
      </c>
      <c r="J78" s="118">
        <f t="shared" si="10"/>
        <v>13.684562</v>
      </c>
      <c r="K78" s="119">
        <f t="shared" si="11"/>
        <v>13.684562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13.684562</v>
      </c>
      <c r="V78" s="24"/>
      <c r="W78" s="24"/>
      <c r="X78" s="24"/>
      <c r="Y78" s="24"/>
    </row>
    <row r="79" spans="5:25">
      <c r="E79" s="6" t="s">
        <v>489</v>
      </c>
      <c r="F79" s="7" t="s">
        <v>19</v>
      </c>
      <c r="G79" s="6" t="s">
        <v>247</v>
      </c>
      <c r="H79" s="6" t="s">
        <v>289</v>
      </c>
      <c r="I79" s="6" t="s">
        <v>466</v>
      </c>
      <c r="J79" s="118">
        <f t="shared" si="10"/>
        <v>0.12876121199999999</v>
      </c>
      <c r="K79" s="119">
        <f t="shared" si="11"/>
        <v>0.12876121199999999</v>
      </c>
      <c r="L79" s="119">
        <f t="shared" si="12"/>
        <v>0</v>
      </c>
      <c r="N79" s="24"/>
      <c r="O79" s="24"/>
      <c r="P79" s="24"/>
      <c r="Q79" s="24"/>
      <c r="R79" s="24"/>
      <c r="S79" s="24">
        <v>0.12876121199999999</v>
      </c>
      <c r="T79" s="24"/>
      <c r="U79" s="24"/>
      <c r="V79" s="24"/>
      <c r="W79" s="24"/>
      <c r="X79" s="24"/>
      <c r="Y79" s="24"/>
    </row>
    <row r="80" spans="5:25">
      <c r="E80" s="6" t="s">
        <v>268</v>
      </c>
      <c r="F80" s="7" t="s">
        <v>19</v>
      </c>
      <c r="G80" s="6" t="s">
        <v>374</v>
      </c>
      <c r="H80" s="6" t="s">
        <v>317</v>
      </c>
      <c r="I80" s="6" t="s">
        <v>466</v>
      </c>
      <c r="J80" s="118">
        <f t="shared" si="10"/>
        <v>0</v>
      </c>
      <c r="K80" s="119">
        <f t="shared" si="11"/>
        <v>0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5:25">
      <c r="E81" s="6" t="s">
        <v>487</v>
      </c>
      <c r="F81" s="7" t="s">
        <v>19</v>
      </c>
      <c r="G81" s="6" t="s">
        <v>374</v>
      </c>
      <c r="H81" s="6" t="s">
        <v>317</v>
      </c>
      <c r="I81" s="6" t="s">
        <v>466</v>
      </c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>
      <c r="E82" s="6" t="s">
        <v>488</v>
      </c>
      <c r="F82" s="7" t="s">
        <v>19</v>
      </c>
      <c r="G82" s="6" t="s">
        <v>378</v>
      </c>
      <c r="H82" s="6" t="s">
        <v>290</v>
      </c>
      <c r="I82" s="6" t="s">
        <v>466</v>
      </c>
      <c r="J82" s="118">
        <f t="shared" si="10"/>
        <v>0</v>
      </c>
      <c r="K82" s="119">
        <f t="shared" si="11"/>
        <v>0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5:25">
      <c r="E83" s="6" t="s">
        <v>489</v>
      </c>
      <c r="F83" s="7" t="s">
        <v>19</v>
      </c>
      <c r="G83" s="6" t="s">
        <v>247</v>
      </c>
      <c r="H83" s="6" t="s">
        <v>289</v>
      </c>
      <c r="I83" s="6" t="s">
        <v>466</v>
      </c>
      <c r="J83" s="118">
        <f t="shared" si="10"/>
        <v>0</v>
      </c>
      <c r="K83" s="119">
        <f t="shared" si="11"/>
        <v>0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5:25">
      <c r="E84" s="6"/>
      <c r="F84" s="6"/>
      <c r="G84" s="6"/>
      <c r="H84" s="6"/>
      <c r="I84" s="6"/>
      <c r="J84" s="118">
        <f t="shared" si="10"/>
        <v>0</v>
      </c>
      <c r="K84" s="119">
        <f t="shared" si="11"/>
        <v>0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5:25">
      <c r="E85" s="6"/>
      <c r="F85" s="6"/>
      <c r="G85" s="6"/>
      <c r="H85" s="6"/>
      <c r="I85" s="6"/>
      <c r="J85" s="118">
        <f t="shared" si="10"/>
        <v>0</v>
      </c>
      <c r="K85" s="119">
        <f t="shared" si="11"/>
        <v>0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5:25">
      <c r="E86" s="305" t="s">
        <v>449</v>
      </c>
      <c r="F86" s="6"/>
      <c r="G86" s="6"/>
      <c r="H86" s="6"/>
      <c r="I86" s="6"/>
      <c r="J86" s="118">
        <f t="shared" si="10"/>
        <v>0</v>
      </c>
      <c r="K86" s="119">
        <f t="shared" si="11"/>
        <v>0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5:25">
      <c r="E87" s="6"/>
      <c r="F87" s="6"/>
      <c r="G87" s="6"/>
      <c r="H87" s="6"/>
      <c r="I87" s="6"/>
      <c r="J87" s="118">
        <f t="shared" si="10"/>
        <v>0</v>
      </c>
      <c r="K87" s="119">
        <f t="shared" si="11"/>
        <v>0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5:25">
      <c r="E88" s="305" t="s">
        <v>520</v>
      </c>
      <c r="F88" s="305" t="s">
        <v>19</v>
      </c>
      <c r="G88" s="6"/>
      <c r="H88" s="6"/>
      <c r="I88" s="6"/>
      <c r="J88" s="118">
        <f t="shared" si="10"/>
        <v>24</v>
      </c>
      <c r="K88" s="119">
        <f t="shared" si="11"/>
        <v>24</v>
      </c>
      <c r="L88" s="119">
        <f t="shared" si="12"/>
        <v>0</v>
      </c>
      <c r="N88" s="24"/>
      <c r="O88" s="24"/>
      <c r="P88" s="24"/>
      <c r="Q88" s="24"/>
      <c r="R88" s="24"/>
      <c r="S88" s="344"/>
      <c r="T88" s="306"/>
      <c r="U88" s="306"/>
      <c r="V88" s="344">
        <v>24</v>
      </c>
      <c r="W88" s="24"/>
      <c r="X88" s="24"/>
      <c r="Y88" s="24"/>
    </row>
    <row r="89" spans="5:25">
      <c r="E89" s="305" t="s">
        <v>521</v>
      </c>
      <c r="F89" s="305" t="s">
        <v>19</v>
      </c>
      <c r="G89" s="6"/>
      <c r="H89" s="6"/>
      <c r="I89" s="6"/>
      <c r="J89" s="118">
        <f t="shared" ref="J89:J95" si="13">+K89+L89</f>
        <v>45</v>
      </c>
      <c r="K89" s="119">
        <f t="shared" ref="K89:K95" si="14">SUM(N89:Y89)</f>
        <v>45</v>
      </c>
      <c r="L89" s="119">
        <f t="shared" ref="L89:L95" si="15">SUM(AA89:AL89)</f>
        <v>0</v>
      </c>
      <c r="N89" s="24"/>
      <c r="O89" s="24"/>
      <c r="P89" s="24"/>
      <c r="Q89" s="24"/>
      <c r="R89" s="24"/>
      <c r="S89" s="344">
        <v>15</v>
      </c>
      <c r="T89" s="306"/>
      <c r="U89" s="344">
        <v>30</v>
      </c>
      <c r="V89" s="306"/>
      <c r="W89" s="24"/>
      <c r="X89" s="24"/>
      <c r="Y89" s="24"/>
    </row>
    <row r="90" spans="5:25">
      <c r="E90" s="305" t="s">
        <v>522</v>
      </c>
      <c r="F90" s="305" t="s">
        <v>19</v>
      </c>
      <c r="G90" s="6"/>
      <c r="H90" s="6"/>
      <c r="I90" s="6"/>
      <c r="J90" s="118">
        <f t="shared" si="13"/>
        <v>8</v>
      </c>
      <c r="K90" s="119">
        <f t="shared" si="14"/>
        <v>8</v>
      </c>
      <c r="L90" s="119">
        <f t="shared" si="15"/>
        <v>0</v>
      </c>
      <c r="N90" s="24"/>
      <c r="O90" s="24"/>
      <c r="P90" s="24"/>
      <c r="Q90" s="24"/>
      <c r="R90" s="24"/>
      <c r="S90" s="344">
        <v>8</v>
      </c>
      <c r="T90" s="306"/>
      <c r="U90" s="306"/>
      <c r="V90" s="306"/>
      <c r="W90" s="24"/>
      <c r="X90" s="24"/>
      <c r="Y90" s="24"/>
    </row>
    <row r="91" spans="5:25">
      <c r="E91" s="305" t="s">
        <v>523</v>
      </c>
      <c r="F91" s="305" t="s">
        <v>19</v>
      </c>
      <c r="G91" s="6"/>
      <c r="H91" s="6"/>
      <c r="I91" s="6"/>
      <c r="J91" s="118">
        <f t="shared" si="13"/>
        <v>14.5</v>
      </c>
      <c r="K91" s="119">
        <f t="shared" si="14"/>
        <v>14.5</v>
      </c>
      <c r="L91" s="119">
        <f t="shared" si="15"/>
        <v>0</v>
      </c>
      <c r="N91" s="24"/>
      <c r="O91" s="24"/>
      <c r="P91" s="24"/>
      <c r="Q91" s="24"/>
      <c r="R91" s="24"/>
      <c r="S91" s="344">
        <v>12</v>
      </c>
      <c r="T91" s="306">
        <v>2.5</v>
      </c>
      <c r="U91" s="306"/>
      <c r="V91" s="306"/>
      <c r="W91" s="24"/>
      <c r="X91" s="24"/>
      <c r="Y91" s="24"/>
    </row>
    <row r="92" spans="5:25">
      <c r="E92" s="305" t="s">
        <v>524</v>
      </c>
      <c r="F92" s="305" t="s">
        <v>19</v>
      </c>
      <c r="G92" s="6"/>
      <c r="H92" s="6"/>
      <c r="I92" s="6"/>
      <c r="J92" s="118">
        <f t="shared" si="13"/>
        <v>58</v>
      </c>
      <c r="K92" s="119">
        <f t="shared" si="14"/>
        <v>58</v>
      </c>
      <c r="L92" s="119">
        <f t="shared" si="15"/>
        <v>0</v>
      </c>
      <c r="N92" s="24"/>
      <c r="O92" s="24"/>
      <c r="P92" s="24"/>
      <c r="Q92" s="24"/>
      <c r="R92" s="24"/>
      <c r="S92" s="344">
        <v>58</v>
      </c>
      <c r="T92" s="306"/>
      <c r="U92" s="306"/>
      <c r="V92" s="306"/>
      <c r="W92" s="24"/>
      <c r="X92" s="24"/>
      <c r="Y92" s="24"/>
    </row>
    <row r="93" spans="5:25">
      <c r="E93" s="305" t="s">
        <v>457</v>
      </c>
      <c r="F93" s="305" t="s">
        <v>19</v>
      </c>
      <c r="G93" s="6"/>
      <c r="H93" s="6"/>
      <c r="I93" s="6"/>
      <c r="J93" s="118">
        <f t="shared" si="13"/>
        <v>109</v>
      </c>
      <c r="K93" s="119">
        <f t="shared" si="14"/>
        <v>109</v>
      </c>
      <c r="L93" s="119">
        <f t="shared" si="15"/>
        <v>0</v>
      </c>
      <c r="N93" s="24"/>
      <c r="O93" s="24"/>
      <c r="P93" s="24"/>
      <c r="Q93" s="24"/>
      <c r="R93" s="24"/>
      <c r="S93" s="306">
        <v>109</v>
      </c>
      <c r="T93" s="306"/>
      <c r="U93" s="306"/>
      <c r="V93" s="306"/>
      <c r="W93" s="24"/>
      <c r="X93" s="24"/>
      <c r="Y93" s="24"/>
    </row>
    <row r="94" spans="5:25">
      <c r="E94" s="305" t="s">
        <v>487</v>
      </c>
      <c r="F94" s="305" t="s">
        <v>19</v>
      </c>
      <c r="G94" s="6"/>
      <c r="H94" s="6"/>
      <c r="I94" s="6"/>
      <c r="J94" s="118">
        <f t="shared" si="13"/>
        <v>11</v>
      </c>
      <c r="K94" s="119">
        <f t="shared" si="14"/>
        <v>11</v>
      </c>
      <c r="L94" s="119">
        <f t="shared" si="15"/>
        <v>0</v>
      </c>
      <c r="N94" s="24"/>
      <c r="O94" s="24"/>
      <c r="P94" s="24"/>
      <c r="Q94" s="24"/>
      <c r="R94" s="24"/>
      <c r="S94" s="306">
        <v>11</v>
      </c>
      <c r="T94" s="306"/>
      <c r="U94" s="306"/>
      <c r="V94" s="306"/>
      <c r="W94" s="24"/>
      <c r="X94" s="24"/>
      <c r="Y94" s="24"/>
    </row>
    <row r="95" spans="5:25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7" spans="5:9">
      <c r="E97" s="191" t="s">
        <v>320</v>
      </c>
      <c r="F97" s="216">
        <v>46143</v>
      </c>
      <c r="G97" s="192">
        <v>208</v>
      </c>
      <c r="H97" s="393" t="s">
        <v>321</v>
      </c>
    </row>
    <row r="98" spans="5:9">
      <c r="E98" s="195" t="s">
        <v>539</v>
      </c>
      <c r="F98" s="217"/>
      <c r="G98" s="196">
        <v>137</v>
      </c>
      <c r="H98" s="393" t="s">
        <v>321</v>
      </c>
    </row>
    <row r="99" spans="5:9">
      <c r="E99" s="195" t="s">
        <v>540</v>
      </c>
      <c r="F99" s="217"/>
      <c r="G99" s="196">
        <v>75</v>
      </c>
      <c r="H99" s="393" t="s">
        <v>321</v>
      </c>
    </row>
    <row r="100" spans="5:9">
      <c r="E100" s="191" t="s">
        <v>320</v>
      </c>
      <c r="F100" s="216">
        <v>46173</v>
      </c>
      <c r="G100" s="192">
        <f>G97+G98-G99</f>
        <v>270</v>
      </c>
      <c r="H100" s="393" t="s">
        <v>321</v>
      </c>
    </row>
    <row r="102" spans="5:9">
      <c r="E102" s="446" t="s">
        <v>531</v>
      </c>
      <c r="F102" s="447"/>
      <c r="G102" s="447"/>
      <c r="H102" s="447"/>
    </row>
    <row r="103" spans="5:9">
      <c r="E103" s="356" t="s">
        <v>324</v>
      </c>
      <c r="F103" s="219"/>
      <c r="G103" s="202"/>
      <c r="H103" s="219" t="s">
        <v>325</v>
      </c>
    </row>
    <row r="104" spans="5:9">
      <c r="E104" s="290" t="s">
        <v>258</v>
      </c>
      <c r="F104" s="314"/>
      <c r="G104" s="315"/>
      <c r="H104" s="402">
        <v>32</v>
      </c>
    </row>
    <row r="105" spans="5:9">
      <c r="E105" s="290" t="s">
        <v>379</v>
      </c>
      <c r="F105" s="314"/>
      <c r="G105" s="315"/>
      <c r="H105" s="402">
        <v>6</v>
      </c>
    </row>
    <row r="106" spans="5:9">
      <c r="E106" s="290" t="s">
        <v>293</v>
      </c>
      <c r="F106" s="314"/>
      <c r="G106" s="315"/>
      <c r="H106" s="402">
        <v>2</v>
      </c>
    </row>
    <row r="107" spans="5:9">
      <c r="E107" s="387" t="s">
        <v>344</v>
      </c>
      <c r="F107" s="388"/>
      <c r="G107" s="387"/>
      <c r="H107" s="403">
        <f>SUM(H104:H106)</f>
        <v>40</v>
      </c>
    </row>
    <row r="108" spans="5:9">
      <c r="E108" s="227"/>
      <c r="F108" s="278"/>
      <c r="G108" s="227"/>
      <c r="H108" s="280"/>
      <c r="I108" s="280"/>
    </row>
    <row r="109" spans="5:9">
      <c r="E109" s="205" t="s">
        <v>330</v>
      </c>
      <c r="F109" s="205"/>
      <c r="G109" s="297">
        <f>'W23'!J19</f>
        <v>3464.4907380999998</v>
      </c>
    </row>
    <row r="110" spans="5:9">
      <c r="E110" s="205" t="s">
        <v>331</v>
      </c>
      <c r="F110" s="205"/>
      <c r="G110" s="297">
        <f>H107</f>
        <v>40</v>
      </c>
    </row>
    <row r="111" spans="5:9">
      <c r="E111" s="205" t="s">
        <v>332</v>
      </c>
      <c r="F111" s="205"/>
      <c r="G111" s="297">
        <f>J12-'W23'!J12</f>
        <v>153</v>
      </c>
    </row>
    <row r="112" spans="5:9">
      <c r="E112" s="205" t="s">
        <v>333</v>
      </c>
      <c r="F112" s="205"/>
      <c r="G112" s="297">
        <f>G109+G110-G111</f>
        <v>3351.4907380999998</v>
      </c>
    </row>
    <row r="113" spans="5:9">
      <c r="E113" s="205" t="s">
        <v>334</v>
      </c>
      <c r="F113" s="205"/>
      <c r="G113" s="297">
        <f>J19</f>
        <v>3343.2065498649999</v>
      </c>
    </row>
    <row r="114" spans="5:9">
      <c r="E114" s="205" t="s">
        <v>335</v>
      </c>
      <c r="F114" s="205"/>
      <c r="G114" s="298">
        <f>G112-G113</f>
        <v>8.2841882349998741</v>
      </c>
    </row>
    <row r="115" spans="5:9">
      <c r="E115" s="205"/>
      <c r="F115" s="237"/>
      <c r="G115" s="205"/>
    </row>
    <row r="116" spans="5:9">
      <c r="E116" s="227"/>
      <c r="F116" s="278"/>
      <c r="G116" s="227"/>
      <c r="H116" s="280"/>
      <c r="I116" s="280"/>
    </row>
    <row r="117" spans="5:9">
      <c r="E117" s="227"/>
      <c r="F117" s="278"/>
      <c r="G117" s="227"/>
      <c r="H117" s="280"/>
      <c r="I117" s="280"/>
    </row>
  </sheetData>
  <sheetProtection formatCells="0" formatColumns="0" formatRows="0" insertRows="0" deleteRows="0" autoFilter="0"/>
  <autoFilter ref="E23:AL238" xr:uid="{00000000-0009-0000-0000-00001A000000}"/>
  <mergeCells count="2">
    <mergeCell ref="I4:J4"/>
    <mergeCell ref="E102:H102"/>
  </mergeCells>
  <phoneticPr fontId="40"/>
  <dataValidations count="2">
    <dataValidation type="list" allowBlank="1" showInputMessage="1" showErrorMessage="1" sqref="G2" xr:uid="{00000000-0002-0000-1A00-000000000000}">
      <formula1>SOCIETE</formula1>
    </dataValidation>
    <dataValidation type="list" allowBlank="1" showInputMessage="1" showErrorMessage="1" sqref="F24:F95 F103" xr:uid="{CA4AE2D6-2C8F-461F-9507-49E32C3EA1AC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09:G110 G112:G114" unlockedFormula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8">
    <tabColor theme="4" tint="-0.499984740745262"/>
    <pageSetUpPr fitToPage="1"/>
  </sheetPr>
  <dimension ref="D1:AL251"/>
  <sheetViews>
    <sheetView showGridLines="0" zoomScale="70" zoomScaleNormal="70" workbookViewId="0">
      <selection activeCell="J10" sqref="J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111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June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June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W25</v>
      </c>
      <c r="I9" s="61"/>
      <c r="J9" s="161" t="str">
        <f>+"from "&amp;G6&amp;" 1 until end of "&amp;G4</f>
        <v>from June 1 until end of W25</v>
      </c>
      <c r="K9" s="79"/>
      <c r="L9" s="167" t="str">
        <f>+G6</f>
        <v>June</v>
      </c>
      <c r="M9" s="80"/>
      <c r="N9" s="80"/>
      <c r="O9" s="172" t="str">
        <f>+G4</f>
        <v>W25</v>
      </c>
      <c r="P9" s="173" t="str">
        <f>+VLOOKUP(G4, parameters!$G$9:$I$61,3,0)</f>
        <v>W24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600+320+797+430+396+J10</f>
        <v>3029</v>
      </c>
      <c r="I10" s="61"/>
      <c r="J10" s="159">
        <f>486</f>
        <v>486</v>
      </c>
      <c r="L10" s="159">
        <f>S17+J10</f>
        <v>1068.0032849700001</v>
      </c>
      <c r="N10" s="55"/>
      <c r="O10" s="170">
        <f>+H10+K17</f>
        <v>6280.8944414199996</v>
      </c>
      <c r="P10" s="171" cm="1">
        <f t="array" aca="1" ref="P10" ca="1">INDIRECT(ADDRESS(10,15,,,VLOOKUP($G$4,parameters!$G:$I,3,0)))</f>
        <v>6108.3864608909998</v>
      </c>
      <c r="Q10" s="183">
        <f ca="1">O10-P10</f>
        <v>172.50798052899972</v>
      </c>
      <c r="R10" s="86"/>
    </row>
    <row r="11" spans="5:38" ht="20.45" customHeight="1">
      <c r="E11" s="87" t="s">
        <v>224</v>
      </c>
      <c r="F11" s="88"/>
      <c r="G11" s="89"/>
      <c r="H11" s="16">
        <f>13+8+3+3+2+J11</f>
        <v>31</v>
      </c>
      <c r="I11" s="61"/>
      <c r="J11" s="16">
        <v>2</v>
      </c>
      <c r="L11" s="159">
        <f>S18+J11</f>
        <v>2</v>
      </c>
      <c r="N11" s="55"/>
      <c r="O11" s="152">
        <f>+H11+K18</f>
        <v>117.820088974</v>
      </c>
      <c r="P11" s="153" cm="1">
        <f t="array" aca="1" ref="P11" ca="1">INDIRECT(ADDRESS(11,15,,,VLOOKUP($G$4,parameters!$G:$I,3,0)))</f>
        <v>117.820088974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3060</v>
      </c>
      <c r="I12" s="293"/>
      <c r="J12" s="126">
        <f>SUM(J10:J11)</f>
        <v>488</v>
      </c>
      <c r="K12" s="65"/>
      <c r="L12" s="126">
        <f>SUM(L10:L11)</f>
        <v>1070.0032849700001</v>
      </c>
      <c r="M12" s="65"/>
      <c r="N12" s="65"/>
      <c r="O12" s="154">
        <f>SUM(O10:O11)</f>
        <v>6398.7145303939997</v>
      </c>
      <c r="P12" s="155">
        <f ca="1">SUM(P10:P11)</f>
        <v>6226.2065498649999</v>
      </c>
      <c r="Q12" s="156">
        <f t="shared" ca="1" si="0"/>
        <v>172.50798052899972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+SUMIF($F$24:$F$250,"External",$J$24:$J$250)</f>
        <v>3251.89444142</v>
      </c>
      <c r="K17" s="108">
        <f>+SUMIF($F$24:$F$250,"External",$K$24:$K$250)</f>
        <v>3251.89444142</v>
      </c>
      <c r="L17" s="109">
        <f>+SUMIF($F$24:$F$250,"External",$L$24:$L$250)</f>
        <v>0</v>
      </c>
      <c r="M17" s="110"/>
      <c r="N17" s="111">
        <f t="shared" ref="N17:Y17" si="1">+SUMIF($F$24:$F$250,"External",N$24:N$250)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582.00328496999998</v>
      </c>
      <c r="T17" s="111">
        <f t="shared" si="1"/>
        <v>791.69384881100007</v>
      </c>
      <c r="U17" s="111">
        <f t="shared" si="1"/>
        <v>680.83403378700007</v>
      </c>
      <c r="V17" s="111">
        <f t="shared" si="1"/>
        <v>815.85935491000009</v>
      </c>
      <c r="W17" s="111">
        <f t="shared" si="1"/>
        <v>77.671942599999994</v>
      </c>
      <c r="X17" s="111">
        <f t="shared" si="1"/>
        <v>263.02726134200003</v>
      </c>
      <c r="Y17" s="111">
        <f t="shared" si="1"/>
        <v>40.804715000000002</v>
      </c>
      <c r="Z17" s="112"/>
      <c r="AA17" s="111">
        <f t="shared" ref="AA17:AL17" si="2">+SUMIF($F$24:$F$250,"External",AA$24:AA$250)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+SUMIF($F$24:$F$250,"Group",$J$24:$J$250)</f>
        <v>86.820088974000001</v>
      </c>
      <c r="K18" s="113">
        <f>+SUMIF($F$24:$F$250,"Group",$K$24:$K$250)</f>
        <v>86.820088974000001</v>
      </c>
      <c r="L18" s="114">
        <f>SUMIF($F$24:$F$250,"Group",$L$24:$L$250)</f>
        <v>0</v>
      </c>
      <c r="M18" s="110"/>
      <c r="N18" s="114">
        <f t="shared" ref="N18:Y18" si="3">+SUMIF($F$24:$F$250,"Group",N$24:N$250)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76.559977846999999</v>
      </c>
      <c r="U18" s="114">
        <f t="shared" si="3"/>
        <v>10.260111127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+SUMIF($F$24:$F$250,"Group",AA$24:AA$250)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3338.7145303940001</v>
      </c>
      <c r="K19" s="115">
        <f>SUM(K17:K18)</f>
        <v>3338.7145303940001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582.00328496999998</v>
      </c>
      <c r="T19" s="116">
        <f t="shared" si="5"/>
        <v>868.25382665800009</v>
      </c>
      <c r="U19" s="116">
        <f t="shared" si="5"/>
        <v>691.09414491400003</v>
      </c>
      <c r="V19" s="116">
        <f t="shared" si="5"/>
        <v>815.85935491000009</v>
      </c>
      <c r="W19" s="116">
        <f t="shared" si="5"/>
        <v>77.671942599999994</v>
      </c>
      <c r="X19" s="116">
        <f t="shared" si="5"/>
        <v>263.02726134200003</v>
      </c>
      <c r="Y19" s="116">
        <f t="shared" si="5"/>
        <v>40.804715000000002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467</v>
      </c>
      <c r="F24" s="7" t="s">
        <v>19</v>
      </c>
      <c r="G24" s="6" t="s">
        <v>237</v>
      </c>
      <c r="H24" s="187" t="s">
        <v>277</v>
      </c>
      <c r="I24" s="187" t="s">
        <v>466</v>
      </c>
      <c r="J24" s="118">
        <f t="shared" ref="J24" si="7">+K24+L24</f>
        <v>5.0559082999999996</v>
      </c>
      <c r="K24" s="119">
        <f t="shared" ref="K24" si="8">SUM(N24:Y24)</f>
        <v>5.0559082999999996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>
        <v>5.0559082999999996</v>
      </c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543</v>
      </c>
      <c r="F25" s="7" t="s">
        <v>19</v>
      </c>
      <c r="G25" s="6" t="s">
        <v>239</v>
      </c>
      <c r="H25" s="187" t="s">
        <v>278</v>
      </c>
      <c r="I25" s="187" t="s">
        <v>466</v>
      </c>
      <c r="J25" s="118">
        <f t="shared" ref="J25:J85" si="10">+K25+L25</f>
        <v>9.4273410379999998</v>
      </c>
      <c r="K25" s="119">
        <f t="shared" ref="K25:K85" si="11">SUM(N25:Y25)</f>
        <v>9.4273410379999998</v>
      </c>
      <c r="L25" s="119">
        <f t="shared" ref="L25:L85" si="12">SUM(AA25:AL25)</f>
        <v>0</v>
      </c>
      <c r="M25" s="23"/>
      <c r="N25" s="24"/>
      <c r="O25" s="24"/>
      <c r="P25" s="24"/>
      <c r="Q25" s="24"/>
      <c r="R25" s="24"/>
      <c r="S25" s="24">
        <v>7.7724808190000001</v>
      </c>
      <c r="T25" s="24"/>
      <c r="U25" s="24">
        <v>1.6548602190000001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187" t="s">
        <v>277</v>
      </c>
      <c r="I26" s="187" t="s">
        <v>466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>
        <v>8.2520863759999994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470</v>
      </c>
      <c r="F27" s="7" t="s">
        <v>19</v>
      </c>
      <c r="G27" s="6" t="s">
        <v>279</v>
      </c>
      <c r="H27" s="187" t="s">
        <v>280</v>
      </c>
      <c r="I27" s="187" t="s">
        <v>472</v>
      </c>
      <c r="J27" s="118">
        <f t="shared" si="10"/>
        <v>341.04746650600009</v>
      </c>
      <c r="K27" s="119">
        <f t="shared" si="11"/>
        <v>341.04746650600009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>
        <v>7.0585135609999998</v>
      </c>
      <c r="U27" s="24">
        <v>185.83288595100004</v>
      </c>
      <c r="V27" s="24"/>
      <c r="W27" s="24"/>
      <c r="X27" s="24">
        <v>148.15606699400001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281</v>
      </c>
      <c r="F28" s="7" t="s">
        <v>19</v>
      </c>
      <c r="G28" s="6" t="s">
        <v>282</v>
      </c>
      <c r="H28" s="187" t="s">
        <v>283</v>
      </c>
      <c r="I28" s="187" t="s">
        <v>466</v>
      </c>
      <c r="J28" s="118">
        <f t="shared" si="10"/>
        <v>9.7989637260000002</v>
      </c>
      <c r="K28" s="119">
        <f t="shared" si="11"/>
        <v>9.7989637260000002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>
        <v>8.9804532770000005</v>
      </c>
      <c r="U28" s="24">
        <v>0.81851044900000003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87" t="s">
        <v>283</v>
      </c>
      <c r="I29" s="187" t="s">
        <v>472</v>
      </c>
      <c r="J29" s="118">
        <f t="shared" si="10"/>
        <v>23.295192105999998</v>
      </c>
      <c r="K29" s="119">
        <f t="shared" si="11"/>
        <v>23.295192105999998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>
        <v>23.295192105999998</v>
      </c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446</v>
      </c>
      <c r="F30" s="7" t="s">
        <v>19</v>
      </c>
      <c r="G30" s="6" t="s">
        <v>285</v>
      </c>
      <c r="H30" s="187" t="s">
        <v>286</v>
      </c>
      <c r="I30" s="187" t="s">
        <v>472</v>
      </c>
      <c r="J30" s="118">
        <f t="shared" si="10"/>
        <v>1.8723552809999999</v>
      </c>
      <c r="K30" s="119">
        <f t="shared" si="11"/>
        <v>1.8723552809999999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1.8723552809999999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7" t="s">
        <v>19</v>
      </c>
      <c r="G31" s="6" t="s">
        <v>493</v>
      </c>
      <c r="H31" s="187" t="s">
        <v>339</v>
      </c>
      <c r="I31" s="187" t="s">
        <v>472</v>
      </c>
      <c r="J31" s="118">
        <f t="shared" si="10"/>
        <v>3.1289627279999999</v>
      </c>
      <c r="K31" s="119">
        <f t="shared" si="11"/>
        <v>3.1289627279999999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>
        <v>3.1289627279999999</v>
      </c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7" t="s">
        <v>17</v>
      </c>
      <c r="G32" s="6" t="s">
        <v>493</v>
      </c>
      <c r="H32" s="187" t="s">
        <v>339</v>
      </c>
      <c r="I32" s="187" t="s">
        <v>472</v>
      </c>
      <c r="J32" s="118">
        <f t="shared" si="10"/>
        <v>86.820088974000001</v>
      </c>
      <c r="K32" s="119">
        <f t="shared" si="11"/>
        <v>86.820088974000001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>
        <v>76.559977846999999</v>
      </c>
      <c r="U32" s="24">
        <v>10.260111127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474</v>
      </c>
      <c r="F33" s="7" t="s">
        <v>19</v>
      </c>
      <c r="G33" s="6" t="s">
        <v>279</v>
      </c>
      <c r="H33" s="187" t="s">
        <v>280</v>
      </c>
      <c r="I33" s="187" t="s">
        <v>472</v>
      </c>
      <c r="J33" s="118">
        <f t="shared" si="10"/>
        <v>114.986673357</v>
      </c>
      <c r="K33" s="119">
        <f t="shared" si="11"/>
        <v>114.986673357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>
        <v>114.986673357</v>
      </c>
      <c r="V33" s="24"/>
      <c r="W33" s="24"/>
      <c r="X33" s="24"/>
      <c r="Y33" s="24"/>
    </row>
    <row r="34" spans="5:25">
      <c r="E34" s="6" t="s">
        <v>475</v>
      </c>
      <c r="F34" s="7" t="s">
        <v>19</v>
      </c>
      <c r="G34" s="6" t="s">
        <v>245</v>
      </c>
      <c r="H34" s="187" t="s">
        <v>288</v>
      </c>
      <c r="I34" s="187" t="s">
        <v>466</v>
      </c>
      <c r="J34" s="118">
        <f t="shared" si="10"/>
        <v>11.451385918</v>
      </c>
      <c r="K34" s="119">
        <f t="shared" si="11"/>
        <v>11.451385918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>
        <v>11.451385918</v>
      </c>
      <c r="T34" s="24"/>
      <c r="U34" s="24"/>
      <c r="V34" s="24"/>
      <c r="W34" s="24"/>
      <c r="X34" s="24"/>
      <c r="Y34" s="24"/>
    </row>
    <row r="35" spans="5:25">
      <c r="E35" s="6" t="s">
        <v>476</v>
      </c>
      <c r="F35" s="7" t="s">
        <v>19</v>
      </c>
      <c r="G35" s="6" t="s">
        <v>247</v>
      </c>
      <c r="H35" s="187" t="s">
        <v>289</v>
      </c>
      <c r="I35" s="187" t="s">
        <v>466</v>
      </c>
      <c r="J35" s="118">
        <f t="shared" si="10"/>
        <v>86.63247203100002</v>
      </c>
      <c r="K35" s="119">
        <f t="shared" si="11"/>
        <v>86.63247203100002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>
        <v>5.6233700000000005E-2</v>
      </c>
      <c r="T35" s="24">
        <v>16.6099134</v>
      </c>
      <c r="U35" s="24">
        <v>23.789104931000001</v>
      </c>
      <c r="V35" s="24">
        <v>19.947219999999998</v>
      </c>
      <c r="W35" s="24">
        <v>11.99428</v>
      </c>
      <c r="X35" s="24">
        <v>7.1178600000000003</v>
      </c>
      <c r="Y35" s="24">
        <v>7.1178600000000003</v>
      </c>
    </row>
    <row r="36" spans="5:25">
      <c r="E36" s="6" t="s">
        <v>476</v>
      </c>
      <c r="F36" s="7" t="s">
        <v>19</v>
      </c>
      <c r="G36" s="6" t="s">
        <v>379</v>
      </c>
      <c r="H36" s="187" t="s">
        <v>291</v>
      </c>
      <c r="I36" s="187" t="s">
        <v>466</v>
      </c>
      <c r="J36" s="118">
        <f t="shared" si="10"/>
        <v>68.986881264999994</v>
      </c>
      <c r="K36" s="119">
        <f t="shared" si="11"/>
        <v>68.986881264999994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>
        <v>6.6636308999999994</v>
      </c>
      <c r="T36" s="24">
        <v>18.367501655999991</v>
      </c>
      <c r="U36" s="24">
        <v>15.484308709</v>
      </c>
      <c r="V36" s="24">
        <v>14.235720000000001</v>
      </c>
      <c r="W36" s="24">
        <v>7.1178600000000003</v>
      </c>
      <c r="X36" s="24">
        <v>7.1178600000000003</v>
      </c>
      <c r="Y36" s="24"/>
    </row>
    <row r="37" spans="5:25">
      <c r="E37" s="6" t="s">
        <v>476</v>
      </c>
      <c r="F37" s="7" t="s">
        <v>19</v>
      </c>
      <c r="G37" s="6" t="s">
        <v>454</v>
      </c>
      <c r="H37" s="187" t="s">
        <v>292</v>
      </c>
      <c r="I37" s="187" t="s">
        <v>466</v>
      </c>
      <c r="J37" s="118">
        <f t="shared" si="10"/>
        <v>120.069172682</v>
      </c>
      <c r="K37" s="119">
        <f t="shared" si="11"/>
        <v>120.069172682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>
        <v>3.1623350820000002</v>
      </c>
      <c r="T37" s="24">
        <v>39.21401130000001</v>
      </c>
      <c r="U37" s="24">
        <v>14.610465700000001</v>
      </c>
      <c r="V37" s="24">
        <v>7.2454200000000002</v>
      </c>
      <c r="W37" s="24">
        <v>34.100680599999997</v>
      </c>
      <c r="X37" s="24">
        <v>14.49084</v>
      </c>
      <c r="Y37" s="24">
        <v>7.2454200000000002</v>
      </c>
    </row>
    <row r="38" spans="5:25">
      <c r="E38" s="6" t="s">
        <v>476</v>
      </c>
      <c r="F38" s="7" t="s">
        <v>19</v>
      </c>
      <c r="G38" s="6" t="s">
        <v>293</v>
      </c>
      <c r="H38" s="187" t="s">
        <v>294</v>
      </c>
      <c r="I38" s="187" t="s">
        <v>466</v>
      </c>
      <c r="J38" s="118">
        <f t="shared" si="10"/>
        <v>87.41923937</v>
      </c>
      <c r="K38" s="119">
        <f t="shared" si="11"/>
        <v>87.41923937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>
        <v>3.2031099699999945</v>
      </c>
      <c r="T38" s="24"/>
      <c r="U38" s="24">
        <v>4.8918244</v>
      </c>
      <c r="V38" s="24">
        <v>4.8918244</v>
      </c>
      <c r="W38" s="24">
        <v>24.459122000000001</v>
      </c>
      <c r="X38" s="24">
        <v>23.531923600000002</v>
      </c>
      <c r="Y38" s="24">
        <v>26.441435000000002</v>
      </c>
    </row>
    <row r="39" spans="5:25">
      <c r="E39" s="6" t="s">
        <v>476</v>
      </c>
      <c r="F39" s="7" t="s">
        <v>19</v>
      </c>
      <c r="G39" s="6" t="s">
        <v>447</v>
      </c>
      <c r="H39" s="187" t="s">
        <v>448</v>
      </c>
      <c r="I39" s="187" t="s">
        <v>466</v>
      </c>
      <c r="J39" s="118">
        <f t="shared" si="10"/>
        <v>45.522751299999996</v>
      </c>
      <c r="K39" s="119">
        <f t="shared" si="11"/>
        <v>45.522751299999996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>
        <v>20.468817299999998</v>
      </c>
      <c r="T39" s="24">
        <v>20.162109600000001</v>
      </c>
      <c r="U39" s="24">
        <v>4.8918244</v>
      </c>
      <c r="V39" s="24"/>
      <c r="W39" s="24"/>
      <c r="X39" s="24"/>
      <c r="Y39" s="24"/>
    </row>
    <row r="40" spans="5:25">
      <c r="E40" s="6" t="s">
        <v>476</v>
      </c>
      <c r="F40" s="7" t="s">
        <v>19</v>
      </c>
      <c r="G40" s="6" t="s">
        <v>252</v>
      </c>
      <c r="H40" s="187" t="s">
        <v>295</v>
      </c>
      <c r="I40" s="187" t="s">
        <v>466</v>
      </c>
      <c r="J40" s="118">
        <f t="shared" si="10"/>
        <v>26.343813232000009</v>
      </c>
      <c r="K40" s="119">
        <f t="shared" si="11"/>
        <v>26.343813232000009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>
        <v>4.8062901</v>
      </c>
      <c r="T40" s="24">
        <v>21.537523132000008</v>
      </c>
      <c r="U40" s="24"/>
      <c r="V40" s="24"/>
      <c r="W40" s="24"/>
      <c r="X40" s="24"/>
      <c r="Y40" s="24"/>
    </row>
    <row r="41" spans="5:25">
      <c r="E41" s="6" t="s">
        <v>476</v>
      </c>
      <c r="F41" s="7" t="s">
        <v>19</v>
      </c>
      <c r="G41" s="6" t="s">
        <v>245</v>
      </c>
      <c r="H41" s="187" t="s">
        <v>288</v>
      </c>
      <c r="I41" s="187" t="s">
        <v>466</v>
      </c>
      <c r="J41" s="118">
        <f t="shared" si="10"/>
        <v>64.84023887299999</v>
      </c>
      <c r="K41" s="119">
        <f t="shared" si="11"/>
        <v>64.84023887299999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>
        <v>20.220698618999997</v>
      </c>
      <c r="T41" s="24">
        <v>41.492361151999994</v>
      </c>
      <c r="U41" s="24">
        <v>3.1271791020000004</v>
      </c>
      <c r="V41" s="24"/>
      <c r="W41" s="24"/>
      <c r="X41" s="24"/>
      <c r="Y41" s="24"/>
    </row>
    <row r="42" spans="5:25">
      <c r="E42" s="6" t="s">
        <v>476</v>
      </c>
      <c r="F42" s="7" t="s">
        <v>19</v>
      </c>
      <c r="G42" s="6" t="s">
        <v>378</v>
      </c>
      <c r="H42" s="187" t="s">
        <v>290</v>
      </c>
      <c r="I42" s="187" t="s">
        <v>466</v>
      </c>
      <c r="J42" s="118">
        <f t="shared" si="10"/>
        <v>34.770606268000002</v>
      </c>
      <c r="K42" s="119">
        <f t="shared" si="11"/>
        <v>34.770606268000002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>
        <v>6.839553529999999</v>
      </c>
      <c r="T42" s="24">
        <v>24.366742737999999</v>
      </c>
      <c r="U42" s="24">
        <v>3.5643099999999999</v>
      </c>
      <c r="V42" s="24"/>
      <c r="W42" s="24"/>
      <c r="X42" s="24"/>
      <c r="Y42" s="24"/>
    </row>
    <row r="43" spans="5:25">
      <c r="E43" s="6" t="s">
        <v>476</v>
      </c>
      <c r="F43" s="7" t="s">
        <v>19</v>
      </c>
      <c r="G43" s="6" t="s">
        <v>508</v>
      </c>
      <c r="H43" s="187" t="s">
        <v>319</v>
      </c>
      <c r="I43" s="187" t="s">
        <v>466</v>
      </c>
      <c r="J43" s="118">
        <f t="shared" si="10"/>
        <v>0.45984680000000028</v>
      </c>
      <c r="K43" s="119">
        <f t="shared" si="11"/>
        <v>0.45984680000000028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>
        <v>0.45984680000000028</v>
      </c>
      <c r="T43" s="24"/>
      <c r="U43" s="24"/>
      <c r="V43" s="24"/>
      <c r="W43" s="24"/>
      <c r="X43" s="24"/>
      <c r="Y43" s="24"/>
    </row>
    <row r="44" spans="5:25">
      <c r="E44" s="6" t="s">
        <v>477</v>
      </c>
      <c r="F44" s="7" t="s">
        <v>19</v>
      </c>
      <c r="G44" s="6" t="s">
        <v>454</v>
      </c>
      <c r="H44" s="187" t="s">
        <v>292</v>
      </c>
      <c r="I44" s="187" t="s">
        <v>466</v>
      </c>
      <c r="J44" s="118">
        <f t="shared" si="10"/>
        <v>10.006058019999999</v>
      </c>
      <c r="K44" s="119">
        <f t="shared" si="11"/>
        <v>10.006058019999999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>
        <v>10.006058019999999</v>
      </c>
      <c r="U44" s="24"/>
      <c r="V44" s="24"/>
      <c r="W44" s="24"/>
      <c r="X44" s="24"/>
      <c r="Y44" s="24"/>
    </row>
    <row r="45" spans="5:25">
      <c r="E45" s="6" t="s">
        <v>478</v>
      </c>
      <c r="F45" s="7" t="s">
        <v>19</v>
      </c>
      <c r="G45" s="6" t="s">
        <v>245</v>
      </c>
      <c r="H45" s="187" t="s">
        <v>288</v>
      </c>
      <c r="I45" s="187" t="s">
        <v>466</v>
      </c>
      <c r="J45" s="118">
        <f t="shared" si="10"/>
        <v>57.256929589999999</v>
      </c>
      <c r="K45" s="119">
        <f t="shared" si="11"/>
        <v>57.256929589999999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>
        <v>57.256929589999999</v>
      </c>
      <c r="T45" s="24"/>
      <c r="U45" s="24"/>
      <c r="V45" s="24"/>
      <c r="W45" s="24"/>
      <c r="X45" s="24"/>
      <c r="Y45" s="24"/>
    </row>
    <row r="46" spans="5:25">
      <c r="E46" s="6" t="s">
        <v>414</v>
      </c>
      <c r="F46" s="7" t="s">
        <v>19</v>
      </c>
      <c r="G46" s="6" t="s">
        <v>245</v>
      </c>
      <c r="H46" s="187" t="s">
        <v>288</v>
      </c>
      <c r="I46" s="187" t="s">
        <v>466</v>
      </c>
      <c r="J46" s="118">
        <f t="shared" si="10"/>
        <v>80.159701425999998</v>
      </c>
      <c r="K46" s="119">
        <f t="shared" si="11"/>
        <v>80.159701425999998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>
        <v>80.159701425999998</v>
      </c>
      <c r="T46" s="24"/>
      <c r="U46" s="24"/>
      <c r="V46" s="24"/>
      <c r="W46" s="24"/>
      <c r="X46" s="24"/>
      <c r="Y46" s="24"/>
    </row>
    <row r="47" spans="5:25">
      <c r="E47" s="6" t="s">
        <v>417</v>
      </c>
      <c r="F47" s="7" t="s">
        <v>19</v>
      </c>
      <c r="G47" s="6" t="s">
        <v>500</v>
      </c>
      <c r="H47" s="187" t="s">
        <v>305</v>
      </c>
      <c r="I47" s="187" t="s">
        <v>472</v>
      </c>
      <c r="J47" s="118">
        <f t="shared" si="10"/>
        <v>19.768845337000002</v>
      </c>
      <c r="K47" s="119">
        <f t="shared" si="11"/>
        <v>19.768845337000002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>
        <v>19.768845337000002</v>
      </c>
      <c r="V47" s="24"/>
      <c r="W47" s="24"/>
      <c r="X47" s="24"/>
      <c r="Y47" s="24"/>
    </row>
    <row r="48" spans="5:25">
      <c r="E48" s="6" t="s">
        <v>479</v>
      </c>
      <c r="F48" s="7" t="s">
        <v>19</v>
      </c>
      <c r="G48" s="6" t="s">
        <v>494</v>
      </c>
      <c r="H48" s="187" t="s">
        <v>299</v>
      </c>
      <c r="I48" s="187" t="s">
        <v>466</v>
      </c>
      <c r="J48" s="118">
        <f t="shared" si="10"/>
        <v>18.264194112000002</v>
      </c>
      <c r="K48" s="119">
        <f t="shared" si="11"/>
        <v>18.264194112000002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>
        <v>18.171664578000001</v>
      </c>
      <c r="U48" s="24">
        <v>9.2529533999999997E-2</v>
      </c>
      <c r="V48" s="24"/>
      <c r="W48" s="24"/>
      <c r="X48" s="24"/>
      <c r="Y48" s="24"/>
    </row>
    <row r="49" spans="5:25">
      <c r="E49" s="6" t="s">
        <v>544</v>
      </c>
      <c r="F49" s="7" t="s">
        <v>19</v>
      </c>
      <c r="G49" s="6" t="s">
        <v>374</v>
      </c>
      <c r="H49" s="187" t="s">
        <v>317</v>
      </c>
      <c r="I49" s="187" t="s">
        <v>466</v>
      </c>
      <c r="J49" s="118">
        <f t="shared" si="10"/>
        <v>0.109614113</v>
      </c>
      <c r="K49" s="119">
        <f t="shared" si="11"/>
        <v>0.109614113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>
        <v>0.109614113</v>
      </c>
      <c r="T49" s="24"/>
      <c r="U49" s="24"/>
      <c r="V49" s="24"/>
      <c r="W49" s="24"/>
      <c r="X49" s="24"/>
      <c r="Y49" s="24"/>
    </row>
    <row r="50" spans="5:25">
      <c r="E50" s="6" t="s">
        <v>457</v>
      </c>
      <c r="F50" s="7" t="s">
        <v>19</v>
      </c>
      <c r="G50" s="6" t="s">
        <v>495</v>
      </c>
      <c r="H50" s="187" t="s">
        <v>319</v>
      </c>
      <c r="I50" s="187" t="s">
        <v>472</v>
      </c>
      <c r="J50" s="118">
        <f t="shared" si="10"/>
        <v>3.5497507000000001</v>
      </c>
      <c r="K50" s="119">
        <f t="shared" si="11"/>
        <v>3.5497507000000001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>
        <v>3.5497507000000001</v>
      </c>
      <c r="T50" s="24"/>
      <c r="U50" s="24"/>
      <c r="V50" s="24"/>
      <c r="W50" s="24"/>
      <c r="X50" s="24"/>
      <c r="Y50" s="24"/>
    </row>
    <row r="51" spans="5:25">
      <c r="E51" s="6" t="s">
        <v>450</v>
      </c>
      <c r="F51" s="7" t="s">
        <v>19</v>
      </c>
      <c r="G51" s="6" t="s">
        <v>282</v>
      </c>
      <c r="H51" s="187" t="s">
        <v>283</v>
      </c>
      <c r="I51" s="187" t="s">
        <v>466</v>
      </c>
      <c r="J51" s="118">
        <f t="shared" si="10"/>
        <v>2.4244975759999998</v>
      </c>
      <c r="K51" s="119">
        <f t="shared" si="11"/>
        <v>2.4244975759999998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>
        <v>1.4855521759999999</v>
      </c>
      <c r="T51" s="24">
        <v>0.93894539999999993</v>
      </c>
      <c r="U51" s="24"/>
      <c r="V51" s="24"/>
      <c r="W51" s="24"/>
      <c r="X51" s="24"/>
      <c r="Y51" s="24"/>
    </row>
    <row r="52" spans="5:25">
      <c r="E52" s="6" t="s">
        <v>450</v>
      </c>
      <c r="F52" s="7" t="s">
        <v>19</v>
      </c>
      <c r="G52" s="6" t="s">
        <v>500</v>
      </c>
      <c r="H52" s="187" t="s">
        <v>305</v>
      </c>
      <c r="I52" s="187" t="s">
        <v>466</v>
      </c>
      <c r="J52" s="118">
        <f t="shared" si="10"/>
        <v>4.4249754339999994</v>
      </c>
      <c r="K52" s="119">
        <f t="shared" si="11"/>
        <v>4.4249754339999994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>
        <v>1.6043460999999998E-2</v>
      </c>
      <c r="T52" s="24">
        <v>4.4089319729999996</v>
      </c>
      <c r="U52" s="24"/>
      <c r="V52" s="24"/>
      <c r="W52" s="24"/>
      <c r="X52" s="24"/>
      <c r="Y52" s="24"/>
    </row>
    <row r="53" spans="5:25">
      <c r="E53" s="6" t="s">
        <v>450</v>
      </c>
      <c r="F53" s="7" t="s">
        <v>19</v>
      </c>
      <c r="G53" s="6" t="s">
        <v>256</v>
      </c>
      <c r="H53" s="187" t="s">
        <v>303</v>
      </c>
      <c r="I53" s="187" t="s">
        <v>466</v>
      </c>
      <c r="J53" s="118">
        <f t="shared" si="10"/>
        <v>206.39499050200001</v>
      </c>
      <c r="K53" s="119">
        <f t="shared" si="11"/>
        <v>206.39499050200001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>
        <v>80.737135800000004</v>
      </c>
      <c r="T53" s="24">
        <v>6.7149544999999993</v>
      </c>
      <c r="U53" s="24">
        <v>7.0080830019999993</v>
      </c>
      <c r="V53" s="24">
        <v>111.9348172</v>
      </c>
      <c r="W53" s="24"/>
      <c r="X53" s="24"/>
      <c r="Y53" s="24"/>
    </row>
    <row r="54" spans="5:25">
      <c r="E54" s="6" t="s">
        <v>450</v>
      </c>
      <c r="F54" s="7" t="s">
        <v>19</v>
      </c>
      <c r="G54" s="6" t="s">
        <v>282</v>
      </c>
      <c r="H54" s="187" t="s">
        <v>283</v>
      </c>
      <c r="I54" s="187" t="s">
        <v>472</v>
      </c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>
        <v>0</v>
      </c>
      <c r="V54" s="24"/>
      <c r="W54" s="24"/>
      <c r="X54" s="24"/>
      <c r="Y54" s="24"/>
    </row>
    <row r="55" spans="5:25">
      <c r="E55" s="6" t="s">
        <v>450</v>
      </c>
      <c r="F55" s="7" t="s">
        <v>19</v>
      </c>
      <c r="G55" s="6" t="s">
        <v>500</v>
      </c>
      <c r="H55" s="187" t="s">
        <v>305</v>
      </c>
      <c r="I55" s="187" t="s">
        <v>472</v>
      </c>
      <c r="J55" s="118">
        <f t="shared" si="10"/>
        <v>44.346774895000003</v>
      </c>
      <c r="K55" s="119">
        <f t="shared" si="11"/>
        <v>44.346774895000003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18.556556133000001</v>
      </c>
      <c r="T55" s="24">
        <v>9.1164529559999998</v>
      </c>
      <c r="U55" s="24">
        <v>16.673765806000002</v>
      </c>
      <c r="V55" s="24"/>
      <c r="W55" s="24"/>
      <c r="X55" s="24"/>
      <c r="Y55" s="24"/>
    </row>
    <row r="56" spans="5:25">
      <c r="E56" s="6" t="s">
        <v>496</v>
      </c>
      <c r="F56" s="7" t="s">
        <v>19</v>
      </c>
      <c r="G56" s="6" t="s">
        <v>500</v>
      </c>
      <c r="H56" s="187" t="s">
        <v>305</v>
      </c>
      <c r="I56" s="187" t="s">
        <v>472</v>
      </c>
      <c r="J56" s="118">
        <f t="shared" si="10"/>
        <v>6.0859211000000002</v>
      </c>
      <c r="K56" s="119">
        <f t="shared" si="11"/>
        <v>6.0859211000000002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>
        <v>6.0859211000000002</v>
      </c>
      <c r="U56" s="24"/>
      <c r="V56" s="24"/>
      <c r="W56" s="24"/>
      <c r="X56" s="24"/>
      <c r="Y56" s="24"/>
    </row>
    <row r="57" spans="5:25">
      <c r="E57" s="6" t="s">
        <v>545</v>
      </c>
      <c r="F57" s="7" t="s">
        <v>19</v>
      </c>
      <c r="G57" s="6" t="s">
        <v>256</v>
      </c>
      <c r="H57" s="187" t="s">
        <v>303</v>
      </c>
      <c r="I57" s="187" t="s">
        <v>466</v>
      </c>
      <c r="J57" s="118">
        <f t="shared" si="10"/>
        <v>7.9915460000000005</v>
      </c>
      <c r="K57" s="119">
        <f t="shared" si="11"/>
        <v>7.9915460000000005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>
        <v>7.9915460000000005</v>
      </c>
      <c r="W57" s="24"/>
      <c r="X57" s="24"/>
      <c r="Y57" s="24"/>
    </row>
    <row r="58" spans="5:25">
      <c r="E58" s="6" t="s">
        <v>441</v>
      </c>
      <c r="F58" s="7" t="s">
        <v>19</v>
      </c>
      <c r="G58" s="6" t="s">
        <v>441</v>
      </c>
      <c r="H58" s="187" t="s">
        <v>481</v>
      </c>
      <c r="I58" s="187" t="s">
        <v>466</v>
      </c>
      <c r="J58" s="118">
        <f t="shared" si="10"/>
        <v>697.84846074000006</v>
      </c>
      <c r="K58" s="119">
        <f t="shared" si="11"/>
        <v>697.84846074000006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>
        <v>0</v>
      </c>
      <c r="T58" s="24">
        <v>407.77891983000001</v>
      </c>
      <c r="U58" s="24">
        <v>158.63356467</v>
      </c>
      <c r="V58" s="24">
        <v>131.43597624</v>
      </c>
      <c r="W58" s="24"/>
      <c r="X58" s="24"/>
      <c r="Y58" s="24"/>
    </row>
    <row r="59" spans="5:25">
      <c r="E59" s="6" t="s">
        <v>482</v>
      </c>
      <c r="F59" s="7" t="s">
        <v>19</v>
      </c>
      <c r="G59" s="6" t="s">
        <v>258</v>
      </c>
      <c r="H59" s="187" t="s">
        <v>306</v>
      </c>
      <c r="I59" s="187" t="s">
        <v>466</v>
      </c>
      <c r="J59" s="118">
        <f t="shared" si="10"/>
        <v>36.24844805999993</v>
      </c>
      <c r="K59" s="119">
        <f t="shared" si="11"/>
        <v>36.24844805999993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>
        <v>5.6337094800000003</v>
      </c>
      <c r="T59" s="24">
        <v>30.614738579999933</v>
      </c>
      <c r="U59" s="24">
        <v>0</v>
      </c>
      <c r="V59" s="24"/>
      <c r="W59" s="24"/>
      <c r="X59" s="24"/>
      <c r="Y59" s="24"/>
    </row>
    <row r="60" spans="5:25">
      <c r="E60" s="6" t="s">
        <v>482</v>
      </c>
      <c r="F60" s="7" t="s">
        <v>19</v>
      </c>
      <c r="G60" s="6" t="s">
        <v>546</v>
      </c>
      <c r="H60" s="187" t="s">
        <v>547</v>
      </c>
      <c r="I60" s="187" t="s">
        <v>466</v>
      </c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>
        <v>0</v>
      </c>
      <c r="T60" s="24"/>
      <c r="U60" s="24"/>
      <c r="V60" s="24"/>
      <c r="W60" s="24"/>
      <c r="X60" s="24"/>
      <c r="Y60" s="24"/>
    </row>
    <row r="61" spans="5:25">
      <c r="E61" s="6" t="s">
        <v>509</v>
      </c>
      <c r="F61" s="7" t="s">
        <v>19</v>
      </c>
      <c r="G61" s="6" t="s">
        <v>247</v>
      </c>
      <c r="H61" s="187" t="s">
        <v>289</v>
      </c>
      <c r="I61" s="187" t="s">
        <v>466</v>
      </c>
      <c r="J61" s="118">
        <f t="shared" si="10"/>
        <v>2.3907126999999999</v>
      </c>
      <c r="K61" s="119">
        <f t="shared" si="11"/>
        <v>2.3907126999999999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>
        <v>2.3907126999999999</v>
      </c>
      <c r="U61" s="24"/>
      <c r="V61" s="24"/>
      <c r="W61" s="24"/>
      <c r="X61" s="24"/>
      <c r="Y61" s="24"/>
    </row>
    <row r="62" spans="5:25">
      <c r="E62" s="6" t="s">
        <v>509</v>
      </c>
      <c r="F62" s="7" t="s">
        <v>19</v>
      </c>
      <c r="G62" s="6" t="s">
        <v>379</v>
      </c>
      <c r="H62" s="187" t="s">
        <v>291</v>
      </c>
      <c r="I62" s="187" t="s">
        <v>466</v>
      </c>
      <c r="J62" s="118">
        <f t="shared" si="10"/>
        <v>10.401400381</v>
      </c>
      <c r="K62" s="119">
        <f t="shared" si="11"/>
        <v>10.401400381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>
        <v>10.401400381</v>
      </c>
      <c r="T62" s="24"/>
      <c r="U62" s="24"/>
      <c r="V62" s="24"/>
      <c r="W62" s="24"/>
      <c r="X62" s="24"/>
      <c r="Y62" s="24"/>
    </row>
    <row r="63" spans="5:25">
      <c r="E63" s="6" t="s">
        <v>509</v>
      </c>
      <c r="F63" s="7" t="s">
        <v>19</v>
      </c>
      <c r="G63" s="6" t="s">
        <v>454</v>
      </c>
      <c r="H63" s="187" t="s">
        <v>292</v>
      </c>
      <c r="I63" s="187" t="s">
        <v>466</v>
      </c>
      <c r="J63" s="118">
        <f t="shared" si="10"/>
        <v>9.7359303360000009</v>
      </c>
      <c r="K63" s="119">
        <f t="shared" si="11"/>
        <v>9.7359303360000009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>
        <v>9.7359303360000009</v>
      </c>
      <c r="U63" s="24"/>
      <c r="V63" s="24"/>
      <c r="W63" s="24"/>
      <c r="X63" s="24"/>
      <c r="Y63" s="24"/>
    </row>
    <row r="64" spans="5:25">
      <c r="E64" s="6" t="s">
        <v>509</v>
      </c>
      <c r="F64" s="7" t="s">
        <v>19</v>
      </c>
      <c r="G64" s="6" t="s">
        <v>293</v>
      </c>
      <c r="H64" s="187" t="s">
        <v>294</v>
      </c>
      <c r="I64" s="187" t="s">
        <v>466</v>
      </c>
      <c r="J64" s="118">
        <f t="shared" si="10"/>
        <v>3.8862866359999995</v>
      </c>
      <c r="K64" s="119">
        <f t="shared" si="11"/>
        <v>3.8862866359999995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>
        <v>3.8862866359999995</v>
      </c>
      <c r="U64" s="24"/>
      <c r="V64" s="24"/>
      <c r="W64" s="24"/>
      <c r="X64" s="24"/>
      <c r="Y64" s="24"/>
    </row>
    <row r="65" spans="5:25">
      <c r="E65" s="6" t="s">
        <v>509</v>
      </c>
      <c r="F65" s="7" t="s">
        <v>19</v>
      </c>
      <c r="G65" s="6" t="s">
        <v>447</v>
      </c>
      <c r="H65" s="187" t="s">
        <v>448</v>
      </c>
      <c r="I65" s="187" t="s">
        <v>466</v>
      </c>
      <c r="J65" s="118">
        <f t="shared" si="10"/>
        <v>15.330196201</v>
      </c>
      <c r="K65" s="119">
        <f t="shared" si="11"/>
        <v>15.330196201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>
        <v>15.330196201</v>
      </c>
      <c r="U65" s="24"/>
      <c r="V65" s="24"/>
      <c r="W65" s="24"/>
      <c r="X65" s="24"/>
      <c r="Y65" s="24"/>
    </row>
    <row r="66" spans="5:25">
      <c r="E66" s="6" t="s">
        <v>483</v>
      </c>
      <c r="F66" s="7" t="s">
        <v>19</v>
      </c>
      <c r="G66" s="6" t="s">
        <v>258</v>
      </c>
      <c r="H66" s="187" t="s">
        <v>306</v>
      </c>
      <c r="I66" s="187" t="s">
        <v>466</v>
      </c>
      <c r="J66" s="118">
        <f t="shared" si="10"/>
        <v>33.324352171999998</v>
      </c>
      <c r="K66" s="119">
        <f t="shared" si="11"/>
        <v>33.324352171999998</v>
      </c>
      <c r="L66" s="119">
        <f t="shared" si="12"/>
        <v>0</v>
      </c>
      <c r="N66" s="24"/>
      <c r="O66" s="24"/>
      <c r="P66" s="24"/>
      <c r="Q66" s="24"/>
      <c r="R66" s="24"/>
      <c r="S66" s="24">
        <v>9.2460917469999995</v>
      </c>
      <c r="T66" s="24"/>
      <c r="U66" s="24">
        <v>24.078260425</v>
      </c>
      <c r="V66" s="24"/>
      <c r="W66" s="24"/>
      <c r="X66" s="24"/>
      <c r="Y66" s="24"/>
    </row>
    <row r="67" spans="5:25">
      <c r="E67" s="6" t="s">
        <v>484</v>
      </c>
      <c r="F67" s="7" t="s">
        <v>19</v>
      </c>
      <c r="G67" s="6" t="s">
        <v>503</v>
      </c>
      <c r="H67" s="187" t="s">
        <v>311</v>
      </c>
      <c r="I67" s="187" t="s">
        <v>472</v>
      </c>
      <c r="J67" s="118">
        <f t="shared" si="10"/>
        <v>1.173521574</v>
      </c>
      <c r="K67" s="119">
        <f t="shared" si="11"/>
        <v>1.173521574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1.173521574</v>
      </c>
      <c r="Y67" s="24"/>
    </row>
    <row r="68" spans="5:25">
      <c r="E68" s="6" t="s">
        <v>484</v>
      </c>
      <c r="F68" s="7" t="s">
        <v>19</v>
      </c>
      <c r="G68" s="6" t="s">
        <v>500</v>
      </c>
      <c r="H68" s="187" t="s">
        <v>305</v>
      </c>
      <c r="I68" s="187" t="s">
        <v>472</v>
      </c>
      <c r="J68" s="118">
        <f t="shared" si="10"/>
        <v>53.278013522000002</v>
      </c>
      <c r="K68" s="119">
        <f t="shared" si="11"/>
        <v>53.278013522000002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>
        <v>53.278013522000002</v>
      </c>
      <c r="Y68" s="24"/>
    </row>
    <row r="69" spans="5:25">
      <c r="E69" s="6" t="s">
        <v>484</v>
      </c>
      <c r="F69" s="7" t="s">
        <v>19</v>
      </c>
      <c r="G69" s="6" t="s">
        <v>370</v>
      </c>
      <c r="H69" s="187" t="s">
        <v>308</v>
      </c>
      <c r="I69" s="187" t="s">
        <v>472</v>
      </c>
      <c r="J69" s="118">
        <f t="shared" si="10"/>
        <v>29.382537232000004</v>
      </c>
      <c r="K69" s="119">
        <f t="shared" si="11"/>
        <v>29.382537232000004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>
        <v>28.902717307000003</v>
      </c>
      <c r="U69" s="24"/>
      <c r="V69" s="24"/>
      <c r="W69" s="24"/>
      <c r="X69" s="24">
        <v>0.47981992499999998</v>
      </c>
      <c r="Y69" s="24"/>
    </row>
    <row r="70" spans="5:25">
      <c r="E70" s="6" t="s">
        <v>484</v>
      </c>
      <c r="F70" s="7" t="s">
        <v>19</v>
      </c>
      <c r="G70" s="6" t="s">
        <v>264</v>
      </c>
      <c r="H70" s="187" t="s">
        <v>310</v>
      </c>
      <c r="I70" s="187" t="s">
        <v>472</v>
      </c>
      <c r="J70" s="118">
        <f t="shared" si="10"/>
        <v>0.110184352</v>
      </c>
      <c r="K70" s="119">
        <f t="shared" si="11"/>
        <v>0.110184352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0.110184352</v>
      </c>
      <c r="Y70" s="24"/>
    </row>
    <row r="71" spans="5:25">
      <c r="E71" s="6" t="s">
        <v>484</v>
      </c>
      <c r="F71" s="7" t="s">
        <v>19</v>
      </c>
      <c r="G71" s="6" t="s">
        <v>454</v>
      </c>
      <c r="H71" s="187" t="s">
        <v>292</v>
      </c>
      <c r="I71" s="187" t="s">
        <v>472</v>
      </c>
      <c r="J71" s="118">
        <f t="shared" si="10"/>
        <v>7.5711713750000005</v>
      </c>
      <c r="K71" s="119">
        <f t="shared" si="11"/>
        <v>7.5711713750000005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7.5711713750000005</v>
      </c>
      <c r="Y71" s="24"/>
    </row>
    <row r="72" spans="5:25">
      <c r="E72" s="6" t="s">
        <v>451</v>
      </c>
      <c r="F72" s="7" t="s">
        <v>19</v>
      </c>
      <c r="G72" s="6" t="s">
        <v>504</v>
      </c>
      <c r="H72" s="187" t="s">
        <v>307</v>
      </c>
      <c r="I72" s="187" t="s">
        <v>466</v>
      </c>
      <c r="J72" s="118">
        <f t="shared" si="10"/>
        <v>30.791920951999998</v>
      </c>
      <c r="K72" s="119">
        <f t="shared" si="11"/>
        <v>30.791920951999998</v>
      </c>
      <c r="L72" s="119">
        <f t="shared" si="12"/>
        <v>0</v>
      </c>
      <c r="N72" s="24"/>
      <c r="O72" s="24"/>
      <c r="P72" s="24"/>
      <c r="Q72" s="24"/>
      <c r="R72" s="24"/>
      <c r="S72" s="24">
        <v>4.8388599320000001</v>
      </c>
      <c r="T72" s="24"/>
      <c r="U72" s="24">
        <v>25.953061019999996</v>
      </c>
      <c r="V72" s="24"/>
      <c r="W72" s="24"/>
      <c r="X72" s="24"/>
      <c r="Y72" s="24"/>
    </row>
    <row r="73" spans="5:25">
      <c r="E73" s="6" t="s">
        <v>451</v>
      </c>
      <c r="F73" s="7" t="s">
        <v>19</v>
      </c>
      <c r="G73" s="6" t="s">
        <v>370</v>
      </c>
      <c r="H73" s="187" t="s">
        <v>308</v>
      </c>
      <c r="I73" s="187" t="s">
        <v>466</v>
      </c>
      <c r="J73" s="118">
        <f t="shared" si="10"/>
        <v>2.1636036089999999</v>
      </c>
      <c r="K73" s="119">
        <f t="shared" si="11"/>
        <v>2.1636036089999999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>
        <v>2.1636036089999999</v>
      </c>
      <c r="U73" s="24"/>
      <c r="V73" s="24"/>
      <c r="W73" s="24"/>
      <c r="X73" s="24"/>
      <c r="Y73" s="24"/>
    </row>
    <row r="74" spans="5:25">
      <c r="E74" s="6" t="s">
        <v>451</v>
      </c>
      <c r="F74" s="7" t="s">
        <v>19</v>
      </c>
      <c r="G74" s="6" t="s">
        <v>504</v>
      </c>
      <c r="H74" s="187" t="s">
        <v>307</v>
      </c>
      <c r="I74" s="187" t="s">
        <v>472</v>
      </c>
      <c r="J74" s="118">
        <f t="shared" si="10"/>
        <v>0</v>
      </c>
      <c r="K74" s="119">
        <f t="shared" si="11"/>
        <v>0</v>
      </c>
      <c r="L74" s="119">
        <f t="shared" si="12"/>
        <v>0</v>
      </c>
      <c r="N74" s="24"/>
      <c r="O74" s="24"/>
      <c r="P74" s="24"/>
      <c r="Q74" s="24"/>
      <c r="R74" s="24"/>
      <c r="S74" s="24">
        <v>0</v>
      </c>
      <c r="T74" s="24"/>
      <c r="U74" s="24"/>
      <c r="V74" s="24"/>
      <c r="W74" s="24"/>
      <c r="X74" s="24"/>
      <c r="Y74" s="24"/>
    </row>
    <row r="75" spans="5:25">
      <c r="E75" s="6" t="s">
        <v>451</v>
      </c>
      <c r="F75" s="7" t="s">
        <v>19</v>
      </c>
      <c r="G75" s="6" t="s">
        <v>370</v>
      </c>
      <c r="H75" s="187" t="s">
        <v>308</v>
      </c>
      <c r="I75" s="187" t="s">
        <v>472</v>
      </c>
      <c r="J75" s="118">
        <f t="shared" si="10"/>
        <v>1.192590007</v>
      </c>
      <c r="K75" s="119">
        <f t="shared" si="11"/>
        <v>1.192590007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>
        <v>1.192590007</v>
      </c>
      <c r="V75" s="24"/>
      <c r="W75" s="24"/>
      <c r="X75" s="24"/>
      <c r="Y75" s="24"/>
    </row>
    <row r="76" spans="5:25">
      <c r="E76" s="6" t="s">
        <v>533</v>
      </c>
      <c r="F76" s="7" t="s">
        <v>19</v>
      </c>
      <c r="G76" s="6" t="s">
        <v>494</v>
      </c>
      <c r="H76" s="187" t="s">
        <v>299</v>
      </c>
      <c r="I76" s="187" t="s">
        <v>466</v>
      </c>
      <c r="J76" s="118">
        <f t="shared" si="10"/>
        <v>1.7938620000000001</v>
      </c>
      <c r="K76" s="119">
        <f t="shared" si="11"/>
        <v>1.7938620000000001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>
        <v>1.7938620000000001</v>
      </c>
      <c r="V76" s="24"/>
      <c r="W76" s="24"/>
      <c r="X76" s="24"/>
      <c r="Y76" s="24"/>
    </row>
    <row r="77" spans="5:25">
      <c r="E77" s="6" t="s">
        <v>485</v>
      </c>
      <c r="F77" s="7" t="s">
        <v>19</v>
      </c>
      <c r="G77" s="6" t="s">
        <v>529</v>
      </c>
      <c r="H77" s="187" t="s">
        <v>530</v>
      </c>
      <c r="I77" s="187" t="s">
        <v>472</v>
      </c>
      <c r="J77" s="118">
        <f t="shared" si="10"/>
        <v>494.17683107000011</v>
      </c>
      <c r="K77" s="119">
        <f t="shared" si="11"/>
        <v>494.17683107000011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>
        <v>494.17683107000011</v>
      </c>
      <c r="W77" s="24"/>
      <c r="X77" s="24"/>
      <c r="Y77" s="24"/>
    </row>
    <row r="78" spans="5:25">
      <c r="E78" s="6" t="s">
        <v>268</v>
      </c>
      <c r="F78" s="7" t="s">
        <v>19</v>
      </c>
      <c r="G78" s="6" t="s">
        <v>374</v>
      </c>
      <c r="H78" s="187" t="s">
        <v>317</v>
      </c>
      <c r="I78" s="187" t="s">
        <v>466</v>
      </c>
      <c r="J78" s="118">
        <f t="shared" si="10"/>
        <v>4.9339237030000005</v>
      </c>
      <c r="K78" s="119">
        <f t="shared" si="11"/>
        <v>4.9339237030000005</v>
      </c>
      <c r="L78" s="119">
        <f t="shared" si="12"/>
        <v>0</v>
      </c>
      <c r="N78" s="24"/>
      <c r="O78" s="24"/>
      <c r="P78" s="24"/>
      <c r="Q78" s="24"/>
      <c r="R78" s="24"/>
      <c r="S78" s="24">
        <v>0.66767622700000007</v>
      </c>
      <c r="T78" s="24">
        <v>4.215371084</v>
      </c>
      <c r="U78" s="24">
        <v>5.0876391999999999E-2</v>
      </c>
      <c r="V78" s="24"/>
      <c r="W78" s="24"/>
      <c r="X78" s="24"/>
      <c r="Y78" s="24"/>
    </row>
    <row r="79" spans="5:25">
      <c r="E79" s="6" t="s">
        <v>487</v>
      </c>
      <c r="F79" s="7" t="s">
        <v>19</v>
      </c>
      <c r="G79" s="6" t="s">
        <v>374</v>
      </c>
      <c r="H79" s="187" t="s">
        <v>317</v>
      </c>
      <c r="I79" s="187" t="s">
        <v>466</v>
      </c>
      <c r="J79" s="118">
        <f t="shared" si="10"/>
        <v>1.1826547569999999</v>
      </c>
      <c r="K79" s="119">
        <f t="shared" si="11"/>
        <v>1.1826547569999999</v>
      </c>
      <c r="L79" s="119">
        <f t="shared" si="12"/>
        <v>0</v>
      </c>
      <c r="N79" s="24"/>
      <c r="O79" s="24"/>
      <c r="P79" s="24"/>
      <c r="Q79" s="24"/>
      <c r="R79" s="24"/>
      <c r="S79" s="24">
        <v>1.1826547569999999</v>
      </c>
      <c r="T79" s="24"/>
      <c r="U79" s="24"/>
      <c r="V79" s="24"/>
      <c r="W79" s="24"/>
      <c r="X79" s="24"/>
      <c r="Y79" s="24"/>
    </row>
    <row r="80" spans="5:25">
      <c r="E80" s="6" t="s">
        <v>488</v>
      </c>
      <c r="F80" s="7" t="s">
        <v>19</v>
      </c>
      <c r="G80" s="6" t="s">
        <v>378</v>
      </c>
      <c r="H80" s="187" t="s">
        <v>290</v>
      </c>
      <c r="I80" s="187" t="s">
        <v>466</v>
      </c>
      <c r="J80" s="118">
        <f t="shared" si="10"/>
        <v>13.684561999999998</v>
      </c>
      <c r="K80" s="119">
        <f t="shared" si="11"/>
        <v>13.684561999999998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>
        <v>13.684561999999998</v>
      </c>
      <c r="V80" s="24"/>
      <c r="W80" s="24"/>
      <c r="X80" s="24"/>
      <c r="Y80" s="24"/>
    </row>
    <row r="81" spans="5:25">
      <c r="E81" s="6" t="s">
        <v>489</v>
      </c>
      <c r="F81" s="7" t="s">
        <v>19</v>
      </c>
      <c r="G81" s="6" t="s">
        <v>379</v>
      </c>
      <c r="H81" s="187" t="s">
        <v>291</v>
      </c>
      <c r="I81" s="187" t="s">
        <v>466</v>
      </c>
      <c r="J81" s="118">
        <f t="shared" si="10"/>
        <v>7.6481220790000002</v>
      </c>
      <c r="K81" s="119">
        <f t="shared" si="11"/>
        <v>7.6481220790000002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>
        <v>7.6481220790000002</v>
      </c>
      <c r="U81" s="24"/>
      <c r="V81" s="24"/>
      <c r="W81" s="24"/>
      <c r="X81" s="24"/>
      <c r="Y81" s="24"/>
    </row>
    <row r="82" spans="5:25">
      <c r="E82" s="6"/>
      <c r="F82" s="7"/>
      <c r="G82" s="6"/>
      <c r="H82" s="8"/>
      <c r="I82" s="8"/>
      <c r="J82" s="118">
        <f t="shared" si="10"/>
        <v>0</v>
      </c>
      <c r="K82" s="119">
        <f t="shared" si="11"/>
        <v>0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5:25">
      <c r="E83" s="305" t="s">
        <v>449</v>
      </c>
      <c r="F83" s="6"/>
      <c r="G83" s="6"/>
      <c r="H83" s="6"/>
      <c r="I83" s="6"/>
      <c r="J83" s="118">
        <f t="shared" si="10"/>
        <v>0</v>
      </c>
      <c r="K83" s="119">
        <f t="shared" si="11"/>
        <v>0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5:25">
      <c r="E84" s="6"/>
      <c r="F84" s="6"/>
      <c r="G84" s="6"/>
      <c r="H84" s="6"/>
      <c r="I84" s="6"/>
      <c r="J84" s="118">
        <f t="shared" si="10"/>
        <v>0</v>
      </c>
      <c r="K84" s="119">
        <f t="shared" si="11"/>
        <v>0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5:25">
      <c r="E85" s="305" t="s">
        <v>520</v>
      </c>
      <c r="F85" s="305" t="s">
        <v>19</v>
      </c>
      <c r="G85" s="6"/>
      <c r="H85" s="6"/>
      <c r="I85" s="6"/>
      <c r="J85" s="118">
        <f t="shared" si="10"/>
        <v>24</v>
      </c>
      <c r="K85" s="119">
        <f t="shared" si="11"/>
        <v>24</v>
      </c>
      <c r="L85" s="119">
        <f t="shared" si="12"/>
        <v>0</v>
      </c>
      <c r="N85" s="24"/>
      <c r="O85" s="24"/>
      <c r="P85" s="24"/>
      <c r="Q85" s="24"/>
      <c r="R85" s="24"/>
      <c r="S85" s="344"/>
      <c r="T85" s="306"/>
      <c r="U85" s="306"/>
      <c r="V85" s="344">
        <v>24</v>
      </c>
      <c r="W85" s="24"/>
      <c r="X85" s="24"/>
      <c r="Y85" s="24"/>
    </row>
    <row r="86" spans="5:25">
      <c r="E86" s="305" t="s">
        <v>521</v>
      </c>
      <c r="F86" s="305" t="s">
        <v>19</v>
      </c>
      <c r="G86" s="6"/>
      <c r="H86" s="6"/>
      <c r="I86" s="6"/>
      <c r="J86" s="118">
        <f t="shared" ref="J86:J91" si="13">+K86+L86</f>
        <v>45</v>
      </c>
      <c r="K86" s="119">
        <f t="shared" ref="K86:K91" si="14">SUM(N86:Y86)</f>
        <v>45</v>
      </c>
      <c r="L86" s="119">
        <f t="shared" ref="L86:L91" si="15">SUM(AA86:AL86)</f>
        <v>0</v>
      </c>
      <c r="N86" s="24"/>
      <c r="O86" s="24"/>
      <c r="P86" s="24"/>
      <c r="Q86" s="24"/>
      <c r="R86" s="24"/>
      <c r="S86" s="344">
        <v>15</v>
      </c>
      <c r="T86" s="306"/>
      <c r="U86" s="344">
        <v>30</v>
      </c>
      <c r="V86" s="306"/>
      <c r="W86" s="24"/>
      <c r="X86" s="24"/>
      <c r="Y86" s="24"/>
    </row>
    <row r="87" spans="5:25">
      <c r="E87" s="305" t="s">
        <v>522</v>
      </c>
      <c r="F87" s="305" t="s">
        <v>19</v>
      </c>
      <c r="G87" s="6"/>
      <c r="H87" s="6"/>
      <c r="I87" s="6"/>
      <c r="J87" s="118">
        <f t="shared" si="13"/>
        <v>8</v>
      </c>
      <c r="K87" s="119">
        <f t="shared" si="14"/>
        <v>8</v>
      </c>
      <c r="L87" s="119">
        <f t="shared" si="15"/>
        <v>0</v>
      </c>
      <c r="N87" s="24"/>
      <c r="O87" s="24"/>
      <c r="P87" s="24"/>
      <c r="Q87" s="24"/>
      <c r="R87" s="24"/>
      <c r="S87" s="344">
        <v>8</v>
      </c>
      <c r="T87" s="306"/>
      <c r="U87" s="306"/>
      <c r="V87" s="306"/>
      <c r="W87" s="24"/>
      <c r="X87" s="24"/>
      <c r="Y87" s="24"/>
    </row>
    <row r="88" spans="5:25">
      <c r="E88" s="305" t="s">
        <v>523</v>
      </c>
      <c r="F88" s="305" t="s">
        <v>19</v>
      </c>
      <c r="G88" s="6"/>
      <c r="H88" s="6"/>
      <c r="I88" s="6"/>
      <c r="J88" s="118">
        <f t="shared" si="13"/>
        <v>14.5</v>
      </c>
      <c r="K88" s="119">
        <f t="shared" si="14"/>
        <v>14.5</v>
      </c>
      <c r="L88" s="119">
        <f t="shared" si="15"/>
        <v>0</v>
      </c>
      <c r="N88" s="24"/>
      <c r="O88" s="24"/>
      <c r="P88" s="24"/>
      <c r="Q88" s="24"/>
      <c r="R88" s="24"/>
      <c r="S88" s="344">
        <v>12</v>
      </c>
      <c r="T88" s="306">
        <v>2.5</v>
      </c>
      <c r="U88" s="306"/>
      <c r="V88" s="306"/>
      <c r="W88" s="24"/>
      <c r="X88" s="24"/>
      <c r="Y88" s="24"/>
    </row>
    <row r="89" spans="5:25">
      <c r="E89" s="305" t="s">
        <v>524</v>
      </c>
      <c r="F89" s="305" t="s">
        <v>19</v>
      </c>
      <c r="G89" s="6"/>
      <c r="H89" s="6"/>
      <c r="I89" s="6"/>
      <c r="J89" s="118">
        <f t="shared" si="13"/>
        <v>58</v>
      </c>
      <c r="K89" s="119">
        <f t="shared" si="14"/>
        <v>58</v>
      </c>
      <c r="L89" s="119">
        <f t="shared" si="15"/>
        <v>0</v>
      </c>
      <c r="N89" s="24"/>
      <c r="O89" s="24"/>
      <c r="P89" s="24"/>
      <c r="Q89" s="24"/>
      <c r="R89" s="24"/>
      <c r="S89" s="344">
        <v>58</v>
      </c>
      <c r="T89" s="306"/>
      <c r="U89" s="306"/>
      <c r="V89" s="306"/>
      <c r="W89" s="24"/>
      <c r="X89" s="24"/>
      <c r="Y89" s="24"/>
    </row>
    <row r="90" spans="5:25">
      <c r="E90" s="360" t="s">
        <v>457</v>
      </c>
      <c r="F90" s="360" t="s">
        <v>19</v>
      </c>
      <c r="G90" s="362"/>
      <c r="H90" s="362"/>
      <c r="I90" s="362"/>
      <c r="J90" s="364">
        <f t="shared" si="13"/>
        <v>109</v>
      </c>
      <c r="K90" s="365">
        <f t="shared" si="14"/>
        <v>109</v>
      </c>
      <c r="L90" s="365">
        <f t="shared" si="15"/>
        <v>0</v>
      </c>
      <c r="N90" s="366"/>
      <c r="O90" s="366"/>
      <c r="P90" s="366"/>
      <c r="Q90" s="366"/>
      <c r="R90" s="366"/>
      <c r="S90" s="404">
        <v>109</v>
      </c>
      <c r="T90" s="404"/>
      <c r="U90" s="404"/>
      <c r="V90" s="404"/>
      <c r="W90" s="366"/>
      <c r="X90" s="366"/>
      <c r="Y90" s="366"/>
    </row>
    <row r="91" spans="5:25">
      <c r="E91" s="305" t="s">
        <v>487</v>
      </c>
      <c r="F91" s="305" t="s">
        <v>19</v>
      </c>
      <c r="G91" s="6"/>
      <c r="H91" s="6"/>
      <c r="I91" s="6"/>
      <c r="J91" s="118">
        <f t="shared" si="13"/>
        <v>11</v>
      </c>
      <c r="K91" s="119">
        <f t="shared" si="14"/>
        <v>11</v>
      </c>
      <c r="L91" s="119">
        <f t="shared" si="15"/>
        <v>0</v>
      </c>
      <c r="M91" s="373"/>
      <c r="N91" s="24"/>
      <c r="O91" s="24"/>
      <c r="P91" s="24"/>
      <c r="Q91" s="24"/>
      <c r="R91" s="24"/>
      <c r="S91" s="306">
        <v>11</v>
      </c>
      <c r="T91" s="306"/>
      <c r="U91" s="306"/>
      <c r="V91" s="306"/>
      <c r="W91" s="24"/>
      <c r="X91" s="24"/>
      <c r="Y91" s="24"/>
    </row>
    <row r="92" spans="5:25">
      <c r="H92" s="372"/>
      <c r="I92" s="372"/>
      <c r="J92" s="369"/>
      <c r="K92" s="370"/>
      <c r="L92" s="370"/>
      <c r="N92" s="389"/>
      <c r="O92" s="389"/>
      <c r="P92" s="389"/>
      <c r="Q92" s="389"/>
      <c r="R92" s="389"/>
      <c r="S92" s="389"/>
      <c r="T92" s="389"/>
      <c r="U92" s="389"/>
      <c r="V92" s="389"/>
      <c r="W92" s="389"/>
      <c r="X92" s="389"/>
      <c r="Y92" s="389"/>
    </row>
    <row r="93" spans="5:25">
      <c r="H93" s="372"/>
      <c r="I93" s="372"/>
      <c r="J93" s="369"/>
      <c r="K93" s="370"/>
      <c r="L93" s="370"/>
      <c r="N93" s="389"/>
      <c r="O93" s="389"/>
      <c r="P93" s="389"/>
      <c r="Q93" s="389"/>
      <c r="R93" s="389"/>
      <c r="S93" s="389"/>
      <c r="T93" s="389"/>
      <c r="U93" s="389"/>
      <c r="V93" s="389"/>
      <c r="W93" s="389"/>
      <c r="X93" s="389"/>
      <c r="Y93" s="389"/>
    </row>
    <row r="94" spans="5:25">
      <c r="E94" s="191" t="s">
        <v>320</v>
      </c>
      <c r="F94" s="216">
        <v>46143</v>
      </c>
      <c r="G94" s="192">
        <v>208</v>
      </c>
      <c r="H94" s="271" t="s">
        <v>321</v>
      </c>
      <c r="I94" s="300"/>
      <c r="J94" s="369"/>
      <c r="K94" s="370"/>
      <c r="L94" s="370"/>
    </row>
    <row r="95" spans="5:25">
      <c r="E95" s="195" t="s">
        <v>539</v>
      </c>
      <c r="F95" s="217"/>
      <c r="G95" s="196">
        <v>137</v>
      </c>
      <c r="H95" s="271" t="s">
        <v>321</v>
      </c>
      <c r="I95" s="300"/>
      <c r="J95" s="369"/>
      <c r="K95" s="370"/>
      <c r="L95" s="370"/>
    </row>
    <row r="96" spans="5:25">
      <c r="E96" s="195" t="s">
        <v>540</v>
      </c>
      <c r="F96" s="217"/>
      <c r="G96" s="196">
        <v>75</v>
      </c>
      <c r="H96" s="271" t="s">
        <v>321</v>
      </c>
      <c r="I96" s="300"/>
      <c r="J96" s="369"/>
      <c r="K96" s="370"/>
      <c r="L96" s="370"/>
    </row>
    <row r="97" spans="5:12">
      <c r="E97" s="191" t="s">
        <v>320</v>
      </c>
      <c r="F97" s="216">
        <v>46173</v>
      </c>
      <c r="G97" s="192">
        <f>G94+G95-G96</f>
        <v>270</v>
      </c>
      <c r="H97" s="271" t="s">
        <v>321</v>
      </c>
      <c r="I97" s="300"/>
      <c r="J97" s="369"/>
      <c r="K97" s="370"/>
      <c r="L97" s="370"/>
    </row>
    <row r="98" spans="5:12">
      <c r="I98" s="300"/>
      <c r="J98" s="369"/>
      <c r="K98" s="370"/>
      <c r="L98" s="370"/>
    </row>
    <row r="99" spans="5:12">
      <c r="E99" s="446" t="s">
        <v>531</v>
      </c>
      <c r="F99" s="447"/>
      <c r="G99" s="447"/>
      <c r="H99" s="447"/>
      <c r="I99" s="300"/>
      <c r="J99" s="369"/>
      <c r="K99" s="370"/>
      <c r="L99" s="370"/>
    </row>
    <row r="100" spans="5:12">
      <c r="E100" s="356" t="s">
        <v>324</v>
      </c>
      <c r="F100" s="219"/>
      <c r="G100" s="202"/>
      <c r="H100" s="219" t="s">
        <v>325</v>
      </c>
      <c r="I100" s="300"/>
      <c r="J100" s="369"/>
      <c r="K100" s="370"/>
      <c r="L100" s="370"/>
    </row>
    <row r="101" spans="5:12">
      <c r="E101" s="356" t="s">
        <v>258</v>
      </c>
      <c r="F101" s="202"/>
      <c r="G101" s="202"/>
      <c r="H101" s="405">
        <v>13.881630544999998</v>
      </c>
      <c r="I101" s="300"/>
      <c r="J101" s="369"/>
      <c r="K101" s="370"/>
      <c r="L101" s="370"/>
    </row>
    <row r="102" spans="5:12">
      <c r="E102" s="356" t="s">
        <v>379</v>
      </c>
      <c r="F102" s="202"/>
      <c r="G102" s="202"/>
      <c r="H102" s="405">
        <v>7.6481220790000002</v>
      </c>
      <c r="I102" s="300"/>
      <c r="J102" s="369"/>
      <c r="K102" s="370"/>
      <c r="L102" s="370"/>
    </row>
    <row r="103" spans="5:12">
      <c r="E103" s="356" t="s">
        <v>239</v>
      </c>
      <c r="F103" s="202"/>
      <c r="G103" s="202"/>
      <c r="H103" s="405">
        <v>2.9780673330000003</v>
      </c>
      <c r="I103" s="300"/>
      <c r="J103" s="369"/>
      <c r="K103" s="370"/>
      <c r="L103" s="370"/>
    </row>
    <row r="104" spans="5:12">
      <c r="E104" s="356" t="s">
        <v>256</v>
      </c>
      <c r="F104" s="202"/>
      <c r="G104" s="202"/>
      <c r="H104" s="405">
        <v>152.538284</v>
      </c>
      <c r="I104" s="300"/>
      <c r="J104" s="369"/>
      <c r="K104" s="370"/>
      <c r="L104" s="370"/>
    </row>
    <row r="105" spans="5:12">
      <c r="E105" s="356" t="s">
        <v>245</v>
      </c>
      <c r="F105" s="202"/>
      <c r="G105" s="202"/>
      <c r="H105" s="405">
        <v>18.367613019</v>
      </c>
      <c r="I105" s="300"/>
      <c r="J105" s="369"/>
      <c r="K105" s="370"/>
      <c r="L105" s="370"/>
    </row>
    <row r="106" spans="5:12">
      <c r="E106" s="387" t="s">
        <v>344</v>
      </c>
      <c r="F106" s="388"/>
      <c r="G106" s="387"/>
      <c r="H106" s="406">
        <f>SUM(H101:H105)</f>
        <v>195.41371697600002</v>
      </c>
      <c r="I106" s="300"/>
      <c r="J106" s="369"/>
      <c r="K106" s="370"/>
      <c r="L106" s="370"/>
    </row>
    <row r="107" spans="5:12">
      <c r="E107" s="227"/>
      <c r="F107" s="278"/>
      <c r="G107" s="227"/>
      <c r="H107" s="368"/>
      <c r="I107" s="300"/>
      <c r="J107" s="369"/>
      <c r="K107" s="370"/>
      <c r="L107" s="370"/>
    </row>
    <row r="108" spans="5:12">
      <c r="E108" s="227" t="s">
        <v>330</v>
      </c>
      <c r="F108" s="227"/>
      <c r="G108" s="295">
        <f>'W24'!J19</f>
        <v>3343.2065498649999</v>
      </c>
      <c r="H108" s="368"/>
      <c r="I108" s="368"/>
      <c r="J108" s="369"/>
      <c r="K108" s="370"/>
      <c r="L108" s="370"/>
    </row>
    <row r="109" spans="5:12">
      <c r="E109" s="227" t="s">
        <v>331</v>
      </c>
      <c r="F109" s="227"/>
      <c r="G109" s="295">
        <f>H106</f>
        <v>195.41371697600002</v>
      </c>
      <c r="H109" s="368"/>
      <c r="I109" s="368"/>
      <c r="J109" s="369"/>
      <c r="K109" s="370"/>
      <c r="L109" s="370"/>
    </row>
    <row r="110" spans="5:12">
      <c r="E110" s="227" t="s">
        <v>332</v>
      </c>
      <c r="F110" s="227"/>
      <c r="G110" s="295">
        <f>J12-'W24'!J12</f>
        <v>177</v>
      </c>
      <c r="H110" s="368"/>
      <c r="I110" s="368"/>
      <c r="J110" s="369"/>
      <c r="K110" s="370"/>
      <c r="L110" s="370"/>
    </row>
    <row r="111" spans="5:12">
      <c r="E111" s="227" t="s">
        <v>333</v>
      </c>
      <c r="F111" s="227"/>
      <c r="G111" s="295">
        <f>G108+G109-G110</f>
        <v>3361.6202668410001</v>
      </c>
      <c r="H111" s="368"/>
      <c r="I111" s="300"/>
      <c r="J111" s="369"/>
      <c r="K111" s="370"/>
      <c r="L111" s="370"/>
    </row>
    <row r="112" spans="5:12">
      <c r="E112" s="227" t="s">
        <v>334</v>
      </c>
      <c r="F112" s="227"/>
      <c r="G112" s="295">
        <f>J19</f>
        <v>3338.7145303940001</v>
      </c>
      <c r="H112" s="368"/>
      <c r="I112" s="300"/>
      <c r="J112" s="369"/>
      <c r="K112" s="370"/>
      <c r="L112" s="370"/>
    </row>
    <row r="113" spans="5:12">
      <c r="E113" s="227" t="s">
        <v>335</v>
      </c>
      <c r="F113" s="227"/>
      <c r="G113" s="296">
        <f>G111-G112</f>
        <v>22.905736446999981</v>
      </c>
      <c r="H113" s="368"/>
      <c r="I113" s="300"/>
      <c r="J113" s="369"/>
      <c r="K113" s="370"/>
      <c r="L113" s="370"/>
    </row>
    <row r="114" spans="5:12">
      <c r="E114" s="227"/>
      <c r="F114" s="278"/>
      <c r="G114" s="227"/>
      <c r="H114" s="368"/>
      <c r="I114" s="300"/>
      <c r="J114" s="369"/>
      <c r="K114" s="370"/>
      <c r="L114" s="370"/>
    </row>
    <row r="115" spans="5:12">
      <c r="E115" s="227"/>
      <c r="F115" s="278"/>
      <c r="G115" s="227"/>
      <c r="H115" s="368"/>
      <c r="I115" s="300"/>
      <c r="J115" s="369"/>
      <c r="K115" s="370"/>
      <c r="L115" s="370"/>
    </row>
    <row r="116" spans="5:12">
      <c r="E116" s="227"/>
      <c r="F116" s="278"/>
      <c r="G116" s="227"/>
      <c r="H116" s="368"/>
      <c r="I116" s="300"/>
      <c r="J116" s="369"/>
      <c r="K116" s="370"/>
      <c r="L116" s="370"/>
    </row>
    <row r="117" spans="5:12">
      <c r="H117" s="300"/>
      <c r="I117" s="300"/>
      <c r="J117" s="369"/>
      <c r="K117" s="370"/>
      <c r="L117" s="370"/>
    </row>
    <row r="118" spans="5:12">
      <c r="H118" s="300"/>
      <c r="I118" s="300"/>
      <c r="J118" s="369"/>
      <c r="K118" s="370"/>
      <c r="L118" s="370"/>
    </row>
    <row r="119" spans="5:12">
      <c r="H119" s="300"/>
      <c r="I119" s="300"/>
      <c r="J119" s="369"/>
      <c r="K119" s="370"/>
      <c r="L119" s="370"/>
    </row>
    <row r="120" spans="5:12">
      <c r="H120" s="300"/>
      <c r="I120" s="300"/>
      <c r="J120" s="369"/>
      <c r="K120" s="370"/>
      <c r="L120" s="370"/>
    </row>
    <row r="121" spans="5:12">
      <c r="H121" s="371"/>
      <c r="I121" s="371"/>
      <c r="J121" s="369"/>
      <c r="K121" s="370"/>
      <c r="L121" s="370"/>
    </row>
    <row r="122" spans="5:12">
      <c r="H122" s="371"/>
      <c r="I122" s="371"/>
      <c r="J122" s="369"/>
      <c r="K122" s="370"/>
      <c r="L122" s="370"/>
    </row>
    <row r="123" spans="5:12">
      <c r="H123" s="372"/>
      <c r="I123" s="372"/>
      <c r="J123" s="369"/>
      <c r="K123" s="370"/>
      <c r="L123" s="370"/>
    </row>
    <row r="124" spans="5:12">
      <c r="H124" s="300"/>
      <c r="I124" s="300"/>
      <c r="J124" s="369"/>
      <c r="K124" s="370"/>
      <c r="L124" s="370"/>
    </row>
    <row r="125" spans="5:12">
      <c r="H125" s="300"/>
      <c r="I125" s="300"/>
      <c r="J125" s="369"/>
      <c r="K125" s="370"/>
      <c r="L125" s="370"/>
    </row>
    <row r="126" spans="5:12">
      <c r="H126" s="300"/>
      <c r="I126" s="300"/>
      <c r="J126" s="369"/>
      <c r="K126" s="370"/>
      <c r="L126" s="370"/>
    </row>
    <row r="127" spans="5:12">
      <c r="H127" s="300"/>
      <c r="I127" s="300"/>
      <c r="J127" s="369"/>
      <c r="K127" s="370"/>
      <c r="L127" s="370"/>
    </row>
    <row r="128" spans="5:12">
      <c r="H128" s="300"/>
      <c r="I128" s="300"/>
      <c r="J128" s="369"/>
      <c r="K128" s="370"/>
      <c r="L128" s="370"/>
    </row>
    <row r="129" spans="5:12">
      <c r="H129" s="300"/>
      <c r="I129" s="300"/>
      <c r="J129" s="369"/>
      <c r="K129" s="370"/>
      <c r="L129" s="370"/>
    </row>
    <row r="130" spans="5:12">
      <c r="H130" s="300"/>
      <c r="I130" s="300"/>
      <c r="J130" s="369"/>
      <c r="K130" s="370"/>
      <c r="L130" s="370"/>
    </row>
    <row r="131" spans="5:12">
      <c r="H131" s="300"/>
      <c r="I131" s="300"/>
      <c r="J131" s="369"/>
      <c r="K131" s="370"/>
      <c r="L131" s="370"/>
    </row>
    <row r="132" spans="5:12">
      <c r="H132" s="300"/>
      <c r="I132" s="300"/>
      <c r="J132" s="369"/>
      <c r="K132" s="370"/>
      <c r="L132" s="370"/>
    </row>
    <row r="133" spans="5:12">
      <c r="H133" s="300"/>
      <c r="I133" s="300"/>
      <c r="J133" s="369"/>
      <c r="K133" s="370"/>
      <c r="L133" s="370"/>
    </row>
    <row r="134" spans="5:12">
      <c r="H134" s="300"/>
      <c r="I134" s="300"/>
      <c r="J134" s="369"/>
      <c r="K134" s="370"/>
      <c r="L134" s="370"/>
    </row>
    <row r="135" spans="5:12">
      <c r="H135" s="300"/>
      <c r="I135" s="300"/>
      <c r="J135" s="369"/>
      <c r="K135" s="370"/>
      <c r="L135" s="370"/>
    </row>
    <row r="136" spans="5:12">
      <c r="H136" s="300"/>
      <c r="I136" s="300"/>
      <c r="J136" s="369"/>
      <c r="K136" s="370"/>
      <c r="L136" s="370"/>
    </row>
    <row r="137" spans="5:12">
      <c r="H137" s="368"/>
      <c r="I137" s="368"/>
      <c r="J137" s="369"/>
      <c r="K137" s="370"/>
      <c r="L137" s="370"/>
    </row>
    <row r="138" spans="5:12">
      <c r="H138" s="368"/>
      <c r="I138" s="368"/>
      <c r="J138" s="369"/>
      <c r="K138" s="370"/>
      <c r="L138" s="370"/>
    </row>
    <row r="139" spans="5:12">
      <c r="E139" s="227"/>
      <c r="H139" s="368"/>
      <c r="I139" s="368"/>
      <c r="J139" s="369"/>
      <c r="K139" s="370"/>
      <c r="L139" s="370"/>
    </row>
    <row r="140" spans="5:12">
      <c r="H140" s="371"/>
      <c r="I140" s="371"/>
      <c r="J140" s="369"/>
      <c r="K140" s="370"/>
      <c r="L140" s="370"/>
    </row>
    <row r="141" spans="5:12">
      <c r="H141" s="371"/>
      <c r="I141" s="371"/>
      <c r="J141" s="369"/>
      <c r="K141" s="370"/>
      <c r="L141" s="370"/>
    </row>
    <row r="142" spans="5:12">
      <c r="H142" s="372"/>
      <c r="I142" s="372"/>
      <c r="J142" s="369"/>
      <c r="K142" s="370"/>
      <c r="L142" s="370"/>
    </row>
    <row r="143" spans="5:12">
      <c r="H143" s="300"/>
      <c r="I143" s="300"/>
      <c r="J143" s="369"/>
      <c r="K143" s="370"/>
      <c r="L143" s="370"/>
    </row>
    <row r="144" spans="5:12">
      <c r="H144" s="300"/>
      <c r="I144" s="300"/>
      <c r="J144" s="369"/>
      <c r="K144" s="370"/>
      <c r="L144" s="370"/>
    </row>
    <row r="145" spans="5:12">
      <c r="H145" s="300"/>
      <c r="I145" s="300"/>
      <c r="J145" s="369"/>
      <c r="K145" s="370"/>
      <c r="L145" s="370"/>
    </row>
    <row r="146" spans="5:12">
      <c r="H146" s="300"/>
      <c r="I146" s="300"/>
      <c r="J146" s="369"/>
      <c r="K146" s="370"/>
      <c r="L146" s="370"/>
    </row>
    <row r="147" spans="5:12">
      <c r="H147" s="300"/>
      <c r="I147" s="300"/>
      <c r="J147" s="369"/>
      <c r="K147" s="370"/>
      <c r="L147" s="370"/>
    </row>
    <row r="148" spans="5:12">
      <c r="H148" s="300"/>
      <c r="I148" s="300"/>
      <c r="J148" s="369"/>
      <c r="K148" s="370"/>
      <c r="L148" s="370"/>
    </row>
    <row r="149" spans="5:12">
      <c r="H149" s="300"/>
      <c r="I149" s="300"/>
      <c r="J149" s="369"/>
      <c r="K149" s="370"/>
      <c r="L149" s="370"/>
    </row>
    <row r="150" spans="5:12">
      <c r="H150" s="300"/>
      <c r="I150" s="300"/>
      <c r="J150" s="369"/>
      <c r="K150" s="370"/>
      <c r="L150" s="370"/>
    </row>
    <row r="151" spans="5:12">
      <c r="H151" s="300"/>
      <c r="I151" s="300"/>
      <c r="J151" s="369"/>
      <c r="K151" s="370"/>
      <c r="L151" s="370"/>
    </row>
    <row r="152" spans="5:12">
      <c r="H152" s="300"/>
      <c r="I152" s="300"/>
      <c r="J152" s="369"/>
      <c r="K152" s="370"/>
      <c r="L152" s="370"/>
    </row>
    <row r="153" spans="5:12">
      <c r="H153" s="300"/>
      <c r="I153" s="300"/>
      <c r="J153" s="369"/>
      <c r="K153" s="370"/>
      <c r="L153" s="370"/>
    </row>
    <row r="154" spans="5:12">
      <c r="H154" s="300"/>
      <c r="I154" s="300"/>
      <c r="J154" s="369"/>
      <c r="K154" s="370"/>
      <c r="L154" s="370"/>
    </row>
    <row r="155" spans="5:12">
      <c r="H155" s="300"/>
      <c r="I155" s="300"/>
      <c r="J155" s="369"/>
      <c r="K155" s="370"/>
      <c r="L155" s="370"/>
    </row>
    <row r="156" spans="5:12">
      <c r="H156" s="368"/>
      <c r="I156" s="368"/>
      <c r="J156" s="369"/>
      <c r="K156" s="370"/>
      <c r="L156" s="370"/>
    </row>
    <row r="157" spans="5:12">
      <c r="H157" s="368"/>
      <c r="I157" s="368"/>
      <c r="J157" s="369"/>
      <c r="K157" s="370"/>
      <c r="L157" s="370"/>
    </row>
    <row r="158" spans="5:12">
      <c r="E158" s="227"/>
      <c r="H158" s="368"/>
      <c r="I158" s="368"/>
      <c r="J158" s="369"/>
      <c r="K158" s="370"/>
      <c r="L158" s="370"/>
    </row>
    <row r="159" spans="5:12">
      <c r="H159" s="300"/>
      <c r="I159" s="300"/>
      <c r="J159" s="369"/>
      <c r="K159" s="370"/>
      <c r="L159" s="370"/>
    </row>
    <row r="160" spans="5:12">
      <c r="H160" s="300"/>
      <c r="I160" s="300"/>
      <c r="J160" s="369"/>
      <c r="K160" s="370"/>
      <c r="L160" s="370"/>
    </row>
    <row r="161" spans="5:12">
      <c r="H161" s="300"/>
      <c r="I161" s="300"/>
      <c r="J161" s="369"/>
      <c r="K161" s="370"/>
      <c r="L161" s="370"/>
    </row>
    <row r="162" spans="5:12">
      <c r="H162" s="300"/>
      <c r="I162" s="300"/>
      <c r="J162" s="369"/>
      <c r="K162" s="370"/>
      <c r="L162" s="370"/>
    </row>
    <row r="163" spans="5:12">
      <c r="H163" s="300"/>
      <c r="I163" s="300"/>
      <c r="J163" s="369"/>
      <c r="K163" s="370"/>
      <c r="L163" s="370"/>
    </row>
    <row r="164" spans="5:12">
      <c r="E164" s="227"/>
      <c r="H164" s="300"/>
      <c r="I164" s="300"/>
      <c r="J164" s="369"/>
      <c r="K164" s="370"/>
      <c r="L164" s="370"/>
    </row>
    <row r="165" spans="5:12">
      <c r="H165" s="300"/>
      <c r="I165" s="300"/>
      <c r="J165" s="369"/>
      <c r="K165" s="370"/>
      <c r="L165" s="370"/>
    </row>
    <row r="166" spans="5:12">
      <c r="H166" s="300"/>
      <c r="I166" s="300"/>
      <c r="J166" s="369"/>
      <c r="K166" s="370"/>
      <c r="L166" s="370"/>
    </row>
    <row r="167" spans="5:12">
      <c r="H167" s="300"/>
      <c r="I167" s="300"/>
      <c r="J167" s="369"/>
      <c r="K167" s="370"/>
      <c r="L167" s="370"/>
    </row>
    <row r="168" spans="5:12">
      <c r="H168" s="371"/>
      <c r="I168" s="371"/>
      <c r="J168" s="369"/>
      <c r="K168" s="370"/>
      <c r="L168" s="370"/>
    </row>
    <row r="169" spans="5:12">
      <c r="H169" s="371"/>
      <c r="I169" s="371"/>
      <c r="J169" s="369"/>
      <c r="K169" s="370"/>
      <c r="L169" s="370"/>
    </row>
    <row r="170" spans="5:12">
      <c r="H170" s="372"/>
      <c r="I170" s="372"/>
      <c r="J170" s="369"/>
      <c r="K170" s="370"/>
      <c r="L170" s="370"/>
    </row>
    <row r="171" spans="5:12">
      <c r="H171" s="300"/>
      <c r="I171" s="300"/>
      <c r="J171" s="369"/>
      <c r="K171" s="370"/>
      <c r="L171" s="370"/>
    </row>
    <row r="172" spans="5:12">
      <c r="H172" s="300"/>
      <c r="I172" s="300"/>
      <c r="J172" s="369"/>
      <c r="K172" s="370"/>
      <c r="L172" s="370"/>
    </row>
    <row r="173" spans="5:12">
      <c r="H173" s="300"/>
      <c r="I173" s="300"/>
      <c r="J173" s="369"/>
      <c r="K173" s="370"/>
      <c r="L173" s="370"/>
    </row>
    <row r="174" spans="5:12">
      <c r="H174" s="300"/>
      <c r="I174" s="300"/>
      <c r="J174" s="369"/>
      <c r="K174" s="370"/>
      <c r="L174" s="370"/>
    </row>
    <row r="175" spans="5:12">
      <c r="H175" s="300"/>
      <c r="I175" s="300"/>
      <c r="J175" s="369"/>
      <c r="K175" s="370"/>
      <c r="L175" s="370"/>
    </row>
    <row r="176" spans="5:12">
      <c r="H176" s="300"/>
      <c r="I176" s="300"/>
      <c r="J176" s="369"/>
      <c r="K176" s="370"/>
      <c r="L176" s="370"/>
    </row>
    <row r="177" spans="5:12">
      <c r="H177" s="300"/>
      <c r="I177" s="300"/>
      <c r="J177" s="369"/>
      <c r="K177" s="370"/>
      <c r="L177" s="370"/>
    </row>
    <row r="178" spans="5:12">
      <c r="H178" s="300"/>
      <c r="I178" s="300"/>
      <c r="J178" s="369"/>
      <c r="K178" s="370"/>
      <c r="L178" s="370"/>
    </row>
    <row r="179" spans="5:12">
      <c r="H179" s="300"/>
      <c r="I179" s="300"/>
      <c r="J179" s="369"/>
      <c r="K179" s="370"/>
      <c r="L179" s="370"/>
    </row>
    <row r="180" spans="5:12">
      <c r="H180" s="300"/>
      <c r="I180" s="300"/>
      <c r="J180" s="369"/>
      <c r="K180" s="370"/>
      <c r="L180" s="370"/>
    </row>
    <row r="181" spans="5:12">
      <c r="H181" s="300"/>
      <c r="I181" s="300"/>
      <c r="J181" s="369"/>
      <c r="K181" s="370"/>
      <c r="L181" s="370"/>
    </row>
    <row r="182" spans="5:12">
      <c r="H182" s="300"/>
      <c r="I182" s="300"/>
      <c r="J182" s="369"/>
      <c r="K182" s="370"/>
      <c r="L182" s="370"/>
    </row>
    <row r="183" spans="5:12">
      <c r="H183" s="300"/>
      <c r="I183" s="300"/>
      <c r="J183" s="369"/>
      <c r="K183" s="370"/>
      <c r="L183" s="370"/>
    </row>
    <row r="184" spans="5:12">
      <c r="H184" s="368"/>
      <c r="I184" s="368"/>
      <c r="J184" s="369"/>
      <c r="K184" s="370"/>
      <c r="L184" s="370"/>
    </row>
    <row r="185" spans="5:12">
      <c r="H185" s="368"/>
      <c r="I185" s="368"/>
      <c r="J185" s="369"/>
      <c r="K185" s="370"/>
      <c r="L185" s="370"/>
    </row>
    <row r="186" spans="5:12">
      <c r="E186" s="227"/>
      <c r="H186" s="368"/>
      <c r="I186" s="368"/>
      <c r="J186" s="369"/>
      <c r="K186" s="370"/>
      <c r="L186" s="370"/>
    </row>
    <row r="187" spans="5:12">
      <c r="H187" s="371"/>
      <c r="I187" s="371"/>
      <c r="J187" s="369"/>
      <c r="K187" s="370"/>
      <c r="L187" s="370"/>
    </row>
    <row r="188" spans="5:12">
      <c r="H188" s="371"/>
      <c r="I188" s="371"/>
      <c r="J188" s="369"/>
      <c r="K188" s="370"/>
      <c r="L188" s="370"/>
    </row>
    <row r="189" spans="5:12">
      <c r="H189" s="372"/>
      <c r="I189" s="372"/>
      <c r="J189" s="369"/>
      <c r="K189" s="370"/>
      <c r="L189" s="370"/>
    </row>
    <row r="190" spans="5:12">
      <c r="H190" s="300"/>
      <c r="I190" s="300"/>
      <c r="J190" s="369"/>
      <c r="K190" s="370"/>
      <c r="L190" s="370"/>
    </row>
    <row r="191" spans="5:12">
      <c r="H191" s="300"/>
      <c r="I191" s="300"/>
      <c r="J191" s="369"/>
      <c r="K191" s="370"/>
      <c r="L191" s="370"/>
    </row>
    <row r="192" spans="5:12">
      <c r="H192" s="300"/>
      <c r="I192" s="300"/>
      <c r="J192" s="369"/>
      <c r="K192" s="370"/>
      <c r="L192" s="370"/>
    </row>
    <row r="193" spans="5:12">
      <c r="H193" s="300"/>
      <c r="I193" s="300"/>
      <c r="J193" s="369"/>
      <c r="K193" s="370"/>
      <c r="L193" s="370"/>
    </row>
    <row r="194" spans="5:12">
      <c r="H194" s="300"/>
      <c r="I194" s="300"/>
      <c r="J194" s="369"/>
      <c r="K194" s="370"/>
      <c r="L194" s="370"/>
    </row>
    <row r="195" spans="5:12">
      <c r="H195" s="300"/>
      <c r="I195" s="300"/>
      <c r="J195" s="369"/>
      <c r="K195" s="370"/>
      <c r="L195" s="370"/>
    </row>
    <row r="196" spans="5:12">
      <c r="H196" s="300"/>
      <c r="I196" s="300"/>
      <c r="J196" s="369"/>
      <c r="K196" s="370"/>
      <c r="L196" s="370"/>
    </row>
    <row r="197" spans="5:12">
      <c r="H197" s="300"/>
      <c r="I197" s="300"/>
      <c r="J197" s="369"/>
      <c r="K197" s="370"/>
      <c r="L197" s="370"/>
    </row>
    <row r="198" spans="5:12">
      <c r="H198" s="300"/>
      <c r="I198" s="300"/>
      <c r="J198" s="369"/>
      <c r="K198" s="370"/>
      <c r="L198" s="370"/>
    </row>
    <row r="199" spans="5:12">
      <c r="H199" s="300"/>
      <c r="I199" s="300"/>
      <c r="J199" s="369"/>
      <c r="K199" s="370"/>
      <c r="L199" s="370"/>
    </row>
    <row r="200" spans="5:12">
      <c r="H200" s="300"/>
      <c r="I200" s="300"/>
      <c r="J200" s="369"/>
      <c r="K200" s="370"/>
      <c r="L200" s="370"/>
    </row>
    <row r="201" spans="5:12">
      <c r="H201" s="300"/>
      <c r="I201" s="300"/>
      <c r="J201" s="369"/>
      <c r="K201" s="370"/>
      <c r="L201" s="370"/>
    </row>
    <row r="202" spans="5:12">
      <c r="H202" s="300"/>
      <c r="I202" s="300"/>
      <c r="J202" s="369"/>
      <c r="K202" s="370"/>
      <c r="L202" s="370"/>
    </row>
    <row r="203" spans="5:12">
      <c r="H203" s="368"/>
      <c r="I203" s="368"/>
      <c r="J203" s="369"/>
      <c r="K203" s="370"/>
      <c r="L203" s="370"/>
    </row>
    <row r="204" spans="5:12">
      <c r="H204" s="368"/>
      <c r="I204" s="368"/>
      <c r="J204" s="369"/>
      <c r="K204" s="370"/>
      <c r="L204" s="370"/>
    </row>
    <row r="205" spans="5:12">
      <c r="E205" s="227"/>
      <c r="H205" s="368"/>
      <c r="I205" s="368"/>
      <c r="J205" s="369"/>
      <c r="K205" s="370"/>
      <c r="L205" s="370"/>
    </row>
    <row r="206" spans="5:12">
      <c r="H206" s="300"/>
      <c r="I206" s="300"/>
      <c r="J206" s="369"/>
      <c r="K206" s="370"/>
      <c r="L206" s="370"/>
    </row>
    <row r="207" spans="5:12">
      <c r="H207" s="300"/>
      <c r="I207" s="300"/>
      <c r="J207" s="369"/>
      <c r="K207" s="370"/>
      <c r="L207" s="370"/>
    </row>
    <row r="208" spans="5:12">
      <c r="H208" s="300"/>
      <c r="I208" s="300"/>
      <c r="J208" s="369"/>
      <c r="K208" s="370"/>
      <c r="L208" s="370"/>
    </row>
    <row r="209" spans="5:12">
      <c r="H209" s="300"/>
      <c r="I209" s="300"/>
      <c r="J209" s="369"/>
      <c r="K209" s="370"/>
      <c r="L209" s="370"/>
    </row>
    <row r="210" spans="5:12">
      <c r="H210" s="300"/>
      <c r="I210" s="300"/>
      <c r="J210" s="369"/>
      <c r="K210" s="370"/>
      <c r="L210" s="370"/>
    </row>
    <row r="211" spans="5:12">
      <c r="E211" s="227"/>
      <c r="H211" s="300"/>
      <c r="I211" s="300"/>
      <c r="J211" s="369"/>
      <c r="K211" s="370"/>
      <c r="L211" s="370"/>
    </row>
    <row r="212" spans="5:12">
      <c r="H212" s="300"/>
      <c r="I212" s="300"/>
      <c r="J212" s="369"/>
      <c r="K212" s="370"/>
      <c r="L212" s="370"/>
    </row>
    <row r="213" spans="5:12">
      <c r="H213" s="300"/>
      <c r="I213" s="300"/>
      <c r="J213" s="369"/>
      <c r="K213" s="370"/>
      <c r="L213" s="370"/>
    </row>
    <row r="214" spans="5:12">
      <c r="H214" s="300"/>
      <c r="I214" s="300"/>
      <c r="J214" s="369"/>
      <c r="K214" s="370"/>
      <c r="L214" s="370"/>
    </row>
    <row r="215" spans="5:12">
      <c r="H215" s="300"/>
      <c r="I215" s="300"/>
      <c r="J215" s="369"/>
      <c r="K215" s="370"/>
      <c r="L215" s="370"/>
    </row>
    <row r="216" spans="5:12">
      <c r="H216" s="371"/>
      <c r="I216" s="371"/>
      <c r="J216" s="369"/>
      <c r="K216" s="370"/>
      <c r="L216" s="370"/>
    </row>
    <row r="217" spans="5:12">
      <c r="H217" s="371"/>
      <c r="I217" s="371"/>
      <c r="J217" s="369"/>
      <c r="K217" s="370"/>
      <c r="L217" s="370"/>
    </row>
    <row r="218" spans="5:12">
      <c r="H218" s="372"/>
      <c r="I218" s="372"/>
      <c r="J218" s="369"/>
      <c r="K218" s="370"/>
      <c r="L218" s="370"/>
    </row>
    <row r="219" spans="5:12">
      <c r="H219" s="300"/>
      <c r="I219" s="300"/>
      <c r="J219" s="369"/>
      <c r="K219" s="370"/>
      <c r="L219" s="370"/>
    </row>
    <row r="220" spans="5:12">
      <c r="H220" s="300"/>
      <c r="I220" s="300"/>
      <c r="J220" s="369"/>
      <c r="K220" s="370"/>
      <c r="L220" s="370"/>
    </row>
    <row r="221" spans="5:12">
      <c r="H221" s="300"/>
      <c r="I221" s="300"/>
      <c r="J221" s="369"/>
      <c r="K221" s="370"/>
      <c r="L221" s="370"/>
    </row>
    <row r="222" spans="5:12">
      <c r="H222" s="300"/>
      <c r="I222" s="300"/>
      <c r="J222" s="369"/>
      <c r="K222" s="370"/>
      <c r="L222" s="370"/>
    </row>
    <row r="223" spans="5:12">
      <c r="H223" s="300"/>
      <c r="I223" s="300"/>
      <c r="J223" s="369"/>
      <c r="K223" s="370"/>
      <c r="L223" s="370"/>
    </row>
    <row r="224" spans="5:12">
      <c r="H224" s="300"/>
      <c r="I224" s="300"/>
      <c r="J224" s="369"/>
      <c r="K224" s="370"/>
      <c r="L224" s="370"/>
    </row>
    <row r="225" spans="5:12">
      <c r="H225" s="300"/>
      <c r="I225" s="300"/>
      <c r="J225" s="369"/>
      <c r="K225" s="370"/>
      <c r="L225" s="370"/>
    </row>
    <row r="226" spans="5:12">
      <c r="H226" s="300"/>
      <c r="I226" s="300"/>
      <c r="J226" s="369"/>
      <c r="K226" s="370"/>
      <c r="L226" s="370"/>
    </row>
    <row r="227" spans="5:12">
      <c r="H227" s="300"/>
      <c r="I227" s="300"/>
      <c r="J227" s="369"/>
      <c r="K227" s="370"/>
      <c r="L227" s="370"/>
    </row>
    <row r="228" spans="5:12">
      <c r="H228" s="300"/>
      <c r="I228" s="300"/>
      <c r="J228" s="369"/>
      <c r="K228" s="370"/>
      <c r="L228" s="370"/>
    </row>
    <row r="229" spans="5:12">
      <c r="H229" s="300"/>
      <c r="I229" s="300"/>
      <c r="J229" s="369"/>
      <c r="K229" s="370"/>
      <c r="L229" s="370"/>
    </row>
    <row r="230" spans="5:12">
      <c r="H230" s="300"/>
      <c r="I230" s="300"/>
      <c r="J230" s="369"/>
      <c r="K230" s="370"/>
      <c r="L230" s="370"/>
    </row>
    <row r="231" spans="5:12">
      <c r="H231" s="300"/>
      <c r="I231" s="300"/>
      <c r="J231" s="369"/>
      <c r="K231" s="370"/>
      <c r="L231" s="370"/>
    </row>
    <row r="232" spans="5:12">
      <c r="H232" s="300"/>
      <c r="I232" s="300"/>
      <c r="J232" s="369"/>
      <c r="K232" s="370"/>
      <c r="L232" s="370"/>
    </row>
    <row r="233" spans="5:12">
      <c r="H233" s="368"/>
      <c r="I233" s="368"/>
      <c r="J233" s="369"/>
      <c r="K233" s="370"/>
      <c r="L233" s="370"/>
    </row>
    <row r="234" spans="5:12">
      <c r="H234" s="368"/>
      <c r="I234" s="368"/>
      <c r="J234" s="369"/>
      <c r="K234" s="370"/>
      <c r="L234" s="370"/>
    </row>
    <row r="235" spans="5:12">
      <c r="E235" s="227"/>
      <c r="H235" s="368"/>
      <c r="I235" s="368"/>
      <c r="J235" s="369"/>
      <c r="K235" s="370"/>
      <c r="L235" s="370"/>
    </row>
    <row r="236" spans="5:12">
      <c r="H236" s="300"/>
      <c r="I236" s="300"/>
      <c r="J236" s="369"/>
      <c r="K236" s="370"/>
      <c r="L236" s="370"/>
    </row>
    <row r="237" spans="5:12">
      <c r="H237" s="300"/>
      <c r="I237" s="300"/>
      <c r="J237" s="369"/>
      <c r="K237" s="370"/>
      <c r="L237" s="370"/>
    </row>
    <row r="238" spans="5:12">
      <c r="H238" s="300"/>
      <c r="I238" s="300"/>
      <c r="J238" s="369"/>
      <c r="K238" s="370"/>
      <c r="L238" s="370"/>
    </row>
    <row r="239" spans="5:12">
      <c r="H239" s="300"/>
      <c r="I239" s="300"/>
      <c r="J239" s="369"/>
      <c r="K239" s="370"/>
      <c r="L239" s="370"/>
    </row>
    <row r="240" spans="5:12">
      <c r="H240" s="300"/>
      <c r="I240" s="300"/>
      <c r="J240" s="369"/>
      <c r="K240" s="370"/>
      <c r="L240" s="370"/>
    </row>
    <row r="241" spans="5:12">
      <c r="E241" s="227"/>
      <c r="H241" s="300"/>
      <c r="I241" s="300"/>
      <c r="J241" s="369"/>
      <c r="K241" s="370"/>
      <c r="L241" s="370"/>
    </row>
    <row r="242" spans="5:12">
      <c r="H242" s="300"/>
      <c r="I242" s="300"/>
      <c r="J242" s="369"/>
      <c r="K242" s="370"/>
      <c r="L242" s="370"/>
    </row>
    <row r="243" spans="5:12">
      <c r="H243" s="300"/>
      <c r="I243" s="300"/>
      <c r="J243" s="369"/>
      <c r="K243" s="370"/>
      <c r="L243" s="370"/>
    </row>
    <row r="244" spans="5:12">
      <c r="H244" s="300"/>
      <c r="I244" s="300"/>
      <c r="J244" s="369"/>
      <c r="K244" s="370"/>
      <c r="L244" s="370"/>
    </row>
    <row r="245" spans="5:12">
      <c r="H245" s="300"/>
      <c r="I245" s="300"/>
      <c r="J245" s="369"/>
      <c r="K245" s="370"/>
      <c r="L245" s="370"/>
    </row>
    <row r="246" spans="5:12">
      <c r="H246" s="300"/>
      <c r="I246" s="300"/>
      <c r="J246" s="369"/>
      <c r="K246" s="370"/>
      <c r="L246" s="370"/>
    </row>
    <row r="247" spans="5:12">
      <c r="H247" s="300"/>
      <c r="I247" s="300"/>
      <c r="J247" s="369"/>
      <c r="K247" s="370"/>
      <c r="L247" s="370"/>
    </row>
    <row r="248" spans="5:12">
      <c r="H248" s="300"/>
      <c r="I248" s="300"/>
      <c r="J248" s="369"/>
      <c r="K248" s="370"/>
      <c r="L248" s="370"/>
    </row>
    <row r="249" spans="5:12">
      <c r="H249" s="300"/>
      <c r="I249" s="300"/>
      <c r="J249" s="369"/>
      <c r="K249" s="370"/>
      <c r="L249" s="370"/>
    </row>
    <row r="250" spans="5:12" s="22" customFormat="1">
      <c r="E250" s="15"/>
      <c r="F250" s="61"/>
      <c r="G250" s="15"/>
      <c r="H250" s="300"/>
      <c r="I250" s="300"/>
      <c r="J250" s="369"/>
      <c r="K250" s="370"/>
      <c r="L250" s="370"/>
    </row>
    <row r="251" spans="5:12">
      <c r="J251" s="369"/>
      <c r="K251" s="370"/>
      <c r="L251" s="370"/>
    </row>
  </sheetData>
  <sheetProtection formatCells="0" formatColumns="0" formatRows="0" insertRows="0" deleteRows="0" autoFilter="0"/>
  <autoFilter ref="E23:AL396" xr:uid="{00000000-0009-0000-0000-00001B000000}"/>
  <mergeCells count="2">
    <mergeCell ref="I4:J4"/>
    <mergeCell ref="E99:H99"/>
  </mergeCells>
  <phoneticPr fontId="40"/>
  <dataValidations count="2">
    <dataValidation type="list" allowBlank="1" showInputMessage="1" showErrorMessage="1" sqref="G2" xr:uid="{00000000-0002-0000-1B00-000000000000}">
      <formula1>SOCIETE</formula1>
    </dataValidation>
    <dataValidation type="list" allowBlank="1" showInputMessage="1" showErrorMessage="1" sqref="H101:H105 F100 F107 F114:F250 F24:F93" xr:uid="{EC6F4A0B-903B-4F72-A72D-1A5CE7B6812A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08:G113" unlockedFormula="1"/>
  </ignoredError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9">
    <tabColor theme="3" tint="-0.249977111117893"/>
    <pageSetUpPr fitToPage="1"/>
  </sheetPr>
  <dimension ref="D1:AL129"/>
  <sheetViews>
    <sheetView showGridLines="0" topLeftCell="F4" zoomScale="80" zoomScaleNormal="80" workbookViewId="0">
      <selection activeCell="H10" sqref="H10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113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June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June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W26</v>
      </c>
      <c r="I9" s="61"/>
      <c r="J9" s="161" t="str">
        <f>+"from "&amp;G6&amp;" 1 until end of "&amp;G4</f>
        <v>from June 1 until end of W26</v>
      </c>
      <c r="K9" s="79"/>
      <c r="L9" s="167" t="str">
        <f>+G6</f>
        <v>June</v>
      </c>
      <c r="M9" s="80"/>
      <c r="N9" s="80"/>
      <c r="O9" s="172" t="str">
        <f>+G4</f>
        <v>W26</v>
      </c>
      <c r="P9" s="173" t="str">
        <f>+VLOOKUP(G4, parameters!$G$9:$I$61,3,0)</f>
        <v>W25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600+320+797+430+396+J10</f>
        <v>3185</v>
      </c>
      <c r="I10" s="293"/>
      <c r="J10" s="159">
        <f>889-J11-G98</f>
        <v>642</v>
      </c>
      <c r="L10" s="159">
        <f>S17+J10</f>
        <v>858.03873389199998</v>
      </c>
      <c r="N10" s="55"/>
      <c r="O10" s="170">
        <f>+H10+K17</f>
        <v>6610.3688991939998</v>
      </c>
      <c r="P10" s="171" cm="1">
        <f t="array" aca="1" ref="P10" ca="1">INDIRECT(ADDRESS(10,15,,,VLOOKUP($G$4,parameters!$G:$I,3,0)))</f>
        <v>6280.8944414199996</v>
      </c>
      <c r="Q10" s="183">
        <f ca="1">O10-P10</f>
        <v>329.47445777400026</v>
      </c>
      <c r="R10" s="86"/>
    </row>
    <row r="11" spans="5:38" ht="20.45" customHeight="1">
      <c r="E11" s="87" t="s">
        <v>224</v>
      </c>
      <c r="F11" s="88"/>
      <c r="G11" s="89"/>
      <c r="H11" s="16">
        <f>13+8+3+3+2+J11</f>
        <v>43</v>
      </c>
      <c r="I11" s="61"/>
      <c r="J11" s="16">
        <v>14</v>
      </c>
      <c r="L11" s="159">
        <f>S18+J11</f>
        <v>14.109614112999999</v>
      </c>
      <c r="N11" s="55"/>
      <c r="O11" s="152">
        <f>+H11+K18</f>
        <v>119.66959196000001</v>
      </c>
      <c r="P11" s="153" cm="1">
        <f t="array" aca="1" ref="P11" ca="1">INDIRECT(ADDRESS(11,15,,,VLOOKUP($G$4,parameters!$G:$I,3,0)))</f>
        <v>117.820088974</v>
      </c>
      <c r="Q11" s="184">
        <f t="shared" ref="Q11:Q12" ca="1" si="0">O11-P11</f>
        <v>1.8495029860000045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3228</v>
      </c>
      <c r="I12" s="293"/>
      <c r="J12" s="126">
        <f>SUM(J10:J11)</f>
        <v>656</v>
      </c>
      <c r="K12" s="65"/>
      <c r="L12" s="126">
        <f>SUM(L10:L11)</f>
        <v>872.148348005</v>
      </c>
      <c r="M12" s="65"/>
      <c r="N12" s="65"/>
      <c r="O12" s="154">
        <f>SUM(O10:O11)</f>
        <v>6730.0384911539995</v>
      </c>
      <c r="P12" s="155">
        <f ca="1">SUM(P10:P11)</f>
        <v>6398.7145303939997</v>
      </c>
      <c r="Q12" s="156">
        <f t="shared" ca="1" si="0"/>
        <v>331.32396075999986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293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+SUMIF($F$24:$F$90,"External",$J$24:$J$90)</f>
        <v>3425.3688991940003</v>
      </c>
      <c r="K17" s="108">
        <f>+SUMIF($F$24:$F$90,"External",$K$24:$K$90)</f>
        <v>3425.3688991940003</v>
      </c>
      <c r="L17" s="109">
        <f>+SUMIF($F$24:$F$90,"External",$L$24:$L$90)</f>
        <v>0</v>
      </c>
      <c r="M17" s="110"/>
      <c r="N17" s="111">
        <f t="shared" ref="N17:Y17" si="1">+SUMIF($F$24:$F$90,"External",N$24:N$90)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>+SUMIF($F$24:$F$90,"External",S$24:S$90)</f>
        <v>216.03873389199998</v>
      </c>
      <c r="T17" s="111">
        <f t="shared" si="1"/>
        <v>1144.4015950880002</v>
      </c>
      <c r="U17" s="111">
        <f t="shared" si="1"/>
        <v>816.90962205300002</v>
      </c>
      <c r="V17" s="111">
        <f t="shared" si="1"/>
        <v>858.24983371199971</v>
      </c>
      <c r="W17" s="111">
        <f t="shared" si="1"/>
        <v>70.301399099999998</v>
      </c>
      <c r="X17" s="111">
        <f t="shared" si="1"/>
        <v>286.03354384900001</v>
      </c>
      <c r="Y17" s="111">
        <f t="shared" si="1"/>
        <v>33.434171500000005</v>
      </c>
      <c r="Z17" s="112"/>
      <c r="AA17" s="111">
        <f t="shared" ref="AA17:AL17" si="2">+SUMIF($F$24:$F$90,"External",AA$24:AA$90)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+SUMIF($F$24:$F$90,"Group",$J$24:$J$90)</f>
        <v>76.669591960000005</v>
      </c>
      <c r="K18" s="113">
        <f>+SUMIF($F$24:$F$90,"Group",$K$24:$K$90)</f>
        <v>76.669591960000005</v>
      </c>
      <c r="L18" s="114">
        <f>SUMIF($F$24:$F$90,"Group",$L$24:$L$90)</f>
        <v>0</v>
      </c>
      <c r="M18" s="110"/>
      <c r="N18" s="114">
        <f t="shared" ref="N18:Y18" si="3">+SUMIF($F$24:$F$90,"Group",N$24:N$90)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0.109614113</v>
      </c>
      <c r="T18" s="114">
        <f t="shared" si="3"/>
        <v>76.559977846999999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+SUMIF($F$24:$F$90,"Group",AA$24:AA$90)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3502.0384911540004</v>
      </c>
      <c r="K19" s="115">
        <f>SUM(K17:K18)</f>
        <v>3502.0384911540004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216.14834800499997</v>
      </c>
      <c r="T19" s="116">
        <f t="shared" si="5"/>
        <v>1220.9615729350003</v>
      </c>
      <c r="U19" s="116">
        <f t="shared" si="5"/>
        <v>816.90962205300002</v>
      </c>
      <c r="V19" s="116">
        <f t="shared" si="5"/>
        <v>858.24983371199971</v>
      </c>
      <c r="W19" s="116">
        <f t="shared" si="5"/>
        <v>70.301399099999998</v>
      </c>
      <c r="X19" s="116">
        <f t="shared" si="5"/>
        <v>286.03354384900001</v>
      </c>
      <c r="Y19" s="116">
        <f t="shared" si="5"/>
        <v>33.434171500000005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548</v>
      </c>
      <c r="F24" s="7" t="s">
        <v>19</v>
      </c>
      <c r="G24" s="6" t="s">
        <v>378</v>
      </c>
      <c r="H24" s="187" t="s">
        <v>290</v>
      </c>
      <c r="I24" s="187" t="s">
        <v>466</v>
      </c>
      <c r="J24" s="118">
        <f t="shared" ref="J24" si="7">+K24+L24</f>
        <v>35.004731300000003</v>
      </c>
      <c r="K24" s="119">
        <f t="shared" ref="K24" si="8">SUM(N24:Y24)</f>
        <v>35.004731300000003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>
        <v>35.004731300000003</v>
      </c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7" t="s">
        <v>19</v>
      </c>
      <c r="G25" s="6" t="s">
        <v>239</v>
      </c>
      <c r="H25" s="188" t="s">
        <v>278</v>
      </c>
      <c r="I25" s="188" t="s">
        <v>466</v>
      </c>
      <c r="J25" s="118">
        <f t="shared" ref="J25:J88" si="10">+K25+L25</f>
        <v>9.4273410379999998</v>
      </c>
      <c r="K25" s="119">
        <f t="shared" ref="K25:K88" si="11">SUM(N25:Y25)</f>
        <v>9.4273410379999998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>
        <v>7.7724808190000001</v>
      </c>
      <c r="T25" s="24"/>
      <c r="U25" s="24">
        <v>1.6548602190000001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188" t="s">
        <v>277</v>
      </c>
      <c r="I26" s="188" t="s">
        <v>466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>
        <v>8.2520863759999994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470</v>
      </c>
      <c r="F27" s="7" t="s">
        <v>19</v>
      </c>
      <c r="G27" s="6" t="s">
        <v>279</v>
      </c>
      <c r="H27" s="6" t="s">
        <v>280</v>
      </c>
      <c r="I27" s="6" t="s">
        <v>472</v>
      </c>
      <c r="J27" s="118">
        <f t="shared" si="10"/>
        <v>341.04746650600009</v>
      </c>
      <c r="K27" s="119">
        <f t="shared" si="11"/>
        <v>341.04746650600009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>
        <v>7.0585135609999998</v>
      </c>
      <c r="U27" s="24">
        <v>185.83288595100004</v>
      </c>
      <c r="V27" s="24"/>
      <c r="W27" s="24"/>
      <c r="X27" s="24">
        <v>148.15606699400001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281</v>
      </c>
      <c r="F28" s="7" t="s">
        <v>19</v>
      </c>
      <c r="G28" s="6" t="s">
        <v>282</v>
      </c>
      <c r="H28" s="6" t="s">
        <v>283</v>
      </c>
      <c r="I28" s="6" t="s">
        <v>466</v>
      </c>
      <c r="J28" s="118">
        <f t="shared" si="10"/>
        <v>9.2597171350000007</v>
      </c>
      <c r="K28" s="119">
        <f t="shared" si="11"/>
        <v>9.2597171350000007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>
        <v>8.5679757070000004</v>
      </c>
      <c r="U28" s="24">
        <v>0.69174142800000005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6" t="s">
        <v>283</v>
      </c>
      <c r="I29" s="6" t="s">
        <v>472</v>
      </c>
      <c r="J29" s="118">
        <f t="shared" si="10"/>
        <v>23.295192105999998</v>
      </c>
      <c r="K29" s="119">
        <f t="shared" si="11"/>
        <v>23.295192105999998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>
        <v>23.295192105999998</v>
      </c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446</v>
      </c>
      <c r="F30" s="7" t="s">
        <v>19</v>
      </c>
      <c r="G30" s="6" t="s">
        <v>493</v>
      </c>
      <c r="H30" s="6" t="s">
        <v>339</v>
      </c>
      <c r="I30" s="6" t="s">
        <v>472</v>
      </c>
      <c r="J30" s="118">
        <f t="shared" si="10"/>
        <v>3.1289627279999999</v>
      </c>
      <c r="K30" s="119">
        <f t="shared" si="11"/>
        <v>3.1289627279999999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>
        <v>3.1289627279999999</v>
      </c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7" t="s">
        <v>19</v>
      </c>
      <c r="G31" s="6" t="s">
        <v>285</v>
      </c>
      <c r="H31" s="6" t="s">
        <v>286</v>
      </c>
      <c r="I31" s="6" t="s">
        <v>472</v>
      </c>
      <c r="J31" s="118">
        <f t="shared" si="10"/>
        <v>1.8723552809999999</v>
      </c>
      <c r="K31" s="119">
        <f t="shared" si="11"/>
        <v>1.8723552809999999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>
        <v>1.8723552809999999</v>
      </c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7" t="s">
        <v>17</v>
      </c>
      <c r="G32" s="6" t="s">
        <v>285</v>
      </c>
      <c r="H32" s="6" t="s">
        <v>286</v>
      </c>
      <c r="I32" s="6" t="s">
        <v>472</v>
      </c>
      <c r="J32" s="118">
        <f t="shared" si="10"/>
        <v>76.559977846999999</v>
      </c>
      <c r="K32" s="119">
        <f t="shared" si="11"/>
        <v>76.559977846999999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>
        <v>76.559977846999999</v>
      </c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474</v>
      </c>
      <c r="F33" s="7" t="s">
        <v>19</v>
      </c>
      <c r="G33" s="6" t="s">
        <v>279</v>
      </c>
      <c r="H33" s="6" t="s">
        <v>280</v>
      </c>
      <c r="I33" s="6" t="s">
        <v>472</v>
      </c>
      <c r="J33" s="118">
        <f t="shared" si="10"/>
        <v>114.986673357</v>
      </c>
      <c r="K33" s="119">
        <f t="shared" si="11"/>
        <v>114.986673357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>
        <v>114.986673357</v>
      </c>
      <c r="V33" s="24"/>
      <c r="W33" s="24"/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475</v>
      </c>
      <c r="F34" s="7" t="s">
        <v>19</v>
      </c>
      <c r="G34" s="6" t="s">
        <v>245</v>
      </c>
      <c r="H34" s="6" t="s">
        <v>288</v>
      </c>
      <c r="I34" s="6" t="s">
        <v>466</v>
      </c>
      <c r="J34" s="118">
        <f t="shared" si="10"/>
        <v>11.451385918</v>
      </c>
      <c r="K34" s="119">
        <f t="shared" si="11"/>
        <v>11.451385918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>
        <v>11.451385918</v>
      </c>
      <c r="U34" s="24"/>
      <c r="V34" s="24"/>
      <c r="W34" s="24"/>
      <c r="X34" s="24"/>
      <c r="Y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476</v>
      </c>
      <c r="F35" s="7" t="s">
        <v>19</v>
      </c>
      <c r="G35" s="6" t="s">
        <v>447</v>
      </c>
      <c r="H35" s="6" t="s">
        <v>448</v>
      </c>
      <c r="I35" s="6" t="s">
        <v>466</v>
      </c>
      <c r="J35" s="118">
        <f t="shared" si="10"/>
        <v>26.155731299999999</v>
      </c>
      <c r="K35" s="119">
        <f t="shared" si="11"/>
        <v>26.155731299999999</v>
      </c>
      <c r="L35" s="119">
        <f t="shared" si="12"/>
        <v>0</v>
      </c>
      <c r="M35" s="15"/>
      <c r="N35" s="24"/>
      <c r="O35" s="24"/>
      <c r="P35" s="24"/>
      <c r="Q35" s="24"/>
      <c r="R35" s="24"/>
      <c r="S35" s="306">
        <f>63.2125467-58</f>
        <v>5.2125466999999972</v>
      </c>
      <c r="T35" s="24">
        <v>14.9146134</v>
      </c>
      <c r="U35" s="24">
        <v>4.8918244</v>
      </c>
      <c r="V35" s="24">
        <v>1.1367468000000001</v>
      </c>
      <c r="W35" s="24"/>
      <c r="X35" s="24"/>
      <c r="Y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476</v>
      </c>
      <c r="F36" s="7" t="s">
        <v>19</v>
      </c>
      <c r="G36" s="6" t="s">
        <v>247</v>
      </c>
      <c r="H36" s="6" t="s">
        <v>289</v>
      </c>
      <c r="I36" s="6" t="s">
        <v>466</v>
      </c>
      <c r="J36" s="118">
        <f t="shared" si="10"/>
        <v>95.520726431000014</v>
      </c>
      <c r="K36" s="119">
        <f t="shared" si="11"/>
        <v>95.520726431000014</v>
      </c>
      <c r="L36" s="119">
        <f t="shared" si="12"/>
        <v>0</v>
      </c>
      <c r="M36" s="15"/>
      <c r="N36" s="24"/>
      <c r="O36" s="24"/>
      <c r="P36" s="24"/>
      <c r="Q36" s="24"/>
      <c r="R36" s="24"/>
      <c r="S36" s="306">
        <f>43.0024299-32</f>
        <v>11.002429900000003</v>
      </c>
      <c r="T36" s="24">
        <v>10.106778900000002</v>
      </c>
      <c r="U36" s="24">
        <v>24.132757131000002</v>
      </c>
      <c r="V36" s="24">
        <v>24.0487605</v>
      </c>
      <c r="W36" s="24">
        <v>11.99428</v>
      </c>
      <c r="X36" s="24">
        <v>7.1178600000000003</v>
      </c>
      <c r="Y36" s="24">
        <v>7.1178600000000003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476</v>
      </c>
      <c r="F37" s="7" t="s">
        <v>19</v>
      </c>
      <c r="G37" s="6" t="s">
        <v>379</v>
      </c>
      <c r="H37" s="6" t="s">
        <v>291</v>
      </c>
      <c r="I37" s="6" t="s">
        <v>466</v>
      </c>
      <c r="J37" s="118">
        <f t="shared" si="10"/>
        <v>33.896751300000005</v>
      </c>
      <c r="K37" s="119">
        <f t="shared" si="11"/>
        <v>33.896751300000005</v>
      </c>
      <c r="L37" s="119">
        <f t="shared" si="12"/>
        <v>0</v>
      </c>
      <c r="M37" s="15"/>
      <c r="N37" s="24"/>
      <c r="O37" s="24"/>
      <c r="P37" s="24"/>
      <c r="Q37" s="24"/>
      <c r="R37" s="24"/>
      <c r="S37" s="306">
        <v>0</v>
      </c>
      <c r="T37" s="306">
        <v>0</v>
      </c>
      <c r="U37" s="306">
        <v>0</v>
      </c>
      <c r="V37" s="306">
        <f>19.6610313</f>
        <v>19.661031300000001</v>
      </c>
      <c r="W37" s="24">
        <v>7.1178600000000003</v>
      </c>
      <c r="X37" s="24">
        <v>7.1178600000000003</v>
      </c>
      <c r="Y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476</v>
      </c>
      <c r="F38" s="7" t="s">
        <v>19</v>
      </c>
      <c r="G38" s="6" t="s">
        <v>378</v>
      </c>
      <c r="H38" s="6" t="s">
        <v>290</v>
      </c>
      <c r="I38" s="6" t="s">
        <v>466</v>
      </c>
      <c r="J38" s="118">
        <f t="shared" si="10"/>
        <v>117.50870434299999</v>
      </c>
      <c r="K38" s="119">
        <f t="shared" si="11"/>
        <v>117.50870434299999</v>
      </c>
      <c r="L38" s="119">
        <f t="shared" si="12"/>
        <v>0</v>
      </c>
      <c r="M38" s="15"/>
      <c r="N38" s="24"/>
      <c r="O38" s="24"/>
      <c r="P38" s="24"/>
      <c r="Q38" s="24"/>
      <c r="R38" s="24"/>
      <c r="S38" s="306">
        <f>116.563482274-25</f>
        <v>91.563482273999995</v>
      </c>
      <c r="T38" s="24">
        <v>18.879069968999996</v>
      </c>
      <c r="U38" s="24">
        <v>7.0661521</v>
      </c>
      <c r="V38" s="24"/>
      <c r="W38" s="24"/>
      <c r="X38" s="24"/>
      <c r="Y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476</v>
      </c>
      <c r="F39" s="7" t="s">
        <v>19</v>
      </c>
      <c r="G39" s="6" t="s">
        <v>454</v>
      </c>
      <c r="H39" s="6" t="s">
        <v>292</v>
      </c>
      <c r="I39" s="6" t="s">
        <v>466</v>
      </c>
      <c r="J39" s="118">
        <f t="shared" si="10"/>
        <v>104.4803587</v>
      </c>
      <c r="K39" s="119">
        <f t="shared" si="11"/>
        <v>104.4803587</v>
      </c>
      <c r="L39" s="119">
        <f t="shared" si="12"/>
        <v>0</v>
      </c>
      <c r="M39" s="15"/>
      <c r="N39" s="24"/>
      <c r="O39" s="24"/>
      <c r="P39" s="24"/>
      <c r="Q39" s="24"/>
      <c r="R39" s="24"/>
      <c r="S39" s="306">
        <v>5</v>
      </c>
      <c r="T39" s="24">
        <v>21.7875324</v>
      </c>
      <c r="U39" s="24">
        <v>14.610465700000001</v>
      </c>
      <c r="V39" s="24">
        <v>7.2454200000000002</v>
      </c>
      <c r="W39" s="24">
        <v>34.100680599999997</v>
      </c>
      <c r="X39" s="24">
        <v>14.49084</v>
      </c>
      <c r="Y39" s="24">
        <v>7.2454200000000002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476</v>
      </c>
      <c r="F40" s="7" t="s">
        <v>19</v>
      </c>
      <c r="G40" s="6" t="s">
        <v>508</v>
      </c>
      <c r="H40" s="6" t="s">
        <v>319</v>
      </c>
      <c r="I40" s="6" t="s">
        <v>466</v>
      </c>
      <c r="J40" s="118">
        <f t="shared" si="10"/>
        <v>6.4548162999999965</v>
      </c>
      <c r="K40" s="119">
        <f t="shared" si="11"/>
        <v>6.4548162999999965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>
        <v>6.4548162999999965</v>
      </c>
      <c r="T40" s="24"/>
      <c r="U40" s="24"/>
      <c r="V40" s="24"/>
      <c r="W40" s="24"/>
      <c r="X40" s="24"/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476</v>
      </c>
      <c r="F41" s="7" t="s">
        <v>19</v>
      </c>
      <c r="G41" s="6" t="s">
        <v>293</v>
      </c>
      <c r="H41" s="6" t="s">
        <v>294</v>
      </c>
      <c r="I41" s="6" t="s">
        <v>466</v>
      </c>
      <c r="J41" s="118">
        <f t="shared" si="10"/>
        <v>60.785590499999998</v>
      </c>
      <c r="K41" s="119">
        <f t="shared" si="11"/>
        <v>60.785590499999998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>
        <v>0.15520029999999996</v>
      </c>
      <c r="T41" s="24"/>
      <c r="U41" s="24">
        <v>3.4177157</v>
      </c>
      <c r="V41" s="24">
        <v>3.4177157</v>
      </c>
      <c r="W41" s="24">
        <v>17.088578500000001</v>
      </c>
      <c r="X41" s="24">
        <v>17.635488800000001</v>
      </c>
      <c r="Y41" s="24">
        <v>19.070891500000002</v>
      </c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476</v>
      </c>
      <c r="F42" s="7" t="s">
        <v>19</v>
      </c>
      <c r="G42" s="6" t="s">
        <v>252</v>
      </c>
      <c r="H42" s="6" t="s">
        <v>295</v>
      </c>
      <c r="I42" s="6" t="s">
        <v>466</v>
      </c>
      <c r="J42" s="118">
        <f t="shared" si="10"/>
        <v>18.338568832</v>
      </c>
      <c r="K42" s="119">
        <f t="shared" si="11"/>
        <v>18.338568832</v>
      </c>
      <c r="L42" s="119">
        <f t="shared" si="12"/>
        <v>0</v>
      </c>
      <c r="M42" s="15"/>
      <c r="N42" s="24"/>
      <c r="O42" s="24"/>
      <c r="P42" s="24"/>
      <c r="Q42" s="24"/>
      <c r="R42" s="24"/>
      <c r="S42" s="306">
        <v>0</v>
      </c>
      <c r="T42" s="24">
        <f>41.338568832-23</f>
        <v>18.338568832</v>
      </c>
      <c r="U42" s="24"/>
      <c r="V42" s="24"/>
      <c r="W42" s="24"/>
      <c r="X42" s="24"/>
      <c r="Y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476</v>
      </c>
      <c r="F43" s="7" t="s">
        <v>19</v>
      </c>
      <c r="G43" s="6" t="s">
        <v>245</v>
      </c>
      <c r="H43" s="6" t="s">
        <v>288</v>
      </c>
      <c r="I43" s="6" t="s">
        <v>466</v>
      </c>
      <c r="J43" s="118">
        <f t="shared" si="10"/>
        <v>43.123242601999991</v>
      </c>
      <c r="K43" s="119">
        <f t="shared" si="11"/>
        <v>43.123242601999991</v>
      </c>
      <c r="L43" s="119">
        <f t="shared" si="12"/>
        <v>0</v>
      </c>
      <c r="M43" s="15"/>
      <c r="N43" s="24"/>
      <c r="O43" s="24"/>
      <c r="P43" s="24"/>
      <c r="Q43" s="24"/>
      <c r="R43" s="24"/>
      <c r="S43" s="306">
        <v>0</v>
      </c>
      <c r="T43" s="24">
        <v>39.996063499999991</v>
      </c>
      <c r="U43" s="24">
        <v>3.1271791019999999</v>
      </c>
      <c r="V43" s="24"/>
      <c r="W43" s="24"/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477</v>
      </c>
      <c r="F44" s="7" t="s">
        <v>19</v>
      </c>
      <c r="G44" s="6" t="s">
        <v>454</v>
      </c>
      <c r="H44" s="6" t="s">
        <v>292</v>
      </c>
      <c r="I44" s="6" t="s">
        <v>466</v>
      </c>
      <c r="J44" s="118">
        <f t="shared" si="10"/>
        <v>10.006058019999999</v>
      </c>
      <c r="K44" s="119">
        <f t="shared" si="11"/>
        <v>10.006058019999999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>
        <v>10.006058019999999</v>
      </c>
      <c r="U44" s="24"/>
      <c r="V44" s="24"/>
      <c r="W44" s="24"/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478</v>
      </c>
      <c r="F45" s="7" t="s">
        <v>19</v>
      </c>
      <c r="G45" s="6" t="s">
        <v>245</v>
      </c>
      <c r="H45" s="6" t="s">
        <v>288</v>
      </c>
      <c r="I45" s="6" t="s">
        <v>466</v>
      </c>
      <c r="J45" s="118">
        <f t="shared" si="10"/>
        <v>57.256929589999999</v>
      </c>
      <c r="K45" s="119">
        <f t="shared" si="11"/>
        <v>57.256929589999999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>
        <v>57.256929589999999</v>
      </c>
      <c r="U45" s="24"/>
      <c r="V45" s="24"/>
      <c r="W45" s="24"/>
      <c r="X45" s="24"/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414</v>
      </c>
      <c r="F46" s="7" t="s">
        <v>19</v>
      </c>
      <c r="G46" s="6" t="s">
        <v>245</v>
      </c>
      <c r="H46" s="6" t="s">
        <v>288</v>
      </c>
      <c r="I46" s="6" t="s">
        <v>466</v>
      </c>
      <c r="J46" s="118">
        <f t="shared" si="10"/>
        <v>80.159701425999998</v>
      </c>
      <c r="K46" s="119">
        <f t="shared" si="11"/>
        <v>80.159701425999998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>
        <v>80.159701425999998</v>
      </c>
      <c r="U46" s="24"/>
      <c r="V46" s="24"/>
      <c r="W46" s="24"/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417</v>
      </c>
      <c r="F47" s="7" t="s">
        <v>19</v>
      </c>
      <c r="G47" s="6" t="s">
        <v>500</v>
      </c>
      <c r="H47" s="6" t="s">
        <v>305</v>
      </c>
      <c r="I47" s="6" t="s">
        <v>472</v>
      </c>
      <c r="J47" s="118">
        <f t="shared" si="10"/>
        <v>19.768845337000002</v>
      </c>
      <c r="K47" s="119">
        <f t="shared" si="11"/>
        <v>19.768845337000002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>
        <v>19.768845337000002</v>
      </c>
      <c r="V47" s="24"/>
      <c r="W47" s="24"/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479</v>
      </c>
      <c r="F48" s="7" t="s">
        <v>19</v>
      </c>
      <c r="G48" s="6" t="s">
        <v>494</v>
      </c>
      <c r="H48" s="6" t="s">
        <v>299</v>
      </c>
      <c r="I48" s="6" t="s">
        <v>466</v>
      </c>
      <c r="J48" s="118">
        <f t="shared" si="10"/>
        <v>18.264194112000002</v>
      </c>
      <c r="K48" s="119">
        <f t="shared" si="11"/>
        <v>18.264194112000002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>
        <v>18.171664578000001</v>
      </c>
      <c r="U48" s="24">
        <v>9.2529533999999997E-2</v>
      </c>
      <c r="V48" s="24"/>
      <c r="W48" s="24"/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544</v>
      </c>
      <c r="F49" s="7" t="s">
        <v>17</v>
      </c>
      <c r="G49" s="6" t="s">
        <v>374</v>
      </c>
      <c r="H49" s="6" t="s">
        <v>317</v>
      </c>
      <c r="I49" s="6" t="s">
        <v>466</v>
      </c>
      <c r="J49" s="118">
        <f t="shared" si="10"/>
        <v>0.109614113</v>
      </c>
      <c r="K49" s="119">
        <f t="shared" si="11"/>
        <v>0.109614113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>
        <v>0.109614113</v>
      </c>
      <c r="T49" s="24"/>
      <c r="U49" s="24"/>
      <c r="V49" s="24"/>
      <c r="W49" s="24"/>
      <c r="X49" s="24"/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457</v>
      </c>
      <c r="F50" s="7" t="s">
        <v>19</v>
      </c>
      <c r="G50" s="6" t="s">
        <v>495</v>
      </c>
      <c r="H50" s="6" t="s">
        <v>319</v>
      </c>
      <c r="I50" s="6" t="s">
        <v>472</v>
      </c>
      <c r="J50" s="118">
        <f t="shared" si="10"/>
        <v>3.5497507000000001</v>
      </c>
      <c r="K50" s="119">
        <f t="shared" si="11"/>
        <v>3.5497507000000001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>
        <v>3.5497507000000001</v>
      </c>
      <c r="T50" s="24"/>
      <c r="U50" s="24"/>
      <c r="V50" s="24"/>
      <c r="W50" s="24"/>
      <c r="X50" s="24"/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450</v>
      </c>
      <c r="F51" s="7" t="s">
        <v>19</v>
      </c>
      <c r="G51" s="6" t="s">
        <v>282</v>
      </c>
      <c r="H51" s="6" t="s">
        <v>283</v>
      </c>
      <c r="I51" s="6" t="s">
        <v>466</v>
      </c>
      <c r="J51" s="118">
        <f t="shared" si="10"/>
        <v>2.4244975759999998</v>
      </c>
      <c r="K51" s="119">
        <f t="shared" si="11"/>
        <v>2.4244975759999998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>
        <v>0.1625413</v>
      </c>
      <c r="T51" s="24">
        <v>2.2619562759999998</v>
      </c>
      <c r="U51" s="24"/>
      <c r="V51" s="24"/>
      <c r="W51" s="24"/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450</v>
      </c>
      <c r="F52" s="7" t="s">
        <v>19</v>
      </c>
      <c r="G52" s="6" t="s">
        <v>282</v>
      </c>
      <c r="H52" s="6" t="s">
        <v>283</v>
      </c>
      <c r="I52" s="6" t="s">
        <v>472</v>
      </c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>
        <v>0</v>
      </c>
      <c r="V52" s="24"/>
      <c r="W52" s="24"/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450</v>
      </c>
      <c r="F53" s="7" t="s">
        <v>19</v>
      </c>
      <c r="G53" s="6" t="s">
        <v>500</v>
      </c>
      <c r="H53" s="6" t="s">
        <v>305</v>
      </c>
      <c r="I53" s="6" t="s">
        <v>466</v>
      </c>
      <c r="J53" s="118">
        <f t="shared" si="10"/>
        <v>3.3595952690000002</v>
      </c>
      <c r="K53" s="119">
        <f t="shared" si="11"/>
        <v>3.3595952690000002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>
        <v>1.6043460999999998E-2</v>
      </c>
      <c r="T53" s="24">
        <v>3.343551808</v>
      </c>
      <c r="U53" s="24"/>
      <c r="V53" s="24"/>
      <c r="W53" s="24"/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450</v>
      </c>
      <c r="F54" s="7" t="s">
        <v>19</v>
      </c>
      <c r="G54" s="6" t="s">
        <v>500</v>
      </c>
      <c r="H54" s="6" t="s">
        <v>305</v>
      </c>
      <c r="I54" s="6" t="s">
        <v>472</v>
      </c>
      <c r="J54" s="118">
        <f t="shared" si="10"/>
        <v>50.432695995000003</v>
      </c>
      <c r="K54" s="119">
        <f t="shared" si="11"/>
        <v>50.432695995000003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>
        <v>7.8639104129999975</v>
      </c>
      <c r="T54" s="24">
        <v>25.895019776000002</v>
      </c>
      <c r="U54" s="24">
        <v>16.673765806000002</v>
      </c>
      <c r="V54" s="24"/>
      <c r="W54" s="24"/>
      <c r="X54" s="24"/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450</v>
      </c>
      <c r="F55" s="7" t="s">
        <v>19</v>
      </c>
      <c r="G55" s="6" t="s">
        <v>256</v>
      </c>
      <c r="H55" s="6" t="s">
        <v>303</v>
      </c>
      <c r="I55" s="6" t="s">
        <v>466</v>
      </c>
      <c r="J55" s="118">
        <f t="shared" si="10"/>
        <v>247.02115533199975</v>
      </c>
      <c r="K55" s="119">
        <f t="shared" si="11"/>
        <v>247.02115533199975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>
        <v>48.125215000000019</v>
      </c>
      <c r="T55" s="24">
        <v>35.95884338500003</v>
      </c>
      <c r="U55" s="24">
        <v>46.992399601999999</v>
      </c>
      <c r="V55" s="24">
        <v>115.9446973449997</v>
      </c>
      <c r="W55" s="24"/>
      <c r="X55" s="24"/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549</v>
      </c>
      <c r="F56" s="7" t="s">
        <v>19</v>
      </c>
      <c r="G56" s="6" t="s">
        <v>441</v>
      </c>
      <c r="H56" s="6" t="s">
        <v>481</v>
      </c>
      <c r="I56" s="6" t="s">
        <v>466</v>
      </c>
      <c r="J56" s="118">
        <f t="shared" si="10"/>
        <v>697.84846074000006</v>
      </c>
      <c r="K56" s="119">
        <f t="shared" si="11"/>
        <v>697.84846074000006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>
        <v>0</v>
      </c>
      <c r="T56" s="24">
        <v>407.77891983000001</v>
      </c>
      <c r="U56" s="24">
        <v>158.63356467</v>
      </c>
      <c r="V56" s="24">
        <v>131.43597624</v>
      </c>
      <c r="W56" s="24"/>
      <c r="X56" s="24"/>
      <c r="Y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482</v>
      </c>
      <c r="F57" s="7" t="s">
        <v>19</v>
      </c>
      <c r="G57" s="6" t="s">
        <v>258</v>
      </c>
      <c r="H57" s="6" t="s">
        <v>306</v>
      </c>
      <c r="I57" s="6" t="s">
        <v>466</v>
      </c>
      <c r="J57" s="118">
        <f t="shared" si="10"/>
        <v>20.030611260000001</v>
      </c>
      <c r="K57" s="119">
        <f t="shared" si="11"/>
        <v>20.030611260000001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>
        <v>5.6337094800000003</v>
      </c>
      <c r="T57" s="24">
        <v>14.396901780000002</v>
      </c>
      <c r="U57" s="24">
        <v>0</v>
      </c>
      <c r="V57" s="24"/>
      <c r="W57" s="24"/>
      <c r="X57" s="24"/>
      <c r="Y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509</v>
      </c>
      <c r="F58" s="7" t="s">
        <v>19</v>
      </c>
      <c r="G58" s="6" t="s">
        <v>447</v>
      </c>
      <c r="H58" s="6" t="s">
        <v>448</v>
      </c>
      <c r="I58" s="6" t="s">
        <v>466</v>
      </c>
      <c r="J58" s="118">
        <f t="shared" si="10"/>
        <v>15.330196200999998</v>
      </c>
      <c r="K58" s="119">
        <f t="shared" si="11"/>
        <v>15.330196200999998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>
        <v>15.330196200999998</v>
      </c>
      <c r="U58" s="24"/>
      <c r="V58" s="24"/>
      <c r="W58" s="24"/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509</v>
      </c>
      <c r="F59" s="7" t="s">
        <v>19</v>
      </c>
      <c r="G59" s="6" t="s">
        <v>247</v>
      </c>
      <c r="H59" s="6" t="s">
        <v>289</v>
      </c>
      <c r="I59" s="6" t="s">
        <v>466</v>
      </c>
      <c r="J59" s="118">
        <f t="shared" si="10"/>
        <v>2.3907126999999999</v>
      </c>
      <c r="K59" s="119">
        <f t="shared" si="11"/>
        <v>2.3907126999999999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>
        <v>2.3907126999999999</v>
      </c>
      <c r="U59" s="24"/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509</v>
      </c>
      <c r="F60" s="7" t="s">
        <v>19</v>
      </c>
      <c r="G60" s="6" t="s">
        <v>379</v>
      </c>
      <c r="H60" s="6" t="s">
        <v>291</v>
      </c>
      <c r="I60" s="6" t="s">
        <v>466</v>
      </c>
      <c r="J60" s="118">
        <f t="shared" si="10"/>
        <v>10.401400381</v>
      </c>
      <c r="K60" s="119">
        <f t="shared" si="11"/>
        <v>10.401400381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>
        <v>10.401400381</v>
      </c>
      <c r="U60" s="24"/>
      <c r="V60" s="24"/>
      <c r="W60" s="24"/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509</v>
      </c>
      <c r="F61" s="7" t="s">
        <v>19</v>
      </c>
      <c r="G61" s="6" t="s">
        <v>454</v>
      </c>
      <c r="H61" s="6" t="s">
        <v>292</v>
      </c>
      <c r="I61" s="6" t="s">
        <v>466</v>
      </c>
      <c r="J61" s="118">
        <f t="shared" si="10"/>
        <v>9.7359303359999991</v>
      </c>
      <c r="K61" s="119">
        <f t="shared" si="11"/>
        <v>9.7359303359999991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>
        <v>9.7359303359999991</v>
      </c>
      <c r="U61" s="24"/>
      <c r="V61" s="24"/>
      <c r="W61" s="24"/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509</v>
      </c>
      <c r="F62" s="7" t="s">
        <v>19</v>
      </c>
      <c r="G62" s="6" t="s">
        <v>293</v>
      </c>
      <c r="H62" s="6" t="s">
        <v>294</v>
      </c>
      <c r="I62" s="6" t="s">
        <v>466</v>
      </c>
      <c r="J62" s="118">
        <f t="shared" si="10"/>
        <v>3.8862866359999995</v>
      </c>
      <c r="K62" s="119">
        <f t="shared" si="11"/>
        <v>3.8862866359999995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>
        <v>3.8862866359999995</v>
      </c>
      <c r="U62" s="24"/>
      <c r="V62" s="24"/>
      <c r="W62" s="24"/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 t="s">
        <v>483</v>
      </c>
      <c r="F63" s="7" t="s">
        <v>19</v>
      </c>
      <c r="G63" s="6" t="s">
        <v>258</v>
      </c>
      <c r="H63" s="6" t="s">
        <v>306</v>
      </c>
      <c r="I63" s="6" t="s">
        <v>466</v>
      </c>
      <c r="J63" s="118">
        <f t="shared" si="10"/>
        <v>33.324352171999998</v>
      </c>
      <c r="K63" s="119">
        <f t="shared" si="11"/>
        <v>33.324352171999998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>
        <v>9.2460917469999995</v>
      </c>
      <c r="T63" s="24"/>
      <c r="U63" s="24">
        <v>24.078260425</v>
      </c>
      <c r="V63" s="24"/>
      <c r="W63" s="24"/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6" t="s">
        <v>484</v>
      </c>
      <c r="F64" s="7" t="s">
        <v>19</v>
      </c>
      <c r="G64" s="6" t="s">
        <v>264</v>
      </c>
      <c r="H64" s="6" t="s">
        <v>310</v>
      </c>
      <c r="I64" s="6" t="s">
        <v>472</v>
      </c>
      <c r="J64" s="118">
        <f t="shared" si="10"/>
        <v>0.110184352</v>
      </c>
      <c r="K64" s="119">
        <f t="shared" si="11"/>
        <v>0.110184352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>
        <v>0.110184352</v>
      </c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6" t="s">
        <v>484</v>
      </c>
      <c r="F65" s="7" t="s">
        <v>19</v>
      </c>
      <c r="G65" s="6" t="s">
        <v>500</v>
      </c>
      <c r="H65" s="6" t="s">
        <v>305</v>
      </c>
      <c r="I65" s="6" t="s">
        <v>472</v>
      </c>
      <c r="J65" s="118">
        <f t="shared" si="10"/>
        <v>53.278013522000002</v>
      </c>
      <c r="K65" s="119">
        <f t="shared" si="11"/>
        <v>53.278013522000002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53.278013522000002</v>
      </c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6" t="s">
        <v>484</v>
      </c>
      <c r="F66" s="7" t="s">
        <v>19</v>
      </c>
      <c r="G66" s="6" t="s">
        <v>503</v>
      </c>
      <c r="H66" s="6" t="s">
        <v>311</v>
      </c>
      <c r="I66" s="6" t="s">
        <v>472</v>
      </c>
      <c r="J66" s="118">
        <f t="shared" si="10"/>
        <v>1.173521574</v>
      </c>
      <c r="K66" s="119">
        <f t="shared" si="11"/>
        <v>1.173521574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>
        <v>1.173521574</v>
      </c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6" t="s">
        <v>484</v>
      </c>
      <c r="F67" s="7" t="s">
        <v>19</v>
      </c>
      <c r="G67" s="6" t="s">
        <v>454</v>
      </c>
      <c r="H67" s="6" t="s">
        <v>292</v>
      </c>
      <c r="I67" s="6" t="s">
        <v>472</v>
      </c>
      <c r="J67" s="118">
        <f t="shared" si="10"/>
        <v>7.5711713750000005</v>
      </c>
      <c r="K67" s="119">
        <f t="shared" si="11"/>
        <v>7.5711713750000005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7.5711713750000005</v>
      </c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6" t="s">
        <v>484</v>
      </c>
      <c r="F68" s="7" t="s">
        <v>19</v>
      </c>
      <c r="G68" s="6" t="s">
        <v>370</v>
      </c>
      <c r="H68" s="6" t="s">
        <v>308</v>
      </c>
      <c r="I68" s="6" t="s">
        <v>472</v>
      </c>
      <c r="J68" s="118">
        <f t="shared" si="10"/>
        <v>29.382537231999997</v>
      </c>
      <c r="K68" s="119">
        <f t="shared" si="11"/>
        <v>29.382537231999997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>
        <v>29.382537231999997</v>
      </c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6" t="s">
        <v>451</v>
      </c>
      <c r="F69" s="7" t="s">
        <v>19</v>
      </c>
      <c r="G69" s="6" t="s">
        <v>504</v>
      </c>
      <c r="H69" s="6" t="s">
        <v>307</v>
      </c>
      <c r="I69" s="6" t="s">
        <v>466</v>
      </c>
      <c r="J69" s="118">
        <f t="shared" si="10"/>
        <v>29.373970077999999</v>
      </c>
      <c r="K69" s="119">
        <f t="shared" si="11"/>
        <v>29.373970077999999</v>
      </c>
      <c r="L69" s="119">
        <f t="shared" si="12"/>
        <v>0</v>
      </c>
      <c r="N69" s="24"/>
      <c r="O69" s="24"/>
      <c r="P69" s="24"/>
      <c r="Q69" s="24"/>
      <c r="R69" s="24"/>
      <c r="S69" s="24">
        <v>8.6115212619999983</v>
      </c>
      <c r="T69" s="24"/>
      <c r="U69" s="24">
        <v>20.762448815999999</v>
      </c>
      <c r="V69" s="24"/>
      <c r="W69" s="24"/>
      <c r="X69" s="24"/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6" t="s">
        <v>451</v>
      </c>
      <c r="F70" s="7" t="s">
        <v>19</v>
      </c>
      <c r="G70" s="6" t="s">
        <v>504</v>
      </c>
      <c r="H70" s="6" t="s">
        <v>307</v>
      </c>
      <c r="I70" s="6" t="s">
        <v>472</v>
      </c>
      <c r="J70" s="118">
        <f t="shared" si="10"/>
        <v>0</v>
      </c>
      <c r="K70" s="119">
        <f t="shared" si="11"/>
        <v>0</v>
      </c>
      <c r="L70" s="119">
        <f t="shared" si="12"/>
        <v>0</v>
      </c>
      <c r="N70" s="24"/>
      <c r="O70" s="24"/>
      <c r="P70" s="24"/>
      <c r="Q70" s="24"/>
      <c r="R70" s="24"/>
      <c r="S70" s="24">
        <v>0</v>
      </c>
      <c r="T70" s="24"/>
      <c r="U70" s="24"/>
      <c r="V70" s="24"/>
      <c r="W70" s="24"/>
      <c r="X70" s="24"/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6" t="s">
        <v>451</v>
      </c>
      <c r="F71" s="7" t="s">
        <v>19</v>
      </c>
      <c r="G71" s="6" t="s">
        <v>370</v>
      </c>
      <c r="H71" s="6" t="s">
        <v>308</v>
      </c>
      <c r="I71" s="6" t="s">
        <v>466</v>
      </c>
      <c r="J71" s="118">
        <f t="shared" si="10"/>
        <v>2.1636036089999999</v>
      </c>
      <c r="K71" s="119">
        <f t="shared" si="11"/>
        <v>2.1636036089999999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>
        <v>2.1636036089999999</v>
      </c>
      <c r="U71" s="24"/>
      <c r="V71" s="24"/>
      <c r="W71" s="24"/>
      <c r="X71" s="24"/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6" t="s">
        <v>451</v>
      </c>
      <c r="F72" s="7" t="s">
        <v>19</v>
      </c>
      <c r="G72" s="6" t="s">
        <v>370</v>
      </c>
      <c r="H72" s="6" t="s">
        <v>308</v>
      </c>
      <c r="I72" s="6" t="s">
        <v>472</v>
      </c>
      <c r="J72" s="118">
        <f t="shared" si="10"/>
        <v>1.192590007</v>
      </c>
      <c r="K72" s="119">
        <f t="shared" si="11"/>
        <v>1.192590007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>
        <v>1.192590007</v>
      </c>
      <c r="V72" s="24"/>
      <c r="W72" s="24"/>
      <c r="X72" s="24"/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6" t="s">
        <v>485</v>
      </c>
      <c r="F73" s="7" t="s">
        <v>19</v>
      </c>
      <c r="G73" s="6" t="s">
        <v>529</v>
      </c>
      <c r="H73" s="6" t="s">
        <v>530</v>
      </c>
      <c r="I73" s="6" t="s">
        <v>472</v>
      </c>
      <c r="J73" s="118">
        <f t="shared" si="10"/>
        <v>494.17683107000005</v>
      </c>
      <c r="K73" s="119">
        <f t="shared" si="11"/>
        <v>494.17683107000005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>
        <v>494.17683107000005</v>
      </c>
      <c r="W73" s="24"/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6" t="s">
        <v>268</v>
      </c>
      <c r="F74" s="7" t="s">
        <v>19</v>
      </c>
      <c r="G74" s="6" t="s">
        <v>374</v>
      </c>
      <c r="H74" s="6" t="s">
        <v>317</v>
      </c>
      <c r="I74" s="6" t="s">
        <v>466</v>
      </c>
      <c r="J74" s="118">
        <f t="shared" si="10"/>
        <v>4.9339237030000005</v>
      </c>
      <c r="K74" s="119">
        <f t="shared" si="11"/>
        <v>4.9339237030000005</v>
      </c>
      <c r="L74" s="119">
        <f t="shared" si="12"/>
        <v>0</v>
      </c>
      <c r="N74" s="24"/>
      <c r="O74" s="24"/>
      <c r="P74" s="24"/>
      <c r="Q74" s="24"/>
      <c r="R74" s="24"/>
      <c r="S74" s="24">
        <v>0.66767622700000007</v>
      </c>
      <c r="T74" s="24">
        <v>4.215371084</v>
      </c>
      <c r="U74" s="24">
        <v>5.0876391999999999E-2</v>
      </c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6" t="s">
        <v>487</v>
      </c>
      <c r="F75" s="7" t="s">
        <v>19</v>
      </c>
      <c r="G75" s="6" t="s">
        <v>374</v>
      </c>
      <c r="H75" s="6" t="s">
        <v>317</v>
      </c>
      <c r="I75" s="6" t="s">
        <v>466</v>
      </c>
      <c r="J75" s="118">
        <f t="shared" si="10"/>
        <v>1.1826547569999999</v>
      </c>
      <c r="K75" s="119">
        <f t="shared" si="11"/>
        <v>1.1826547569999999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>
        <v>1.1826547569999999</v>
      </c>
      <c r="W75" s="24"/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6" t="s">
        <v>489</v>
      </c>
      <c r="F76" s="7" t="s">
        <v>19</v>
      </c>
      <c r="G76" s="6" t="s">
        <v>379</v>
      </c>
      <c r="H76" s="6" t="s">
        <v>291</v>
      </c>
      <c r="I76" s="6" t="s">
        <v>466</v>
      </c>
      <c r="J76" s="118">
        <f t="shared" si="10"/>
        <v>7.6481220790000002</v>
      </c>
      <c r="K76" s="119">
        <f t="shared" si="11"/>
        <v>7.6481220790000002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>
        <v>7.6481220790000002</v>
      </c>
      <c r="U76" s="24"/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6"/>
      <c r="F77" s="7"/>
      <c r="G77" s="6"/>
      <c r="H77" s="6"/>
      <c r="I77" s="6"/>
      <c r="J77" s="118">
        <f t="shared" si="10"/>
        <v>0</v>
      </c>
      <c r="K77" s="119">
        <f t="shared" si="11"/>
        <v>0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6"/>
      <c r="F78" s="7"/>
      <c r="G78" s="6"/>
      <c r="H78" s="6"/>
      <c r="I78" s="6"/>
      <c r="J78" s="118">
        <f t="shared" si="10"/>
        <v>0</v>
      </c>
      <c r="K78" s="119">
        <f t="shared" si="11"/>
        <v>0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6"/>
      <c r="F79" s="6"/>
      <c r="G79" s="6"/>
      <c r="H79" s="6"/>
      <c r="I79" s="6"/>
      <c r="J79" s="118">
        <f t="shared" si="10"/>
        <v>0</v>
      </c>
      <c r="K79" s="119">
        <f t="shared" si="11"/>
        <v>0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305" t="s">
        <v>449</v>
      </c>
      <c r="F81" s="6"/>
      <c r="G81" s="6"/>
      <c r="H81" s="6"/>
      <c r="I81" s="6"/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6"/>
      <c r="F82" s="6"/>
      <c r="G82" s="6"/>
      <c r="H82" s="6"/>
      <c r="I82" s="6"/>
      <c r="J82" s="118">
        <f t="shared" si="10"/>
        <v>0</v>
      </c>
      <c r="K82" s="119">
        <f t="shared" si="11"/>
        <v>0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305" t="s">
        <v>520</v>
      </c>
      <c r="F83" s="305" t="s">
        <v>19</v>
      </c>
      <c r="G83" s="305" t="s">
        <v>520</v>
      </c>
      <c r="H83" s="6"/>
      <c r="I83" s="6"/>
      <c r="J83" s="118">
        <f t="shared" si="10"/>
        <v>27</v>
      </c>
      <c r="K83" s="119">
        <f t="shared" si="11"/>
        <v>27</v>
      </c>
      <c r="L83" s="119">
        <f t="shared" si="12"/>
        <v>0</v>
      </c>
      <c r="N83" s="24"/>
      <c r="O83" s="24"/>
      <c r="P83" s="24"/>
      <c r="Q83" s="24"/>
      <c r="R83" s="24"/>
      <c r="S83" s="344"/>
      <c r="T83" s="306">
        <v>27</v>
      </c>
      <c r="U83" s="306"/>
      <c r="V83" s="344"/>
      <c r="W83" s="24"/>
      <c r="X83" s="24"/>
      <c r="Y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305" t="s">
        <v>521</v>
      </c>
      <c r="F84" s="305" t="s">
        <v>19</v>
      </c>
      <c r="G84" s="305" t="s">
        <v>521</v>
      </c>
      <c r="H84" s="6"/>
      <c r="I84" s="6"/>
      <c r="J84" s="118">
        <f t="shared" si="10"/>
        <v>322</v>
      </c>
      <c r="K84" s="119">
        <f t="shared" si="11"/>
        <v>322</v>
      </c>
      <c r="L84" s="119">
        <f t="shared" si="12"/>
        <v>0</v>
      </c>
      <c r="N84" s="24"/>
      <c r="O84" s="24"/>
      <c r="P84" s="24"/>
      <c r="Q84" s="24"/>
      <c r="R84" s="24"/>
      <c r="S84" s="344"/>
      <c r="T84" s="306">
        <f>162-60</f>
        <v>102</v>
      </c>
      <c r="U84" s="344">
        <v>160</v>
      </c>
      <c r="V84" s="306">
        <v>60</v>
      </c>
      <c r="W84" s="24"/>
      <c r="X84" s="24"/>
      <c r="Y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305" t="s">
        <v>522</v>
      </c>
      <c r="F85" s="305" t="s">
        <v>19</v>
      </c>
      <c r="G85" s="305" t="s">
        <v>522</v>
      </c>
      <c r="H85" s="6"/>
      <c r="I85" s="6"/>
      <c r="J85" s="118">
        <f t="shared" si="10"/>
        <v>18</v>
      </c>
      <c r="K85" s="119">
        <f t="shared" si="11"/>
        <v>18</v>
      </c>
      <c r="L85" s="119">
        <f t="shared" si="12"/>
        <v>0</v>
      </c>
      <c r="N85" s="24"/>
      <c r="O85" s="24"/>
      <c r="P85" s="24"/>
      <c r="Q85" s="24"/>
      <c r="R85" s="24"/>
      <c r="S85" s="344"/>
      <c r="T85" s="306">
        <v>18</v>
      </c>
      <c r="U85" s="306"/>
      <c r="V85" s="306"/>
      <c r="W85" s="24"/>
      <c r="X85" s="24"/>
      <c r="Y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305" t="s">
        <v>523</v>
      </c>
      <c r="F86" s="305" t="s">
        <v>19</v>
      </c>
      <c r="G86" s="305" t="s">
        <v>523</v>
      </c>
      <c r="H86" s="6"/>
      <c r="I86" s="6"/>
      <c r="J86" s="118">
        <f t="shared" si="10"/>
        <v>17</v>
      </c>
      <c r="K86" s="119">
        <f t="shared" si="11"/>
        <v>17</v>
      </c>
      <c r="L86" s="119">
        <f t="shared" si="12"/>
        <v>0</v>
      </c>
      <c r="N86" s="24"/>
      <c r="O86" s="24"/>
      <c r="P86" s="24"/>
      <c r="Q86" s="24"/>
      <c r="R86" s="24"/>
      <c r="S86" s="344"/>
      <c r="T86" s="306">
        <v>17</v>
      </c>
      <c r="U86" s="306"/>
      <c r="V86" s="306"/>
      <c r="W86" s="24"/>
      <c r="X86" s="24"/>
      <c r="Y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305" t="s">
        <v>524</v>
      </c>
      <c r="F87" s="360" t="s">
        <v>19</v>
      </c>
      <c r="G87" s="360" t="s">
        <v>457</v>
      </c>
      <c r="H87" s="362"/>
      <c r="I87" s="362"/>
      <c r="J87" s="364">
        <f t="shared" si="10"/>
        <v>29</v>
      </c>
      <c r="K87" s="365">
        <f t="shared" si="11"/>
        <v>29</v>
      </c>
      <c r="L87" s="365">
        <f t="shared" si="12"/>
        <v>0</v>
      </c>
      <c r="N87" s="366"/>
      <c r="O87" s="366"/>
      <c r="P87" s="366"/>
      <c r="Q87" s="366"/>
      <c r="R87" s="366"/>
      <c r="S87" s="404"/>
      <c r="T87" s="404">
        <v>29</v>
      </c>
      <c r="U87" s="404"/>
      <c r="V87" s="404"/>
      <c r="W87" s="24"/>
      <c r="X87" s="24"/>
      <c r="Y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360" t="s">
        <v>457</v>
      </c>
      <c r="F88" s="360" t="s">
        <v>19</v>
      </c>
      <c r="G88" s="360" t="s">
        <v>555</v>
      </c>
      <c r="H88" s="11"/>
      <c r="I88" s="11"/>
      <c r="J88" s="118">
        <f t="shared" si="10"/>
        <v>7</v>
      </c>
      <c r="K88" s="119">
        <f t="shared" si="11"/>
        <v>7</v>
      </c>
      <c r="L88" s="119">
        <f t="shared" si="12"/>
        <v>0</v>
      </c>
      <c r="N88" s="24"/>
      <c r="O88" s="24"/>
      <c r="P88" s="24"/>
      <c r="Q88" s="24"/>
      <c r="R88" s="24"/>
      <c r="S88" s="24"/>
      <c r="T88" s="306">
        <v>7</v>
      </c>
      <c r="U88" s="24"/>
      <c r="V88" s="24"/>
      <c r="W88" s="24"/>
      <c r="X88" s="24"/>
      <c r="Y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305" t="s">
        <v>487</v>
      </c>
      <c r="F89" s="360" t="s">
        <v>19</v>
      </c>
      <c r="G89" s="360" t="s">
        <v>556</v>
      </c>
      <c r="H89" s="12"/>
      <c r="I89" s="12"/>
      <c r="J89" s="118">
        <f t="shared" ref="J89" si="13">+K89+L89</f>
        <v>24</v>
      </c>
      <c r="K89" s="119">
        <f t="shared" ref="K89" si="14">SUM(N89:Y89)</f>
        <v>24</v>
      </c>
      <c r="L89" s="119">
        <f t="shared" ref="L89" si="15">SUM(AA89:AL89)</f>
        <v>0</v>
      </c>
      <c r="N89" s="24"/>
      <c r="O89" s="24"/>
      <c r="P89" s="24"/>
      <c r="Q89" s="24"/>
      <c r="R89" s="24"/>
      <c r="S89" s="24"/>
      <c r="T89" s="306">
        <v>24</v>
      </c>
      <c r="U89" s="24"/>
      <c r="V89" s="24"/>
      <c r="W89" s="24"/>
      <c r="X89" s="24"/>
      <c r="Y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>
      <c r="E90" s="6"/>
      <c r="F90" s="7"/>
      <c r="G90" s="6"/>
      <c r="H90" s="12"/>
      <c r="I90" s="12"/>
      <c r="J90" s="118">
        <f t="shared" ref="J90" si="16">+K90+L90</f>
        <v>0</v>
      </c>
      <c r="K90" s="119">
        <f t="shared" ref="K90" si="17">SUM(N90:Y90)</f>
        <v>0</v>
      </c>
      <c r="L90" s="119">
        <f t="shared" ref="L90" si="18">SUM(AA90:AL90)</f>
        <v>0</v>
      </c>
    </row>
    <row r="94" spans="5:38">
      <c r="E94" s="191" t="s">
        <v>320</v>
      </c>
      <c r="F94" s="216">
        <v>46143</v>
      </c>
      <c r="G94" s="192">
        <v>208</v>
      </c>
      <c r="H94" s="271" t="s">
        <v>321</v>
      </c>
    </row>
    <row r="95" spans="5:38">
      <c r="E95" s="195" t="s">
        <v>539</v>
      </c>
      <c r="F95" s="217"/>
      <c r="G95" s="196">
        <v>137</v>
      </c>
      <c r="H95" s="271" t="s">
        <v>321</v>
      </c>
    </row>
    <row r="96" spans="5:38">
      <c r="E96" s="195" t="s">
        <v>540</v>
      </c>
      <c r="F96" s="217"/>
      <c r="G96" s="196">
        <v>75</v>
      </c>
      <c r="H96" s="271" t="s">
        <v>321</v>
      </c>
    </row>
    <row r="97" spans="5:8">
      <c r="E97" s="191" t="s">
        <v>320</v>
      </c>
      <c r="F97" s="216">
        <v>46173</v>
      </c>
      <c r="G97" s="192">
        <f>G94+G95-G96</f>
        <v>270</v>
      </c>
      <c r="H97" s="271" t="s">
        <v>321</v>
      </c>
    </row>
    <row r="98" spans="5:8">
      <c r="E98" s="195" t="s">
        <v>552</v>
      </c>
      <c r="F98" s="217"/>
      <c r="G98" s="196">
        <f>H113</f>
        <v>233</v>
      </c>
      <c r="H98" s="271"/>
    </row>
    <row r="99" spans="5:8">
      <c r="E99" s="191" t="s">
        <v>320</v>
      </c>
      <c r="F99" s="216">
        <v>46201</v>
      </c>
      <c r="G99" s="192">
        <f>G97+G98</f>
        <v>503</v>
      </c>
      <c r="H99" s="271" t="s">
        <v>321</v>
      </c>
    </row>
    <row r="101" spans="5:8">
      <c r="E101" s="446" t="s">
        <v>531</v>
      </c>
      <c r="F101" s="447"/>
      <c r="G101" s="447"/>
      <c r="H101" s="447"/>
    </row>
    <row r="102" spans="5:8">
      <c r="E102" s="219" t="s">
        <v>550</v>
      </c>
      <c r="F102" s="219"/>
      <c r="G102" s="202"/>
      <c r="H102" s="219" t="s">
        <v>325</v>
      </c>
    </row>
    <row r="103" spans="5:8">
      <c r="E103" s="356" t="s">
        <v>447</v>
      </c>
      <c r="F103" s="202"/>
      <c r="G103" s="202"/>
      <c r="H103" s="408">
        <v>50.199025700000007</v>
      </c>
    </row>
    <row r="104" spans="5:8">
      <c r="E104" s="356" t="s">
        <v>247</v>
      </c>
      <c r="F104" s="202"/>
      <c r="G104" s="202"/>
      <c r="H104" s="408">
        <v>50.549832599999995</v>
      </c>
    </row>
    <row r="105" spans="5:8">
      <c r="E105" s="356" t="s">
        <v>379</v>
      </c>
      <c r="F105" s="202"/>
      <c r="G105" s="202"/>
      <c r="H105" s="408">
        <v>20.630829700000003</v>
      </c>
    </row>
    <row r="106" spans="5:8">
      <c r="E106" s="356" t="s">
        <v>378</v>
      </c>
      <c r="F106" s="202"/>
      <c r="G106" s="202"/>
      <c r="H106" s="408">
        <v>150</v>
      </c>
    </row>
    <row r="107" spans="5:8">
      <c r="E107" s="356" t="s">
        <v>504</v>
      </c>
      <c r="F107" s="202"/>
      <c r="G107" s="202"/>
      <c r="H107" s="408">
        <v>3.77266133</v>
      </c>
    </row>
    <row r="108" spans="5:8">
      <c r="E108" s="356" t="s">
        <v>454</v>
      </c>
      <c r="F108" s="202"/>
      <c r="G108" s="202"/>
      <c r="H108" s="408">
        <v>41</v>
      </c>
    </row>
    <row r="109" spans="5:8">
      <c r="E109" s="356" t="s">
        <v>256</v>
      </c>
      <c r="F109" s="202"/>
      <c r="G109" s="202"/>
      <c r="H109" s="408">
        <v>41</v>
      </c>
    </row>
    <row r="110" spans="5:8">
      <c r="E110" s="356" t="s">
        <v>508</v>
      </c>
      <c r="F110" s="202"/>
      <c r="G110" s="202"/>
      <c r="H110" s="408">
        <v>5.9949694999999981</v>
      </c>
    </row>
    <row r="111" spans="5:8">
      <c r="E111" s="356" t="s">
        <v>252</v>
      </c>
      <c r="F111" s="202"/>
      <c r="G111" s="202"/>
      <c r="H111" s="408">
        <v>28.0337566</v>
      </c>
    </row>
    <row r="112" spans="5:8">
      <c r="E112" s="356" t="s">
        <v>245</v>
      </c>
      <c r="F112" s="202"/>
      <c r="G112" s="202"/>
      <c r="H112" s="408">
        <v>14</v>
      </c>
    </row>
    <row r="113" spans="5:9">
      <c r="E113" s="409" t="s">
        <v>551</v>
      </c>
      <c r="F113" s="202"/>
      <c r="G113" s="202"/>
      <c r="H113" s="408">
        <v>233</v>
      </c>
    </row>
    <row r="114" spans="5:9">
      <c r="E114" s="407"/>
      <c r="F114" s="202"/>
      <c r="G114" s="202"/>
      <c r="H114" s="405"/>
    </row>
    <row r="115" spans="5:9">
      <c r="E115" s="387" t="s">
        <v>344</v>
      </c>
      <c r="F115" s="388"/>
      <c r="G115" s="387"/>
      <c r="H115" s="406">
        <f>SUM(H103:H114)</f>
        <v>638.18107542999996</v>
      </c>
    </row>
    <row r="116" spans="5:9">
      <c r="E116" s="227"/>
      <c r="F116" s="278"/>
      <c r="G116" s="227"/>
      <c r="H116" s="280"/>
    </row>
    <row r="117" spans="5:9">
      <c r="E117" s="151" t="s">
        <v>330</v>
      </c>
      <c r="F117" s="151"/>
      <c r="G117" s="283">
        <f>'W25'!J19</f>
        <v>3338.7145303940001</v>
      </c>
      <c r="H117" s="258"/>
      <c r="I117" s="280"/>
    </row>
    <row r="118" spans="5:9">
      <c r="E118" s="151" t="s">
        <v>331</v>
      </c>
      <c r="F118" s="151"/>
      <c r="G118" s="283">
        <f>H115</f>
        <v>638.18107542999996</v>
      </c>
      <c r="H118" s="258"/>
      <c r="I118" s="280"/>
    </row>
    <row r="119" spans="5:9">
      <c r="E119" s="151" t="s">
        <v>332</v>
      </c>
      <c r="F119" s="151"/>
      <c r="G119" s="283">
        <f>J12-'W25'!J12</f>
        <v>168</v>
      </c>
      <c r="H119" s="258"/>
      <c r="I119" s="280"/>
    </row>
    <row r="120" spans="5:9">
      <c r="E120" s="151" t="s">
        <v>333</v>
      </c>
      <c r="F120" s="151"/>
      <c r="G120" s="283">
        <f>G117+G118-G119</f>
        <v>3808.8956058240001</v>
      </c>
      <c r="H120" s="258"/>
      <c r="I120" s="280"/>
    </row>
    <row r="121" spans="5:9">
      <c r="E121" s="151" t="s">
        <v>334</v>
      </c>
      <c r="F121" s="151"/>
      <c r="G121" s="283">
        <f>J19</f>
        <v>3502.0384911540004</v>
      </c>
      <c r="H121" s="258"/>
      <c r="I121" s="280"/>
    </row>
    <row r="122" spans="5:9">
      <c r="E122" s="151" t="s">
        <v>335</v>
      </c>
      <c r="F122" s="151"/>
      <c r="G122" s="284">
        <f>G120-G121</f>
        <v>306.85711466999965</v>
      </c>
      <c r="H122" s="258"/>
      <c r="I122" s="280"/>
    </row>
    <row r="123" spans="5:9">
      <c r="E123" s="151"/>
      <c r="F123" s="257"/>
      <c r="G123" s="151"/>
      <c r="H123" s="258"/>
      <c r="I123" s="280"/>
    </row>
    <row r="124" spans="5:9">
      <c r="E124" s="227"/>
      <c r="F124" s="278"/>
      <c r="G124" s="227"/>
      <c r="H124" s="280"/>
      <c r="I124" s="280"/>
    </row>
    <row r="125" spans="5:9">
      <c r="E125" s="227"/>
      <c r="F125" s="278"/>
      <c r="G125" s="227"/>
      <c r="H125" s="280"/>
      <c r="I125" s="280"/>
    </row>
    <row r="126" spans="5:9">
      <c r="E126" s="227"/>
      <c r="F126" s="278"/>
      <c r="G126" s="227"/>
      <c r="H126" s="280"/>
      <c r="I126" s="280"/>
    </row>
    <row r="127" spans="5:9">
      <c r="E127" s="227"/>
      <c r="F127" s="278"/>
      <c r="G127" s="227"/>
      <c r="H127" s="280"/>
      <c r="I127" s="280"/>
    </row>
    <row r="128" spans="5:9">
      <c r="E128" s="227"/>
      <c r="F128" s="278"/>
      <c r="G128" s="227"/>
      <c r="H128" s="280"/>
      <c r="I128" s="280"/>
    </row>
    <row r="129" spans="5:9">
      <c r="E129" s="227"/>
      <c r="F129" s="278"/>
      <c r="G129" s="227"/>
      <c r="H129" s="280"/>
      <c r="I129" s="280"/>
    </row>
  </sheetData>
  <sheetProtection formatCells="0" formatColumns="0" formatRows="0" insertRows="0" deleteRows="0" autoFilter="0"/>
  <autoFilter ref="E23:AL244" xr:uid="{00000000-0009-0000-0000-00001C000000}"/>
  <mergeCells count="2">
    <mergeCell ref="I4:J4"/>
    <mergeCell ref="E101:H101"/>
  </mergeCells>
  <phoneticPr fontId="40"/>
  <dataValidations count="2">
    <dataValidation type="list" allowBlank="1" showInputMessage="1" showErrorMessage="1" sqref="G2" xr:uid="{00000000-0002-0000-1C00-000000000000}">
      <formula1>SOCIETE</formula1>
    </dataValidation>
    <dataValidation type="list" allowBlank="1" showInputMessage="1" showErrorMessage="1" sqref="H114 F102 F24:F90" xr:uid="{CA489D82-8D48-42E7-B700-A59C61B26BF4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7:G122" unlockedFormula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0">
    <tabColor theme="3" tint="0.59999389629810485"/>
    <pageSetUpPr fitToPage="1"/>
  </sheetPr>
  <dimension ref="D1:AL124"/>
  <sheetViews>
    <sheetView showGridLines="0" topLeftCell="E9" zoomScale="80" zoomScaleNormal="80" workbookViewId="0">
      <selection activeCell="J34" sqref="J34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41.1406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40" width="0" style="15" hidden="1" customWidth="1"/>
    <col min="41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116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July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July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W27</v>
      </c>
      <c r="I9" s="61"/>
      <c r="J9" s="161" t="str">
        <f>+"from "&amp;G6&amp;" 1 until end of "&amp;G4</f>
        <v>from July 1 until end of W27</v>
      </c>
      <c r="K9" s="79"/>
      <c r="L9" s="167" t="str">
        <f>+G6</f>
        <v>July</v>
      </c>
      <c r="M9" s="80"/>
      <c r="N9" s="80"/>
      <c r="O9" s="172" t="str">
        <f>+G4</f>
        <v>W27</v>
      </c>
      <c r="P9" s="173" t="str">
        <f>+VLOOKUP(G4, parameters!$G$9:$I$61,3,0)</f>
        <v>W26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600+320+797+430+396+688+J10</f>
        <v>3446</v>
      </c>
      <c r="I10" s="293">
        <f>H10-J10</f>
        <v>3231</v>
      </c>
      <c r="J10" s="159">
        <f>215</f>
        <v>215</v>
      </c>
      <c r="L10" s="159">
        <f>T17+J10</f>
        <v>1279.9310806279993</v>
      </c>
      <c r="N10" s="55"/>
      <c r="O10" s="170">
        <f>+H10+K17</f>
        <v>6613.8805736939994</v>
      </c>
      <c r="P10" s="171" cm="1">
        <f t="array" aca="1" ref="P10" ca="1">INDIRECT(ADDRESS(10,15,,,VLOOKUP($G$4,parameters!$G:$I,3,0)))</f>
        <v>6610.3688991939998</v>
      </c>
      <c r="Q10" s="183">
        <f ca="1">O10-P10</f>
        <v>3.5116744999995717</v>
      </c>
      <c r="R10" s="86"/>
    </row>
    <row r="11" spans="5:38" ht="20.45" customHeight="1">
      <c r="E11" s="87" t="s">
        <v>224</v>
      </c>
      <c r="F11" s="88"/>
      <c r="G11" s="89"/>
      <c r="H11" s="16">
        <f>13+8+3+3+2+14+J11</f>
        <v>43</v>
      </c>
      <c r="I11" s="61"/>
      <c r="J11" s="16"/>
      <c r="L11" s="159">
        <f>T18+J11</f>
        <v>78.728584875999999</v>
      </c>
      <c r="N11" s="55"/>
      <c r="O11" s="152">
        <f>+H11+K18</f>
        <v>121.728584876</v>
      </c>
      <c r="P11" s="153" cm="1">
        <f t="array" aca="1" ref="P11" ca="1">INDIRECT(ADDRESS(11,15,,,VLOOKUP($G$4,parameters!$G:$I,3,0)))</f>
        <v>119.66959196000001</v>
      </c>
      <c r="Q11" s="184">
        <f t="shared" ref="Q11:Q12" ca="1" si="0">O11-P11</f>
        <v>2.058992915999994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3489</v>
      </c>
      <c r="I12" s="293"/>
      <c r="J12" s="126">
        <f>SUM(J10:J11)</f>
        <v>215</v>
      </c>
      <c r="K12" s="65"/>
      <c r="L12" s="126">
        <f>SUM(L10:L11)</f>
        <v>1358.6596655039993</v>
      </c>
      <c r="M12" s="65"/>
      <c r="N12" s="65"/>
      <c r="O12" s="154">
        <f>SUM(O10:O11)</f>
        <v>6735.6091585699996</v>
      </c>
      <c r="P12" s="155">
        <f ca="1">SUM(P10:P11)</f>
        <v>6730.0384911539995</v>
      </c>
      <c r="Q12" s="156">
        <f t="shared" ca="1" si="0"/>
        <v>5.5706674160001057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+SUMIF($F$24:$F$86,"External",$J$24:$J$86)</f>
        <v>3167.8805736939994</v>
      </c>
      <c r="K17" s="108">
        <f>+SUMIF($F$24:$F$86,"External",$K$24:$K$86)</f>
        <v>3167.8805736939994</v>
      </c>
      <c r="L17" s="109">
        <f>+SUMIF($F$24:$F$86,"External",$L$24:$L$86)</f>
        <v>0</v>
      </c>
      <c r="M17" s="110"/>
      <c r="N17" s="111">
        <f t="shared" ref="N17:Y17" si="1">+SUMIF($F$24:$F$86,"External",N$24:N$86)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1064.9310806279993</v>
      </c>
      <c r="U17" s="111">
        <f t="shared" si="1"/>
        <v>737.47937300000001</v>
      </c>
      <c r="V17" s="111">
        <f t="shared" si="1"/>
        <v>857.65958557900024</v>
      </c>
      <c r="W17" s="111">
        <f t="shared" si="1"/>
        <v>186.68795891900001</v>
      </c>
      <c r="X17" s="111">
        <f t="shared" si="1"/>
        <v>287.68840406800001</v>
      </c>
      <c r="Y17" s="111">
        <f t="shared" si="1"/>
        <v>33.434171500000005</v>
      </c>
      <c r="Z17" s="112"/>
      <c r="AA17" s="111">
        <f t="shared" ref="AA17:AL17" si="2">+SUMIF($F$24:$F$86,"External",AA$24:AA$86)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+SUMIF($F$24:$F$86,"Group",$J$24:$J$86)</f>
        <v>78.728584875999999</v>
      </c>
      <c r="K18" s="113">
        <f>+SUMIF($F$24:$F$86,"Group",$K$24:$K$86)</f>
        <v>78.728584875999999</v>
      </c>
      <c r="L18" s="114">
        <f>SUMIF($F$24:$F$86,"Group",$L$24:$L$86)</f>
        <v>0</v>
      </c>
      <c r="M18" s="110"/>
      <c r="N18" s="114">
        <f t="shared" ref="N18:Y18" si="3">+SUMIF($F$24:$F$86,"Group",N$24:N$86)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78.728584875999999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+SUMIF($F$24:$F$86,"Group",AA$24:AA$86)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3246.6091585699992</v>
      </c>
      <c r="K19" s="115">
        <f>SUM(K17:K18)</f>
        <v>3246.6091585699992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1143.6596655039993</v>
      </c>
      <c r="U19" s="116">
        <f t="shared" si="5"/>
        <v>737.47937300000001</v>
      </c>
      <c r="V19" s="116">
        <f t="shared" si="5"/>
        <v>857.65958557900024</v>
      </c>
      <c r="W19" s="116">
        <f t="shared" si="5"/>
        <v>186.68795891900001</v>
      </c>
      <c r="X19" s="116">
        <f t="shared" si="5"/>
        <v>287.68840406800001</v>
      </c>
      <c r="Y19" s="116">
        <f t="shared" si="5"/>
        <v>33.434171500000005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IF(SUM(J24:J86)=J19,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557</v>
      </c>
      <c r="F24" s="7" t="s">
        <v>19</v>
      </c>
      <c r="G24" s="6" t="s">
        <v>561</v>
      </c>
      <c r="H24" s="187" t="s">
        <v>559</v>
      </c>
      <c r="I24" s="187" t="s">
        <v>472</v>
      </c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>
        <v>0</v>
      </c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548</v>
      </c>
      <c r="F25" s="7" t="s">
        <v>19</v>
      </c>
      <c r="G25" s="6" t="s">
        <v>378</v>
      </c>
      <c r="H25" s="188" t="s">
        <v>290</v>
      </c>
      <c r="I25" s="188" t="s">
        <v>466</v>
      </c>
      <c r="J25" s="118">
        <f t="shared" ref="J25:J82" si="10">+K25+L25</f>
        <v>35.004731300000003</v>
      </c>
      <c r="K25" s="119">
        <f t="shared" ref="K25:K82" si="11">SUM(N25:Y25)</f>
        <v>35.004731300000003</v>
      </c>
      <c r="L25" s="119">
        <f t="shared" ref="L25:L82" si="12">SUM(AA25:AL25)</f>
        <v>0</v>
      </c>
      <c r="M25" s="23"/>
      <c r="N25" s="24"/>
      <c r="O25" s="24"/>
      <c r="P25" s="24"/>
      <c r="Q25" s="24"/>
      <c r="R25" s="24"/>
      <c r="S25" s="24"/>
      <c r="T25" s="24">
        <v>35.004731300000003</v>
      </c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468</v>
      </c>
      <c r="F26" s="7" t="s">
        <v>19</v>
      </c>
      <c r="G26" s="6" t="s">
        <v>239</v>
      </c>
      <c r="H26" s="188" t="s">
        <v>278</v>
      </c>
      <c r="I26" s="188" t="s">
        <v>466</v>
      </c>
      <c r="J26" s="118">
        <f t="shared" si="10"/>
        <v>9.4273410379999998</v>
      </c>
      <c r="K26" s="119">
        <f t="shared" si="11"/>
        <v>9.4273410379999998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>
        <v>7.7724808190000001</v>
      </c>
      <c r="X26" s="24">
        <v>1.6548602190000001</v>
      </c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469</v>
      </c>
      <c r="F27" s="7" t="s">
        <v>19</v>
      </c>
      <c r="G27" s="6" t="s">
        <v>237</v>
      </c>
      <c r="H27" s="188" t="s">
        <v>277</v>
      </c>
      <c r="I27" s="188" t="s">
        <v>466</v>
      </c>
      <c r="J27" s="118">
        <f t="shared" si="10"/>
        <v>8.2520863759999994</v>
      </c>
      <c r="K27" s="119">
        <f t="shared" si="11"/>
        <v>8.2520863759999994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>
        <v>8.2520863759999994</v>
      </c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470</v>
      </c>
      <c r="F28" s="7" t="s">
        <v>19</v>
      </c>
      <c r="G28" s="6" t="s">
        <v>279</v>
      </c>
      <c r="H28" s="188" t="s">
        <v>280</v>
      </c>
      <c r="I28" s="188" t="s">
        <v>472</v>
      </c>
      <c r="J28" s="118">
        <f t="shared" si="10"/>
        <v>341.04746650600009</v>
      </c>
      <c r="K28" s="119">
        <f t="shared" si="11"/>
        <v>341.04746650600009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>
        <v>7.0585135609999998</v>
      </c>
      <c r="U28" s="24">
        <v>185.83288595100004</v>
      </c>
      <c r="V28" s="24"/>
      <c r="W28" s="24"/>
      <c r="X28" s="24">
        <v>148.15606699400001</v>
      </c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89" t="s">
        <v>283</v>
      </c>
      <c r="I29" s="189" t="s">
        <v>466</v>
      </c>
      <c r="J29" s="118">
        <f t="shared" si="10"/>
        <v>0.69174142800000005</v>
      </c>
      <c r="K29" s="119">
        <f t="shared" si="11"/>
        <v>0.69174142800000005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>
        <v>0.69174142800000005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7" t="s">
        <v>19</v>
      </c>
      <c r="G30" s="6" t="s">
        <v>282</v>
      </c>
      <c r="H30" s="190" t="s">
        <v>283</v>
      </c>
      <c r="I30" s="190" t="s">
        <v>472</v>
      </c>
      <c r="J30" s="118">
        <f t="shared" si="10"/>
        <v>23.295192105999998</v>
      </c>
      <c r="K30" s="119">
        <f t="shared" si="11"/>
        <v>23.295192105999998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>
        <v>23.295192105999998</v>
      </c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558</v>
      </c>
      <c r="F31" s="7" t="s">
        <v>17</v>
      </c>
      <c r="G31" s="6" t="s">
        <v>508</v>
      </c>
      <c r="H31" s="190" t="s">
        <v>319</v>
      </c>
      <c r="I31" s="190" t="s">
        <v>560</v>
      </c>
      <c r="J31" s="118">
        <f t="shared" si="10"/>
        <v>2.1686070289999999</v>
      </c>
      <c r="K31" s="119">
        <f t="shared" si="11"/>
        <v>2.1686070289999999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>
        <v>2.1686070289999999</v>
      </c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446</v>
      </c>
      <c r="F32" s="7" t="s">
        <v>19</v>
      </c>
      <c r="G32" s="6" t="s">
        <v>493</v>
      </c>
      <c r="H32" s="190" t="s">
        <v>339</v>
      </c>
      <c r="I32" s="190" t="s">
        <v>472</v>
      </c>
      <c r="J32" s="118">
        <f t="shared" si="10"/>
        <v>7.1480440739999986</v>
      </c>
      <c r="K32" s="119">
        <f t="shared" si="11"/>
        <v>7.1480440739999986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>
        <v>7.1480440739999986</v>
      </c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446</v>
      </c>
      <c r="F33" s="7" t="s">
        <v>19</v>
      </c>
      <c r="G33" s="6" t="s">
        <v>285</v>
      </c>
      <c r="H33" s="190" t="s">
        <v>286</v>
      </c>
      <c r="I33" s="190" t="s">
        <v>472</v>
      </c>
      <c r="J33" s="118">
        <f t="shared" si="10"/>
        <v>0.16328139</v>
      </c>
      <c r="K33" s="119">
        <f t="shared" si="11"/>
        <v>0.16328139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>
        <v>0.16328139</v>
      </c>
      <c r="U33" s="24"/>
      <c r="V33" s="24"/>
      <c r="W33" s="24"/>
      <c r="X33" s="24"/>
      <c r="Y33" s="24"/>
    </row>
    <row r="34" spans="5:25">
      <c r="E34" s="6" t="s">
        <v>473</v>
      </c>
      <c r="F34" s="7" t="s">
        <v>17</v>
      </c>
      <c r="G34" s="6" t="s">
        <v>493</v>
      </c>
      <c r="H34" s="190" t="s">
        <v>339</v>
      </c>
      <c r="I34" s="190" t="s">
        <v>472</v>
      </c>
      <c r="J34" s="118">
        <f t="shared" si="10"/>
        <v>76.559977846999999</v>
      </c>
      <c r="K34" s="119">
        <f t="shared" si="11"/>
        <v>76.559977846999999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>
        <v>76.559977846999999</v>
      </c>
      <c r="U34" s="24"/>
      <c r="V34" s="24"/>
      <c r="W34" s="24"/>
      <c r="X34" s="24"/>
      <c r="Y34" s="24"/>
    </row>
    <row r="35" spans="5:25">
      <c r="E35" s="6" t="s">
        <v>474</v>
      </c>
      <c r="F35" s="7" t="s">
        <v>19</v>
      </c>
      <c r="G35" s="6" t="s">
        <v>279</v>
      </c>
      <c r="H35" s="190" t="s">
        <v>280</v>
      </c>
      <c r="I35" s="190" t="s">
        <v>472</v>
      </c>
      <c r="J35" s="118">
        <f t="shared" si="10"/>
        <v>114.986673357</v>
      </c>
      <c r="K35" s="119">
        <f t="shared" si="11"/>
        <v>114.986673357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>
        <v>114.986673357</v>
      </c>
      <c r="V35" s="24"/>
      <c r="W35" s="24"/>
      <c r="X35" s="24"/>
      <c r="Y35" s="24"/>
    </row>
    <row r="36" spans="5:25">
      <c r="E36" s="6" t="s">
        <v>476</v>
      </c>
      <c r="F36" s="7" t="s">
        <v>19</v>
      </c>
      <c r="G36" s="6" t="s">
        <v>447</v>
      </c>
      <c r="H36" s="190" t="s">
        <v>448</v>
      </c>
      <c r="I36" s="190" t="s">
        <v>466</v>
      </c>
      <c r="J36" s="118">
        <f t="shared" si="10"/>
        <v>32.321923599999998</v>
      </c>
      <c r="K36" s="119">
        <f t="shared" si="11"/>
        <v>32.321923599999998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>
        <v>23.209691100000001</v>
      </c>
      <c r="U36" s="24">
        <v>7.9754857000000001</v>
      </c>
      <c r="V36" s="24">
        <v>1.1367468000000001</v>
      </c>
      <c r="W36" s="24"/>
      <c r="X36" s="24"/>
      <c r="Y36" s="24"/>
    </row>
    <row r="37" spans="5:25">
      <c r="E37" s="6" t="s">
        <v>476</v>
      </c>
      <c r="F37" s="7" t="s">
        <v>19</v>
      </c>
      <c r="G37" s="6" t="s">
        <v>247</v>
      </c>
      <c r="H37" s="190" t="s">
        <v>289</v>
      </c>
      <c r="I37" s="190" t="s">
        <v>466</v>
      </c>
      <c r="J37" s="118">
        <f t="shared" si="10"/>
        <v>108.33293503100003</v>
      </c>
      <c r="K37" s="119">
        <f t="shared" si="11"/>
        <v>108.33293503100003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>
        <v>10.1393311</v>
      </c>
      <c r="U37" s="24">
        <v>44.228395800000008</v>
      </c>
      <c r="V37" s="24">
        <v>27.735208131</v>
      </c>
      <c r="W37" s="24">
        <v>11.99428</v>
      </c>
      <c r="X37" s="24">
        <v>7.1178600000000003</v>
      </c>
      <c r="Y37" s="24">
        <v>7.1178600000000003</v>
      </c>
    </row>
    <row r="38" spans="5:25">
      <c r="E38" s="6" t="s">
        <v>476</v>
      </c>
      <c r="F38" s="7" t="s">
        <v>19</v>
      </c>
      <c r="G38" s="6" t="s">
        <v>379</v>
      </c>
      <c r="H38" s="190" t="s">
        <v>291</v>
      </c>
      <c r="I38" s="190" t="s">
        <v>466</v>
      </c>
      <c r="J38" s="118">
        <f t="shared" si="10"/>
        <v>56.851108985999986</v>
      </c>
      <c r="K38" s="119">
        <f t="shared" si="11"/>
        <v>56.851108985999986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>
        <v>2.6085678319999999</v>
      </c>
      <c r="U38" s="24">
        <v>14.874931144999991</v>
      </c>
      <c r="V38" s="24">
        <v>25.131890008999999</v>
      </c>
      <c r="W38" s="24">
        <v>7.1178600000000003</v>
      </c>
      <c r="X38" s="24">
        <v>7.1178600000000003</v>
      </c>
      <c r="Y38" s="24"/>
    </row>
    <row r="39" spans="5:25">
      <c r="E39" s="6" t="s">
        <v>476</v>
      </c>
      <c r="F39" s="7" t="s">
        <v>19</v>
      </c>
      <c r="G39" s="6" t="s">
        <v>378</v>
      </c>
      <c r="H39" s="190" t="s">
        <v>290</v>
      </c>
      <c r="I39" s="190" t="s">
        <v>466</v>
      </c>
      <c r="J39" s="118">
        <f t="shared" si="10"/>
        <v>47.488183107000005</v>
      </c>
      <c r="K39" s="119">
        <f t="shared" si="11"/>
        <v>47.488183107000005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>
        <v>29.093790038000002</v>
      </c>
      <c r="U39" s="24">
        <v>10.401216369</v>
      </c>
      <c r="V39" s="24">
        <v>3.5018420999999997</v>
      </c>
      <c r="W39" s="24">
        <v>4.4913346000000001</v>
      </c>
      <c r="X39" s="24"/>
      <c r="Y39" s="24"/>
    </row>
    <row r="40" spans="5:25">
      <c r="E40" s="6" t="s">
        <v>476</v>
      </c>
      <c r="F40" s="7" t="s">
        <v>19</v>
      </c>
      <c r="G40" s="6" t="s">
        <v>454</v>
      </c>
      <c r="H40" s="190" t="s">
        <v>292</v>
      </c>
      <c r="I40" s="190" t="s">
        <v>466</v>
      </c>
      <c r="J40" s="118">
        <f t="shared" si="10"/>
        <v>99.360732999999996</v>
      </c>
      <c r="K40" s="119">
        <f t="shared" si="11"/>
        <v>99.360732999999996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>
        <v>21.7875324</v>
      </c>
      <c r="U40" s="24">
        <v>14.49084</v>
      </c>
      <c r="V40" s="24">
        <v>7.2454200000000002</v>
      </c>
      <c r="W40" s="24">
        <v>34.100680599999997</v>
      </c>
      <c r="X40" s="24">
        <v>14.49084</v>
      </c>
      <c r="Y40" s="24">
        <v>7.2454200000000002</v>
      </c>
    </row>
    <row r="41" spans="5:25">
      <c r="E41" s="6" t="s">
        <v>476</v>
      </c>
      <c r="F41" s="7" t="s">
        <v>19</v>
      </c>
      <c r="G41" s="6" t="s">
        <v>293</v>
      </c>
      <c r="H41" s="190" t="s">
        <v>294</v>
      </c>
      <c r="I41" s="190" t="s">
        <v>466</v>
      </c>
      <c r="J41" s="118">
        <f t="shared" si="10"/>
        <v>60.749500500000003</v>
      </c>
      <c r="K41" s="119">
        <f t="shared" si="11"/>
        <v>60.749500500000003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>
        <v>0.1191103</v>
      </c>
      <c r="U41" s="24">
        <v>3.4177157</v>
      </c>
      <c r="V41" s="24">
        <v>3.4177157</v>
      </c>
      <c r="W41" s="24">
        <v>17.088578500000001</v>
      </c>
      <c r="X41" s="24">
        <v>17.635488800000001</v>
      </c>
      <c r="Y41" s="24">
        <v>19.070891500000002</v>
      </c>
    </row>
    <row r="42" spans="5:25">
      <c r="E42" s="6" t="s">
        <v>476</v>
      </c>
      <c r="F42" s="7" t="s">
        <v>19</v>
      </c>
      <c r="G42" s="6" t="s">
        <v>252</v>
      </c>
      <c r="H42" s="190" t="s">
        <v>295</v>
      </c>
      <c r="I42" s="190" t="s">
        <v>466</v>
      </c>
      <c r="J42" s="118">
        <f t="shared" si="10"/>
        <v>46.144858931999991</v>
      </c>
      <c r="K42" s="119">
        <f t="shared" si="11"/>
        <v>46.144858931999991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>
        <v>40.827531831999991</v>
      </c>
      <c r="U42" s="24">
        <v>4.9598271000000009</v>
      </c>
      <c r="V42" s="24"/>
      <c r="W42" s="24">
        <v>0.35749999999999998</v>
      </c>
      <c r="X42" s="24"/>
      <c r="Y42" s="24"/>
    </row>
    <row r="43" spans="5:25">
      <c r="E43" s="6" t="s">
        <v>476</v>
      </c>
      <c r="F43" s="7" t="s">
        <v>19</v>
      </c>
      <c r="G43" s="6" t="s">
        <v>245</v>
      </c>
      <c r="H43" s="190" t="s">
        <v>288</v>
      </c>
      <c r="I43" s="190" t="s">
        <v>466</v>
      </c>
      <c r="J43" s="118">
        <f t="shared" si="10"/>
        <v>3.4210771019999999</v>
      </c>
      <c r="K43" s="119">
        <f t="shared" si="11"/>
        <v>3.4210771019999999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>
        <v>0.65509620000000002</v>
      </c>
      <c r="U43" s="24">
        <v>1.187167544</v>
      </c>
      <c r="V43" s="24">
        <v>1.5788133580000001</v>
      </c>
      <c r="W43" s="24"/>
      <c r="X43" s="24"/>
      <c r="Y43" s="24"/>
    </row>
    <row r="44" spans="5:25">
      <c r="E44" s="6" t="s">
        <v>477</v>
      </c>
      <c r="F44" s="7" t="s">
        <v>19</v>
      </c>
      <c r="G44" s="6" t="s">
        <v>454</v>
      </c>
      <c r="H44" s="190" t="s">
        <v>292</v>
      </c>
      <c r="I44" s="190" t="s">
        <v>466</v>
      </c>
      <c r="J44" s="118">
        <f t="shared" si="10"/>
        <v>10.006058019999999</v>
      </c>
      <c r="K44" s="119">
        <f t="shared" si="11"/>
        <v>10.006058019999999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10.006058019999999</v>
      </c>
      <c r="W44" s="24"/>
      <c r="X44" s="24"/>
      <c r="Y44" s="24"/>
    </row>
    <row r="45" spans="5:25">
      <c r="E45" s="6" t="s">
        <v>417</v>
      </c>
      <c r="F45" s="7" t="s">
        <v>19</v>
      </c>
      <c r="G45" s="6" t="s">
        <v>500</v>
      </c>
      <c r="H45" s="190" t="s">
        <v>305</v>
      </c>
      <c r="I45" s="190" t="s">
        <v>472</v>
      </c>
      <c r="J45" s="118">
        <f t="shared" si="10"/>
        <v>19.768845337000002</v>
      </c>
      <c r="K45" s="119">
        <f t="shared" si="11"/>
        <v>19.768845337000002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>
        <v>19.768845337000002</v>
      </c>
      <c r="V45" s="24"/>
      <c r="W45" s="24"/>
      <c r="X45" s="24"/>
      <c r="Y45" s="24"/>
    </row>
    <row r="46" spans="5:25">
      <c r="E46" s="6" t="s">
        <v>479</v>
      </c>
      <c r="F46" s="7" t="s">
        <v>19</v>
      </c>
      <c r="G46" s="6" t="s">
        <v>494</v>
      </c>
      <c r="H46" s="188" t="s">
        <v>299</v>
      </c>
      <c r="I46" s="188" t="s">
        <v>466</v>
      </c>
      <c r="J46" s="118">
        <f t="shared" si="10"/>
        <v>18.264194112000002</v>
      </c>
      <c r="K46" s="119">
        <f t="shared" si="11"/>
        <v>18.264194112000002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>
        <v>18.171664578000001</v>
      </c>
      <c r="U46" s="24">
        <v>9.2529533999999997E-2</v>
      </c>
      <c r="V46" s="24"/>
      <c r="W46" s="24"/>
      <c r="X46" s="24"/>
      <c r="Y46" s="24"/>
    </row>
    <row r="47" spans="5:25">
      <c r="E47" s="6" t="s">
        <v>544</v>
      </c>
      <c r="F47" s="7" t="s">
        <v>19</v>
      </c>
      <c r="G47" s="6" t="s">
        <v>374</v>
      </c>
      <c r="H47" s="188" t="s">
        <v>317</v>
      </c>
      <c r="I47" s="188" t="s">
        <v>466</v>
      </c>
      <c r="J47" s="118">
        <f t="shared" si="10"/>
        <v>0.109614113</v>
      </c>
      <c r="K47" s="119">
        <f t="shared" si="11"/>
        <v>0.109614113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>
        <v>0.109614113</v>
      </c>
      <c r="U47" s="24"/>
      <c r="V47" s="24"/>
      <c r="W47" s="24"/>
      <c r="X47" s="24"/>
      <c r="Y47" s="24"/>
    </row>
    <row r="48" spans="5:25">
      <c r="E48" s="6" t="s">
        <v>450</v>
      </c>
      <c r="F48" s="7" t="s">
        <v>19</v>
      </c>
      <c r="G48" s="6" t="s">
        <v>282</v>
      </c>
      <c r="H48" s="189" t="s">
        <v>283</v>
      </c>
      <c r="I48" s="189" t="s">
        <v>466</v>
      </c>
      <c r="J48" s="118">
        <f t="shared" si="10"/>
        <v>3.2547774719999998</v>
      </c>
      <c r="K48" s="119">
        <f t="shared" si="11"/>
        <v>3.2547774719999998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>
        <v>3.0922361719999998</v>
      </c>
      <c r="U48" s="24"/>
      <c r="V48" s="24">
        <v>0.1625413</v>
      </c>
      <c r="W48" s="24"/>
      <c r="X48" s="24"/>
      <c r="Y48" s="24"/>
    </row>
    <row r="49" spans="5:25">
      <c r="E49" s="6" t="s">
        <v>450</v>
      </c>
      <c r="F49" s="7" t="s">
        <v>19</v>
      </c>
      <c r="G49" s="6" t="s">
        <v>282</v>
      </c>
      <c r="H49" s="190" t="s">
        <v>283</v>
      </c>
      <c r="I49" s="190" t="s">
        <v>472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>
        <v>0</v>
      </c>
      <c r="V49" s="24"/>
      <c r="W49" s="24"/>
      <c r="X49" s="24"/>
      <c r="Y49" s="24"/>
    </row>
    <row r="50" spans="5:25">
      <c r="E50" s="6" t="s">
        <v>450</v>
      </c>
      <c r="F50" s="7" t="s">
        <v>19</v>
      </c>
      <c r="G50" s="6" t="s">
        <v>500</v>
      </c>
      <c r="H50" s="190" t="s">
        <v>305</v>
      </c>
      <c r="I50" s="190" t="s">
        <v>466</v>
      </c>
      <c r="J50" s="118">
        <f t="shared" si="10"/>
        <v>3.3595952690000002</v>
      </c>
      <c r="K50" s="119">
        <f t="shared" si="11"/>
        <v>3.3595952690000002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>
        <v>3.343551808</v>
      </c>
      <c r="U50" s="24"/>
      <c r="V50" s="24">
        <v>1.6043460999999998E-2</v>
      </c>
      <c r="W50" s="24"/>
      <c r="X50" s="24"/>
      <c r="Y50" s="24"/>
    </row>
    <row r="51" spans="5:25">
      <c r="E51" s="6" t="s">
        <v>450</v>
      </c>
      <c r="F51" s="7" t="s">
        <v>19</v>
      </c>
      <c r="G51" s="6" t="s">
        <v>500</v>
      </c>
      <c r="H51" s="190" t="s">
        <v>305</v>
      </c>
      <c r="I51" s="190" t="s">
        <v>472</v>
      </c>
      <c r="J51" s="118">
        <f t="shared" si="10"/>
        <v>49.225533458000001</v>
      </c>
      <c r="K51" s="119">
        <f t="shared" si="11"/>
        <v>49.225533458000001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>
        <v>20.263088603</v>
      </c>
      <c r="U51" s="24">
        <v>27.633651067000002</v>
      </c>
      <c r="V51" s="24">
        <v>1.328793788</v>
      </c>
      <c r="W51" s="24"/>
      <c r="X51" s="24"/>
      <c r="Y51" s="24"/>
    </row>
    <row r="52" spans="5:25">
      <c r="E52" s="6" t="s">
        <v>450</v>
      </c>
      <c r="F52" s="7" t="s">
        <v>19</v>
      </c>
      <c r="G52" s="6" t="s">
        <v>256</v>
      </c>
      <c r="H52" s="190" t="s">
        <v>303</v>
      </c>
      <c r="I52" s="190" t="s">
        <v>466</v>
      </c>
      <c r="J52" s="118">
        <f t="shared" si="10"/>
        <v>200.31089012300012</v>
      </c>
      <c r="K52" s="119">
        <f t="shared" si="11"/>
        <v>200.31089012300012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>
        <v>28.061702187000023</v>
      </c>
      <c r="U52" s="24">
        <v>48.057722291000005</v>
      </c>
      <c r="V52" s="24">
        <v>124.19146564500009</v>
      </c>
      <c r="W52" s="24"/>
      <c r="X52" s="24"/>
      <c r="Y52" s="24"/>
    </row>
    <row r="53" spans="5:25">
      <c r="E53" s="6" t="s">
        <v>549</v>
      </c>
      <c r="F53" s="7" t="s">
        <v>19</v>
      </c>
      <c r="G53" s="6" t="s">
        <v>441</v>
      </c>
      <c r="H53" s="190" t="s">
        <v>481</v>
      </c>
      <c r="I53" s="190" t="s">
        <v>466</v>
      </c>
      <c r="J53" s="118">
        <f t="shared" si="10"/>
        <v>709.3539783659993</v>
      </c>
      <c r="K53" s="119">
        <f t="shared" si="11"/>
        <v>709.3539783659993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>
        <v>476.96986446599925</v>
      </c>
      <c r="U53" s="24">
        <v>31.771308059999999</v>
      </c>
      <c r="V53" s="24">
        <v>96.847561440000007</v>
      </c>
      <c r="W53" s="24">
        <v>103.76524440000001</v>
      </c>
      <c r="X53" s="24"/>
      <c r="Y53" s="24"/>
    </row>
    <row r="54" spans="5:25">
      <c r="E54" s="6" t="s">
        <v>482</v>
      </c>
      <c r="F54" s="7" t="s">
        <v>19</v>
      </c>
      <c r="G54" s="6" t="s">
        <v>258</v>
      </c>
      <c r="H54" s="190" t="s">
        <v>306</v>
      </c>
      <c r="I54" s="190" t="s">
        <v>466</v>
      </c>
      <c r="J54" s="118">
        <f t="shared" si="10"/>
        <v>18.12263046</v>
      </c>
      <c r="K54" s="119">
        <f t="shared" si="11"/>
        <v>18.12263046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>
        <v>18.12263046</v>
      </c>
      <c r="U54" s="24">
        <v>0</v>
      </c>
      <c r="V54" s="24"/>
      <c r="W54" s="24"/>
      <c r="X54" s="24"/>
      <c r="Y54" s="24"/>
    </row>
    <row r="55" spans="5:25">
      <c r="E55" s="6" t="s">
        <v>509</v>
      </c>
      <c r="F55" s="7" t="s">
        <v>19</v>
      </c>
      <c r="G55" s="6" t="s">
        <v>447</v>
      </c>
      <c r="H55" s="190" t="s">
        <v>448</v>
      </c>
      <c r="I55" s="190" t="s">
        <v>466</v>
      </c>
      <c r="J55" s="118">
        <f t="shared" si="10"/>
        <v>15.330196200999996</v>
      </c>
      <c r="K55" s="119">
        <f t="shared" si="11"/>
        <v>15.330196200999996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>
        <v>15.330196200999996</v>
      </c>
      <c r="U55" s="24"/>
      <c r="V55" s="24"/>
      <c r="W55" s="24"/>
      <c r="X55" s="24"/>
      <c r="Y55" s="24"/>
    </row>
    <row r="56" spans="5:25">
      <c r="E56" s="6" t="s">
        <v>509</v>
      </c>
      <c r="F56" s="7" t="s">
        <v>19</v>
      </c>
      <c r="G56" s="6" t="s">
        <v>247</v>
      </c>
      <c r="H56" s="190" t="s">
        <v>289</v>
      </c>
      <c r="I56" s="190" t="s">
        <v>466</v>
      </c>
      <c r="J56" s="118">
        <f t="shared" si="10"/>
        <v>2.3907126999999999</v>
      </c>
      <c r="K56" s="119">
        <f t="shared" si="11"/>
        <v>2.3907126999999999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>
        <v>2.3907126999999999</v>
      </c>
      <c r="U56" s="24"/>
      <c r="V56" s="24"/>
      <c r="W56" s="24"/>
      <c r="X56" s="24"/>
      <c r="Y56" s="24"/>
    </row>
    <row r="57" spans="5:25">
      <c r="E57" s="6" t="s">
        <v>509</v>
      </c>
      <c r="F57" s="7" t="s">
        <v>19</v>
      </c>
      <c r="G57" s="6" t="s">
        <v>379</v>
      </c>
      <c r="H57" s="190" t="s">
        <v>291</v>
      </c>
      <c r="I57" s="190" t="s">
        <v>466</v>
      </c>
      <c r="J57" s="118">
        <f t="shared" si="10"/>
        <v>10.401400381</v>
      </c>
      <c r="K57" s="119">
        <f t="shared" si="11"/>
        <v>10.401400381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>
        <v>10.401400381</v>
      </c>
      <c r="U57" s="24"/>
      <c r="V57" s="24"/>
      <c r="W57" s="24"/>
      <c r="X57" s="24"/>
      <c r="Y57" s="24"/>
    </row>
    <row r="58" spans="5:25">
      <c r="E58" s="6" t="s">
        <v>509</v>
      </c>
      <c r="F58" s="7" t="s">
        <v>19</v>
      </c>
      <c r="G58" s="6" t="s">
        <v>454</v>
      </c>
      <c r="H58" s="190" t="s">
        <v>292</v>
      </c>
      <c r="I58" s="190" t="s">
        <v>466</v>
      </c>
      <c r="J58" s="118">
        <f t="shared" si="10"/>
        <v>9.7359303359999991</v>
      </c>
      <c r="K58" s="119">
        <f t="shared" si="11"/>
        <v>9.7359303359999991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>
        <v>9.7359303359999991</v>
      </c>
      <c r="U58" s="24"/>
      <c r="V58" s="24"/>
      <c r="W58" s="24"/>
      <c r="X58" s="24"/>
      <c r="Y58" s="24"/>
    </row>
    <row r="59" spans="5:25">
      <c r="E59" s="6" t="s">
        <v>509</v>
      </c>
      <c r="F59" s="7" t="s">
        <v>19</v>
      </c>
      <c r="G59" s="6" t="s">
        <v>293</v>
      </c>
      <c r="H59" s="190" t="s">
        <v>294</v>
      </c>
      <c r="I59" s="190" t="s">
        <v>466</v>
      </c>
      <c r="J59" s="118">
        <f t="shared" si="10"/>
        <v>3.8862866359999995</v>
      </c>
      <c r="K59" s="119">
        <f t="shared" si="11"/>
        <v>3.8862866359999995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>
        <v>3.8862866359999995</v>
      </c>
      <c r="U59" s="24"/>
      <c r="V59" s="24"/>
      <c r="W59" s="24"/>
      <c r="X59" s="24"/>
      <c r="Y59" s="24"/>
    </row>
    <row r="60" spans="5:25">
      <c r="E60" s="6" t="s">
        <v>483</v>
      </c>
      <c r="F60" s="7" t="s">
        <v>19</v>
      </c>
      <c r="G60" s="6" t="s">
        <v>258</v>
      </c>
      <c r="H60" s="190" t="s">
        <v>306</v>
      </c>
      <c r="I60" s="190" t="s">
        <v>466</v>
      </c>
      <c r="J60" s="118">
        <f t="shared" si="10"/>
        <v>33.324352171999998</v>
      </c>
      <c r="K60" s="119">
        <f t="shared" si="11"/>
        <v>33.324352171999998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>
        <v>9.2460917469999995</v>
      </c>
      <c r="U60" s="24">
        <v>24.078260425</v>
      </c>
      <c r="V60" s="24"/>
      <c r="W60" s="24"/>
      <c r="X60" s="24"/>
      <c r="Y60" s="24"/>
    </row>
    <row r="61" spans="5:25">
      <c r="E61" s="6" t="s">
        <v>484</v>
      </c>
      <c r="F61" s="7" t="s">
        <v>19</v>
      </c>
      <c r="G61" s="6" t="s">
        <v>264</v>
      </c>
      <c r="H61" s="190" t="s">
        <v>310</v>
      </c>
      <c r="I61" s="190" t="s">
        <v>472</v>
      </c>
      <c r="J61" s="118">
        <f t="shared" si="10"/>
        <v>0.110184352</v>
      </c>
      <c r="K61" s="119">
        <f t="shared" si="11"/>
        <v>0.110184352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>
        <v>0.110184352</v>
      </c>
      <c r="Y61" s="24"/>
    </row>
    <row r="62" spans="5:25">
      <c r="E62" s="6" t="s">
        <v>484</v>
      </c>
      <c r="F62" s="7" t="s">
        <v>19</v>
      </c>
      <c r="G62" s="6" t="s">
        <v>500</v>
      </c>
      <c r="H62" s="190" t="s">
        <v>305</v>
      </c>
      <c r="I62" s="190" t="s">
        <v>472</v>
      </c>
      <c r="J62" s="118">
        <f t="shared" si="10"/>
        <v>53.278013522000002</v>
      </c>
      <c r="K62" s="119">
        <f t="shared" si="11"/>
        <v>53.278013522000002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>
        <v>53.278013522000002</v>
      </c>
      <c r="Y62" s="24"/>
    </row>
    <row r="63" spans="5:25">
      <c r="E63" s="6" t="s">
        <v>484</v>
      </c>
      <c r="F63" s="7" t="s">
        <v>19</v>
      </c>
      <c r="G63" s="6" t="s">
        <v>503</v>
      </c>
      <c r="H63" s="190" t="s">
        <v>311</v>
      </c>
      <c r="I63" s="190" t="s">
        <v>472</v>
      </c>
      <c r="J63" s="118">
        <f t="shared" si="10"/>
        <v>1.173521574</v>
      </c>
      <c r="K63" s="119">
        <f t="shared" si="11"/>
        <v>1.173521574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>
        <v>1.173521574</v>
      </c>
      <c r="Y63" s="24"/>
    </row>
    <row r="64" spans="5:25">
      <c r="E64" s="6" t="s">
        <v>484</v>
      </c>
      <c r="F64" s="7" t="s">
        <v>19</v>
      </c>
      <c r="G64" s="6" t="s">
        <v>454</v>
      </c>
      <c r="H64" s="190" t="s">
        <v>292</v>
      </c>
      <c r="I64" s="190" t="s">
        <v>472</v>
      </c>
      <c r="J64" s="118">
        <f t="shared" si="10"/>
        <v>7.5711713750000005</v>
      </c>
      <c r="K64" s="119">
        <f t="shared" si="11"/>
        <v>7.5711713750000005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>
        <v>7.5711713750000005</v>
      </c>
      <c r="Y64" s="24"/>
    </row>
    <row r="65" spans="5:25">
      <c r="E65" s="6" t="s">
        <v>484</v>
      </c>
      <c r="F65" s="7" t="s">
        <v>19</v>
      </c>
      <c r="G65" s="6" t="s">
        <v>370</v>
      </c>
      <c r="H65" s="190" t="s">
        <v>308</v>
      </c>
      <c r="I65" s="190" t="s">
        <v>472</v>
      </c>
      <c r="J65" s="118">
        <f t="shared" si="10"/>
        <v>29.382537231999997</v>
      </c>
      <c r="K65" s="119">
        <f t="shared" si="11"/>
        <v>29.382537231999997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29.382537231999997</v>
      </c>
      <c r="Y65" s="24"/>
    </row>
    <row r="66" spans="5:25">
      <c r="E66" s="6" t="s">
        <v>451</v>
      </c>
      <c r="F66" s="7" t="s">
        <v>19</v>
      </c>
      <c r="G66" s="6" t="s">
        <v>504</v>
      </c>
      <c r="H66" s="190" t="s">
        <v>307</v>
      </c>
      <c r="I66" s="190" t="s">
        <v>466</v>
      </c>
      <c r="J66" s="118">
        <f t="shared" si="10"/>
        <v>18.992745669999998</v>
      </c>
      <c r="K66" s="119">
        <f t="shared" si="11"/>
        <v>18.992745669999998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>
        <v>7.6217258619999999</v>
      </c>
      <c r="U66" s="24">
        <v>11.371019808</v>
      </c>
      <c r="V66" s="24"/>
      <c r="W66" s="24"/>
      <c r="X66" s="24"/>
      <c r="Y66" s="24"/>
    </row>
    <row r="67" spans="5:25">
      <c r="E67" s="6" t="s">
        <v>451</v>
      </c>
      <c r="F67" s="7" t="s">
        <v>19</v>
      </c>
      <c r="G67" s="6" t="s">
        <v>370</v>
      </c>
      <c r="H67" s="190" t="s">
        <v>308</v>
      </c>
      <c r="I67" s="190" t="s">
        <v>466</v>
      </c>
      <c r="J67" s="118">
        <f t="shared" si="10"/>
        <v>2.1636036089999999</v>
      </c>
      <c r="K67" s="119">
        <f t="shared" si="11"/>
        <v>2.1636036089999999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>
        <v>2.1636036089999999</v>
      </c>
      <c r="V67" s="24"/>
      <c r="W67" s="24"/>
      <c r="X67" s="24"/>
      <c r="Y67" s="24"/>
    </row>
    <row r="68" spans="5:25">
      <c r="E68" s="6" t="s">
        <v>451</v>
      </c>
      <c r="F68" s="7" t="s">
        <v>19</v>
      </c>
      <c r="G68" s="6" t="s">
        <v>370</v>
      </c>
      <c r="H68" s="190" t="s">
        <v>308</v>
      </c>
      <c r="I68" s="190" t="s">
        <v>472</v>
      </c>
      <c r="J68" s="118">
        <f t="shared" si="10"/>
        <v>1.192590007</v>
      </c>
      <c r="K68" s="119">
        <f t="shared" si="11"/>
        <v>1.192590007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>
        <v>1.192590007</v>
      </c>
      <c r="V68" s="24"/>
      <c r="W68" s="24"/>
      <c r="X68" s="24"/>
      <c r="Y68" s="24"/>
    </row>
    <row r="69" spans="5:25">
      <c r="E69" s="6" t="s">
        <v>485</v>
      </c>
      <c r="F69" s="7" t="s">
        <v>19</v>
      </c>
      <c r="G69" s="6" t="s">
        <v>529</v>
      </c>
      <c r="H69" s="190" t="s">
        <v>530</v>
      </c>
      <c r="I69" s="190" t="s">
        <v>472</v>
      </c>
      <c r="J69" s="118">
        <f t="shared" si="10"/>
        <v>494.17683107000011</v>
      </c>
      <c r="K69" s="119">
        <f t="shared" si="11"/>
        <v>494.17683107000011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>
        <v>0</v>
      </c>
      <c r="U69" s="24"/>
      <c r="V69" s="24">
        <v>494.17683107000011</v>
      </c>
      <c r="W69" s="24"/>
      <c r="X69" s="24"/>
      <c r="Y69" s="24"/>
    </row>
    <row r="70" spans="5:25">
      <c r="E70" s="6" t="s">
        <v>268</v>
      </c>
      <c r="F70" s="7" t="s">
        <v>19</v>
      </c>
      <c r="G70" s="6" t="s">
        <v>374</v>
      </c>
      <c r="H70" s="190" t="s">
        <v>317</v>
      </c>
      <c r="I70" s="190" t="s">
        <v>466</v>
      </c>
      <c r="J70" s="118">
        <f t="shared" si="10"/>
        <v>5.4767254580000007</v>
      </c>
      <c r="K70" s="119">
        <f t="shared" si="11"/>
        <v>5.4767254580000007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>
        <v>5.4258490660000005</v>
      </c>
      <c r="U70" s="24">
        <v>5.0876391999999999E-2</v>
      </c>
      <c r="V70" s="24"/>
      <c r="W70" s="24"/>
      <c r="X70" s="24"/>
      <c r="Y70" s="24"/>
    </row>
    <row r="71" spans="5:25">
      <c r="E71" s="6" t="s">
        <v>487</v>
      </c>
      <c r="F71" s="7" t="s">
        <v>19</v>
      </c>
      <c r="G71" s="6" t="s">
        <v>374</v>
      </c>
      <c r="H71" s="190" t="s">
        <v>317</v>
      </c>
      <c r="I71" s="190" t="s">
        <v>466</v>
      </c>
      <c r="J71" s="118">
        <f t="shared" si="10"/>
        <v>1.1826547569999999</v>
      </c>
      <c r="K71" s="119">
        <f t="shared" si="11"/>
        <v>1.1826547569999999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>
        <v>1.1826547569999999</v>
      </c>
      <c r="W71" s="24"/>
      <c r="X71" s="24"/>
      <c r="Y71" s="24"/>
    </row>
    <row r="72" spans="5:25">
      <c r="E72" s="6" t="s">
        <v>514</v>
      </c>
      <c r="F72" s="7" t="s">
        <v>19</v>
      </c>
      <c r="G72" s="6" t="s">
        <v>374</v>
      </c>
      <c r="H72" s="190" t="s">
        <v>317</v>
      </c>
      <c r="I72" s="190" t="s">
        <v>466</v>
      </c>
      <c r="J72" s="118">
        <f t="shared" si="10"/>
        <v>0</v>
      </c>
      <c r="K72" s="119">
        <f t="shared" si="11"/>
        <v>0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>
        <v>0</v>
      </c>
      <c r="U72" s="24"/>
      <c r="V72" s="24"/>
      <c r="W72" s="24"/>
      <c r="X72" s="24"/>
      <c r="Y72" s="24"/>
    </row>
    <row r="73" spans="5:25">
      <c r="E73" s="6" t="s">
        <v>489</v>
      </c>
      <c r="F73" s="7" t="s">
        <v>19</v>
      </c>
      <c r="G73" s="6" t="s">
        <v>379</v>
      </c>
      <c r="H73" s="190" t="s">
        <v>291</v>
      </c>
      <c r="I73" s="190" t="s">
        <v>466</v>
      </c>
      <c r="J73" s="118">
        <f t="shared" si="10"/>
        <v>7.6481220790000002</v>
      </c>
      <c r="K73" s="119">
        <f t="shared" si="11"/>
        <v>7.6481220790000002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>
        <v>7.6481220790000002</v>
      </c>
      <c r="U73" s="24"/>
      <c r="V73" s="24"/>
      <c r="W73" s="24"/>
      <c r="X73" s="24"/>
      <c r="Y73" s="24"/>
    </row>
    <row r="74" spans="5:25">
      <c r="E74" s="6"/>
      <c r="F74" s="7"/>
      <c r="G74" s="6"/>
      <c r="H74" s="188"/>
      <c r="I74" s="188"/>
      <c r="J74" s="118">
        <f t="shared" si="10"/>
        <v>0</v>
      </c>
      <c r="K74" s="119">
        <f t="shared" si="11"/>
        <v>0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5:25">
      <c r="E75" s="6"/>
      <c r="F75" s="7"/>
      <c r="G75" s="6"/>
      <c r="H75" s="188"/>
      <c r="I75" s="188"/>
      <c r="J75" s="118">
        <f t="shared" si="10"/>
        <v>0</v>
      </c>
      <c r="K75" s="119">
        <f t="shared" si="11"/>
        <v>0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5:25">
      <c r="E76" s="305" t="s">
        <v>449</v>
      </c>
      <c r="F76" s="6"/>
      <c r="G76" s="6"/>
      <c r="H76" s="6"/>
      <c r="I76" s="6"/>
      <c r="J76" s="118">
        <f t="shared" si="10"/>
        <v>0</v>
      </c>
      <c r="K76" s="119">
        <f t="shared" si="11"/>
        <v>0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5:25">
      <c r="E77" s="6"/>
      <c r="F77" s="6"/>
      <c r="G77" s="6"/>
      <c r="H77" s="6"/>
      <c r="I77" s="6"/>
      <c r="J77" s="118">
        <f t="shared" si="10"/>
        <v>0</v>
      </c>
      <c r="K77" s="119">
        <f t="shared" si="11"/>
        <v>0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5:25">
      <c r="E78" s="305"/>
      <c r="F78" s="305" t="s">
        <v>19</v>
      </c>
      <c r="G78" s="305" t="s">
        <v>520</v>
      </c>
      <c r="H78" s="6"/>
      <c r="I78" s="6"/>
      <c r="J78" s="118">
        <f t="shared" si="10"/>
        <v>27</v>
      </c>
      <c r="K78" s="119">
        <f t="shared" si="11"/>
        <v>27</v>
      </c>
      <c r="L78" s="119">
        <f t="shared" si="12"/>
        <v>0</v>
      </c>
      <c r="N78" s="24"/>
      <c r="O78" s="24"/>
      <c r="P78" s="24"/>
      <c r="Q78" s="24"/>
      <c r="R78" s="24"/>
      <c r="S78" s="344"/>
      <c r="T78" s="306">
        <v>27</v>
      </c>
      <c r="U78" s="306"/>
      <c r="V78" s="344"/>
      <c r="W78" s="24"/>
      <c r="X78" s="24"/>
      <c r="Y78" s="24"/>
    </row>
    <row r="79" spans="5:25">
      <c r="E79" s="305"/>
      <c r="F79" s="305" t="s">
        <v>19</v>
      </c>
      <c r="G79" s="305" t="s">
        <v>521</v>
      </c>
      <c r="H79" s="6"/>
      <c r="I79" s="6"/>
      <c r="J79" s="118">
        <f t="shared" si="10"/>
        <v>322</v>
      </c>
      <c r="K79" s="119">
        <f t="shared" si="11"/>
        <v>322</v>
      </c>
      <c r="L79" s="119">
        <f t="shared" si="12"/>
        <v>0</v>
      </c>
      <c r="N79" s="24"/>
      <c r="O79" s="24"/>
      <c r="P79" s="24"/>
      <c r="Q79" s="24"/>
      <c r="R79" s="24"/>
      <c r="S79" s="344"/>
      <c r="T79" s="306">
        <f>162-60</f>
        <v>102</v>
      </c>
      <c r="U79" s="344">
        <v>160</v>
      </c>
      <c r="V79" s="306">
        <v>60</v>
      </c>
      <c r="W79" s="24"/>
      <c r="X79" s="24"/>
      <c r="Y79" s="24"/>
    </row>
    <row r="80" spans="5:25">
      <c r="E80" s="305"/>
      <c r="F80" s="305" t="s">
        <v>19</v>
      </c>
      <c r="G80" s="305" t="s">
        <v>522</v>
      </c>
      <c r="H80" s="6"/>
      <c r="I80" s="6"/>
      <c r="J80" s="118">
        <f t="shared" si="10"/>
        <v>18</v>
      </c>
      <c r="K80" s="119">
        <f t="shared" si="11"/>
        <v>18</v>
      </c>
      <c r="L80" s="119">
        <f t="shared" si="12"/>
        <v>0</v>
      </c>
      <c r="N80" s="24"/>
      <c r="O80" s="24"/>
      <c r="P80" s="24"/>
      <c r="Q80" s="24"/>
      <c r="R80" s="24"/>
      <c r="S80" s="344"/>
      <c r="T80" s="306">
        <v>18</v>
      </c>
      <c r="U80" s="306"/>
      <c r="V80" s="306"/>
      <c r="W80" s="24"/>
      <c r="X80" s="24"/>
      <c r="Y80" s="24"/>
    </row>
    <row r="81" spans="5:25">
      <c r="E81" s="305"/>
      <c r="F81" s="305" t="s">
        <v>19</v>
      </c>
      <c r="G81" s="305" t="s">
        <v>523</v>
      </c>
      <c r="H81" s="6"/>
      <c r="I81" s="6"/>
      <c r="J81" s="118">
        <f t="shared" si="10"/>
        <v>17</v>
      </c>
      <c r="K81" s="119">
        <f t="shared" si="11"/>
        <v>17</v>
      </c>
      <c r="L81" s="119">
        <f t="shared" si="12"/>
        <v>0</v>
      </c>
      <c r="N81" s="24"/>
      <c r="O81" s="24"/>
      <c r="P81" s="24"/>
      <c r="Q81" s="24"/>
      <c r="R81" s="24"/>
      <c r="S81" s="344"/>
      <c r="T81" s="306">
        <v>17</v>
      </c>
      <c r="U81" s="306"/>
      <c r="V81" s="306"/>
      <c r="W81" s="24"/>
      <c r="X81" s="24"/>
      <c r="Y81" s="24"/>
    </row>
    <row r="82" spans="5:25">
      <c r="E82" s="360"/>
      <c r="F82" s="360" t="s">
        <v>19</v>
      </c>
      <c r="G82" s="360" t="s">
        <v>457</v>
      </c>
      <c r="H82" s="362"/>
      <c r="I82" s="362"/>
      <c r="J82" s="364">
        <f t="shared" si="10"/>
        <v>29</v>
      </c>
      <c r="K82" s="365">
        <f t="shared" si="11"/>
        <v>29</v>
      </c>
      <c r="L82" s="365">
        <f t="shared" si="12"/>
        <v>0</v>
      </c>
      <c r="N82" s="366"/>
      <c r="O82" s="366"/>
      <c r="P82" s="366"/>
      <c r="Q82" s="366"/>
      <c r="R82" s="366"/>
      <c r="S82" s="404"/>
      <c r="T82" s="404">
        <v>29</v>
      </c>
      <c r="U82" s="404"/>
      <c r="V82" s="404"/>
      <c r="W82" s="24"/>
      <c r="X82" s="24"/>
      <c r="Y82" s="24"/>
    </row>
    <row r="83" spans="5:25">
      <c r="E83" s="6"/>
      <c r="F83" s="360" t="s">
        <v>19</v>
      </c>
      <c r="G83" s="360" t="s">
        <v>555</v>
      </c>
      <c r="H83" s="11"/>
      <c r="I83" s="11"/>
      <c r="J83" s="118">
        <f t="shared" ref="J83:J86" si="13">+K83+L83</f>
        <v>7</v>
      </c>
      <c r="K83" s="119">
        <f t="shared" ref="K83:K86" si="14">SUM(N83:Y83)</f>
        <v>7</v>
      </c>
      <c r="L83" s="119">
        <f t="shared" ref="L83:L86" si="15">SUM(AA83:AL83)</f>
        <v>0</v>
      </c>
      <c r="N83" s="24"/>
      <c r="O83" s="24"/>
      <c r="P83" s="24"/>
      <c r="Q83" s="24"/>
      <c r="R83" s="24"/>
      <c r="S83" s="24"/>
      <c r="T83" s="306">
        <v>7</v>
      </c>
      <c r="U83" s="24"/>
      <c r="V83" s="24"/>
      <c r="W83" s="24"/>
      <c r="X83" s="24"/>
      <c r="Y83" s="24"/>
    </row>
    <row r="84" spans="5:25">
      <c r="E84" s="6"/>
      <c r="F84" s="360" t="s">
        <v>19</v>
      </c>
      <c r="G84" s="360" t="s">
        <v>556</v>
      </c>
      <c r="H84" s="12"/>
      <c r="I84" s="12"/>
      <c r="J84" s="118">
        <f t="shared" si="13"/>
        <v>24</v>
      </c>
      <c r="K84" s="119">
        <f t="shared" si="14"/>
        <v>24</v>
      </c>
      <c r="L84" s="119">
        <f t="shared" si="15"/>
        <v>0</v>
      </c>
      <c r="N84" s="24"/>
      <c r="O84" s="24"/>
      <c r="P84" s="24"/>
      <c r="Q84" s="24"/>
      <c r="R84" s="24"/>
      <c r="S84" s="24"/>
      <c r="T84" s="306">
        <v>24</v>
      </c>
      <c r="U84" s="24"/>
      <c r="V84" s="24"/>
      <c r="W84" s="24"/>
      <c r="X84" s="24"/>
      <c r="Y84" s="24"/>
    </row>
    <row r="85" spans="5:25">
      <c r="E85" s="6"/>
      <c r="F85" s="7"/>
      <c r="G85" s="6"/>
      <c r="H85" s="12"/>
      <c r="I85" s="12"/>
      <c r="J85" s="118">
        <f t="shared" si="13"/>
        <v>0</v>
      </c>
      <c r="K85" s="119">
        <f t="shared" si="14"/>
        <v>0</v>
      </c>
      <c r="L85" s="119">
        <f t="shared" si="15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5:25">
      <c r="E86" s="13"/>
      <c r="F86" s="7"/>
      <c r="G86" s="6"/>
      <c r="H86" s="12"/>
      <c r="I86" s="12"/>
      <c r="J86" s="118">
        <f t="shared" si="13"/>
        <v>0</v>
      </c>
      <c r="K86" s="119">
        <f t="shared" si="14"/>
        <v>0</v>
      </c>
      <c r="L86" s="119">
        <f t="shared" si="15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8" spans="5:25">
      <c r="E88" s="191" t="s">
        <v>320</v>
      </c>
      <c r="F88" s="216">
        <v>46174</v>
      </c>
      <c r="G88" s="192">
        <v>270</v>
      </c>
      <c r="H88" s="271" t="s">
        <v>321</v>
      </c>
    </row>
    <row r="89" spans="5:25">
      <c r="E89" s="195" t="s">
        <v>553</v>
      </c>
      <c r="F89" s="217"/>
      <c r="G89" s="196">
        <v>335</v>
      </c>
      <c r="H89" s="271" t="s">
        <v>321</v>
      </c>
    </row>
    <row r="90" spans="5:25">
      <c r="E90" s="195" t="s">
        <v>554</v>
      </c>
      <c r="F90" s="217"/>
      <c r="G90" s="196">
        <v>160</v>
      </c>
      <c r="H90" s="271" t="s">
        <v>321</v>
      </c>
    </row>
    <row r="91" spans="5:25">
      <c r="E91" s="191" t="s">
        <v>320</v>
      </c>
      <c r="F91" s="216">
        <v>46203</v>
      </c>
      <c r="G91" s="192">
        <f>G88+G89-G90</f>
        <v>445</v>
      </c>
      <c r="H91" s="271" t="s">
        <v>321</v>
      </c>
      <c r="I91" s="299"/>
    </row>
    <row r="92" spans="5:25">
      <c r="E92" s="195"/>
      <c r="F92" s="217"/>
      <c r="G92" s="196"/>
      <c r="H92" s="271"/>
    </row>
    <row r="93" spans="5:25">
      <c r="E93" s="191"/>
      <c r="F93" s="216"/>
      <c r="G93" s="192"/>
      <c r="H93" s="271"/>
    </row>
    <row r="94" spans="5:25">
      <c r="J94" s="299"/>
    </row>
    <row r="95" spans="5:25">
      <c r="J95" s="299"/>
    </row>
    <row r="96" spans="5:25">
      <c r="E96" s="446" t="s">
        <v>531</v>
      </c>
      <c r="F96" s="447"/>
      <c r="G96" s="447"/>
      <c r="H96" s="447"/>
      <c r="J96" s="299"/>
    </row>
    <row r="97" spans="5:14">
      <c r="E97" s="219" t="s">
        <v>550</v>
      </c>
      <c r="F97" s="219"/>
      <c r="G97" s="202"/>
      <c r="H97" s="219" t="s">
        <v>325</v>
      </c>
      <c r="J97" s="299"/>
    </row>
    <row r="98" spans="5:14">
      <c r="E98" s="356" t="s">
        <v>493</v>
      </c>
      <c r="F98" s="202"/>
      <c r="G98" s="202"/>
      <c r="H98" s="408">
        <v>2</v>
      </c>
    </row>
    <row r="99" spans="5:14">
      <c r="E99" s="356" t="s">
        <v>282</v>
      </c>
      <c r="F99" s="202"/>
      <c r="G99" s="202"/>
      <c r="H99" s="408">
        <v>1</v>
      </c>
    </row>
    <row r="100" spans="5:14">
      <c r="E100" s="356" t="s">
        <v>441</v>
      </c>
      <c r="F100" s="202"/>
      <c r="G100" s="202"/>
      <c r="H100" s="408">
        <v>12</v>
      </c>
    </row>
    <row r="101" spans="5:14">
      <c r="E101" s="410" t="s">
        <v>562</v>
      </c>
      <c r="F101" s="202"/>
      <c r="G101" s="202"/>
      <c r="H101" s="408">
        <v>2</v>
      </c>
    </row>
    <row r="102" spans="5:14">
      <c r="E102" s="356" t="s">
        <v>379</v>
      </c>
      <c r="F102" s="202"/>
      <c r="G102" s="202"/>
      <c r="H102" s="408">
        <v>4</v>
      </c>
    </row>
    <row r="103" spans="5:14">
      <c r="E103" s="410" t="s">
        <v>374</v>
      </c>
      <c r="F103" s="202"/>
      <c r="G103" s="202"/>
      <c r="H103" s="408">
        <v>1</v>
      </c>
    </row>
    <row r="104" spans="5:14">
      <c r="E104" s="356" t="s">
        <v>344</v>
      </c>
      <c r="F104" s="202"/>
      <c r="G104" s="202"/>
      <c r="H104" s="408">
        <f>SUM(H98:H103)</f>
        <v>22</v>
      </c>
    </row>
    <row r="105" spans="5:14">
      <c r="E105" s="227"/>
      <c r="F105" s="278"/>
      <c r="G105" s="227"/>
      <c r="H105" s="280"/>
    </row>
    <row r="106" spans="5:14">
      <c r="E106" s="227"/>
      <c r="F106" s="278"/>
      <c r="G106" s="227"/>
      <c r="H106" s="280"/>
    </row>
    <row r="107" spans="5:14">
      <c r="E107" s="227"/>
      <c r="F107" s="278"/>
      <c r="G107" s="227"/>
      <c r="H107" s="280"/>
    </row>
    <row r="108" spans="5:14">
      <c r="E108" s="227"/>
      <c r="F108" s="278"/>
      <c r="G108" s="227"/>
      <c r="H108" s="280"/>
    </row>
    <row r="109" spans="5:14">
      <c r="E109" s="227"/>
      <c r="F109" s="278"/>
      <c r="G109" s="227"/>
      <c r="H109" s="280"/>
      <c r="I109" s="280"/>
      <c r="J109" s="280"/>
      <c r="K109" s="281"/>
    </row>
    <row r="110" spans="5:14">
      <c r="E110" s="227"/>
      <c r="F110" s="278"/>
      <c r="G110" s="227"/>
      <c r="H110" s="280"/>
      <c r="I110" s="280"/>
      <c r="J110" s="280"/>
      <c r="K110" s="281"/>
    </row>
    <row r="111" spans="5:14">
      <c r="E111" s="227" t="s">
        <v>330</v>
      </c>
      <c r="F111" s="227"/>
      <c r="G111" s="295">
        <f>'W26'!J19</f>
        <v>3502.0384911540004</v>
      </c>
      <c r="H111" s="413">
        <f>G90</f>
        <v>160</v>
      </c>
      <c r="I111" s="279" t="s">
        <v>566</v>
      </c>
      <c r="J111" s="280"/>
      <c r="K111" s="281"/>
      <c r="L111" s="260"/>
      <c r="M111" s="260"/>
      <c r="N111" s="261"/>
    </row>
    <row r="112" spans="5:14">
      <c r="E112" s="227" t="s">
        <v>331</v>
      </c>
      <c r="F112" s="227"/>
      <c r="G112" s="295">
        <f>H104</f>
        <v>22</v>
      </c>
      <c r="H112" s="413">
        <f>'W26'!J10-688</f>
        <v>-46</v>
      </c>
      <c r="I112" s="279" t="s">
        <v>565</v>
      </c>
      <c r="J112" s="280"/>
      <c r="K112" s="281"/>
      <c r="L112" s="260"/>
      <c r="M112" s="260"/>
      <c r="N112" s="261"/>
    </row>
    <row r="113" spans="5:14">
      <c r="E113" s="227" t="s">
        <v>332</v>
      </c>
      <c r="F113" s="227"/>
      <c r="G113" s="295">
        <f>J12</f>
        <v>215</v>
      </c>
      <c r="H113" s="413">
        <f ca="1">Q10</f>
        <v>3.5116744999995717</v>
      </c>
      <c r="I113" s="279" t="s">
        <v>564</v>
      </c>
      <c r="J113" s="280"/>
      <c r="K113" s="281"/>
      <c r="L113" s="260"/>
      <c r="M113" s="260"/>
      <c r="N113" s="261"/>
    </row>
    <row r="114" spans="5:14">
      <c r="E114" s="227" t="s">
        <v>333</v>
      </c>
      <c r="F114" s="227"/>
      <c r="G114" s="295">
        <f>G111+G112-G113</f>
        <v>3309.0384911540004</v>
      </c>
      <c r="H114" s="413">
        <f>G91-'W26'!G99</f>
        <v>-58</v>
      </c>
      <c r="I114" s="279" t="s">
        <v>563</v>
      </c>
      <c r="J114" s="280"/>
      <c r="K114" s="281"/>
      <c r="L114" s="260"/>
      <c r="M114" s="260"/>
      <c r="N114" s="261"/>
    </row>
    <row r="115" spans="5:14">
      <c r="E115" s="227" t="s">
        <v>334</v>
      </c>
      <c r="F115" s="227"/>
      <c r="G115" s="295">
        <f>J19</f>
        <v>3246.6091585699992</v>
      </c>
      <c r="H115" s="280"/>
      <c r="I115" s="280"/>
      <c r="J115" s="280"/>
      <c r="K115" s="281"/>
      <c r="L115" s="260"/>
      <c r="M115" s="260"/>
      <c r="N115" s="261"/>
    </row>
    <row r="116" spans="5:14">
      <c r="E116" s="227" t="s">
        <v>335</v>
      </c>
      <c r="F116" s="227"/>
      <c r="G116" s="296">
        <f>G114-G115</f>
        <v>62.429332584001259</v>
      </c>
      <c r="H116" s="413">
        <f>SUM(H111:H112)</f>
        <v>114</v>
      </c>
      <c r="I116" s="280"/>
      <c r="J116" s="280"/>
      <c r="K116" s="281"/>
      <c r="L116" s="260"/>
      <c r="M116" s="260"/>
      <c r="N116" s="261"/>
    </row>
    <row r="117" spans="5:14">
      <c r="E117" s="227"/>
      <c r="F117" s="278"/>
      <c r="G117" s="227"/>
      <c r="H117" s="280"/>
      <c r="I117" s="280"/>
      <c r="J117" s="280"/>
      <c r="K117" s="281"/>
      <c r="L117" s="260"/>
      <c r="M117" s="260"/>
      <c r="N117" s="261"/>
    </row>
    <row r="118" spans="5:14">
      <c r="E118" s="227"/>
      <c r="F118" s="278"/>
      <c r="G118" s="227"/>
      <c r="H118" s="280"/>
      <c r="I118" s="280"/>
      <c r="J118" s="280"/>
      <c r="K118" s="281"/>
      <c r="L118" s="260"/>
      <c r="M118" s="260"/>
      <c r="N118" s="261"/>
    </row>
    <row r="119" spans="5:14">
      <c r="E119" s="227"/>
      <c r="F119" s="278"/>
      <c r="G119" s="227"/>
      <c r="H119" s="280"/>
      <c r="I119" s="280"/>
      <c r="J119" s="280"/>
      <c r="K119" s="281"/>
    </row>
    <row r="120" spans="5:14">
      <c r="E120" s="227"/>
      <c r="F120" s="278"/>
      <c r="G120" s="227"/>
      <c r="H120" s="280"/>
      <c r="I120" s="280"/>
      <c r="J120" s="280"/>
      <c r="K120" s="281"/>
    </row>
    <row r="121" spans="5:14">
      <c r="E121" s="227"/>
      <c r="F121" s="278"/>
      <c r="G121" s="227"/>
      <c r="H121" s="280"/>
      <c r="I121" s="280"/>
      <c r="J121" s="280"/>
      <c r="K121" s="281"/>
    </row>
    <row r="122" spans="5:14">
      <c r="E122" s="227"/>
      <c r="F122" s="278"/>
      <c r="G122" s="227"/>
      <c r="H122" s="280"/>
      <c r="I122" s="280"/>
      <c r="J122" s="280"/>
      <c r="K122" s="281"/>
    </row>
    <row r="123" spans="5:14">
      <c r="E123" s="227"/>
      <c r="F123" s="278"/>
      <c r="G123" s="227"/>
      <c r="H123" s="280"/>
      <c r="I123" s="280"/>
      <c r="J123" s="280"/>
      <c r="K123" s="281"/>
    </row>
    <row r="124" spans="5:14">
      <c r="E124" s="227"/>
      <c r="F124" s="278"/>
      <c r="G124" s="227"/>
      <c r="H124" s="280"/>
      <c r="I124" s="280"/>
      <c r="J124" s="280"/>
      <c r="K124" s="281"/>
    </row>
  </sheetData>
  <sheetProtection formatCells="0" formatColumns="0" formatRows="0" insertRows="0" deleteRows="0" autoFilter="0"/>
  <autoFilter ref="E23:AL231" xr:uid="{00000000-0009-0000-0000-00001D000000}"/>
  <mergeCells count="2">
    <mergeCell ref="I4:J4"/>
    <mergeCell ref="E96:H96"/>
  </mergeCells>
  <phoneticPr fontId="40"/>
  <dataValidations count="2">
    <dataValidation type="list" allowBlank="1" showInputMessage="1" showErrorMessage="1" sqref="F97 F24:F86" xr:uid="{831422AC-29F0-48ED-9163-E48AAE2DF427}">
      <formula1>Liste</formula1>
    </dataValidation>
    <dataValidation type="list" allowBlank="1" showInputMessage="1" showErrorMessage="1" sqref="G2" xr:uid="{00000000-0002-0000-1D00-000001000000}">
      <formula1>SOCIETE</formula1>
    </dataValidation>
  </dataValidations>
  <pageMargins left="0.17" right="0.17" top="0.37" bottom="0.23" header="0.31496062992125984" footer="0.16"/>
  <pageSetup paperSize="9" scale="48" orientation="landscape" r:id="rId1"/>
  <ignoredErrors>
    <ignoredError sqref="G111:G116 H111:H116" unlockedFormula="1"/>
  </ignoredError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31">
    <tabColor theme="3" tint="0.59999389629810485"/>
    <pageSetUpPr fitToPage="1"/>
  </sheetPr>
  <dimension ref="C1:AL239"/>
  <sheetViews>
    <sheetView showGridLines="0" topLeftCell="D103" zoomScale="80" zoomScaleNormal="80" workbookViewId="0">
      <selection activeCell="E108" sqref="E108:I123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119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July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56.1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July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W28</v>
      </c>
      <c r="I9" s="61"/>
      <c r="J9" s="161" t="str">
        <f>+"from "&amp;G6&amp;" 1 until end of "&amp;G4</f>
        <v>from July 1 until end of W28</v>
      </c>
      <c r="K9" s="79"/>
      <c r="L9" s="167" t="str">
        <f>+G6</f>
        <v>July</v>
      </c>
      <c r="M9" s="80"/>
      <c r="N9" s="80"/>
      <c r="O9" s="172" t="str">
        <f>+G4</f>
        <v>W28</v>
      </c>
      <c r="P9" s="173" t="str">
        <f>+VLOOKUP(G4, parameters!$G$9:$I$61,3,0)</f>
        <v>W27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600+320+797+430+396+688+J10</f>
        <v>3636</v>
      </c>
      <c r="I10" s="61"/>
      <c r="J10" s="159">
        <f>507-102</f>
        <v>405</v>
      </c>
      <c r="L10" s="159">
        <f>T17+J10</f>
        <v>943.19182377200013</v>
      </c>
      <c r="N10" s="55"/>
      <c r="O10" s="170">
        <f>+H10+K17</f>
        <v>6723.1772469790003</v>
      </c>
      <c r="P10" s="171" cm="1">
        <f t="array" aca="1" ref="P10" ca="1">INDIRECT(ADDRESS(10,15,,,VLOOKUP($G$4,parameters!$G:$I,3,0)))</f>
        <v>6613.8805736939994</v>
      </c>
      <c r="Q10" s="183">
        <f ca="1">O10-P10</f>
        <v>109.29667328500091</v>
      </c>
      <c r="R10" s="86"/>
    </row>
    <row r="11" spans="5:38" ht="20.45" customHeight="1">
      <c r="E11" s="87" t="s">
        <v>224</v>
      </c>
      <c r="F11" s="88"/>
      <c r="G11" s="89"/>
      <c r="H11" s="16">
        <f>13+8+3+3+2+14+J11</f>
        <v>45</v>
      </c>
      <c r="I11" s="61"/>
      <c r="J11" s="16">
        <v>2</v>
      </c>
      <c r="L11" s="159">
        <f>T18+J11</f>
        <v>118.27764151099998</v>
      </c>
      <c r="N11" s="55"/>
      <c r="O11" s="152">
        <f>+H11+K18</f>
        <v>191.02100120399999</v>
      </c>
      <c r="P11" s="153" cm="1">
        <f t="array" aca="1" ref="P11" ca="1">INDIRECT(ADDRESS(11,15,,,VLOOKUP($G$4,parameters!$G:$I,3,0)))</f>
        <v>121.728584876</v>
      </c>
      <c r="Q11" s="184">
        <f t="shared" ref="Q11:Q12" ca="1" si="0">O11-P11</f>
        <v>69.292416327999987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3681</v>
      </c>
      <c r="I12" s="293"/>
      <c r="J12" s="126">
        <f>SUM(J10:J11)</f>
        <v>407</v>
      </c>
      <c r="K12" s="65"/>
      <c r="L12" s="126">
        <f>SUM(L10:L11)</f>
        <v>1061.4694652830001</v>
      </c>
      <c r="M12" s="65"/>
      <c r="N12" s="65"/>
      <c r="O12" s="154">
        <f>SUM(O10:O11)</f>
        <v>6914.198248183</v>
      </c>
      <c r="P12" s="155">
        <f ca="1">SUM(P10:P11)</f>
        <v>6735.6091585699996</v>
      </c>
      <c r="Q12" s="156">
        <f t="shared" ca="1" si="0"/>
        <v>178.5890896130004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+SUMIF($F$24:$F$89,"External",$J$24:$J$89)</f>
        <v>3087.1772469790003</v>
      </c>
      <c r="K17" s="108">
        <f>+SUMIF($F$24:$F$89,"External",$K$24:$K$89)</f>
        <v>3087.1772469790003</v>
      </c>
      <c r="L17" s="109">
        <f>+SUMIF($F$24:$F$89,"External",$L$24:$L$89)</f>
        <v>0</v>
      </c>
      <c r="M17" s="110"/>
      <c r="N17" s="111">
        <f t="shared" ref="N17:Y17" si="1">+SUMIF($F$24:$F$89,"External",N$24:N$89)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538.19182377200013</v>
      </c>
      <c r="U17" s="111">
        <f t="shared" si="1"/>
        <v>1146.0418268869998</v>
      </c>
      <c r="V17" s="111">
        <f t="shared" si="1"/>
        <v>965.59407357300017</v>
      </c>
      <c r="W17" s="111">
        <f t="shared" si="1"/>
        <v>146.98638847899997</v>
      </c>
      <c r="X17" s="111">
        <f t="shared" si="1"/>
        <v>274.01754126800006</v>
      </c>
      <c r="Y17" s="111">
        <f t="shared" si="1"/>
        <v>16.345593000000001</v>
      </c>
      <c r="Z17" s="112"/>
      <c r="AA17" s="111">
        <f t="shared" ref="AA17:AL17" si="2">+SUMIF($F$24:$F$89,"External",AA$24:AA$89)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+SUMIF($F$24:$F$89,"Group",$J$24:$J$89)</f>
        <v>146.02100120399999</v>
      </c>
      <c r="K18" s="113">
        <f>+SUMIF($F$24:$F$89,"Group",$K$24:$K$89)</f>
        <v>146.02100120399999</v>
      </c>
      <c r="L18" s="114">
        <f>SUMIF($F$24:$F$89,"Group",$L$24:$L$89)</f>
        <v>0</v>
      </c>
      <c r="M18" s="110"/>
      <c r="N18" s="114">
        <f t="shared" ref="N18:Y18" si="3">+SUMIF($F$24:$F$89,"Group",N$24:N$89)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116.27764151099998</v>
      </c>
      <c r="U18" s="114">
        <f t="shared" si="3"/>
        <v>29.743359692999999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+SUMIF($F$24:$F$89,"Group",AA$24:AA$89)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3233.1982481830005</v>
      </c>
      <c r="K19" s="115">
        <f>SUM(K17:K18)</f>
        <v>3233.1982481830005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654.46946528300009</v>
      </c>
      <c r="U19" s="116">
        <f t="shared" si="5"/>
        <v>1175.7851865799998</v>
      </c>
      <c r="V19" s="116">
        <f t="shared" si="5"/>
        <v>965.59407357300017</v>
      </c>
      <c r="W19" s="116">
        <f t="shared" si="5"/>
        <v>146.98638847899997</v>
      </c>
      <c r="X19" s="116">
        <f t="shared" si="5"/>
        <v>274.01754126800006</v>
      </c>
      <c r="Y19" s="116">
        <f t="shared" si="5"/>
        <v>16.345593000000001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557</v>
      </c>
      <c r="F24" s="7" t="s">
        <v>19</v>
      </c>
      <c r="G24" s="6" t="s">
        <v>561</v>
      </c>
      <c r="H24" s="187" t="s">
        <v>559</v>
      </c>
      <c r="I24" s="187" t="s">
        <v>472</v>
      </c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>
        <v>0</v>
      </c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7" t="s">
        <v>19</v>
      </c>
      <c r="G25" s="6" t="s">
        <v>239</v>
      </c>
      <c r="H25" s="188" t="s">
        <v>278</v>
      </c>
      <c r="I25" s="188" t="s">
        <v>466</v>
      </c>
      <c r="J25" s="118">
        <f t="shared" ref="J25:J89" si="10">+K25+L25</f>
        <v>9.4273410379999998</v>
      </c>
      <c r="K25" s="119">
        <f t="shared" ref="K25:K89" si="11">SUM(N25:Y25)</f>
        <v>9.4273410379999998</v>
      </c>
      <c r="L25" s="119">
        <f t="shared" ref="L25:L89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>
        <v>7.7724808190000001</v>
      </c>
      <c r="X25" s="24">
        <v>1.6548602190000001</v>
      </c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188" t="s">
        <v>277</v>
      </c>
      <c r="I26" s="188" t="s">
        <v>466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>
        <v>8.2520863759999994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567</v>
      </c>
      <c r="F27" s="7" t="s">
        <v>19</v>
      </c>
      <c r="G27" s="6" t="s">
        <v>529</v>
      </c>
      <c r="H27" s="188" t="s">
        <v>530</v>
      </c>
      <c r="I27" s="188" t="s">
        <v>472</v>
      </c>
      <c r="J27" s="118">
        <f t="shared" si="10"/>
        <v>254.34034446400003</v>
      </c>
      <c r="K27" s="119">
        <f t="shared" si="11"/>
        <v>254.34034446400003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254.34034446400003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470</v>
      </c>
      <c r="F28" s="7" t="s">
        <v>19</v>
      </c>
      <c r="G28" s="6" t="s">
        <v>279</v>
      </c>
      <c r="H28" s="188" t="s">
        <v>280</v>
      </c>
      <c r="I28" s="188" t="s">
        <v>472</v>
      </c>
      <c r="J28" s="118">
        <f t="shared" si="10"/>
        <v>341.04746650600009</v>
      </c>
      <c r="K28" s="119">
        <f t="shared" si="11"/>
        <v>341.04746650600009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>
        <v>192.89139951200005</v>
      </c>
      <c r="V28" s="24"/>
      <c r="W28" s="24"/>
      <c r="X28" s="24">
        <v>148.15606699400001</v>
      </c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189" t="s">
        <v>283</v>
      </c>
      <c r="I29" s="189" t="s">
        <v>466</v>
      </c>
      <c r="J29" s="118">
        <f t="shared" si="10"/>
        <v>0.69174142800000005</v>
      </c>
      <c r="K29" s="119">
        <f t="shared" si="11"/>
        <v>0.69174142800000005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>
        <v>0.69174142800000005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7" t="s">
        <v>19</v>
      </c>
      <c r="G30" s="6" t="s">
        <v>282</v>
      </c>
      <c r="H30" s="190" t="s">
        <v>283</v>
      </c>
      <c r="I30" s="190" t="s">
        <v>472</v>
      </c>
      <c r="J30" s="118">
        <f t="shared" si="10"/>
        <v>23.295192105999998</v>
      </c>
      <c r="K30" s="119">
        <f t="shared" si="11"/>
        <v>23.295192105999998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>
        <v>23.295192105999998</v>
      </c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7" t="s">
        <v>19</v>
      </c>
      <c r="G31" s="6" t="s">
        <v>493</v>
      </c>
      <c r="H31" s="190" t="s">
        <v>339</v>
      </c>
      <c r="I31" s="190" t="s">
        <v>472</v>
      </c>
      <c r="J31" s="118">
        <f t="shared" si="10"/>
        <v>7.1480440739999995</v>
      </c>
      <c r="K31" s="119">
        <f t="shared" si="11"/>
        <v>7.1480440739999995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>
        <v>7.1480440739999995</v>
      </c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446</v>
      </c>
      <c r="F32" s="7" t="s">
        <v>19</v>
      </c>
      <c r="G32" s="6" t="s">
        <v>285</v>
      </c>
      <c r="H32" s="190" t="s">
        <v>286</v>
      </c>
      <c r="I32" s="190" t="s">
        <v>472</v>
      </c>
      <c r="J32" s="118">
        <f t="shared" si="10"/>
        <v>0.16328139</v>
      </c>
      <c r="K32" s="119">
        <f t="shared" si="11"/>
        <v>0.16328139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>
        <v>0.16328139</v>
      </c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473</v>
      </c>
      <c r="F33" s="7" t="s">
        <v>17</v>
      </c>
      <c r="G33" s="6" t="s">
        <v>493</v>
      </c>
      <c r="H33" s="190" t="s">
        <v>339</v>
      </c>
      <c r="I33" s="190" t="s">
        <v>472</v>
      </c>
      <c r="J33" s="118">
        <f t="shared" si="10"/>
        <v>146.02100120399999</v>
      </c>
      <c r="K33" s="119">
        <f t="shared" si="11"/>
        <v>146.02100120399999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>
        <v>116.27764151099998</v>
      </c>
      <c r="U33" s="24">
        <v>29.743359692999999</v>
      </c>
      <c r="V33" s="24"/>
      <c r="W33" s="24"/>
      <c r="X33" s="24"/>
      <c r="Y33" s="24"/>
    </row>
    <row r="34" spans="5:25">
      <c r="E34" s="6" t="s">
        <v>473</v>
      </c>
      <c r="F34" s="7" t="s">
        <v>17</v>
      </c>
      <c r="G34" s="6" t="s">
        <v>508</v>
      </c>
      <c r="H34" s="190" t="s">
        <v>319</v>
      </c>
      <c r="I34" s="190" t="s">
        <v>472</v>
      </c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>
        <v>0</v>
      </c>
      <c r="U34" s="24"/>
      <c r="V34" s="24"/>
      <c r="W34" s="24"/>
      <c r="X34" s="24"/>
      <c r="Y34" s="24"/>
    </row>
    <row r="35" spans="5:25">
      <c r="E35" s="6" t="s">
        <v>474</v>
      </c>
      <c r="F35" s="7" t="s">
        <v>19</v>
      </c>
      <c r="G35" s="6" t="s">
        <v>279</v>
      </c>
      <c r="H35" s="190" t="s">
        <v>280</v>
      </c>
      <c r="I35" s="190" t="s">
        <v>472</v>
      </c>
      <c r="J35" s="118">
        <f t="shared" si="10"/>
        <v>114.986673357</v>
      </c>
      <c r="K35" s="119">
        <f t="shared" si="11"/>
        <v>114.986673357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>
        <v>114.986673357</v>
      </c>
      <c r="V35" s="24"/>
      <c r="W35" s="24"/>
      <c r="X35" s="24"/>
      <c r="Y35" s="24"/>
    </row>
    <row r="36" spans="5:25">
      <c r="E36" s="6" t="s">
        <v>476</v>
      </c>
      <c r="F36" s="7" t="s">
        <v>19</v>
      </c>
      <c r="G36" s="6" t="s">
        <v>447</v>
      </c>
      <c r="H36" s="190" t="s">
        <v>448</v>
      </c>
      <c r="I36" s="190" t="s">
        <v>466</v>
      </c>
      <c r="J36" s="118">
        <f t="shared" si="10"/>
        <v>32.456581699999994</v>
      </c>
      <c r="K36" s="119">
        <f t="shared" si="11"/>
        <v>32.456581699999994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>
        <v>13.276630099999998</v>
      </c>
      <c r="U36" s="24">
        <v>18.043204799999998</v>
      </c>
      <c r="V36" s="24">
        <v>1.1367468000000001</v>
      </c>
      <c r="W36" s="24"/>
      <c r="X36" s="24"/>
      <c r="Y36" s="24"/>
    </row>
    <row r="37" spans="5:25">
      <c r="E37" s="6" t="s">
        <v>476</v>
      </c>
      <c r="F37" s="7" t="s">
        <v>19</v>
      </c>
      <c r="G37" s="6" t="s">
        <v>247</v>
      </c>
      <c r="H37" s="190" t="s">
        <v>289</v>
      </c>
      <c r="I37" s="190" t="s">
        <v>466</v>
      </c>
      <c r="J37" s="118">
        <f t="shared" si="10"/>
        <v>108.93203364900003</v>
      </c>
      <c r="K37" s="119">
        <f t="shared" si="11"/>
        <v>108.93203364900003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>
        <v>8.3000716000000008</v>
      </c>
      <c r="U37" s="24">
        <v>49.743273918000007</v>
      </c>
      <c r="V37" s="24">
        <v>24.658688131000002</v>
      </c>
      <c r="W37" s="24">
        <v>11.99428</v>
      </c>
      <c r="X37" s="24">
        <v>7.1178600000000003</v>
      </c>
      <c r="Y37" s="24">
        <v>7.1178600000000003</v>
      </c>
    </row>
    <row r="38" spans="5:25">
      <c r="E38" s="6" t="s">
        <v>476</v>
      </c>
      <c r="F38" s="7" t="s">
        <v>19</v>
      </c>
      <c r="G38" s="6" t="s">
        <v>379</v>
      </c>
      <c r="H38" s="190" t="s">
        <v>291</v>
      </c>
      <c r="I38" s="190" t="s">
        <v>466</v>
      </c>
      <c r="J38" s="118">
        <f t="shared" si="10"/>
        <v>55.805043584000003</v>
      </c>
      <c r="K38" s="119">
        <f t="shared" si="11"/>
        <v>55.805043584000003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>
        <v>0.10414138000000001</v>
      </c>
      <c r="U38" s="24">
        <v>16.333292195000002</v>
      </c>
      <c r="V38" s="24">
        <v>25.131890008999999</v>
      </c>
      <c r="W38" s="24">
        <v>7.1178600000000003</v>
      </c>
      <c r="X38" s="24">
        <v>7.1178600000000003</v>
      </c>
      <c r="Y38" s="24"/>
    </row>
    <row r="39" spans="5:25">
      <c r="E39" s="6" t="s">
        <v>476</v>
      </c>
      <c r="F39" s="7" t="s">
        <v>19</v>
      </c>
      <c r="G39" s="6" t="s">
        <v>378</v>
      </c>
      <c r="H39" s="190" t="s">
        <v>290</v>
      </c>
      <c r="I39" s="190" t="s">
        <v>466</v>
      </c>
      <c r="J39" s="118">
        <f t="shared" si="10"/>
        <v>49.819681207000016</v>
      </c>
      <c r="K39" s="119">
        <f t="shared" si="11"/>
        <v>49.819681207000016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>
        <v>11.213010438000017</v>
      </c>
      <c r="U39" s="24">
        <v>30.613494068999998</v>
      </c>
      <c r="V39" s="24">
        <v>3.5018420999999997</v>
      </c>
      <c r="W39" s="24">
        <v>4.4913346000000001</v>
      </c>
      <c r="X39" s="24"/>
      <c r="Y39" s="24"/>
    </row>
    <row r="40" spans="5:25">
      <c r="E40" s="6" t="s">
        <v>476</v>
      </c>
      <c r="F40" s="7" t="s">
        <v>19</v>
      </c>
      <c r="G40" s="6" t="s">
        <v>454</v>
      </c>
      <c r="H40" s="190" t="s">
        <v>292</v>
      </c>
      <c r="I40" s="190" t="s">
        <v>466</v>
      </c>
      <c r="J40" s="118">
        <f t="shared" si="10"/>
        <v>100.382309611</v>
      </c>
      <c r="K40" s="119">
        <f t="shared" si="11"/>
        <v>100.382309611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>
        <v>8.221149500000001</v>
      </c>
      <c r="U40" s="24">
        <v>29.078799510999996</v>
      </c>
      <c r="V40" s="24">
        <v>7.2454200000000002</v>
      </c>
      <c r="W40" s="24">
        <v>34.100680599999997</v>
      </c>
      <c r="X40" s="24">
        <v>14.49084</v>
      </c>
      <c r="Y40" s="24">
        <v>7.2454200000000002</v>
      </c>
    </row>
    <row r="41" spans="5:25">
      <c r="E41" s="6" t="s">
        <v>476</v>
      </c>
      <c r="F41" s="7" t="s">
        <v>19</v>
      </c>
      <c r="G41" s="6" t="s">
        <v>293</v>
      </c>
      <c r="H41" s="190" t="s">
        <v>294</v>
      </c>
      <c r="I41" s="190" t="s">
        <v>466</v>
      </c>
      <c r="J41" s="118">
        <f t="shared" si="10"/>
        <v>6.2158167140000007</v>
      </c>
      <c r="K41" s="119">
        <f t="shared" si="11"/>
        <v>6.2158167140000007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>
        <v>7.5539999999999996E-2</v>
      </c>
      <c r="U41" s="24">
        <v>0.19333771399999999</v>
      </c>
      <c r="V41" s="24"/>
      <c r="W41" s="24"/>
      <c r="X41" s="24">
        <v>3.964626</v>
      </c>
      <c r="Y41" s="24">
        <v>1.982313</v>
      </c>
    </row>
    <row r="42" spans="5:25">
      <c r="E42" s="6" t="s">
        <v>476</v>
      </c>
      <c r="F42" s="7" t="s">
        <v>19</v>
      </c>
      <c r="G42" s="6" t="s">
        <v>252</v>
      </c>
      <c r="H42" s="190" t="s">
        <v>295</v>
      </c>
      <c r="I42" s="190" t="s">
        <v>466</v>
      </c>
      <c r="J42" s="118">
        <f t="shared" si="10"/>
        <v>46.128858932000007</v>
      </c>
      <c r="K42" s="119">
        <f t="shared" si="11"/>
        <v>46.128858932000007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>
        <v>30.429061732000001</v>
      </c>
      <c r="U42" s="24">
        <v>15.342297200000004</v>
      </c>
      <c r="V42" s="24"/>
      <c r="W42" s="24">
        <v>0.35749999999999998</v>
      </c>
      <c r="X42" s="24"/>
      <c r="Y42" s="24"/>
    </row>
    <row r="43" spans="5:25">
      <c r="E43" s="6" t="s">
        <v>476</v>
      </c>
      <c r="F43" s="7" t="s">
        <v>19</v>
      </c>
      <c r="G43" s="6" t="s">
        <v>245</v>
      </c>
      <c r="H43" s="190" t="s">
        <v>288</v>
      </c>
      <c r="I43" s="190" t="s">
        <v>466</v>
      </c>
      <c r="J43" s="118">
        <f t="shared" si="10"/>
        <v>3.4210771019999999</v>
      </c>
      <c r="K43" s="119">
        <f t="shared" si="11"/>
        <v>3.4210771019999999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>
        <v>1.842263744</v>
      </c>
      <c r="V43" s="24">
        <v>1.5788133580000001</v>
      </c>
      <c r="W43" s="24"/>
      <c r="X43" s="24"/>
      <c r="Y43" s="24"/>
    </row>
    <row r="44" spans="5:25">
      <c r="E44" s="6" t="s">
        <v>477</v>
      </c>
      <c r="F44" s="7" t="s">
        <v>19</v>
      </c>
      <c r="G44" s="6" t="s">
        <v>454</v>
      </c>
      <c r="H44" s="190" t="s">
        <v>292</v>
      </c>
      <c r="I44" s="190" t="s">
        <v>466</v>
      </c>
      <c r="J44" s="118">
        <f t="shared" si="10"/>
        <v>10.006058019999999</v>
      </c>
      <c r="K44" s="119">
        <f t="shared" si="11"/>
        <v>10.006058019999999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10.006058019999999</v>
      </c>
      <c r="W44" s="24"/>
      <c r="X44" s="24"/>
      <c r="Y44" s="24"/>
    </row>
    <row r="45" spans="5:25">
      <c r="E45" s="6" t="s">
        <v>417</v>
      </c>
      <c r="F45" s="7" t="s">
        <v>19</v>
      </c>
      <c r="G45" s="6" t="s">
        <v>282</v>
      </c>
      <c r="H45" s="190" t="s">
        <v>283</v>
      </c>
      <c r="I45" s="190" t="s">
        <v>466</v>
      </c>
      <c r="J45" s="118">
        <f t="shared" si="10"/>
        <v>1.9666872719999999</v>
      </c>
      <c r="K45" s="119">
        <f t="shared" si="11"/>
        <v>1.9666872719999999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>
        <v>1.9666872719999999</v>
      </c>
      <c r="V45" s="24"/>
      <c r="W45" s="24"/>
      <c r="X45" s="24"/>
      <c r="Y45" s="24"/>
    </row>
    <row r="46" spans="5:25">
      <c r="E46" s="6" t="s">
        <v>417</v>
      </c>
      <c r="F46" s="7" t="s">
        <v>19</v>
      </c>
      <c r="G46" s="6" t="s">
        <v>500</v>
      </c>
      <c r="H46" s="190" t="s">
        <v>305</v>
      </c>
      <c r="I46" s="190" t="s">
        <v>472</v>
      </c>
      <c r="J46" s="118">
        <f t="shared" si="10"/>
        <v>19.768845337000002</v>
      </c>
      <c r="K46" s="119">
        <f t="shared" si="11"/>
        <v>19.768845337000002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>
        <v>19.768845337000002</v>
      </c>
      <c r="V46" s="24"/>
      <c r="W46" s="24"/>
      <c r="X46" s="24"/>
      <c r="Y46" s="24"/>
    </row>
    <row r="47" spans="5:25">
      <c r="E47" s="6" t="s">
        <v>479</v>
      </c>
      <c r="F47" s="7" t="s">
        <v>19</v>
      </c>
      <c r="G47" s="6" t="s">
        <v>494</v>
      </c>
      <c r="H47" s="190" t="s">
        <v>299</v>
      </c>
      <c r="I47" s="190" t="s">
        <v>466</v>
      </c>
      <c r="J47" s="118">
        <f t="shared" si="10"/>
        <v>9.2529533999999997E-2</v>
      </c>
      <c r="K47" s="119">
        <f t="shared" si="11"/>
        <v>9.2529533999999997E-2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>
        <v>0</v>
      </c>
      <c r="U47" s="24">
        <v>9.2529533999999997E-2</v>
      </c>
      <c r="V47" s="24"/>
      <c r="W47" s="24"/>
      <c r="X47" s="24"/>
      <c r="Y47" s="24"/>
    </row>
    <row r="48" spans="5:25">
      <c r="E48" s="6" t="s">
        <v>450</v>
      </c>
      <c r="F48" s="7" t="s">
        <v>19</v>
      </c>
      <c r="G48" s="6" t="s">
        <v>282</v>
      </c>
      <c r="H48" s="190" t="s">
        <v>283</v>
      </c>
      <c r="I48" s="190" t="s">
        <v>466</v>
      </c>
      <c r="J48" s="118">
        <f t="shared" si="10"/>
        <v>3.2547774719999998</v>
      </c>
      <c r="K48" s="119">
        <f t="shared" si="11"/>
        <v>3.2547774719999998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>
        <v>1.3230108760000001</v>
      </c>
      <c r="U48" s="24">
        <v>1.7692252959999997</v>
      </c>
      <c r="V48" s="24">
        <v>0.1625413</v>
      </c>
      <c r="W48" s="24"/>
      <c r="X48" s="24"/>
      <c r="Y48" s="24"/>
    </row>
    <row r="49" spans="5:25">
      <c r="E49" s="6" t="s">
        <v>450</v>
      </c>
      <c r="F49" s="7" t="s">
        <v>19</v>
      </c>
      <c r="G49" s="6" t="s">
        <v>282</v>
      </c>
      <c r="H49" s="190" t="s">
        <v>283</v>
      </c>
      <c r="I49" s="190" t="s">
        <v>472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>
        <v>0</v>
      </c>
      <c r="V49" s="24"/>
      <c r="W49" s="24"/>
      <c r="X49" s="24"/>
      <c r="Y49" s="24"/>
    </row>
    <row r="50" spans="5:25">
      <c r="E50" s="6" t="s">
        <v>450</v>
      </c>
      <c r="F50" s="7" t="s">
        <v>19</v>
      </c>
      <c r="G50" s="6" t="s">
        <v>500</v>
      </c>
      <c r="H50" s="190" t="s">
        <v>305</v>
      </c>
      <c r="I50" s="190" t="s">
        <v>466</v>
      </c>
      <c r="J50" s="118">
        <f t="shared" si="10"/>
        <v>3.3595952690000006</v>
      </c>
      <c r="K50" s="119">
        <f t="shared" si="11"/>
        <v>3.3595952690000006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>
        <v>3.1510189200000003</v>
      </c>
      <c r="U50" s="24">
        <v>0.19253288799999999</v>
      </c>
      <c r="V50" s="24">
        <v>1.6043460999999998E-2</v>
      </c>
      <c r="W50" s="24"/>
      <c r="X50" s="24"/>
      <c r="Y50" s="24"/>
    </row>
    <row r="51" spans="5:25">
      <c r="E51" s="6" t="s">
        <v>450</v>
      </c>
      <c r="F51" s="7" t="s">
        <v>19</v>
      </c>
      <c r="G51" s="6" t="s">
        <v>500</v>
      </c>
      <c r="H51" s="190" t="s">
        <v>305</v>
      </c>
      <c r="I51" s="190" t="s">
        <v>472</v>
      </c>
      <c r="J51" s="118">
        <f t="shared" si="10"/>
        <v>50.432695994999989</v>
      </c>
      <c r="K51" s="119">
        <f t="shared" si="11"/>
        <v>50.432695994999989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>
        <v>7.2930836369999996</v>
      </c>
      <c r="U51" s="24">
        <v>41.810818569999988</v>
      </c>
      <c r="V51" s="24">
        <v>1.328793788</v>
      </c>
      <c r="W51" s="24"/>
      <c r="X51" s="24"/>
      <c r="Y51" s="24"/>
    </row>
    <row r="52" spans="5:25">
      <c r="E52" s="6" t="s">
        <v>450</v>
      </c>
      <c r="F52" s="7" t="s">
        <v>19</v>
      </c>
      <c r="G52" s="6" t="s">
        <v>256</v>
      </c>
      <c r="H52" s="190" t="s">
        <v>303</v>
      </c>
      <c r="I52" s="190" t="s">
        <v>466</v>
      </c>
      <c r="J52" s="118">
        <f t="shared" si="10"/>
        <v>199.17692360300012</v>
      </c>
      <c r="K52" s="119">
        <f t="shared" si="11"/>
        <v>199.17692360300012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>
        <v>15.692344567000015</v>
      </c>
      <c r="U52" s="24">
        <v>59.293113391000013</v>
      </c>
      <c r="V52" s="24">
        <v>124.19146564500009</v>
      </c>
      <c r="W52" s="24"/>
      <c r="X52" s="24"/>
      <c r="Y52" s="24"/>
    </row>
    <row r="53" spans="5:25">
      <c r="E53" s="6" t="s">
        <v>549</v>
      </c>
      <c r="F53" s="7" t="s">
        <v>19</v>
      </c>
      <c r="G53" s="6" t="s">
        <v>441</v>
      </c>
      <c r="H53" s="190" t="s">
        <v>481</v>
      </c>
      <c r="I53" s="190" t="s">
        <v>466</v>
      </c>
      <c r="J53" s="118">
        <f t="shared" si="10"/>
        <v>626.26502419999997</v>
      </c>
      <c r="K53" s="119">
        <f t="shared" si="11"/>
        <v>626.26502419999997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>
        <v>197</v>
      </c>
      <c r="U53" s="24">
        <v>261</v>
      </c>
      <c r="V53" s="24">
        <v>87.112771739999985</v>
      </c>
      <c r="W53" s="24">
        <v>81.152252459999985</v>
      </c>
      <c r="X53" s="24"/>
      <c r="Y53" s="24"/>
    </row>
    <row r="54" spans="5:25">
      <c r="E54" s="6" t="s">
        <v>482</v>
      </c>
      <c r="F54" s="7" t="s">
        <v>19</v>
      </c>
      <c r="G54" s="6" t="s">
        <v>258</v>
      </c>
      <c r="H54" s="190" t="s">
        <v>306</v>
      </c>
      <c r="I54" s="190" t="s">
        <v>466</v>
      </c>
      <c r="J54" s="118">
        <f t="shared" si="10"/>
        <v>17.503749472999999</v>
      </c>
      <c r="K54" s="119">
        <f t="shared" si="11"/>
        <v>17.503749472999999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>
        <v>5.6337094800000003</v>
      </c>
      <c r="U54" s="24">
        <v>11.870039993000001</v>
      </c>
      <c r="V54" s="24"/>
      <c r="W54" s="24"/>
      <c r="X54" s="24"/>
      <c r="Y54" s="24"/>
    </row>
    <row r="55" spans="5:25">
      <c r="E55" s="6" t="s">
        <v>509</v>
      </c>
      <c r="F55" s="7" t="s">
        <v>19</v>
      </c>
      <c r="G55" s="6" t="s">
        <v>447</v>
      </c>
      <c r="H55" s="190" t="s">
        <v>448</v>
      </c>
      <c r="I55" s="190" t="s">
        <v>466</v>
      </c>
      <c r="J55" s="118">
        <f t="shared" si="10"/>
        <v>15.330196200999996</v>
      </c>
      <c r="K55" s="119">
        <f t="shared" si="11"/>
        <v>15.330196200999996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>
        <v>15.330196200999996</v>
      </c>
      <c r="U55" s="24"/>
      <c r="V55" s="24"/>
      <c r="W55" s="24"/>
      <c r="X55" s="24"/>
      <c r="Y55" s="24"/>
    </row>
    <row r="56" spans="5:25">
      <c r="E56" s="6" t="s">
        <v>509</v>
      </c>
      <c r="F56" s="7" t="s">
        <v>19</v>
      </c>
      <c r="G56" s="6" t="s">
        <v>247</v>
      </c>
      <c r="H56" s="190" t="s">
        <v>289</v>
      </c>
      <c r="I56" s="190" t="s">
        <v>466</v>
      </c>
      <c r="J56" s="118">
        <f t="shared" si="10"/>
        <v>2.3907126999999999</v>
      </c>
      <c r="K56" s="119">
        <f t="shared" si="11"/>
        <v>2.3907126999999999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>
        <v>2.3907126999999999</v>
      </c>
      <c r="U56" s="24"/>
      <c r="V56" s="24"/>
      <c r="W56" s="24"/>
      <c r="X56" s="24"/>
      <c r="Y56" s="24"/>
    </row>
    <row r="57" spans="5:25">
      <c r="E57" s="6" t="s">
        <v>509</v>
      </c>
      <c r="F57" s="7" t="s">
        <v>19</v>
      </c>
      <c r="G57" s="6" t="s">
        <v>379</v>
      </c>
      <c r="H57" s="190" t="s">
        <v>291</v>
      </c>
      <c r="I57" s="190" t="s">
        <v>466</v>
      </c>
      <c r="J57" s="118">
        <f t="shared" si="10"/>
        <v>10.401400381</v>
      </c>
      <c r="K57" s="119">
        <f t="shared" si="11"/>
        <v>10.401400381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>
        <v>10.401400381</v>
      </c>
      <c r="U57" s="24"/>
      <c r="V57" s="24"/>
      <c r="W57" s="24"/>
      <c r="X57" s="24"/>
      <c r="Y57" s="24"/>
    </row>
    <row r="58" spans="5:25">
      <c r="E58" s="6" t="s">
        <v>509</v>
      </c>
      <c r="F58" s="7" t="s">
        <v>19</v>
      </c>
      <c r="G58" s="6" t="s">
        <v>454</v>
      </c>
      <c r="H58" s="190" t="s">
        <v>292</v>
      </c>
      <c r="I58" s="190" t="s">
        <v>466</v>
      </c>
      <c r="J58" s="118">
        <f t="shared" si="10"/>
        <v>9.7359303359999991</v>
      </c>
      <c r="K58" s="119">
        <f t="shared" si="11"/>
        <v>9.7359303359999991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>
        <v>9.7359303359999991</v>
      </c>
      <c r="U58" s="24"/>
      <c r="V58" s="24"/>
      <c r="W58" s="24"/>
      <c r="X58" s="24"/>
      <c r="Y58" s="24"/>
    </row>
    <row r="59" spans="5:25">
      <c r="E59" s="6" t="s">
        <v>509</v>
      </c>
      <c r="F59" s="7" t="s">
        <v>19</v>
      </c>
      <c r="G59" s="6" t="s">
        <v>293</v>
      </c>
      <c r="H59" s="190" t="s">
        <v>294</v>
      </c>
      <c r="I59" s="190" t="s">
        <v>466</v>
      </c>
      <c r="J59" s="118">
        <f t="shared" si="10"/>
        <v>3.8862866359999995</v>
      </c>
      <c r="K59" s="119">
        <f t="shared" si="11"/>
        <v>3.8862866359999995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>
        <v>3.8862866359999995</v>
      </c>
      <c r="U59" s="24"/>
      <c r="V59" s="24"/>
      <c r="W59" s="24"/>
      <c r="X59" s="24"/>
      <c r="Y59" s="24"/>
    </row>
    <row r="60" spans="5:25">
      <c r="E60" s="6" t="s">
        <v>483</v>
      </c>
      <c r="F60" s="7" t="s">
        <v>19</v>
      </c>
      <c r="G60" s="6" t="s">
        <v>258</v>
      </c>
      <c r="H60" s="190" t="s">
        <v>306</v>
      </c>
      <c r="I60" s="190" t="s">
        <v>466</v>
      </c>
      <c r="J60" s="118">
        <f t="shared" si="10"/>
        <v>33.324352172000005</v>
      </c>
      <c r="K60" s="119">
        <f t="shared" si="11"/>
        <v>33.324352172000005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>
        <v>4.6508454009999998</v>
      </c>
      <c r="U60" s="24">
        <v>28.673506771000003</v>
      </c>
      <c r="V60" s="24"/>
      <c r="W60" s="24"/>
      <c r="X60" s="24"/>
      <c r="Y60" s="24"/>
    </row>
    <row r="61" spans="5:25">
      <c r="E61" s="6" t="s">
        <v>484</v>
      </c>
      <c r="F61" s="7" t="s">
        <v>19</v>
      </c>
      <c r="G61" s="6" t="s">
        <v>264</v>
      </c>
      <c r="H61" s="190" t="s">
        <v>310</v>
      </c>
      <c r="I61" s="190" t="s">
        <v>472</v>
      </c>
      <c r="J61" s="118">
        <f t="shared" si="10"/>
        <v>0.110184352</v>
      </c>
      <c r="K61" s="119">
        <f t="shared" si="11"/>
        <v>0.110184352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>
        <v>0.110184352</v>
      </c>
      <c r="Y61" s="24"/>
    </row>
    <row r="62" spans="5:25">
      <c r="E62" s="6" t="s">
        <v>484</v>
      </c>
      <c r="F62" s="7" t="s">
        <v>19</v>
      </c>
      <c r="G62" s="6" t="s">
        <v>500</v>
      </c>
      <c r="H62" s="190" t="s">
        <v>305</v>
      </c>
      <c r="I62" s="190" t="s">
        <v>472</v>
      </c>
      <c r="J62" s="118">
        <f t="shared" si="10"/>
        <v>53.278013522000002</v>
      </c>
      <c r="K62" s="119">
        <f t="shared" si="11"/>
        <v>53.278013522000002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>
        <v>53.278013522000002</v>
      </c>
      <c r="Y62" s="24"/>
    </row>
    <row r="63" spans="5:25">
      <c r="E63" s="6" t="s">
        <v>484</v>
      </c>
      <c r="F63" s="7" t="s">
        <v>19</v>
      </c>
      <c r="G63" s="6" t="s">
        <v>503</v>
      </c>
      <c r="H63" s="190" t="s">
        <v>311</v>
      </c>
      <c r="I63" s="190" t="s">
        <v>472</v>
      </c>
      <c r="J63" s="118">
        <f t="shared" si="10"/>
        <v>1.173521574</v>
      </c>
      <c r="K63" s="119">
        <f t="shared" si="11"/>
        <v>1.173521574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>
        <v>1.173521574</v>
      </c>
      <c r="Y63" s="24"/>
    </row>
    <row r="64" spans="5:25">
      <c r="E64" s="6" t="s">
        <v>484</v>
      </c>
      <c r="F64" s="7" t="s">
        <v>19</v>
      </c>
      <c r="G64" s="6" t="s">
        <v>454</v>
      </c>
      <c r="H64" s="190" t="s">
        <v>292</v>
      </c>
      <c r="I64" s="190" t="s">
        <v>472</v>
      </c>
      <c r="J64" s="118">
        <f t="shared" si="10"/>
        <v>7.5711713750000005</v>
      </c>
      <c r="K64" s="119">
        <f t="shared" si="11"/>
        <v>7.5711713750000005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>
        <v>7.5711713750000005</v>
      </c>
      <c r="Y64" s="24"/>
    </row>
    <row r="65" spans="5:25">
      <c r="E65" s="6" t="s">
        <v>484</v>
      </c>
      <c r="F65" s="7" t="s">
        <v>19</v>
      </c>
      <c r="G65" s="6" t="s">
        <v>370</v>
      </c>
      <c r="H65" s="190" t="s">
        <v>308</v>
      </c>
      <c r="I65" s="190" t="s">
        <v>472</v>
      </c>
      <c r="J65" s="118">
        <f t="shared" si="10"/>
        <v>29.382537231999997</v>
      </c>
      <c r="K65" s="119">
        <f t="shared" si="11"/>
        <v>29.382537231999997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29.382537231999997</v>
      </c>
      <c r="Y65" s="24"/>
    </row>
    <row r="66" spans="5:25">
      <c r="E66" s="6" t="s">
        <v>451</v>
      </c>
      <c r="F66" s="7" t="s">
        <v>19</v>
      </c>
      <c r="G66" s="6" t="s">
        <v>504</v>
      </c>
      <c r="H66" s="190" t="s">
        <v>307</v>
      </c>
      <c r="I66" s="190" t="s">
        <v>466</v>
      </c>
      <c r="J66" s="118">
        <f t="shared" si="10"/>
        <v>18.992745670000001</v>
      </c>
      <c r="K66" s="119">
        <f t="shared" si="11"/>
        <v>18.992745670000001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>
        <v>18.992745670000001</v>
      </c>
      <c r="V66" s="24"/>
      <c r="W66" s="24"/>
      <c r="X66" s="24"/>
      <c r="Y66" s="24"/>
    </row>
    <row r="67" spans="5:25">
      <c r="E67" s="6" t="s">
        <v>451</v>
      </c>
      <c r="F67" s="7" t="s">
        <v>19</v>
      </c>
      <c r="G67" s="6" t="s">
        <v>370</v>
      </c>
      <c r="H67" s="190" t="s">
        <v>308</v>
      </c>
      <c r="I67" s="190" t="s">
        <v>466</v>
      </c>
      <c r="J67" s="118">
        <f t="shared" si="10"/>
        <v>2.1636036089999999</v>
      </c>
      <c r="K67" s="119">
        <f t="shared" si="11"/>
        <v>2.1636036089999999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>
        <v>2.1636036089999999</v>
      </c>
      <c r="V67" s="24"/>
      <c r="W67" s="24"/>
      <c r="X67" s="24"/>
      <c r="Y67" s="24"/>
    </row>
    <row r="68" spans="5:25">
      <c r="E68" s="6" t="s">
        <v>451</v>
      </c>
      <c r="F68" s="7" t="s">
        <v>19</v>
      </c>
      <c r="G68" s="6" t="s">
        <v>370</v>
      </c>
      <c r="H68" s="190" t="s">
        <v>308</v>
      </c>
      <c r="I68" s="190" t="s">
        <v>472</v>
      </c>
      <c r="J68" s="118">
        <f t="shared" si="10"/>
        <v>1.192590007</v>
      </c>
      <c r="K68" s="119">
        <f t="shared" si="11"/>
        <v>1.192590007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>
        <v>1.192590007</v>
      </c>
      <c r="V68" s="24"/>
      <c r="W68" s="24"/>
      <c r="X68" s="24"/>
      <c r="Y68" s="24"/>
    </row>
    <row r="69" spans="5:25">
      <c r="E69" s="6" t="s">
        <v>485</v>
      </c>
      <c r="F69" s="7" t="s">
        <v>19</v>
      </c>
      <c r="G69" s="6" t="s">
        <v>529</v>
      </c>
      <c r="H69" s="190" t="s">
        <v>530</v>
      </c>
      <c r="I69" s="190" t="s">
        <v>472</v>
      </c>
      <c r="J69" s="118">
        <f t="shared" si="10"/>
        <v>296</v>
      </c>
      <c r="K69" s="119">
        <f t="shared" si="11"/>
        <v>296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>
        <v>296</v>
      </c>
      <c r="W69" s="24"/>
      <c r="X69" s="24"/>
      <c r="Y69" s="24"/>
    </row>
    <row r="70" spans="5:25">
      <c r="E70" s="6" t="s">
        <v>268</v>
      </c>
      <c r="F70" s="7" t="s">
        <v>19</v>
      </c>
      <c r="G70" s="6" t="s">
        <v>374</v>
      </c>
      <c r="H70" s="190" t="s">
        <v>317</v>
      </c>
      <c r="I70" s="190" t="s">
        <v>466</v>
      </c>
      <c r="J70" s="118">
        <f t="shared" si="10"/>
        <v>5.4767254580000007</v>
      </c>
      <c r="K70" s="119">
        <f t="shared" si="11"/>
        <v>5.4767254580000007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>
        <v>4.7581728390000002</v>
      </c>
      <c r="U70" s="24">
        <v>0.71855261900000011</v>
      </c>
      <c r="V70" s="24"/>
      <c r="W70" s="24"/>
      <c r="X70" s="24"/>
      <c r="Y70" s="24"/>
    </row>
    <row r="71" spans="5:25">
      <c r="E71" s="6" t="s">
        <v>489</v>
      </c>
      <c r="F71" s="7" t="s">
        <v>19</v>
      </c>
      <c r="G71" s="6" t="s">
        <v>379</v>
      </c>
      <c r="H71" s="190" t="s">
        <v>291</v>
      </c>
      <c r="I71" s="190" t="s">
        <v>466</v>
      </c>
      <c r="J71" s="118">
        <f t="shared" ref="J71" si="13">+K71+L71</f>
        <v>7.6481220790000002</v>
      </c>
      <c r="K71" s="119">
        <f t="shared" ref="K71" si="14">SUM(N71:Y71)</f>
        <v>7.6481220790000002</v>
      </c>
      <c r="L71" s="119">
        <f t="shared" ref="L71" si="15">SUM(AA71:AL71)</f>
        <v>0</v>
      </c>
      <c r="N71" s="24"/>
      <c r="O71" s="24"/>
      <c r="P71" s="24"/>
      <c r="Q71" s="24"/>
      <c r="R71" s="24"/>
      <c r="S71" s="24"/>
      <c r="T71" s="24">
        <v>7.6481220790000002</v>
      </c>
      <c r="U71" s="24"/>
      <c r="V71" s="24"/>
      <c r="W71" s="24"/>
      <c r="X71" s="24"/>
      <c r="Y71" s="24"/>
    </row>
    <row r="72" spans="5:25">
      <c r="E72" s="6" t="s">
        <v>534</v>
      </c>
      <c r="F72" s="7" t="s">
        <v>19</v>
      </c>
      <c r="G72" s="6" t="s">
        <v>537</v>
      </c>
      <c r="H72" s="190" t="s">
        <v>538</v>
      </c>
      <c r="I72" s="190" t="s">
        <v>472</v>
      </c>
      <c r="J72" s="118">
        <f t="shared" ref="J72" si="16">+K72+L72</f>
        <v>0.995192305</v>
      </c>
      <c r="K72" s="119">
        <f t="shared" ref="K72" si="17">SUM(N72:Y72)</f>
        <v>0.995192305</v>
      </c>
      <c r="L72" s="119">
        <f t="shared" ref="L72" si="18">SUM(AA72:AL72)</f>
        <v>0</v>
      </c>
      <c r="N72" s="24"/>
      <c r="O72" s="24"/>
      <c r="P72" s="24"/>
      <c r="Q72" s="24"/>
      <c r="R72" s="24"/>
      <c r="S72" s="24"/>
      <c r="T72" s="24">
        <v>0.995192305</v>
      </c>
      <c r="U72" s="24"/>
      <c r="V72" s="24"/>
      <c r="W72" s="24"/>
      <c r="X72" s="24"/>
      <c r="Y72" s="24"/>
    </row>
    <row r="73" spans="5:25">
      <c r="E73" s="6" t="s">
        <v>459</v>
      </c>
      <c r="F73" s="7" t="s">
        <v>19</v>
      </c>
      <c r="G73" s="6" t="s">
        <v>464</v>
      </c>
      <c r="H73" s="190" t="s">
        <v>461</v>
      </c>
      <c r="I73" s="190" t="s">
        <v>466</v>
      </c>
      <c r="J73" s="118">
        <f t="shared" ref="J73:J76" si="19">+K73+L73</f>
        <v>0.115</v>
      </c>
      <c r="K73" s="119">
        <f t="shared" ref="K73:K76" si="20">SUM(N73:Y73)</f>
        <v>0.115</v>
      </c>
      <c r="L73" s="119">
        <f t="shared" ref="L73:L76" si="21">SUM(AA73:AL73)</f>
        <v>0</v>
      </c>
      <c r="N73" s="24"/>
      <c r="O73" s="24"/>
      <c r="P73" s="24"/>
      <c r="Q73" s="24"/>
      <c r="R73" s="24"/>
      <c r="S73" s="24"/>
      <c r="T73" s="24">
        <v>0.115</v>
      </c>
      <c r="U73" s="24"/>
      <c r="V73" s="24"/>
      <c r="W73" s="24"/>
      <c r="X73" s="24"/>
      <c r="Y73" s="24"/>
    </row>
    <row r="74" spans="5:25">
      <c r="E74" s="6" t="s">
        <v>568</v>
      </c>
      <c r="F74" s="7" t="s">
        <v>19</v>
      </c>
      <c r="G74" s="6" t="s">
        <v>447</v>
      </c>
      <c r="H74" s="190" t="s">
        <v>448</v>
      </c>
      <c r="I74" s="190" t="s">
        <v>466</v>
      </c>
      <c r="J74" s="118">
        <f t="shared" si="19"/>
        <v>1.0213622</v>
      </c>
      <c r="K74" s="119">
        <f t="shared" si="20"/>
        <v>1.0213622</v>
      </c>
      <c r="L74" s="119">
        <f t="shared" si="21"/>
        <v>0</v>
      </c>
      <c r="N74" s="24"/>
      <c r="O74" s="24"/>
      <c r="P74" s="24"/>
      <c r="Q74" s="24"/>
      <c r="R74" s="24"/>
      <c r="S74" s="24"/>
      <c r="T74" s="24"/>
      <c r="U74" s="24">
        <v>1.0213622</v>
      </c>
      <c r="V74" s="24"/>
      <c r="W74" s="24"/>
      <c r="X74" s="24"/>
      <c r="Y74" s="24"/>
    </row>
    <row r="75" spans="5:25">
      <c r="E75" s="6" t="s">
        <v>568</v>
      </c>
      <c r="F75" s="7" t="s">
        <v>19</v>
      </c>
      <c r="G75" s="6" t="s">
        <v>378</v>
      </c>
      <c r="H75" s="190" t="s">
        <v>290</v>
      </c>
      <c r="I75" s="190" t="s">
        <v>466</v>
      </c>
      <c r="J75" s="118">
        <f t="shared" si="19"/>
        <v>34.208617799999999</v>
      </c>
      <c r="K75" s="119">
        <f t="shared" si="20"/>
        <v>34.208617799999999</v>
      </c>
      <c r="L75" s="119">
        <f t="shared" si="21"/>
        <v>0</v>
      </c>
      <c r="N75" s="24"/>
      <c r="O75" s="24"/>
      <c r="P75" s="24"/>
      <c r="Q75" s="24"/>
      <c r="R75" s="24"/>
      <c r="S75" s="24"/>
      <c r="T75" s="24"/>
      <c r="U75" s="24">
        <v>34.208617799999999</v>
      </c>
      <c r="V75" s="24"/>
      <c r="W75" s="24"/>
      <c r="X75" s="24"/>
      <c r="Y75" s="24"/>
    </row>
    <row r="76" spans="5:25">
      <c r="E76" s="6" t="s">
        <v>506</v>
      </c>
      <c r="F76" s="7" t="s">
        <v>19</v>
      </c>
      <c r="G76" s="6" t="s">
        <v>374</v>
      </c>
      <c r="H76" s="190" t="s">
        <v>317</v>
      </c>
      <c r="I76" s="190" t="s">
        <v>466</v>
      </c>
      <c r="J76" s="118">
        <f t="shared" si="19"/>
        <v>14.438521957000001</v>
      </c>
      <c r="K76" s="119">
        <f t="shared" si="20"/>
        <v>14.438521957000001</v>
      </c>
      <c r="L76" s="119">
        <f t="shared" si="21"/>
        <v>0</v>
      </c>
      <c r="N76" s="24"/>
      <c r="O76" s="24"/>
      <c r="P76" s="24"/>
      <c r="Q76" s="24"/>
      <c r="R76" s="24"/>
      <c r="S76" s="24"/>
      <c r="T76" s="24">
        <v>13.255867200000001</v>
      </c>
      <c r="U76" s="24"/>
      <c r="V76" s="24">
        <v>1.1826547569999999</v>
      </c>
      <c r="W76" s="24"/>
      <c r="X76" s="24"/>
      <c r="Y76" s="24"/>
    </row>
    <row r="77" spans="5:25">
      <c r="E77" s="6"/>
      <c r="F77" s="7"/>
      <c r="G77" s="6"/>
      <c r="H77" s="190"/>
      <c r="I77" s="190"/>
      <c r="J77" s="118"/>
      <c r="K77" s="119"/>
      <c r="L77" s="119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5:25">
      <c r="E78" s="6"/>
      <c r="F78" s="7"/>
      <c r="G78" s="6"/>
      <c r="H78" s="190"/>
      <c r="I78" s="190"/>
      <c r="J78" s="118"/>
      <c r="K78" s="119"/>
      <c r="L78" s="119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5:25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5:25">
      <c r="E80" s="6"/>
      <c r="F80" s="7"/>
      <c r="G80" s="6"/>
      <c r="H80" s="9"/>
      <c r="I80" s="9"/>
      <c r="J80" s="118">
        <f t="shared" si="10"/>
        <v>0</v>
      </c>
      <c r="K80" s="119">
        <f t="shared" si="11"/>
        <v>0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5:25">
      <c r="E81" s="6"/>
      <c r="F81" s="7"/>
      <c r="G81" s="6"/>
      <c r="H81" s="9"/>
      <c r="I81" s="9"/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>
      <c r="E82" s="6"/>
      <c r="F82" s="305" t="s">
        <v>19</v>
      </c>
      <c r="G82" s="305" t="s">
        <v>520</v>
      </c>
      <c r="H82" s="6"/>
      <c r="I82" s="6"/>
      <c r="J82" s="118">
        <f t="shared" si="10"/>
        <v>27</v>
      </c>
      <c r="K82" s="119">
        <f t="shared" si="11"/>
        <v>27</v>
      </c>
      <c r="L82" s="119">
        <f t="shared" si="12"/>
        <v>0</v>
      </c>
      <c r="N82" s="24"/>
      <c r="O82" s="24"/>
      <c r="P82" s="24"/>
      <c r="Q82" s="24"/>
      <c r="R82" s="24"/>
      <c r="S82" s="344"/>
      <c r="T82" s="306"/>
      <c r="U82" s="306"/>
      <c r="V82" s="306">
        <v>27</v>
      </c>
      <c r="W82" s="24"/>
      <c r="X82" s="24"/>
      <c r="Y82" s="24"/>
    </row>
    <row r="83" spans="5:25">
      <c r="E83" s="6"/>
      <c r="F83" s="305" t="s">
        <v>19</v>
      </c>
      <c r="G83" s="305" t="s">
        <v>521</v>
      </c>
      <c r="H83" s="6"/>
      <c r="I83" s="6"/>
      <c r="J83" s="118">
        <f t="shared" si="10"/>
        <v>322</v>
      </c>
      <c r="K83" s="119">
        <f t="shared" si="11"/>
        <v>322</v>
      </c>
      <c r="L83" s="119">
        <f t="shared" si="12"/>
        <v>0</v>
      </c>
      <c r="N83" s="24"/>
      <c r="O83" s="24"/>
      <c r="P83" s="24"/>
      <c r="Q83" s="24"/>
      <c r="R83" s="24"/>
      <c r="S83" s="344"/>
      <c r="T83" s="306">
        <f>162-60</f>
        <v>102</v>
      </c>
      <c r="U83" s="344">
        <v>160</v>
      </c>
      <c r="V83" s="306">
        <v>60</v>
      </c>
      <c r="W83" s="24"/>
      <c r="X83" s="24"/>
      <c r="Y83" s="24"/>
    </row>
    <row r="84" spans="5:25">
      <c r="E84" s="6"/>
      <c r="F84" s="305" t="s">
        <v>19</v>
      </c>
      <c r="G84" s="305" t="s">
        <v>522</v>
      </c>
      <c r="H84" s="6"/>
      <c r="I84" s="6"/>
      <c r="J84" s="118">
        <f t="shared" si="10"/>
        <v>18</v>
      </c>
      <c r="K84" s="119">
        <f t="shared" si="11"/>
        <v>18</v>
      </c>
      <c r="L84" s="119">
        <f t="shared" si="12"/>
        <v>0</v>
      </c>
      <c r="N84" s="24"/>
      <c r="O84" s="24"/>
      <c r="P84" s="24"/>
      <c r="Q84" s="24"/>
      <c r="R84" s="24"/>
      <c r="S84" s="344"/>
      <c r="T84" s="306">
        <v>18</v>
      </c>
      <c r="U84" s="306"/>
      <c r="V84" s="306"/>
      <c r="W84" s="24"/>
      <c r="X84" s="24"/>
      <c r="Y84" s="24"/>
    </row>
    <row r="85" spans="5:25">
      <c r="E85" s="6"/>
      <c r="F85" s="305" t="s">
        <v>19</v>
      </c>
      <c r="G85" s="305" t="s">
        <v>523</v>
      </c>
      <c r="H85" s="6"/>
      <c r="I85" s="6"/>
      <c r="J85" s="118">
        <f t="shared" si="10"/>
        <v>17</v>
      </c>
      <c r="K85" s="119">
        <f t="shared" si="11"/>
        <v>17</v>
      </c>
      <c r="L85" s="119">
        <f t="shared" si="12"/>
        <v>0</v>
      </c>
      <c r="N85" s="24"/>
      <c r="O85" s="24"/>
      <c r="P85" s="24"/>
      <c r="Q85" s="24"/>
      <c r="R85" s="24"/>
      <c r="S85" s="344"/>
      <c r="T85" s="306"/>
      <c r="U85" s="306"/>
      <c r="V85" s="306">
        <v>17</v>
      </c>
      <c r="W85" s="24"/>
      <c r="X85" s="24"/>
      <c r="Y85" s="24"/>
    </row>
    <row r="86" spans="5:25">
      <c r="E86" s="6"/>
      <c r="F86" s="360" t="s">
        <v>19</v>
      </c>
      <c r="G86" s="360" t="s">
        <v>457</v>
      </c>
      <c r="H86" s="362"/>
      <c r="I86" s="362"/>
      <c r="J86" s="364">
        <f t="shared" si="10"/>
        <v>29</v>
      </c>
      <c r="K86" s="365">
        <f t="shared" si="11"/>
        <v>29</v>
      </c>
      <c r="L86" s="365">
        <f t="shared" si="12"/>
        <v>0</v>
      </c>
      <c r="N86" s="366"/>
      <c r="O86" s="366"/>
      <c r="P86" s="366"/>
      <c r="Q86" s="366"/>
      <c r="R86" s="366"/>
      <c r="S86" s="404"/>
      <c r="T86" s="404">
        <v>29</v>
      </c>
      <c r="U86" s="404"/>
      <c r="V86" s="404"/>
      <c r="W86" s="24"/>
      <c r="X86" s="24"/>
      <c r="Y86" s="24"/>
    </row>
    <row r="87" spans="5:25">
      <c r="E87" s="6"/>
      <c r="F87" s="360" t="s">
        <v>19</v>
      </c>
      <c r="G87" s="360" t="s">
        <v>555</v>
      </c>
      <c r="H87" s="11"/>
      <c r="I87" s="11"/>
      <c r="J87" s="118">
        <f t="shared" si="10"/>
        <v>7</v>
      </c>
      <c r="K87" s="119">
        <f t="shared" si="11"/>
        <v>7</v>
      </c>
      <c r="L87" s="119">
        <f t="shared" si="12"/>
        <v>0</v>
      </c>
      <c r="N87" s="24"/>
      <c r="O87" s="24"/>
      <c r="P87" s="24"/>
      <c r="Q87" s="24"/>
      <c r="R87" s="24"/>
      <c r="S87" s="24"/>
      <c r="T87" s="306">
        <v>7</v>
      </c>
      <c r="U87" s="24"/>
      <c r="V87" s="24"/>
      <c r="W87" s="24"/>
      <c r="X87" s="24"/>
      <c r="Y87" s="24"/>
    </row>
    <row r="88" spans="5:25">
      <c r="E88" s="6"/>
      <c r="F88" s="360" t="s">
        <v>19</v>
      </c>
      <c r="G88" s="360" t="s">
        <v>556</v>
      </c>
      <c r="H88" s="12"/>
      <c r="I88" s="12"/>
      <c r="J88" s="118">
        <f t="shared" si="10"/>
        <v>24</v>
      </c>
      <c r="K88" s="119">
        <f t="shared" si="11"/>
        <v>24</v>
      </c>
      <c r="L88" s="119">
        <f t="shared" si="12"/>
        <v>0</v>
      </c>
      <c r="N88" s="24"/>
      <c r="O88" s="24"/>
      <c r="P88" s="24"/>
      <c r="Q88" s="24"/>
      <c r="R88" s="24"/>
      <c r="S88" s="24"/>
      <c r="T88" s="306"/>
      <c r="U88" s="24"/>
      <c r="V88" s="306">
        <v>24</v>
      </c>
      <c r="W88" s="24"/>
      <c r="X88" s="24"/>
      <c r="Y88" s="24"/>
    </row>
    <row r="89" spans="5:25">
      <c r="E89" s="6"/>
      <c r="F89" s="7"/>
      <c r="G89" s="6"/>
      <c r="H89" s="11"/>
      <c r="I89" s="11"/>
      <c r="J89" s="118">
        <f t="shared" si="10"/>
        <v>0</v>
      </c>
      <c r="K89" s="119">
        <f t="shared" si="11"/>
        <v>0</v>
      </c>
      <c r="L89" s="119">
        <f t="shared" si="12"/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2" spans="5:25">
      <c r="E92" s="191" t="s">
        <v>320</v>
      </c>
      <c r="F92" s="216">
        <v>46174</v>
      </c>
      <c r="G92" s="192">
        <v>270</v>
      </c>
      <c r="H92" s="271" t="s">
        <v>321</v>
      </c>
    </row>
    <row r="93" spans="5:25">
      <c r="E93" s="195" t="s">
        <v>553</v>
      </c>
      <c r="F93" s="217"/>
      <c r="G93" s="196">
        <v>335</v>
      </c>
      <c r="H93" s="271" t="s">
        <v>321</v>
      </c>
    </row>
    <row r="94" spans="5:25">
      <c r="E94" s="195" t="s">
        <v>554</v>
      </c>
      <c r="F94" s="217"/>
      <c r="G94" s="196">
        <v>160</v>
      </c>
      <c r="H94" s="271" t="s">
        <v>321</v>
      </c>
    </row>
    <row r="95" spans="5:25">
      <c r="E95" s="191" t="s">
        <v>320</v>
      </c>
      <c r="F95" s="216">
        <v>46203</v>
      </c>
      <c r="G95" s="192">
        <f>G92+G93-G94</f>
        <v>445</v>
      </c>
      <c r="H95" s="271" t="s">
        <v>321</v>
      </c>
    </row>
    <row r="96" spans="5:25">
      <c r="E96" s="195"/>
      <c r="F96" s="217"/>
      <c r="G96" s="196"/>
      <c r="H96" s="271"/>
    </row>
    <row r="97" spans="3:10">
      <c r="E97" s="191"/>
      <c r="F97" s="216"/>
      <c r="G97" s="192"/>
      <c r="H97" s="271"/>
    </row>
    <row r="99" spans="3:10">
      <c r="E99" s="446" t="s">
        <v>531</v>
      </c>
      <c r="F99" s="447"/>
      <c r="G99" s="447"/>
      <c r="H99" s="447"/>
    </row>
    <row r="100" spans="3:10">
      <c r="E100" s="219" t="s">
        <v>550</v>
      </c>
      <c r="F100" s="219"/>
      <c r="G100" s="202"/>
      <c r="H100" s="219" t="s">
        <v>325</v>
      </c>
    </row>
    <row r="101" spans="3:10">
      <c r="E101" s="356" t="s">
        <v>493</v>
      </c>
      <c r="F101" s="202"/>
      <c r="G101" s="202"/>
      <c r="H101" s="408">
        <v>70</v>
      </c>
    </row>
    <row r="102" spans="3:10">
      <c r="E102" s="411" t="s">
        <v>282</v>
      </c>
      <c r="F102" s="202"/>
      <c r="G102" s="202"/>
      <c r="H102" s="408">
        <v>2</v>
      </c>
    </row>
    <row r="103" spans="3:10">
      <c r="E103" s="411" t="s">
        <v>420</v>
      </c>
      <c r="F103" s="202"/>
      <c r="G103" s="202"/>
      <c r="H103" s="408">
        <v>102</v>
      </c>
    </row>
    <row r="104" spans="3:10">
      <c r="E104" s="411"/>
      <c r="F104" s="202"/>
      <c r="G104" s="202"/>
      <c r="H104" s="408"/>
    </row>
    <row r="105" spans="3:10">
      <c r="E105" s="411"/>
      <c r="F105" s="202"/>
      <c r="G105" s="202"/>
      <c r="H105" s="408"/>
    </row>
    <row r="106" spans="3:10">
      <c r="E106" s="410"/>
      <c r="F106" s="202"/>
      <c r="G106" s="202"/>
      <c r="H106" s="408"/>
    </row>
    <row r="107" spans="3:10">
      <c r="E107" s="356" t="s">
        <v>344</v>
      </c>
      <c r="F107" s="202"/>
      <c r="G107" s="202"/>
      <c r="H107" s="408">
        <f>SUM(H101:H106)</f>
        <v>174</v>
      </c>
    </row>
    <row r="108" spans="3:10">
      <c r="C108" s="227"/>
      <c r="D108" s="227"/>
      <c r="E108" s="227"/>
      <c r="F108" s="278"/>
      <c r="G108" s="227"/>
      <c r="H108" s="280"/>
      <c r="I108" s="280"/>
      <c r="J108" s="280"/>
    </row>
    <row r="109" spans="3:10">
      <c r="C109" s="227"/>
      <c r="D109" s="227"/>
      <c r="E109" s="227"/>
      <c r="F109" s="278"/>
      <c r="G109" s="227"/>
      <c r="H109" s="280"/>
      <c r="I109" s="280"/>
      <c r="J109" s="280"/>
    </row>
    <row r="110" spans="3:10">
      <c r="C110" s="227"/>
      <c r="D110" s="227"/>
      <c r="E110" s="227"/>
      <c r="F110" s="278"/>
      <c r="G110" s="227"/>
      <c r="H110" s="280"/>
      <c r="I110" s="280"/>
      <c r="J110" s="280"/>
    </row>
    <row r="111" spans="3:10">
      <c r="C111" s="227"/>
      <c r="D111" s="227"/>
      <c r="E111" s="227"/>
      <c r="F111" s="278"/>
      <c r="G111" s="227"/>
      <c r="H111" s="280"/>
      <c r="I111" s="280"/>
      <c r="J111" s="280"/>
    </row>
    <row r="112" spans="3:10">
      <c r="C112" s="227"/>
      <c r="D112" s="227"/>
      <c r="E112" s="227"/>
      <c r="F112" s="278"/>
      <c r="G112" s="227"/>
      <c r="H112" s="280"/>
      <c r="I112" s="280"/>
      <c r="J112" s="280"/>
    </row>
    <row r="113" spans="3:10">
      <c r="C113" s="227"/>
      <c r="D113" s="227"/>
      <c r="E113" s="227"/>
      <c r="F113" s="278"/>
      <c r="G113" s="227"/>
      <c r="H113" s="280"/>
      <c r="I113" s="280"/>
      <c r="J113" s="280"/>
    </row>
    <row r="114" spans="3:10">
      <c r="C114" s="227"/>
      <c r="D114" s="227"/>
      <c r="E114" s="227"/>
      <c r="F114" s="278"/>
      <c r="G114" s="227"/>
      <c r="H114" s="280"/>
      <c r="I114" s="280"/>
      <c r="J114" s="280"/>
    </row>
    <row r="115" spans="3:10">
      <c r="C115" s="227"/>
      <c r="D115" s="151"/>
      <c r="E115" s="151"/>
      <c r="F115" s="257"/>
      <c r="G115" s="151"/>
      <c r="H115" s="280"/>
      <c r="I115" s="280"/>
      <c r="J115" s="280"/>
    </row>
    <row r="116" spans="3:10">
      <c r="C116" s="227"/>
      <c r="D116" s="151"/>
      <c r="E116" s="151"/>
      <c r="F116" s="257"/>
      <c r="G116" s="151"/>
      <c r="H116" s="280"/>
      <c r="I116" s="280"/>
      <c r="J116" s="280"/>
    </row>
    <row r="117" spans="3:10">
      <c r="C117" s="227"/>
      <c r="D117" s="151"/>
      <c r="E117" s="151" t="s">
        <v>330</v>
      </c>
      <c r="F117" s="151"/>
      <c r="G117" s="283">
        <f>'W27'!J19</f>
        <v>3246.6091585699992</v>
      </c>
      <c r="H117" s="280"/>
      <c r="I117" s="280"/>
      <c r="J117" s="280"/>
    </row>
    <row r="118" spans="3:10">
      <c r="C118" s="227"/>
      <c r="D118" s="151"/>
      <c r="E118" s="151" t="s">
        <v>331</v>
      </c>
      <c r="F118" s="151"/>
      <c r="G118" s="283">
        <f>H107</f>
        <v>174</v>
      </c>
      <c r="H118" s="280"/>
      <c r="I118" s="280"/>
      <c r="J118" s="280"/>
    </row>
    <row r="119" spans="3:10">
      <c r="C119" s="227"/>
      <c r="D119" s="151"/>
      <c r="E119" s="151" t="s">
        <v>332</v>
      </c>
      <c r="F119" s="151"/>
      <c r="G119" s="283">
        <f>J12-'W27'!J12</f>
        <v>192</v>
      </c>
      <c r="H119" s="280"/>
      <c r="I119" s="280"/>
      <c r="J119" s="280"/>
    </row>
    <row r="120" spans="3:10">
      <c r="C120" s="227"/>
      <c r="D120" s="151"/>
      <c r="E120" s="151" t="s">
        <v>333</v>
      </c>
      <c r="F120" s="151"/>
      <c r="G120" s="283">
        <f>G117+G118-G119</f>
        <v>3228.6091585699992</v>
      </c>
      <c r="H120" s="280"/>
      <c r="I120" s="280"/>
      <c r="J120" s="280"/>
    </row>
    <row r="121" spans="3:10">
      <c r="C121" s="227"/>
      <c r="D121" s="151"/>
      <c r="E121" s="151" t="s">
        <v>334</v>
      </c>
      <c r="F121" s="151"/>
      <c r="G121" s="283">
        <f>J19</f>
        <v>3233.1982481830005</v>
      </c>
      <c r="H121" s="280"/>
      <c r="I121" s="280"/>
      <c r="J121" s="280"/>
    </row>
    <row r="122" spans="3:10">
      <c r="C122" s="227"/>
      <c r="D122" s="151"/>
      <c r="E122" s="151" t="s">
        <v>335</v>
      </c>
      <c r="F122" s="151"/>
      <c r="G122" s="284">
        <f>G121-G120</f>
        <v>4.5890896130013061</v>
      </c>
      <c r="H122" s="280"/>
      <c r="I122" s="280"/>
      <c r="J122" s="280"/>
    </row>
    <row r="123" spans="3:10">
      <c r="C123" s="227"/>
      <c r="D123" s="151"/>
      <c r="E123" s="151"/>
      <c r="F123" s="257"/>
      <c r="G123" s="151"/>
      <c r="H123" s="280"/>
      <c r="I123" s="280"/>
      <c r="J123" s="280"/>
    </row>
    <row r="124" spans="3:10">
      <c r="D124" s="151"/>
      <c r="E124" s="151"/>
      <c r="F124" s="257"/>
      <c r="G124" s="151"/>
      <c r="H124" s="280"/>
      <c r="I124" s="280"/>
      <c r="J124" s="280"/>
    </row>
    <row r="125" spans="3:10">
      <c r="D125" s="151"/>
      <c r="E125" s="227"/>
      <c r="F125" s="278"/>
      <c r="G125" s="227"/>
      <c r="H125" s="280"/>
      <c r="I125" s="280"/>
      <c r="J125" s="280"/>
    </row>
    <row r="126" spans="3:10">
      <c r="D126" s="151"/>
      <c r="E126" s="227"/>
      <c r="F126" s="278"/>
      <c r="G126" s="227"/>
      <c r="H126" s="280"/>
      <c r="I126" s="280"/>
      <c r="J126" s="280"/>
    </row>
    <row r="239" spans="10:10">
      <c r="J239" s="412"/>
    </row>
  </sheetData>
  <sheetProtection formatCells="0" formatColumns="0" formatRows="0" insertRows="0" deleteRows="0" autoFilter="0"/>
  <autoFilter ref="E23:AL233" xr:uid="{00000000-0009-0000-0000-00001E000000}"/>
  <mergeCells count="2">
    <mergeCell ref="I4:J4"/>
    <mergeCell ref="E99:H99"/>
  </mergeCells>
  <phoneticPr fontId="40"/>
  <dataValidations count="2">
    <dataValidation type="list" allowBlank="1" showInputMessage="1" showErrorMessage="1" sqref="G2" xr:uid="{00000000-0002-0000-1E00-000000000000}">
      <formula1>SOCIETE</formula1>
    </dataValidation>
    <dataValidation type="list" allowBlank="1" showInputMessage="1" showErrorMessage="1" sqref="F100 F24:F89" xr:uid="{DEF5E77A-95D3-4F18-86C7-AEEDC419BFDA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7:G122" unlockedFormula="1"/>
  </ignoredError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2" filterMode="1">
    <tabColor theme="3" tint="0.59999389629810485"/>
    <pageSetUpPr fitToPage="1"/>
  </sheetPr>
  <dimension ref="D1:AL227"/>
  <sheetViews>
    <sheetView showGridLines="0" topLeftCell="H9" zoomScale="80" zoomScaleNormal="80" workbookViewId="0">
      <selection activeCell="U66" sqref="U66:V66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122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July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5.9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July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W29</v>
      </c>
      <c r="I9" s="61"/>
      <c r="J9" s="161" t="str">
        <f>+"from "&amp;G6&amp;" 1 until end of "&amp;G4</f>
        <v>from July 1 until end of W29</v>
      </c>
      <c r="K9" s="79"/>
      <c r="L9" s="167" t="str">
        <f>+G6</f>
        <v>July</v>
      </c>
      <c r="M9" s="80"/>
      <c r="N9" s="80"/>
      <c r="O9" s="172" t="str">
        <f>+G4</f>
        <v>W29</v>
      </c>
      <c r="P9" s="173" t="str">
        <f>+VLOOKUP(G4, parameters!$G$9:$I$61,3,0)</f>
        <v>W28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600+320+797+430+396+688+J10</f>
        <v>3861</v>
      </c>
      <c r="I10" s="61"/>
      <c r="J10" s="159">
        <f>876-102-J11-25</f>
        <v>630</v>
      </c>
      <c r="L10" s="159">
        <f>T17+J10</f>
        <v>1082.547165421</v>
      </c>
      <c r="N10" s="55"/>
      <c r="O10" s="170">
        <f>+H10+K17</f>
        <v>7059.3343962299996</v>
      </c>
      <c r="P10" s="171" cm="1">
        <f t="array" aca="1" ref="P10" ca="1">INDIRECT(ADDRESS(10,15,,,VLOOKUP($G$4,parameters!$G:$I,3,0)))</f>
        <v>6723.1772469790003</v>
      </c>
      <c r="Q10" s="183">
        <f ca="1">O10-P10</f>
        <v>336.15714925099928</v>
      </c>
      <c r="R10" s="86"/>
    </row>
    <row r="11" spans="5:38" ht="20.45" customHeight="1">
      <c r="E11" s="87" t="s">
        <v>224</v>
      </c>
      <c r="F11" s="88"/>
      <c r="G11" s="89"/>
      <c r="H11" s="16">
        <f>13+8+3+3+2+14+J11</f>
        <v>162</v>
      </c>
      <c r="I11" s="61"/>
      <c r="J11" s="16">
        <v>119</v>
      </c>
      <c r="L11" s="159">
        <f>T18+J11</f>
        <v>119</v>
      </c>
      <c r="N11" s="55"/>
      <c r="O11" s="152">
        <f>+H11+K18</f>
        <v>191.743359693</v>
      </c>
      <c r="P11" s="153" cm="1">
        <f t="array" aca="1" ref="P11" ca="1">INDIRECT(ADDRESS(11,15,,,VLOOKUP($G$4,parameters!$G:$I,3,0)))</f>
        <v>191.02100120399999</v>
      </c>
      <c r="Q11" s="184">
        <f t="shared" ref="Q11:Q12" ca="1" si="0">O11-P11</f>
        <v>0.72235848900001542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4023</v>
      </c>
      <c r="I12" s="293"/>
      <c r="J12" s="126">
        <f>SUM(J10:J11)</f>
        <v>749</v>
      </c>
      <c r="K12" s="65"/>
      <c r="L12" s="126">
        <f>SUM(L10:L11)</f>
        <v>1201.547165421</v>
      </c>
      <c r="M12" s="65"/>
      <c r="N12" s="65"/>
      <c r="O12" s="154">
        <f>SUM(O10:O11)</f>
        <v>7251.0777559229991</v>
      </c>
      <c r="P12" s="155">
        <f ca="1">SUM(P10:P11)</f>
        <v>6914.198248183</v>
      </c>
      <c r="Q12" s="156">
        <f t="shared" ca="1" si="0"/>
        <v>336.8795077399991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5:38" ht="14.25">
      <c r="E17" s="120" t="s">
        <v>19</v>
      </c>
      <c r="F17" s="121"/>
      <c r="G17" s="121"/>
      <c r="H17" s="121"/>
      <c r="I17" s="121"/>
      <c r="J17" s="108">
        <f>+SUMIF($F$24:$F$82,"External",$J$24:$J$82)</f>
        <v>3198.3343962299996</v>
      </c>
      <c r="K17" s="108">
        <f>+SUMIF($F$24:$F$82,"External",$K$24:$K$82)</f>
        <v>3198.3343962299996</v>
      </c>
      <c r="L17" s="109">
        <f>+SUMIF($F$24:$F$82,"External",$L$24:$L$82)</f>
        <v>0</v>
      </c>
      <c r="M17" s="110"/>
      <c r="N17" s="111">
        <f t="shared" ref="N17:Y17" si="1">+SUMIF($F$24:$F$82,"External",N$24:N$82)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452.54716542100005</v>
      </c>
      <c r="U17" s="111">
        <f t="shared" si="1"/>
        <v>1120.260094446</v>
      </c>
      <c r="V17" s="111">
        <f t="shared" si="1"/>
        <v>1064.9362218690001</v>
      </c>
      <c r="W17" s="111">
        <f t="shared" si="1"/>
        <v>185.26915562600001</v>
      </c>
      <c r="X17" s="111">
        <f t="shared" si="1"/>
        <v>296.05073146799998</v>
      </c>
      <c r="Y17" s="111">
        <f t="shared" si="1"/>
        <v>79.271027399999994</v>
      </c>
      <c r="Z17" s="112"/>
      <c r="AA17" s="111">
        <f t="shared" ref="AA17:AL17" si="2">+SUMIF($F$24:$F$82,"External",AA$24:AA$82)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5:38" ht="14.25">
      <c r="E18" s="122" t="s">
        <v>17</v>
      </c>
      <c r="F18" s="123"/>
      <c r="G18" s="123"/>
      <c r="H18" s="123"/>
      <c r="I18" s="123"/>
      <c r="J18" s="113">
        <f>+SUMIF($F$24:$F$82,"Group",$J$24:$J$82)</f>
        <v>29.743359692999999</v>
      </c>
      <c r="K18" s="113">
        <f>+SUMIF($F$24:$F$82,"Group",$K$24:$K$82)</f>
        <v>29.743359692999999</v>
      </c>
      <c r="L18" s="114">
        <f>SUMIF($F$24:$F$82,"Group",$L$24:$L$82)</f>
        <v>0</v>
      </c>
      <c r="M18" s="110"/>
      <c r="N18" s="114">
        <f t="shared" ref="N18:Y18" si="3">+SUMIF($F$24:$F$82,"Group",N$24:N$82)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29.743359692999999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+SUMIF($F$24:$F$82,"Group",AA$24:AA$82)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5:38">
      <c r="E19" s="124" t="s">
        <v>226</v>
      </c>
      <c r="F19" s="125"/>
      <c r="G19" s="125"/>
      <c r="H19" s="125"/>
      <c r="I19" s="125"/>
      <c r="J19" s="115">
        <f>SUM(J17:J18)</f>
        <v>3228.0777559229996</v>
      </c>
      <c r="K19" s="115">
        <f>SUM(K17:K18)</f>
        <v>3228.0777559229996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452.54716542100005</v>
      </c>
      <c r="U19" s="116">
        <f t="shared" si="5"/>
        <v>1150.003454139</v>
      </c>
      <c r="V19" s="116">
        <f t="shared" si="5"/>
        <v>1064.9362218690001</v>
      </c>
      <c r="W19" s="116">
        <f t="shared" si="5"/>
        <v>185.26915562600001</v>
      </c>
      <c r="X19" s="116">
        <f t="shared" si="5"/>
        <v>296.05073146799998</v>
      </c>
      <c r="Y19" s="116">
        <f t="shared" si="5"/>
        <v>79.271027399999994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5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5:38" ht="18">
      <c r="E21" s="17"/>
      <c r="F21" s="18"/>
      <c r="G21" s="18"/>
      <c r="H21" s="18"/>
      <c r="I21" s="18" t="s">
        <v>231</v>
      </c>
      <c r="J21" s="25" t="str">
        <f>IF(SUM(J24:J82)=J19,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5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5:38" s="105" customFormat="1" ht="40.5" customHeight="1">
      <c r="E23" s="106" t="s">
        <v>345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5:38" hidden="1">
      <c r="E24" s="6" t="s">
        <v>468</v>
      </c>
      <c r="F24" s="7" t="s">
        <v>19</v>
      </c>
      <c r="G24" s="6" t="s">
        <v>239</v>
      </c>
      <c r="H24" s="6" t="s">
        <v>278</v>
      </c>
      <c r="I24" s="6" t="s">
        <v>466</v>
      </c>
      <c r="J24" s="118">
        <f t="shared" ref="J24:J66" si="7">+K24+L24</f>
        <v>6.4492737049999995</v>
      </c>
      <c r="K24" s="119">
        <f t="shared" ref="K24:K66" si="8">SUM(N24:Y24)</f>
        <v>6.4492737049999995</v>
      </c>
      <c r="L24" s="119">
        <f t="shared" ref="L24:L66" si="9">SUM(AA24:AL24)</f>
        <v>0</v>
      </c>
      <c r="M24" s="23"/>
      <c r="N24" s="24"/>
      <c r="O24" s="24"/>
      <c r="P24" s="24"/>
      <c r="Q24" s="24"/>
      <c r="R24" s="24"/>
      <c r="S24" s="24"/>
      <c r="T24" s="24">
        <v>0</v>
      </c>
      <c r="U24" s="24"/>
      <c r="V24" s="24"/>
      <c r="W24" s="24">
        <v>4.7944134859999998</v>
      </c>
      <c r="X24" s="24">
        <v>1.6548602190000001</v>
      </c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5:38" hidden="1">
      <c r="E25" s="6" t="s">
        <v>469</v>
      </c>
      <c r="F25" s="7" t="s">
        <v>19</v>
      </c>
      <c r="G25" s="6" t="s">
        <v>237</v>
      </c>
      <c r="H25" s="6" t="s">
        <v>277</v>
      </c>
      <c r="I25" s="6" t="s">
        <v>466</v>
      </c>
      <c r="J25" s="118">
        <f t="shared" si="7"/>
        <v>8.2520863759999994</v>
      </c>
      <c r="K25" s="119">
        <f t="shared" si="8"/>
        <v>8.2520863759999994</v>
      </c>
      <c r="L25" s="119">
        <f t="shared" si="9"/>
        <v>0</v>
      </c>
      <c r="M25" s="23"/>
      <c r="N25" s="24"/>
      <c r="O25" s="24"/>
      <c r="P25" s="24"/>
      <c r="Q25" s="24"/>
      <c r="R25" s="24"/>
      <c r="S25" s="24"/>
      <c r="T25" s="24"/>
      <c r="U25" s="24">
        <v>8.2520863759999994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5:38">
      <c r="E26" s="6" t="s">
        <v>567</v>
      </c>
      <c r="F26" s="7" t="s">
        <v>19</v>
      </c>
      <c r="G26" s="6" t="s">
        <v>529</v>
      </c>
      <c r="H26" s="6" t="s">
        <v>530</v>
      </c>
      <c r="I26" s="6" t="s">
        <v>472</v>
      </c>
      <c r="J26" s="118">
        <f t="shared" si="7"/>
        <v>299.96420974100005</v>
      </c>
      <c r="K26" s="119">
        <f t="shared" si="8"/>
        <v>299.96420974100005</v>
      </c>
      <c r="L26" s="119">
        <f t="shared" si="9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>
        <v>299.96420974100005</v>
      </c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5:38" hidden="1">
      <c r="E27" s="6" t="s">
        <v>470</v>
      </c>
      <c r="F27" s="7" t="s">
        <v>19</v>
      </c>
      <c r="G27" s="6" t="s">
        <v>279</v>
      </c>
      <c r="H27" s="6" t="s">
        <v>280</v>
      </c>
      <c r="I27" s="6" t="s">
        <v>472</v>
      </c>
      <c r="J27" s="118">
        <f t="shared" si="7"/>
        <v>341.04746650600009</v>
      </c>
      <c r="K27" s="119">
        <f t="shared" si="8"/>
        <v>341.04746650600009</v>
      </c>
      <c r="L27" s="119">
        <f t="shared" si="9"/>
        <v>0</v>
      </c>
      <c r="M27" s="23"/>
      <c r="N27" s="24"/>
      <c r="O27" s="24"/>
      <c r="P27" s="24"/>
      <c r="Q27" s="24"/>
      <c r="R27" s="24"/>
      <c r="S27" s="24"/>
      <c r="T27" s="24"/>
      <c r="U27" s="24">
        <v>192.89139951200005</v>
      </c>
      <c r="V27" s="24"/>
      <c r="W27" s="24"/>
      <c r="X27" s="24">
        <v>148.15606699400001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5:38" hidden="1">
      <c r="E28" s="6" t="s">
        <v>281</v>
      </c>
      <c r="F28" s="7" t="s">
        <v>19</v>
      </c>
      <c r="G28" s="6" t="s">
        <v>282</v>
      </c>
      <c r="H28" s="6" t="s">
        <v>283</v>
      </c>
      <c r="I28" s="6" t="s">
        <v>466</v>
      </c>
      <c r="J28" s="118">
        <f t="shared" si="7"/>
        <v>0.69174142800000005</v>
      </c>
      <c r="K28" s="119">
        <f t="shared" si="8"/>
        <v>0.69174142800000005</v>
      </c>
      <c r="L28" s="119">
        <f t="shared" si="9"/>
        <v>0</v>
      </c>
      <c r="M28" s="23"/>
      <c r="N28" s="24"/>
      <c r="O28" s="24"/>
      <c r="P28" s="24"/>
      <c r="Q28" s="24"/>
      <c r="R28" s="24"/>
      <c r="S28" s="24"/>
      <c r="T28" s="24"/>
      <c r="U28" s="24">
        <v>0.69174142800000005</v>
      </c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5:38" hidden="1">
      <c r="E29" s="6" t="s">
        <v>281</v>
      </c>
      <c r="F29" s="7" t="s">
        <v>19</v>
      </c>
      <c r="G29" s="6" t="s">
        <v>282</v>
      </c>
      <c r="H29" s="6" t="s">
        <v>283</v>
      </c>
      <c r="I29" s="6" t="s">
        <v>472</v>
      </c>
      <c r="J29" s="118">
        <f t="shared" si="7"/>
        <v>23.295192105999998</v>
      </c>
      <c r="K29" s="119">
        <f t="shared" si="8"/>
        <v>23.295192105999998</v>
      </c>
      <c r="L29" s="119">
        <f t="shared" si="9"/>
        <v>0</v>
      </c>
      <c r="M29" s="15"/>
      <c r="N29" s="24"/>
      <c r="O29" s="24"/>
      <c r="P29" s="24"/>
      <c r="Q29" s="24"/>
      <c r="R29" s="24"/>
      <c r="S29" s="24"/>
      <c r="T29" s="24"/>
      <c r="U29" s="24">
        <v>23.295192105999998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5:38" hidden="1">
      <c r="E30" s="6" t="s">
        <v>446</v>
      </c>
      <c r="F30" s="7" t="s">
        <v>19</v>
      </c>
      <c r="G30" s="6" t="s">
        <v>493</v>
      </c>
      <c r="H30" s="6" t="s">
        <v>339</v>
      </c>
      <c r="I30" s="6" t="s">
        <v>472</v>
      </c>
      <c r="J30" s="118">
        <f t="shared" si="7"/>
        <v>6.7922236550000008</v>
      </c>
      <c r="K30" s="119">
        <f t="shared" si="8"/>
        <v>6.7922236550000008</v>
      </c>
      <c r="L30" s="119">
        <f t="shared" si="9"/>
        <v>0</v>
      </c>
      <c r="M30" s="15"/>
      <c r="N30" s="24"/>
      <c r="O30" s="24"/>
      <c r="P30" s="24"/>
      <c r="Q30" s="24"/>
      <c r="R30" s="24"/>
      <c r="S30" s="24"/>
      <c r="T30" s="24">
        <v>6.7922236550000008</v>
      </c>
      <c r="U30" s="24"/>
      <c r="V30" s="24"/>
      <c r="W30" s="24"/>
      <c r="X30" s="24"/>
      <c r="Y30" s="24"/>
    </row>
    <row r="31" spans="5:38" hidden="1">
      <c r="E31" s="6" t="s">
        <v>473</v>
      </c>
      <c r="F31" s="7" t="s">
        <v>17</v>
      </c>
      <c r="G31" s="6" t="s">
        <v>493</v>
      </c>
      <c r="H31" s="6" t="s">
        <v>339</v>
      </c>
      <c r="I31" s="6" t="s">
        <v>472</v>
      </c>
      <c r="J31" s="118">
        <f t="shared" si="7"/>
        <v>29.743359692999999</v>
      </c>
      <c r="K31" s="119">
        <f t="shared" si="8"/>
        <v>29.743359692999999</v>
      </c>
      <c r="L31" s="119">
        <f t="shared" si="9"/>
        <v>0</v>
      </c>
      <c r="M31" s="15"/>
      <c r="N31" s="24"/>
      <c r="O31" s="24"/>
      <c r="P31" s="24"/>
      <c r="Q31" s="24"/>
      <c r="R31" s="24"/>
      <c r="S31" s="24"/>
      <c r="T31" s="24"/>
      <c r="U31" s="24">
        <v>29.743359692999999</v>
      </c>
      <c r="V31" s="24"/>
      <c r="W31" s="24"/>
      <c r="X31" s="24"/>
      <c r="Y31" s="24"/>
    </row>
    <row r="32" spans="5:38" hidden="1">
      <c r="E32" s="6" t="s">
        <v>474</v>
      </c>
      <c r="F32" s="7" t="s">
        <v>19</v>
      </c>
      <c r="G32" s="6" t="s">
        <v>279</v>
      </c>
      <c r="H32" s="6" t="s">
        <v>280</v>
      </c>
      <c r="I32" s="6" t="s">
        <v>472</v>
      </c>
      <c r="J32" s="118">
        <f t="shared" si="7"/>
        <v>114.986673357</v>
      </c>
      <c r="K32" s="119">
        <f t="shared" si="8"/>
        <v>114.986673357</v>
      </c>
      <c r="L32" s="119">
        <f t="shared" si="9"/>
        <v>0</v>
      </c>
      <c r="M32" s="15"/>
      <c r="N32" s="24"/>
      <c r="O32" s="24"/>
      <c r="P32" s="24"/>
      <c r="Q32" s="24"/>
      <c r="R32" s="24"/>
      <c r="S32" s="24"/>
      <c r="T32" s="24"/>
      <c r="U32" s="24">
        <v>114.986673357</v>
      </c>
      <c r="V32" s="24"/>
      <c r="W32" s="24"/>
      <c r="X32" s="24"/>
      <c r="Y32" s="24"/>
    </row>
    <row r="33" spans="5:25" hidden="1">
      <c r="E33" s="6" t="s">
        <v>476</v>
      </c>
      <c r="F33" s="7" t="s">
        <v>19</v>
      </c>
      <c r="G33" s="6" t="s">
        <v>247</v>
      </c>
      <c r="H33" s="6" t="s">
        <v>289</v>
      </c>
      <c r="I33" s="6" t="s">
        <v>466</v>
      </c>
      <c r="J33" s="118">
        <f t="shared" si="7"/>
        <v>132.53266984199988</v>
      </c>
      <c r="K33" s="119">
        <f t="shared" si="8"/>
        <v>132.53266984199988</v>
      </c>
      <c r="L33" s="119">
        <f t="shared" si="9"/>
        <v>0</v>
      </c>
      <c r="M33" s="15"/>
      <c r="N33" s="24"/>
      <c r="O33" s="24"/>
      <c r="P33" s="24"/>
      <c r="Q33" s="24"/>
      <c r="R33" s="24"/>
      <c r="S33" s="24"/>
      <c r="T33" s="24">
        <v>17.2178316</v>
      </c>
      <c r="U33" s="24">
        <v>52.038330110999894</v>
      </c>
      <c r="V33" s="24">
        <v>17.540828131000001</v>
      </c>
      <c r="W33" s="24">
        <v>11.99428</v>
      </c>
      <c r="X33" s="24">
        <v>7.1178600000000003</v>
      </c>
      <c r="Y33" s="24">
        <v>26.623539999999998</v>
      </c>
    </row>
    <row r="34" spans="5:25" hidden="1">
      <c r="E34" s="6" t="s">
        <v>476</v>
      </c>
      <c r="F34" s="7" t="s">
        <v>19</v>
      </c>
      <c r="G34" s="6" t="s">
        <v>379</v>
      </c>
      <c r="H34" s="6" t="s">
        <v>291</v>
      </c>
      <c r="I34" s="6" t="s">
        <v>466</v>
      </c>
      <c r="J34" s="118">
        <f t="shared" si="7"/>
        <v>126.72756476000001</v>
      </c>
      <c r="K34" s="119">
        <f t="shared" si="8"/>
        <v>126.72756476000001</v>
      </c>
      <c r="L34" s="119">
        <f t="shared" si="9"/>
        <v>0</v>
      </c>
      <c r="M34" s="15"/>
      <c r="N34" s="24"/>
      <c r="O34" s="24"/>
      <c r="P34" s="24"/>
      <c r="Q34" s="24"/>
      <c r="R34" s="24"/>
      <c r="S34" s="24"/>
      <c r="T34" s="24">
        <v>11.806595683999998</v>
      </c>
      <c r="U34" s="24">
        <v>27.835449067000003</v>
      </c>
      <c r="V34" s="24">
        <v>41.037860008999999</v>
      </c>
      <c r="W34" s="24">
        <v>23.023830000000004</v>
      </c>
      <c r="X34" s="24">
        <v>13.010380000000001</v>
      </c>
      <c r="Y34" s="24">
        <v>10.013450000000001</v>
      </c>
    </row>
    <row r="35" spans="5:25" hidden="1">
      <c r="E35" s="6" t="s">
        <v>476</v>
      </c>
      <c r="F35" s="7" t="s">
        <v>19</v>
      </c>
      <c r="G35" s="6" t="s">
        <v>454</v>
      </c>
      <c r="H35" s="6" t="s">
        <v>292</v>
      </c>
      <c r="I35" s="6" t="s">
        <v>466</v>
      </c>
      <c r="J35" s="118">
        <f t="shared" si="7"/>
        <v>69.925613839000007</v>
      </c>
      <c r="K35" s="119">
        <f t="shared" si="8"/>
        <v>69.925613839000007</v>
      </c>
      <c r="L35" s="119">
        <f t="shared" si="9"/>
        <v>0</v>
      </c>
      <c r="M35" s="15"/>
      <c r="N35" s="24"/>
      <c r="O35" s="24"/>
      <c r="P35" s="24"/>
      <c r="Q35" s="24"/>
      <c r="R35" s="24"/>
      <c r="S35" s="24"/>
      <c r="T35" s="24">
        <v>9.0886732390000002</v>
      </c>
      <c r="U35" s="24">
        <v>5</v>
      </c>
      <c r="V35" s="24">
        <v>7.2454200000000002</v>
      </c>
      <c r="W35" s="24">
        <v>34.100680599999997</v>
      </c>
      <c r="X35" s="24">
        <v>7.2454200000000002</v>
      </c>
      <c r="Y35" s="24">
        <v>7.2454200000000002</v>
      </c>
    </row>
    <row r="36" spans="5:25" hidden="1">
      <c r="E36" s="6" t="s">
        <v>476</v>
      </c>
      <c r="F36" s="7" t="s">
        <v>19</v>
      </c>
      <c r="G36" s="6" t="s">
        <v>293</v>
      </c>
      <c r="H36" s="6" t="s">
        <v>294</v>
      </c>
      <c r="I36" s="6" t="s">
        <v>466</v>
      </c>
      <c r="J36" s="118">
        <f t="shared" si="7"/>
        <v>4.1121284999999999</v>
      </c>
      <c r="K36" s="119">
        <f t="shared" si="8"/>
        <v>4.1121284999999999</v>
      </c>
      <c r="L36" s="119">
        <f t="shared" si="9"/>
        <v>0</v>
      </c>
      <c r="M36" s="15"/>
      <c r="N36" s="24"/>
      <c r="O36" s="24"/>
      <c r="P36" s="24"/>
      <c r="Q36" s="24"/>
      <c r="R36" s="24"/>
      <c r="S36" s="24"/>
      <c r="T36" s="24">
        <v>0.14750250000000001</v>
      </c>
      <c r="U36" s="24"/>
      <c r="V36" s="24"/>
      <c r="W36" s="24"/>
      <c r="X36" s="24">
        <v>1.982313</v>
      </c>
      <c r="Y36" s="24">
        <v>1.982313</v>
      </c>
    </row>
    <row r="37" spans="5:25" hidden="1">
      <c r="E37" s="6" t="s">
        <v>476</v>
      </c>
      <c r="F37" s="7" t="s">
        <v>19</v>
      </c>
      <c r="G37" s="6" t="s">
        <v>447</v>
      </c>
      <c r="H37" s="6" t="s">
        <v>448</v>
      </c>
      <c r="I37" s="6" t="s">
        <v>466</v>
      </c>
      <c r="J37" s="118">
        <f t="shared" si="7"/>
        <v>75.030738700000015</v>
      </c>
      <c r="K37" s="119">
        <f t="shared" si="8"/>
        <v>75.030738700000015</v>
      </c>
      <c r="L37" s="119">
        <f t="shared" si="9"/>
        <v>0</v>
      </c>
      <c r="M37" s="15"/>
      <c r="N37" s="24"/>
      <c r="O37" s="24"/>
      <c r="P37" s="24"/>
      <c r="Q37" s="24"/>
      <c r="R37" s="24"/>
      <c r="S37" s="24"/>
      <c r="T37" s="24">
        <v>7.2166134000000008</v>
      </c>
      <c r="U37" s="24">
        <v>22.650958900000003</v>
      </c>
      <c r="V37" s="24">
        <v>20.704044400000001</v>
      </c>
      <c r="W37" s="24">
        <v>4.8918244</v>
      </c>
      <c r="X37" s="24">
        <v>14.675473199999999</v>
      </c>
      <c r="Y37" s="24">
        <v>4.8918244</v>
      </c>
    </row>
    <row r="38" spans="5:25" hidden="1">
      <c r="E38" s="6" t="s">
        <v>476</v>
      </c>
      <c r="F38" s="7" t="s">
        <v>19</v>
      </c>
      <c r="G38" s="6" t="s">
        <v>252</v>
      </c>
      <c r="H38" s="6" t="s">
        <v>295</v>
      </c>
      <c r="I38" s="6" t="s">
        <v>466</v>
      </c>
      <c r="J38" s="118">
        <f t="shared" si="7"/>
        <v>29.899162900000007</v>
      </c>
      <c r="K38" s="119">
        <f t="shared" si="8"/>
        <v>29.899162900000007</v>
      </c>
      <c r="L38" s="119">
        <f t="shared" si="9"/>
        <v>0</v>
      </c>
      <c r="M38" s="15"/>
      <c r="N38" s="24"/>
      <c r="O38" s="24"/>
      <c r="P38" s="24"/>
      <c r="Q38" s="24"/>
      <c r="R38" s="24"/>
      <c r="S38" s="24"/>
      <c r="T38" s="24">
        <v>19.356655800000002</v>
      </c>
      <c r="U38" s="24">
        <v>10.185007100000002</v>
      </c>
      <c r="V38" s="24"/>
      <c r="W38" s="24">
        <v>0.35749999999999998</v>
      </c>
      <c r="X38" s="24"/>
      <c r="Y38" s="24"/>
    </row>
    <row r="39" spans="5:25" hidden="1">
      <c r="E39" s="6" t="s">
        <v>476</v>
      </c>
      <c r="F39" s="7" t="s">
        <v>19</v>
      </c>
      <c r="G39" s="6" t="s">
        <v>245</v>
      </c>
      <c r="H39" s="6" t="s">
        <v>288</v>
      </c>
      <c r="I39" s="6" t="s">
        <v>466</v>
      </c>
      <c r="J39" s="118">
        <f t="shared" si="7"/>
        <v>16.910452880000001</v>
      </c>
      <c r="K39" s="119">
        <f t="shared" si="8"/>
        <v>16.910452880000001</v>
      </c>
      <c r="L39" s="119">
        <f t="shared" si="9"/>
        <v>0</v>
      </c>
      <c r="M39" s="15"/>
      <c r="N39" s="24"/>
      <c r="O39" s="24"/>
      <c r="P39" s="24"/>
      <c r="Q39" s="24"/>
      <c r="R39" s="24"/>
      <c r="S39" s="24"/>
      <c r="T39" s="24">
        <v>8.4195932999999989</v>
      </c>
      <c r="U39" s="24">
        <v>6.9120462219999999</v>
      </c>
      <c r="V39" s="24">
        <v>1.5788133580000001</v>
      </c>
      <c r="W39" s="24"/>
      <c r="X39" s="24"/>
      <c r="Y39" s="24"/>
    </row>
    <row r="40" spans="5:25" hidden="1">
      <c r="E40" s="6" t="s">
        <v>476</v>
      </c>
      <c r="F40" s="7" t="s">
        <v>19</v>
      </c>
      <c r="G40" s="6" t="s">
        <v>378</v>
      </c>
      <c r="H40" s="6" t="s">
        <v>290</v>
      </c>
      <c r="I40" s="6" t="s">
        <v>466</v>
      </c>
      <c r="J40" s="118">
        <f t="shared" si="7"/>
        <v>104.09415346900001</v>
      </c>
      <c r="K40" s="119">
        <f t="shared" si="8"/>
        <v>104.09415346900001</v>
      </c>
      <c r="L40" s="119">
        <f t="shared" si="9"/>
        <v>0</v>
      </c>
      <c r="M40" s="15"/>
      <c r="N40" s="24"/>
      <c r="O40" s="24"/>
      <c r="P40" s="24"/>
      <c r="Q40" s="24"/>
      <c r="R40" s="24"/>
      <c r="S40" s="24"/>
      <c r="T40" s="24">
        <v>14.257239999999999</v>
      </c>
      <c r="U40" s="24">
        <v>24.814776768999998</v>
      </c>
      <c r="V40" s="24">
        <v>10.630462099999999</v>
      </c>
      <c r="W40" s="24">
        <v>15.184264599999999</v>
      </c>
      <c r="X40" s="24">
        <v>10.69293</v>
      </c>
      <c r="Y40" s="24">
        <v>28.514479999999995</v>
      </c>
    </row>
    <row r="41" spans="5:25" hidden="1">
      <c r="E41" s="6" t="s">
        <v>477</v>
      </c>
      <c r="F41" s="7" t="s">
        <v>19</v>
      </c>
      <c r="G41" s="6" t="s">
        <v>454</v>
      </c>
      <c r="H41" s="6" t="s">
        <v>292</v>
      </c>
      <c r="I41" s="6" t="s">
        <v>466</v>
      </c>
      <c r="J41" s="118">
        <f t="shared" si="7"/>
        <v>10.006058019999999</v>
      </c>
      <c r="K41" s="119">
        <f t="shared" si="8"/>
        <v>10.006058019999999</v>
      </c>
      <c r="L41" s="119">
        <f t="shared" si="9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>
        <v>10.006058019999999</v>
      </c>
      <c r="W41" s="24"/>
      <c r="X41" s="24"/>
      <c r="Y41" s="24"/>
    </row>
    <row r="42" spans="5:25" hidden="1">
      <c r="E42" s="6" t="s">
        <v>417</v>
      </c>
      <c r="F42" s="7" t="s">
        <v>19</v>
      </c>
      <c r="G42" s="6" t="s">
        <v>282</v>
      </c>
      <c r="H42" s="6" t="s">
        <v>283</v>
      </c>
      <c r="I42" s="6" t="s">
        <v>466</v>
      </c>
      <c r="J42" s="118">
        <f t="shared" si="7"/>
        <v>1.9666872719999999</v>
      </c>
      <c r="K42" s="119">
        <f t="shared" si="8"/>
        <v>1.9666872719999999</v>
      </c>
      <c r="L42" s="119">
        <f t="shared" si="9"/>
        <v>0</v>
      </c>
      <c r="M42" s="15"/>
      <c r="N42" s="24"/>
      <c r="O42" s="24"/>
      <c r="P42" s="24"/>
      <c r="Q42" s="24"/>
      <c r="R42" s="24"/>
      <c r="S42" s="24"/>
      <c r="T42" s="24">
        <v>1.9666872719999999</v>
      </c>
      <c r="U42" s="24"/>
      <c r="V42" s="24"/>
      <c r="W42" s="24"/>
      <c r="X42" s="24"/>
      <c r="Y42" s="24"/>
    </row>
    <row r="43" spans="5:25" hidden="1">
      <c r="E43" s="6" t="s">
        <v>417</v>
      </c>
      <c r="F43" s="7" t="s">
        <v>19</v>
      </c>
      <c r="G43" s="6" t="s">
        <v>500</v>
      </c>
      <c r="H43" s="6" t="s">
        <v>305</v>
      </c>
      <c r="I43" s="6" t="s">
        <v>472</v>
      </c>
      <c r="J43" s="118">
        <f t="shared" si="7"/>
        <v>19.768845337000002</v>
      </c>
      <c r="K43" s="119">
        <f t="shared" si="8"/>
        <v>19.768845337000002</v>
      </c>
      <c r="L43" s="119">
        <f t="shared" si="9"/>
        <v>0</v>
      </c>
      <c r="M43" s="15"/>
      <c r="N43" s="24"/>
      <c r="O43" s="24"/>
      <c r="P43" s="24"/>
      <c r="Q43" s="24"/>
      <c r="R43" s="24"/>
      <c r="S43" s="24"/>
      <c r="T43" s="24"/>
      <c r="U43" s="24">
        <v>19.768845337000002</v>
      </c>
      <c r="V43" s="24"/>
      <c r="W43" s="24"/>
      <c r="X43" s="24"/>
      <c r="Y43" s="24"/>
    </row>
    <row r="44" spans="5:25" hidden="1">
      <c r="E44" s="6" t="s">
        <v>450</v>
      </c>
      <c r="F44" s="7" t="s">
        <v>19</v>
      </c>
      <c r="G44" s="6" t="s">
        <v>282</v>
      </c>
      <c r="H44" s="6" t="s">
        <v>283</v>
      </c>
      <c r="I44" s="6" t="s">
        <v>466</v>
      </c>
      <c r="J44" s="118">
        <f t="shared" si="7"/>
        <v>1.9317665959999997</v>
      </c>
      <c r="K44" s="119">
        <f t="shared" si="8"/>
        <v>1.9317665959999997</v>
      </c>
      <c r="L44" s="119">
        <f t="shared" si="9"/>
        <v>0</v>
      </c>
      <c r="M44" s="15"/>
      <c r="N44" s="24"/>
      <c r="O44" s="24"/>
      <c r="P44" s="24"/>
      <c r="Q44" s="24"/>
      <c r="R44" s="24"/>
      <c r="S44" s="24"/>
      <c r="T44" s="24">
        <v>1.7692252959999997</v>
      </c>
      <c r="U44" s="24"/>
      <c r="V44" s="24">
        <v>0.1625413</v>
      </c>
      <c r="W44" s="24"/>
      <c r="X44" s="24"/>
      <c r="Y44" s="24"/>
    </row>
    <row r="45" spans="5:25" hidden="1">
      <c r="E45" s="6" t="s">
        <v>450</v>
      </c>
      <c r="F45" s="7" t="s">
        <v>19</v>
      </c>
      <c r="G45" s="6" t="s">
        <v>500</v>
      </c>
      <c r="H45" s="6" t="s">
        <v>305</v>
      </c>
      <c r="I45" s="6" t="s">
        <v>466</v>
      </c>
      <c r="J45" s="118">
        <f t="shared" si="7"/>
        <v>3.3595952690000002</v>
      </c>
      <c r="K45" s="119">
        <f t="shared" si="8"/>
        <v>3.3595952690000002</v>
      </c>
      <c r="L45" s="119">
        <f t="shared" si="9"/>
        <v>0</v>
      </c>
      <c r="M45" s="15"/>
      <c r="N45" s="24"/>
      <c r="O45" s="24"/>
      <c r="P45" s="24"/>
      <c r="Q45" s="24"/>
      <c r="R45" s="24"/>
      <c r="S45" s="24"/>
      <c r="T45" s="24">
        <v>3.343551808</v>
      </c>
      <c r="U45" s="24"/>
      <c r="V45" s="24">
        <v>1.6043460999999998E-2</v>
      </c>
      <c r="W45" s="24"/>
      <c r="X45" s="24"/>
      <c r="Y45" s="24"/>
    </row>
    <row r="46" spans="5:25" hidden="1">
      <c r="E46" s="6" t="s">
        <v>450</v>
      </c>
      <c r="F46" s="7" t="s">
        <v>19</v>
      </c>
      <c r="G46" s="6" t="s">
        <v>500</v>
      </c>
      <c r="H46" s="6" t="s">
        <v>305</v>
      </c>
      <c r="I46" s="6" t="s">
        <v>472</v>
      </c>
      <c r="J46" s="118">
        <f t="shared" si="7"/>
        <v>50.43269599500001</v>
      </c>
      <c r="K46" s="119">
        <f t="shared" si="8"/>
        <v>50.43269599500001</v>
      </c>
      <c r="L46" s="119">
        <f t="shared" si="9"/>
        <v>0</v>
      </c>
      <c r="M46" s="15"/>
      <c r="N46" s="24"/>
      <c r="O46" s="24"/>
      <c r="P46" s="24"/>
      <c r="Q46" s="24"/>
      <c r="R46" s="24"/>
      <c r="S46" s="24"/>
      <c r="T46" s="24">
        <v>14.177167503000003</v>
      </c>
      <c r="U46" s="24">
        <v>28.840813604000004</v>
      </c>
      <c r="V46" s="24">
        <v>7.4147148879999998</v>
      </c>
      <c r="W46" s="24"/>
      <c r="X46" s="24"/>
      <c r="Y46" s="24"/>
    </row>
    <row r="47" spans="5:25" hidden="1">
      <c r="E47" s="6" t="s">
        <v>450</v>
      </c>
      <c r="F47" s="7" t="s">
        <v>19</v>
      </c>
      <c r="G47" s="6" t="s">
        <v>256</v>
      </c>
      <c r="H47" s="6" t="s">
        <v>303</v>
      </c>
      <c r="I47" s="6" t="s">
        <v>466</v>
      </c>
      <c r="J47" s="118">
        <f t="shared" si="7"/>
        <v>182.19021795500009</v>
      </c>
      <c r="K47" s="119">
        <f t="shared" si="8"/>
        <v>182.19021795500009</v>
      </c>
      <c r="L47" s="119">
        <f t="shared" si="9"/>
        <v>0</v>
      </c>
      <c r="M47" s="15"/>
      <c r="N47" s="24"/>
      <c r="O47" s="24"/>
      <c r="P47" s="24"/>
      <c r="Q47" s="24"/>
      <c r="R47" s="24"/>
      <c r="S47" s="24"/>
      <c r="T47" s="24">
        <v>23.734689119000009</v>
      </c>
      <c r="U47" s="24">
        <v>41.265449191000002</v>
      </c>
      <c r="V47" s="24">
        <v>117.1900796450001</v>
      </c>
      <c r="W47" s="24"/>
      <c r="X47" s="24"/>
      <c r="Y47" s="24"/>
    </row>
    <row r="48" spans="5:25" hidden="1">
      <c r="E48" s="6" t="s">
        <v>549</v>
      </c>
      <c r="F48" s="7" t="s">
        <v>19</v>
      </c>
      <c r="G48" s="6" t="s">
        <v>441</v>
      </c>
      <c r="H48" s="6" t="s">
        <v>481</v>
      </c>
      <c r="I48" s="6" t="s">
        <v>466</v>
      </c>
      <c r="J48" s="118">
        <f t="shared" si="7"/>
        <v>427.14244503999981</v>
      </c>
      <c r="K48" s="119">
        <f t="shared" si="8"/>
        <v>427.14244503999981</v>
      </c>
      <c r="L48" s="119">
        <f t="shared" si="9"/>
        <v>0</v>
      </c>
      <c r="M48" s="15"/>
      <c r="N48" s="24"/>
      <c r="O48" s="24"/>
      <c r="P48" s="24"/>
      <c r="Q48" s="24"/>
      <c r="R48" s="24"/>
      <c r="S48" s="24"/>
      <c r="T48" s="24">
        <v>30</v>
      </c>
      <c r="U48" s="24">
        <f>164.72350237-120+60</f>
        <v>104.72350237000001</v>
      </c>
      <c r="V48" s="24">
        <v>207.80784872999979</v>
      </c>
      <c r="W48" s="24">
        <v>84.611093939999989</v>
      </c>
      <c r="X48" s="24"/>
      <c r="Y48" s="24"/>
    </row>
    <row r="49" spans="5:25" hidden="1">
      <c r="E49" s="6" t="s">
        <v>482</v>
      </c>
      <c r="F49" s="7" t="s">
        <v>19</v>
      </c>
      <c r="G49" s="6" t="s">
        <v>258</v>
      </c>
      <c r="H49" s="6" t="s">
        <v>306</v>
      </c>
      <c r="I49" s="6" t="s">
        <v>466</v>
      </c>
      <c r="J49" s="118">
        <f t="shared" si="7"/>
        <v>11.870039992999999</v>
      </c>
      <c r="K49" s="119">
        <f t="shared" si="8"/>
        <v>11.870039992999999</v>
      </c>
      <c r="L49" s="119">
        <f t="shared" si="9"/>
        <v>0</v>
      </c>
      <c r="M49" s="15"/>
      <c r="N49" s="24"/>
      <c r="O49" s="24"/>
      <c r="P49" s="24"/>
      <c r="Q49" s="24"/>
      <c r="R49" s="24"/>
      <c r="S49" s="24"/>
      <c r="T49" s="24">
        <v>11.870039992999999</v>
      </c>
      <c r="U49" s="24">
        <v>0</v>
      </c>
      <c r="V49" s="24"/>
      <c r="W49" s="24"/>
      <c r="X49" s="24"/>
      <c r="Y49" s="24"/>
    </row>
    <row r="50" spans="5:25" hidden="1">
      <c r="E50" s="6" t="s">
        <v>509</v>
      </c>
      <c r="F50" s="7" t="s">
        <v>19</v>
      </c>
      <c r="G50" s="6" t="s">
        <v>247</v>
      </c>
      <c r="H50" s="6" t="s">
        <v>289</v>
      </c>
      <c r="I50" s="6" t="s">
        <v>466</v>
      </c>
      <c r="J50" s="118">
        <f t="shared" si="7"/>
        <v>2.3907126999999999</v>
      </c>
      <c r="K50" s="119">
        <f t="shared" si="8"/>
        <v>2.3907126999999999</v>
      </c>
      <c r="L50" s="119">
        <f t="shared" si="9"/>
        <v>0</v>
      </c>
      <c r="M50" s="15"/>
      <c r="N50" s="24"/>
      <c r="O50" s="24"/>
      <c r="P50" s="24"/>
      <c r="Q50" s="24"/>
      <c r="R50" s="24"/>
      <c r="S50" s="24"/>
      <c r="T50" s="24"/>
      <c r="U50" s="24">
        <v>2.3907126999999999</v>
      </c>
      <c r="V50" s="24"/>
      <c r="W50" s="24"/>
      <c r="X50" s="24"/>
      <c r="Y50" s="24"/>
    </row>
    <row r="51" spans="5:25" hidden="1">
      <c r="E51" s="6" t="s">
        <v>509</v>
      </c>
      <c r="F51" s="7" t="s">
        <v>19</v>
      </c>
      <c r="G51" s="6" t="s">
        <v>379</v>
      </c>
      <c r="H51" s="6" t="s">
        <v>291</v>
      </c>
      <c r="I51" s="6" t="s">
        <v>466</v>
      </c>
      <c r="J51" s="118">
        <f t="shared" si="7"/>
        <v>10.401400381</v>
      </c>
      <c r="K51" s="119">
        <f t="shared" si="8"/>
        <v>10.401400381</v>
      </c>
      <c r="L51" s="119">
        <f t="shared" si="9"/>
        <v>0</v>
      </c>
      <c r="M51" s="15"/>
      <c r="N51" s="24"/>
      <c r="O51" s="24"/>
      <c r="P51" s="24"/>
      <c r="Q51" s="24"/>
      <c r="R51" s="24"/>
      <c r="S51" s="24"/>
      <c r="T51" s="24"/>
      <c r="U51" s="24">
        <v>10.401400381</v>
      </c>
      <c r="V51" s="24"/>
      <c r="W51" s="24"/>
      <c r="X51" s="24"/>
      <c r="Y51" s="24"/>
    </row>
    <row r="52" spans="5:25" hidden="1">
      <c r="E52" s="6" t="s">
        <v>509</v>
      </c>
      <c r="F52" s="7" t="s">
        <v>19</v>
      </c>
      <c r="G52" s="6" t="s">
        <v>454</v>
      </c>
      <c r="H52" s="6" t="s">
        <v>292</v>
      </c>
      <c r="I52" s="6" t="s">
        <v>466</v>
      </c>
      <c r="J52" s="118">
        <f t="shared" si="7"/>
        <v>9.7359303359999991</v>
      </c>
      <c r="K52" s="119">
        <f t="shared" si="8"/>
        <v>9.7359303359999991</v>
      </c>
      <c r="L52" s="119">
        <f t="shared" si="9"/>
        <v>0</v>
      </c>
      <c r="M52" s="15"/>
      <c r="N52" s="24"/>
      <c r="O52" s="24"/>
      <c r="P52" s="24"/>
      <c r="Q52" s="24"/>
      <c r="R52" s="24"/>
      <c r="S52" s="24"/>
      <c r="T52" s="24"/>
      <c r="U52" s="24">
        <v>9.7359303359999991</v>
      </c>
      <c r="V52" s="24"/>
      <c r="W52" s="24"/>
      <c r="X52" s="24"/>
      <c r="Y52" s="24"/>
    </row>
    <row r="53" spans="5:25" hidden="1">
      <c r="E53" s="6" t="s">
        <v>509</v>
      </c>
      <c r="F53" s="7" t="s">
        <v>19</v>
      </c>
      <c r="G53" s="6" t="s">
        <v>293</v>
      </c>
      <c r="H53" s="6" t="s">
        <v>294</v>
      </c>
      <c r="I53" s="6" t="s">
        <v>466</v>
      </c>
      <c r="J53" s="118">
        <f t="shared" si="7"/>
        <v>3.8862866359999995</v>
      </c>
      <c r="K53" s="119">
        <f t="shared" si="8"/>
        <v>3.8862866359999995</v>
      </c>
      <c r="L53" s="119">
        <f t="shared" si="9"/>
        <v>0</v>
      </c>
      <c r="M53" s="15"/>
      <c r="N53" s="24"/>
      <c r="O53" s="24"/>
      <c r="P53" s="24"/>
      <c r="Q53" s="24"/>
      <c r="R53" s="24"/>
      <c r="S53" s="24"/>
      <c r="T53" s="24"/>
      <c r="U53" s="24">
        <v>3.8862866359999995</v>
      </c>
      <c r="V53" s="24"/>
      <c r="W53" s="24"/>
      <c r="X53" s="24"/>
      <c r="Y53" s="24"/>
    </row>
    <row r="54" spans="5:25" hidden="1">
      <c r="E54" s="6" t="s">
        <v>509</v>
      </c>
      <c r="F54" s="7" t="s">
        <v>19</v>
      </c>
      <c r="G54" s="6" t="s">
        <v>447</v>
      </c>
      <c r="H54" s="6" t="s">
        <v>448</v>
      </c>
      <c r="I54" s="6" t="s">
        <v>466</v>
      </c>
      <c r="J54" s="118">
        <f t="shared" si="7"/>
        <v>15.330196201</v>
      </c>
      <c r="K54" s="119">
        <f t="shared" si="8"/>
        <v>15.330196201</v>
      </c>
      <c r="L54" s="119">
        <f t="shared" si="9"/>
        <v>0</v>
      </c>
      <c r="M54" s="15"/>
      <c r="N54" s="24"/>
      <c r="O54" s="24"/>
      <c r="P54" s="24"/>
      <c r="Q54" s="24"/>
      <c r="R54" s="24"/>
      <c r="S54" s="24"/>
      <c r="T54" s="24"/>
      <c r="U54" s="24">
        <v>15.330196201</v>
      </c>
      <c r="V54" s="24"/>
      <c r="W54" s="24"/>
      <c r="X54" s="24"/>
      <c r="Y54" s="24"/>
    </row>
    <row r="55" spans="5:25" hidden="1">
      <c r="E55" s="6" t="s">
        <v>569</v>
      </c>
      <c r="F55" s="7" t="s">
        <v>19</v>
      </c>
      <c r="G55" s="6" t="s">
        <v>447</v>
      </c>
      <c r="H55" s="6" t="s">
        <v>448</v>
      </c>
      <c r="I55" s="6" t="s">
        <v>466</v>
      </c>
      <c r="J55" s="118">
        <f t="shared" si="7"/>
        <v>1.0213622</v>
      </c>
      <c r="K55" s="119">
        <f t="shared" si="8"/>
        <v>1.0213622</v>
      </c>
      <c r="L55" s="119">
        <f t="shared" si="9"/>
        <v>0</v>
      </c>
      <c r="M55" s="15"/>
      <c r="N55" s="24"/>
      <c r="O55" s="24"/>
      <c r="P55" s="24"/>
      <c r="Q55" s="24"/>
      <c r="R55" s="24"/>
      <c r="S55" s="24"/>
      <c r="T55" s="24">
        <v>1.0213622</v>
      </c>
      <c r="U55" s="24"/>
      <c r="V55" s="24"/>
      <c r="W55" s="24"/>
      <c r="X55" s="24"/>
      <c r="Y55" s="24"/>
    </row>
    <row r="56" spans="5:25" hidden="1">
      <c r="E56" s="6" t="s">
        <v>569</v>
      </c>
      <c r="F56" s="7" t="s">
        <v>19</v>
      </c>
      <c r="G56" s="6" t="s">
        <v>378</v>
      </c>
      <c r="H56" s="6" t="s">
        <v>290</v>
      </c>
      <c r="I56" s="6" t="s">
        <v>466</v>
      </c>
      <c r="J56" s="118">
        <f t="shared" si="7"/>
        <v>34.208617799999999</v>
      </c>
      <c r="K56" s="119">
        <f t="shared" si="8"/>
        <v>34.208617799999999</v>
      </c>
      <c r="L56" s="119">
        <f t="shared" si="9"/>
        <v>0</v>
      </c>
      <c r="M56" s="15"/>
      <c r="N56" s="24"/>
      <c r="O56" s="24"/>
      <c r="P56" s="24"/>
      <c r="Q56" s="24"/>
      <c r="R56" s="24"/>
      <c r="S56" s="24"/>
      <c r="T56" s="24">
        <v>34.208617799999999</v>
      </c>
      <c r="U56" s="24"/>
      <c r="V56" s="24"/>
      <c r="W56" s="24"/>
      <c r="X56" s="24"/>
      <c r="Y56" s="24"/>
    </row>
    <row r="57" spans="5:25" hidden="1">
      <c r="E57" s="6" t="s">
        <v>483</v>
      </c>
      <c r="F57" s="7" t="s">
        <v>19</v>
      </c>
      <c r="G57" s="6" t="s">
        <v>258</v>
      </c>
      <c r="H57" s="6" t="s">
        <v>306</v>
      </c>
      <c r="I57" s="6" t="s">
        <v>466</v>
      </c>
      <c r="J57" s="118">
        <f t="shared" si="7"/>
        <v>28.729105825999998</v>
      </c>
      <c r="K57" s="119">
        <f t="shared" si="8"/>
        <v>28.729105825999998</v>
      </c>
      <c r="L57" s="119">
        <f t="shared" si="9"/>
        <v>0</v>
      </c>
      <c r="N57" s="24"/>
      <c r="O57" s="24"/>
      <c r="P57" s="24"/>
      <c r="Q57" s="24"/>
      <c r="R57" s="24"/>
      <c r="S57" s="24"/>
      <c r="T57" s="24"/>
      <c r="U57" s="24">
        <v>28.729105825999998</v>
      </c>
      <c r="V57" s="24"/>
      <c r="W57" s="24"/>
      <c r="X57" s="24"/>
      <c r="Y57" s="24"/>
    </row>
    <row r="58" spans="5:25" hidden="1">
      <c r="E58" s="6" t="s">
        <v>484</v>
      </c>
      <c r="F58" s="7" t="s">
        <v>19</v>
      </c>
      <c r="G58" s="6" t="s">
        <v>503</v>
      </c>
      <c r="H58" s="6" t="s">
        <v>311</v>
      </c>
      <c r="I58" s="6" t="s">
        <v>472</v>
      </c>
      <c r="J58" s="118">
        <f t="shared" si="7"/>
        <v>1.173521574</v>
      </c>
      <c r="K58" s="119">
        <f t="shared" si="8"/>
        <v>1.173521574</v>
      </c>
      <c r="L58" s="119">
        <f t="shared" si="9"/>
        <v>0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>
        <v>1.173521574</v>
      </c>
      <c r="Y58" s="24"/>
    </row>
    <row r="59" spans="5:25" hidden="1">
      <c r="E59" s="6" t="s">
        <v>484</v>
      </c>
      <c r="F59" s="7" t="s">
        <v>19</v>
      </c>
      <c r="G59" s="6" t="s">
        <v>500</v>
      </c>
      <c r="H59" s="6" t="s">
        <v>305</v>
      </c>
      <c r="I59" s="6" t="s">
        <v>472</v>
      </c>
      <c r="J59" s="118">
        <f t="shared" si="7"/>
        <v>53.278013522000002</v>
      </c>
      <c r="K59" s="119">
        <f t="shared" si="8"/>
        <v>53.278013522000002</v>
      </c>
      <c r="L59" s="119">
        <f t="shared" si="9"/>
        <v>0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>
        <v>53.278013522000002</v>
      </c>
      <c r="Y59" s="24"/>
    </row>
    <row r="60" spans="5:25" hidden="1">
      <c r="E60" s="6" t="s">
        <v>484</v>
      </c>
      <c r="F60" s="7" t="s">
        <v>19</v>
      </c>
      <c r="G60" s="6" t="s">
        <v>370</v>
      </c>
      <c r="H60" s="6" t="s">
        <v>308</v>
      </c>
      <c r="I60" s="6" t="s">
        <v>472</v>
      </c>
      <c r="J60" s="118">
        <f t="shared" si="7"/>
        <v>29.382537231999997</v>
      </c>
      <c r="K60" s="119">
        <f t="shared" si="8"/>
        <v>29.382537231999997</v>
      </c>
      <c r="L60" s="119">
        <f t="shared" si="9"/>
        <v>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>
        <v>29.382537231999997</v>
      </c>
      <c r="Y60" s="24"/>
    </row>
    <row r="61" spans="5:25" hidden="1">
      <c r="E61" s="6" t="s">
        <v>484</v>
      </c>
      <c r="F61" s="7" t="s">
        <v>19</v>
      </c>
      <c r="G61" s="6" t="s">
        <v>264</v>
      </c>
      <c r="H61" s="6" t="s">
        <v>310</v>
      </c>
      <c r="I61" s="6" t="s">
        <v>472</v>
      </c>
      <c r="J61" s="118">
        <f t="shared" si="7"/>
        <v>0.110184352</v>
      </c>
      <c r="K61" s="119">
        <f t="shared" si="8"/>
        <v>0.110184352</v>
      </c>
      <c r="L61" s="119">
        <f t="shared" si="9"/>
        <v>0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>
        <v>0.110184352</v>
      </c>
      <c r="Y61" s="24"/>
    </row>
    <row r="62" spans="5:25" hidden="1">
      <c r="E62" s="6" t="s">
        <v>484</v>
      </c>
      <c r="F62" s="7" t="s">
        <v>19</v>
      </c>
      <c r="G62" s="6" t="s">
        <v>454</v>
      </c>
      <c r="H62" s="6" t="s">
        <v>292</v>
      </c>
      <c r="I62" s="6" t="s">
        <v>472</v>
      </c>
      <c r="J62" s="118">
        <f t="shared" si="7"/>
        <v>7.5711713750000005</v>
      </c>
      <c r="K62" s="119">
        <f t="shared" si="8"/>
        <v>7.5711713750000005</v>
      </c>
      <c r="L62" s="119">
        <f t="shared" si="9"/>
        <v>0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>
        <v>7.5711713750000005</v>
      </c>
      <c r="Y62" s="24"/>
    </row>
    <row r="63" spans="5:25" hidden="1">
      <c r="E63" s="6" t="s">
        <v>451</v>
      </c>
      <c r="F63" s="7" t="s">
        <v>19</v>
      </c>
      <c r="G63" s="6" t="s">
        <v>504</v>
      </c>
      <c r="H63" s="6" t="s">
        <v>307</v>
      </c>
      <c r="I63" s="6" t="s">
        <v>466</v>
      </c>
      <c r="J63" s="118">
        <f t="shared" si="7"/>
        <v>18.992745669999998</v>
      </c>
      <c r="K63" s="119">
        <f t="shared" si="8"/>
        <v>18.992745669999998</v>
      </c>
      <c r="L63" s="119">
        <f t="shared" si="9"/>
        <v>0</v>
      </c>
      <c r="N63" s="24"/>
      <c r="O63" s="24"/>
      <c r="P63" s="24"/>
      <c r="Q63" s="24"/>
      <c r="R63" s="24"/>
      <c r="S63" s="24"/>
      <c r="T63" s="24">
        <v>7.6217258619999999</v>
      </c>
      <c r="U63" s="24">
        <v>11.371019808</v>
      </c>
      <c r="V63" s="24"/>
      <c r="W63" s="24"/>
      <c r="X63" s="24"/>
      <c r="Y63" s="24"/>
    </row>
    <row r="64" spans="5:25" hidden="1">
      <c r="E64" s="6" t="s">
        <v>451</v>
      </c>
      <c r="F64" s="7" t="s">
        <v>19</v>
      </c>
      <c r="G64" s="6" t="s">
        <v>370</v>
      </c>
      <c r="H64" s="6" t="s">
        <v>308</v>
      </c>
      <c r="I64" s="6" t="s">
        <v>466</v>
      </c>
      <c r="J64" s="118">
        <f t="shared" si="7"/>
        <v>2.1636036089999999</v>
      </c>
      <c r="K64" s="119">
        <f t="shared" si="8"/>
        <v>2.1636036089999999</v>
      </c>
      <c r="L64" s="119">
        <f t="shared" si="9"/>
        <v>0</v>
      </c>
      <c r="N64" s="24"/>
      <c r="O64" s="24"/>
      <c r="P64" s="24"/>
      <c r="Q64" s="24"/>
      <c r="R64" s="24"/>
      <c r="S64" s="24"/>
      <c r="T64" s="24"/>
      <c r="U64" s="24">
        <v>2.1636036089999999</v>
      </c>
      <c r="V64" s="24"/>
      <c r="W64" s="24"/>
      <c r="X64" s="24"/>
      <c r="Y64" s="24"/>
    </row>
    <row r="65" spans="5:25" hidden="1">
      <c r="E65" s="6" t="s">
        <v>451</v>
      </c>
      <c r="F65" s="7" t="s">
        <v>19</v>
      </c>
      <c r="G65" s="6" t="s">
        <v>370</v>
      </c>
      <c r="H65" s="6" t="s">
        <v>308</v>
      </c>
      <c r="I65" s="6" t="s">
        <v>472</v>
      </c>
      <c r="J65" s="118">
        <f t="shared" si="7"/>
        <v>1.192590007</v>
      </c>
      <c r="K65" s="119">
        <f t="shared" si="8"/>
        <v>1.192590007</v>
      </c>
      <c r="L65" s="119">
        <f t="shared" si="9"/>
        <v>0</v>
      </c>
      <c r="N65" s="24"/>
      <c r="O65" s="24"/>
      <c r="P65" s="24"/>
      <c r="Q65" s="24"/>
      <c r="R65" s="24"/>
      <c r="S65" s="24"/>
      <c r="T65" s="24"/>
      <c r="U65" s="24">
        <v>1.192590007</v>
      </c>
      <c r="V65" s="24"/>
      <c r="W65" s="24"/>
      <c r="X65" s="24"/>
      <c r="Y65" s="24"/>
    </row>
    <row r="66" spans="5:25">
      <c r="E66" s="6" t="s">
        <v>485</v>
      </c>
      <c r="F66" s="7" t="s">
        <v>19</v>
      </c>
      <c r="G66" s="6" t="s">
        <v>529</v>
      </c>
      <c r="H66" s="6" t="s">
        <v>530</v>
      </c>
      <c r="I66" s="6" t="s">
        <v>472</v>
      </c>
      <c r="J66" s="118">
        <f t="shared" si="7"/>
        <v>296.17424132899998</v>
      </c>
      <c r="K66" s="119">
        <f t="shared" si="8"/>
        <v>296.17424132899998</v>
      </c>
      <c r="L66" s="119">
        <f t="shared" si="9"/>
        <v>0</v>
      </c>
      <c r="N66" s="24"/>
      <c r="O66" s="24"/>
      <c r="P66" s="24"/>
      <c r="Q66" s="24"/>
      <c r="R66" s="24"/>
      <c r="S66" s="24"/>
      <c r="T66" s="24"/>
      <c r="U66" s="24">
        <v>101.96162</v>
      </c>
      <c r="V66" s="24">
        <v>194.212621329</v>
      </c>
      <c r="W66" s="24"/>
      <c r="X66" s="24"/>
      <c r="Y66" s="24"/>
    </row>
    <row r="67" spans="5:25" hidden="1">
      <c r="E67" s="6" t="s">
        <v>268</v>
      </c>
      <c r="F67" s="7" t="s">
        <v>19</v>
      </c>
      <c r="G67" s="6" t="s">
        <v>374</v>
      </c>
      <c r="H67" s="6" t="s">
        <v>317</v>
      </c>
      <c r="I67" s="6" t="s">
        <v>466</v>
      </c>
      <c r="J67" s="118">
        <f t="shared" ref="J67:J73" si="10">+K67+L67</f>
        <v>4.9339237030000005</v>
      </c>
      <c r="K67" s="119">
        <f t="shared" ref="K67:K73" si="11">SUM(N67:Y67)</f>
        <v>4.9339237030000005</v>
      </c>
      <c r="L67" s="119">
        <f t="shared" ref="L67:L73" si="12">SUM(AA67:AL67)</f>
        <v>0</v>
      </c>
      <c r="N67" s="24"/>
      <c r="O67" s="24"/>
      <c r="P67" s="24"/>
      <c r="Q67" s="24"/>
      <c r="R67" s="24"/>
      <c r="S67" s="24"/>
      <c r="T67" s="24">
        <v>4.8830473110000003</v>
      </c>
      <c r="U67" s="24">
        <v>5.0876391999999999E-2</v>
      </c>
      <c r="V67" s="24"/>
      <c r="W67" s="24"/>
      <c r="X67" s="24"/>
      <c r="Y67" s="24"/>
    </row>
    <row r="68" spans="5:25" hidden="1">
      <c r="E68" s="6" t="s">
        <v>270</v>
      </c>
      <c r="F68" s="7" t="s">
        <v>19</v>
      </c>
      <c r="G68" s="6" t="s">
        <v>441</v>
      </c>
      <c r="H68" s="6" t="s">
        <v>481</v>
      </c>
      <c r="I68" s="6" t="s">
        <v>466</v>
      </c>
      <c r="J68" s="118">
        <f t="shared" si="10"/>
        <v>120.24202200000001</v>
      </c>
      <c r="K68" s="119">
        <f t="shared" si="11"/>
        <v>120.24202200000001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>
        <v>60</v>
      </c>
      <c r="U68" s="24">
        <v>60</v>
      </c>
      <c r="V68" s="24">
        <v>0.24202200000000001</v>
      </c>
      <c r="W68" s="24">
        <v>0</v>
      </c>
      <c r="X68" s="24"/>
      <c r="Y68" s="24"/>
    </row>
    <row r="69" spans="5:25" hidden="1">
      <c r="E69" s="6" t="s">
        <v>270</v>
      </c>
      <c r="F69" s="7" t="s">
        <v>19</v>
      </c>
      <c r="G69" s="6" t="s">
        <v>374</v>
      </c>
      <c r="H69" s="6" t="s">
        <v>317</v>
      </c>
      <c r="I69" s="6" t="s">
        <v>466</v>
      </c>
      <c r="J69" s="118">
        <f t="shared" si="10"/>
        <v>35.962951956999994</v>
      </c>
      <c r="K69" s="119">
        <f t="shared" si="11"/>
        <v>35.962951956999994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>
        <v>28.469028599999994</v>
      </c>
      <c r="V69" s="24">
        <v>1.1826547569999999</v>
      </c>
      <c r="W69" s="24">
        <v>6.3112686</v>
      </c>
      <c r="X69" s="24"/>
      <c r="Y69" s="24"/>
    </row>
    <row r="70" spans="5:25" hidden="1">
      <c r="E70" s="6" t="s">
        <v>489</v>
      </c>
      <c r="F70" s="7" t="s">
        <v>19</v>
      </c>
      <c r="G70" s="6" t="s">
        <v>379</v>
      </c>
      <c r="H70" s="6" t="s">
        <v>291</v>
      </c>
      <c r="I70" s="6" t="s">
        <v>466</v>
      </c>
      <c r="J70" s="118">
        <f t="shared" si="10"/>
        <v>7.6481220790000002</v>
      </c>
      <c r="K70" s="119">
        <f t="shared" si="11"/>
        <v>7.6481220790000002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>
        <v>7.6481220790000002</v>
      </c>
      <c r="U70" s="24"/>
      <c r="V70" s="24"/>
      <c r="W70" s="24"/>
      <c r="X70" s="24"/>
      <c r="Y70" s="24"/>
    </row>
    <row r="71" spans="5:25" hidden="1">
      <c r="E71" s="6" t="s">
        <v>570</v>
      </c>
      <c r="F71" s="7" t="s">
        <v>19</v>
      </c>
      <c r="G71" s="6" t="s">
        <v>237</v>
      </c>
      <c r="H71" s="6" t="s">
        <v>277</v>
      </c>
      <c r="I71" s="6" t="s">
        <v>466</v>
      </c>
      <c r="J71" s="118">
        <f t="shared" si="10"/>
        <v>0.42545250000000001</v>
      </c>
      <c r="K71" s="119">
        <f t="shared" si="11"/>
        <v>0.42545250000000001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>
        <v>0.42545250000000001</v>
      </c>
      <c r="V71" s="24"/>
      <c r="W71" s="24"/>
      <c r="X71" s="24"/>
      <c r="Y71" s="24"/>
    </row>
    <row r="72" spans="5:25" hidden="1">
      <c r="E72" s="6"/>
      <c r="F72" s="6"/>
      <c r="G72" s="6"/>
      <c r="H72" s="6"/>
      <c r="I72" s="6"/>
      <c r="J72" s="118">
        <f t="shared" si="10"/>
        <v>0</v>
      </c>
      <c r="K72" s="119">
        <f t="shared" si="11"/>
        <v>0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5:25" hidden="1">
      <c r="E73" s="6"/>
      <c r="F73" s="6"/>
      <c r="G73" s="6"/>
      <c r="H73" s="6"/>
      <c r="I73" s="6"/>
      <c r="J73" s="118">
        <f t="shared" si="10"/>
        <v>0</v>
      </c>
      <c r="K73" s="119">
        <f t="shared" si="11"/>
        <v>0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5:25" hidden="1">
      <c r="E74" s="6"/>
      <c r="F74" s="305" t="s">
        <v>19</v>
      </c>
      <c r="G74" s="305" t="s">
        <v>520</v>
      </c>
      <c r="H74" s="6"/>
      <c r="I74" s="6"/>
      <c r="J74" s="118">
        <f t="shared" ref="J74:J80" si="13">+K74+L74</f>
        <v>27</v>
      </c>
      <c r="K74" s="119">
        <f t="shared" ref="K74:K80" si="14">SUM(N74:Y74)</f>
        <v>27</v>
      </c>
      <c r="L74" s="119">
        <f t="shared" ref="L74:L80" si="15">SUM(AA67:AL67)</f>
        <v>0</v>
      </c>
      <c r="N74" s="24"/>
      <c r="O74" s="24"/>
      <c r="P74" s="24"/>
      <c r="Q74" s="24"/>
      <c r="R74" s="24"/>
      <c r="S74" s="344"/>
      <c r="T74" s="306"/>
      <c r="U74" s="306"/>
      <c r="V74" s="306">
        <v>27</v>
      </c>
      <c r="W74" s="24"/>
      <c r="X74" s="24"/>
      <c r="Y74" s="24"/>
    </row>
    <row r="75" spans="5:25" hidden="1">
      <c r="E75" s="6"/>
      <c r="F75" s="305" t="s">
        <v>19</v>
      </c>
      <c r="G75" s="305" t="s">
        <v>521</v>
      </c>
      <c r="H75" s="6"/>
      <c r="I75" s="6"/>
      <c r="J75" s="118">
        <f t="shared" si="13"/>
        <v>322</v>
      </c>
      <c r="K75" s="119">
        <f t="shared" si="14"/>
        <v>322</v>
      </c>
      <c r="L75" s="119">
        <f t="shared" si="15"/>
        <v>0</v>
      </c>
      <c r="N75" s="24"/>
      <c r="O75" s="24"/>
      <c r="P75" s="24"/>
      <c r="Q75" s="24"/>
      <c r="R75" s="24"/>
      <c r="S75" s="344"/>
      <c r="T75" s="306">
        <f>162-60</f>
        <v>102</v>
      </c>
      <c r="U75" s="344">
        <v>160</v>
      </c>
      <c r="V75" s="306">
        <v>60</v>
      </c>
      <c r="W75" s="24"/>
      <c r="X75" s="24"/>
      <c r="Y75" s="24"/>
    </row>
    <row r="76" spans="5:25" hidden="1">
      <c r="E76" s="6"/>
      <c r="F76" s="305" t="s">
        <v>19</v>
      </c>
      <c r="G76" s="305" t="s">
        <v>522</v>
      </c>
      <c r="H76" s="6"/>
      <c r="I76" s="6"/>
      <c r="J76" s="118">
        <f t="shared" si="13"/>
        <v>18</v>
      </c>
      <c r="K76" s="119">
        <f t="shared" si="14"/>
        <v>18</v>
      </c>
      <c r="L76" s="119">
        <f t="shared" si="15"/>
        <v>0</v>
      </c>
      <c r="N76" s="24"/>
      <c r="O76" s="24"/>
      <c r="P76" s="24"/>
      <c r="Q76" s="24"/>
      <c r="R76" s="24"/>
      <c r="S76" s="344"/>
      <c r="T76" s="306">
        <v>18</v>
      </c>
      <c r="U76" s="306"/>
      <c r="V76" s="306"/>
      <c r="W76" s="24"/>
      <c r="X76" s="24"/>
      <c r="Y76" s="24"/>
    </row>
    <row r="77" spans="5:25" hidden="1">
      <c r="E77" s="6"/>
      <c r="F77" s="305" t="s">
        <v>19</v>
      </c>
      <c r="G77" s="305" t="s">
        <v>523</v>
      </c>
      <c r="H77" s="6"/>
      <c r="I77" s="6"/>
      <c r="J77" s="118">
        <f t="shared" si="13"/>
        <v>17</v>
      </c>
      <c r="K77" s="119">
        <f t="shared" si="14"/>
        <v>17</v>
      </c>
      <c r="L77" s="119">
        <f t="shared" si="15"/>
        <v>0</v>
      </c>
      <c r="N77" s="24"/>
      <c r="O77" s="24"/>
      <c r="P77" s="24"/>
      <c r="Q77" s="24"/>
      <c r="R77" s="24"/>
      <c r="S77" s="344"/>
      <c r="T77" s="306"/>
      <c r="U77" s="306"/>
      <c r="V77" s="306">
        <v>17</v>
      </c>
      <c r="W77" s="24"/>
      <c r="X77" s="24"/>
      <c r="Y77" s="24"/>
    </row>
    <row r="78" spans="5:25" hidden="1">
      <c r="E78" s="6"/>
      <c r="F78" s="360" t="s">
        <v>19</v>
      </c>
      <c r="G78" s="360" t="s">
        <v>457</v>
      </c>
      <c r="H78" s="362"/>
      <c r="I78" s="362"/>
      <c r="J78" s="364">
        <f t="shared" si="13"/>
        <v>29</v>
      </c>
      <c r="K78" s="119">
        <f t="shared" si="14"/>
        <v>29</v>
      </c>
      <c r="L78" s="365">
        <f t="shared" si="15"/>
        <v>0</v>
      </c>
      <c r="N78" s="366"/>
      <c r="O78" s="366"/>
      <c r="P78" s="366"/>
      <c r="Q78" s="366"/>
      <c r="R78" s="366"/>
      <c r="S78" s="404"/>
      <c r="T78" s="404">
        <v>29</v>
      </c>
      <c r="U78" s="404"/>
      <c r="V78" s="404"/>
      <c r="W78" s="24"/>
      <c r="X78" s="24"/>
      <c r="Y78" s="24"/>
    </row>
    <row r="79" spans="5:25" hidden="1">
      <c r="E79" s="6"/>
      <c r="F79" s="360" t="s">
        <v>19</v>
      </c>
      <c r="G79" s="360" t="s">
        <v>555</v>
      </c>
      <c r="H79" s="11"/>
      <c r="I79" s="11"/>
      <c r="J79" s="118">
        <f t="shared" si="13"/>
        <v>7</v>
      </c>
      <c r="K79" s="119">
        <f t="shared" si="14"/>
        <v>7</v>
      </c>
      <c r="L79" s="119">
        <f t="shared" si="15"/>
        <v>0</v>
      </c>
      <c r="N79" s="24"/>
      <c r="O79" s="24"/>
      <c r="P79" s="24"/>
      <c r="Q79" s="24"/>
      <c r="R79" s="24"/>
      <c r="S79" s="24"/>
      <c r="T79" s="306">
        <v>7</v>
      </c>
      <c r="U79" s="24"/>
      <c r="V79" s="24"/>
      <c r="W79" s="24"/>
      <c r="X79" s="24"/>
      <c r="Y79" s="24"/>
    </row>
    <row r="80" spans="5:25" hidden="1">
      <c r="E80" s="6"/>
      <c r="F80" s="360" t="s">
        <v>19</v>
      </c>
      <c r="G80" s="360" t="s">
        <v>556</v>
      </c>
      <c r="H80" s="12"/>
      <c r="I80" s="12"/>
      <c r="J80" s="118">
        <f t="shared" si="13"/>
        <v>24</v>
      </c>
      <c r="K80" s="119">
        <f t="shared" si="14"/>
        <v>24</v>
      </c>
      <c r="L80" s="119">
        <f t="shared" si="15"/>
        <v>0</v>
      </c>
      <c r="N80" s="24"/>
      <c r="O80" s="24"/>
      <c r="P80" s="24"/>
      <c r="Q80" s="24"/>
      <c r="R80" s="24"/>
      <c r="S80" s="24"/>
      <c r="T80" s="306"/>
      <c r="U80" s="24"/>
      <c r="V80" s="306">
        <v>24</v>
      </c>
      <c r="W80" s="24"/>
      <c r="X80" s="24"/>
      <c r="Y80" s="24"/>
    </row>
    <row r="81" spans="5:25" hidden="1">
      <c r="E81" s="6"/>
      <c r="F81" s="7"/>
      <c r="G81" s="6"/>
      <c r="H81" s="12"/>
      <c r="I81" s="12"/>
      <c r="J81" s="118">
        <f t="shared" ref="J81:J82" si="16">+K81+L81</f>
        <v>0</v>
      </c>
      <c r="K81" s="119">
        <f t="shared" ref="K81:K82" si="17">SUM(N81:Y81)</f>
        <v>0</v>
      </c>
      <c r="L81" s="119">
        <f t="shared" ref="L81:L82" si="18">SUM(AA81:AL81)</f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 hidden="1">
      <c r="E82" s="13"/>
      <c r="F82" s="7"/>
      <c r="G82" s="6"/>
      <c r="H82" s="12"/>
      <c r="I82" s="12"/>
      <c r="J82" s="118">
        <f t="shared" si="16"/>
        <v>0</v>
      </c>
      <c r="K82" s="119">
        <f t="shared" si="17"/>
        <v>0</v>
      </c>
      <c r="L82" s="119">
        <f t="shared" si="18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5:25" hidden="1"/>
    <row r="84" spans="5:25" hidden="1"/>
    <row r="85" spans="5:25" hidden="1">
      <c r="E85" s="191" t="s">
        <v>320</v>
      </c>
      <c r="F85" s="216">
        <v>46174</v>
      </c>
      <c r="G85" s="192">
        <v>270</v>
      </c>
      <c r="H85" s="271" t="s">
        <v>321</v>
      </c>
    </row>
    <row r="86" spans="5:25" hidden="1">
      <c r="E86" s="195" t="s">
        <v>553</v>
      </c>
      <c r="F86" s="217"/>
      <c r="G86" s="196">
        <v>335</v>
      </c>
      <c r="H86" s="271" t="s">
        <v>321</v>
      </c>
    </row>
    <row r="87" spans="5:25" hidden="1">
      <c r="E87" s="195" t="s">
        <v>554</v>
      </c>
      <c r="F87" s="217"/>
      <c r="G87" s="196">
        <v>160</v>
      </c>
      <c r="H87" s="271" t="s">
        <v>321</v>
      </c>
    </row>
    <row r="88" spans="5:25" hidden="1">
      <c r="E88" s="191" t="s">
        <v>320</v>
      </c>
      <c r="F88" s="216">
        <v>46203</v>
      </c>
      <c r="G88" s="192">
        <f>G85+G86-G87</f>
        <v>445</v>
      </c>
      <c r="H88" s="271" t="s">
        <v>321</v>
      </c>
    </row>
    <row r="89" spans="5:25" hidden="1">
      <c r="E89" s="195"/>
      <c r="F89" s="217"/>
      <c r="G89" s="196"/>
      <c r="H89" s="271"/>
    </row>
    <row r="90" spans="5:25" hidden="1">
      <c r="E90" s="191"/>
      <c r="F90" s="216"/>
      <c r="G90" s="192"/>
      <c r="H90" s="271"/>
    </row>
    <row r="91" spans="5:25" hidden="1"/>
    <row r="92" spans="5:25" hidden="1">
      <c r="E92" s="446" t="s">
        <v>531</v>
      </c>
      <c r="F92" s="447"/>
      <c r="G92" s="447"/>
      <c r="H92" s="447"/>
    </row>
    <row r="93" spans="5:25" hidden="1">
      <c r="E93" s="219" t="s">
        <v>550</v>
      </c>
      <c r="F93" s="219"/>
      <c r="G93" s="202"/>
      <c r="H93" s="219" t="s">
        <v>325</v>
      </c>
    </row>
    <row r="94" spans="5:25" hidden="1">
      <c r="E94" s="416" t="s">
        <v>374</v>
      </c>
      <c r="F94" s="202"/>
      <c r="G94" s="202"/>
      <c r="H94" s="408">
        <v>22</v>
      </c>
    </row>
    <row r="95" spans="5:25" hidden="1">
      <c r="E95" s="414" t="s">
        <v>420</v>
      </c>
      <c r="F95" s="202"/>
      <c r="G95" s="202"/>
      <c r="H95" s="408">
        <v>46</v>
      </c>
    </row>
    <row r="96" spans="5:25" hidden="1">
      <c r="E96" s="415" t="s">
        <v>249</v>
      </c>
      <c r="F96" s="202"/>
      <c r="G96" s="202"/>
      <c r="H96" s="408">
        <v>140</v>
      </c>
    </row>
    <row r="97" spans="4:9" hidden="1">
      <c r="E97" s="416" t="s">
        <v>247</v>
      </c>
      <c r="F97" s="202"/>
      <c r="G97" s="202"/>
      <c r="H97" s="408">
        <v>15</v>
      </c>
    </row>
    <row r="98" spans="4:9" hidden="1">
      <c r="E98" s="416" t="s">
        <v>441</v>
      </c>
      <c r="F98" s="202"/>
      <c r="G98" s="202"/>
      <c r="H98" s="417">
        <f>94</f>
        <v>94</v>
      </c>
    </row>
    <row r="99" spans="4:9" hidden="1">
      <c r="E99" s="410"/>
      <c r="F99" s="202"/>
      <c r="G99" s="202"/>
      <c r="H99" s="408"/>
    </row>
    <row r="100" spans="4:9" hidden="1">
      <c r="E100" s="356" t="s">
        <v>344</v>
      </c>
      <c r="F100" s="202"/>
      <c r="G100" s="202"/>
      <c r="H100" s="408">
        <f>SUM(H94:H99)</f>
        <v>317</v>
      </c>
    </row>
    <row r="101" spans="4:9" hidden="1">
      <c r="D101" s="227"/>
      <c r="E101" s="227"/>
      <c r="F101" s="278"/>
      <c r="G101" s="227"/>
      <c r="H101" s="280"/>
      <c r="I101" s="280"/>
    </row>
    <row r="102" spans="4:9" hidden="1">
      <c r="D102" s="227"/>
      <c r="E102" s="227"/>
      <c r="F102" s="278"/>
      <c r="G102" s="227"/>
      <c r="H102" s="280"/>
      <c r="I102" s="280"/>
    </row>
    <row r="103" spans="4:9" hidden="1">
      <c r="D103" s="227"/>
      <c r="E103" s="227"/>
      <c r="F103" s="227"/>
      <c r="G103" s="295"/>
      <c r="H103" s="280"/>
      <c r="I103" s="280"/>
    </row>
    <row r="104" spans="4:9" hidden="1">
      <c r="D104" s="227"/>
      <c r="E104" s="227"/>
      <c r="F104" s="227"/>
      <c r="G104" s="295"/>
      <c r="H104" s="280"/>
      <c r="I104" s="280"/>
    </row>
    <row r="105" spans="4:9" hidden="1">
      <c r="D105" s="227"/>
      <c r="E105" s="227"/>
      <c r="F105" s="227"/>
      <c r="G105" s="295"/>
      <c r="H105" s="280"/>
      <c r="I105" s="280"/>
    </row>
    <row r="106" spans="4:9" hidden="1">
      <c r="D106" s="227"/>
      <c r="E106" s="227"/>
      <c r="F106" s="227"/>
      <c r="G106" s="295"/>
      <c r="H106" s="280"/>
      <c r="I106" s="280"/>
    </row>
    <row r="107" spans="4:9" hidden="1">
      <c r="D107" s="227"/>
      <c r="E107" s="227" t="s">
        <v>330</v>
      </c>
      <c r="F107" s="227"/>
      <c r="G107" s="295">
        <f>'W28'!J19</f>
        <v>3233.1982481830005</v>
      </c>
      <c r="H107" s="280"/>
      <c r="I107" s="280"/>
    </row>
    <row r="108" spans="4:9" hidden="1">
      <c r="D108" s="227"/>
      <c r="E108" s="227" t="s">
        <v>331</v>
      </c>
      <c r="F108" s="227"/>
      <c r="G108" s="295">
        <f>H100</f>
        <v>317</v>
      </c>
      <c r="H108" s="280"/>
      <c r="I108" s="280"/>
    </row>
    <row r="109" spans="4:9" hidden="1">
      <c r="D109" s="227"/>
      <c r="E109" s="227" t="s">
        <v>332</v>
      </c>
      <c r="F109" s="227"/>
      <c r="G109" s="295">
        <f>J12-'W28'!J12</f>
        <v>342</v>
      </c>
      <c r="H109" s="280"/>
      <c r="I109" s="280"/>
    </row>
    <row r="110" spans="4:9" hidden="1">
      <c r="D110" s="227"/>
      <c r="E110" s="227" t="s">
        <v>333</v>
      </c>
      <c r="F110" s="227"/>
      <c r="G110" s="295">
        <f>G107+G108-G109</f>
        <v>3208.1982481830005</v>
      </c>
      <c r="H110" s="280"/>
      <c r="I110" s="413"/>
    </row>
    <row r="111" spans="4:9" hidden="1">
      <c r="D111" s="227"/>
      <c r="E111" s="227" t="s">
        <v>334</v>
      </c>
      <c r="F111" s="227"/>
      <c r="G111" s="295">
        <f>J19</f>
        <v>3228.0777559229996</v>
      </c>
      <c r="H111" s="280"/>
      <c r="I111" s="280"/>
    </row>
    <row r="112" spans="4:9" hidden="1">
      <c r="D112" s="227"/>
      <c r="E112" s="227" t="s">
        <v>335</v>
      </c>
      <c r="F112" s="227"/>
      <c r="G112" s="296">
        <f>G111-G110</f>
        <v>19.879507739999099</v>
      </c>
      <c r="H112" s="280"/>
      <c r="I112" s="280"/>
    </row>
    <row r="113" spans="5:9" hidden="1">
      <c r="E113" s="227"/>
      <c r="F113" s="278"/>
      <c r="G113" s="227"/>
      <c r="H113" s="280"/>
      <c r="I113" s="280"/>
    </row>
    <row r="114" spans="5:9" hidden="1">
      <c r="E114" s="227"/>
      <c r="F114" s="278"/>
      <c r="G114" s="227"/>
      <c r="H114" s="280"/>
      <c r="I114" s="280"/>
    </row>
    <row r="115" spans="5:9" hidden="1">
      <c r="E115" s="227"/>
      <c r="F115" s="278"/>
      <c r="G115" s="227"/>
      <c r="H115" s="280"/>
      <c r="I115" s="280"/>
    </row>
    <row r="116" spans="5:9" hidden="1">
      <c r="E116" s="227"/>
      <c r="F116" s="278"/>
      <c r="G116" s="227"/>
      <c r="H116" s="280"/>
      <c r="I116" s="280"/>
    </row>
    <row r="117" spans="5:9" hidden="1">
      <c r="E117" s="227"/>
      <c r="F117" s="278"/>
      <c r="G117" s="227"/>
      <c r="H117" s="280"/>
      <c r="I117" s="280"/>
    </row>
    <row r="118" spans="5:9" hidden="1">
      <c r="E118" s="227"/>
      <c r="F118" s="278"/>
      <c r="G118" s="227"/>
      <c r="H118" s="280"/>
      <c r="I118" s="280"/>
    </row>
    <row r="119" spans="5:9" hidden="1">
      <c r="E119" s="227"/>
      <c r="F119" s="278"/>
      <c r="G119" s="227"/>
      <c r="H119" s="280"/>
      <c r="I119" s="280"/>
    </row>
    <row r="120" spans="5:9" hidden="1">
      <c r="E120" s="227"/>
      <c r="F120" s="278"/>
      <c r="G120" s="227"/>
      <c r="H120" s="280"/>
      <c r="I120" s="280"/>
    </row>
    <row r="121" spans="5:9" hidden="1">
      <c r="E121" s="227"/>
      <c r="F121" s="278"/>
      <c r="G121" s="227"/>
      <c r="H121" s="280"/>
      <c r="I121" s="280"/>
    </row>
    <row r="122" spans="5:9" hidden="1">
      <c r="E122" s="227"/>
      <c r="F122" s="278"/>
      <c r="G122" s="227"/>
      <c r="H122" s="280"/>
      <c r="I122" s="280"/>
    </row>
    <row r="123" spans="5:9" hidden="1">
      <c r="E123" s="227"/>
      <c r="F123" s="278"/>
      <c r="G123" s="227"/>
      <c r="H123" s="280"/>
      <c r="I123" s="280"/>
    </row>
    <row r="124" spans="5:9" hidden="1"/>
    <row r="125" spans="5:9" hidden="1"/>
    <row r="126" spans="5:9" hidden="1"/>
    <row r="127" spans="5:9" hidden="1"/>
    <row r="128" spans="5:9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</sheetData>
  <sheetProtection formatCells="0" formatColumns="0" formatRows="0" insertRows="0" deleteRows="0" autoFilter="0"/>
  <autoFilter ref="E23:AL227" xr:uid="{00000000-0009-0000-0000-00001F000000}">
    <filterColumn colId="2">
      <filters>
        <filter val="Dior"/>
      </filters>
    </filterColumn>
  </autoFilter>
  <mergeCells count="2">
    <mergeCell ref="I4:J4"/>
    <mergeCell ref="E92:H92"/>
  </mergeCells>
  <phoneticPr fontId="40"/>
  <dataValidations count="2">
    <dataValidation type="list" allowBlank="1" showInputMessage="1" showErrorMessage="1" sqref="G2" xr:uid="{00000000-0002-0000-1F00-000000000000}">
      <formula1>SOCIETE</formula1>
    </dataValidation>
    <dataValidation type="list" allowBlank="1" showInputMessage="1" showErrorMessage="1" sqref="F93 G67:I73 F24:F82" xr:uid="{B0196D82-0A37-4ED6-BE21-06BBC3D40640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07:G112" unlockedFormula="1"/>
  </ignoredErrors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3">
    <tabColor theme="3" tint="0.59999389629810485"/>
    <pageSetUpPr fitToPage="1"/>
  </sheetPr>
  <dimension ref="D1:AL120"/>
  <sheetViews>
    <sheetView showGridLines="0" topLeftCell="A97" zoomScale="80" zoomScaleNormal="80" workbookViewId="0">
      <selection activeCell="E108" sqref="E108:H117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124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5.6" customHeight="1" thickBot="1">
      <c r="E6" s="164" t="s">
        <v>219</v>
      </c>
      <c r="G6" s="163" t="str">
        <f>+VLOOKUP(G4, parameters!G:H, 2, 0)</f>
        <v>July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3.95" hidden="1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6.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July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W30</v>
      </c>
      <c r="I9" s="61"/>
      <c r="J9" s="161" t="str">
        <f>+"from "&amp;G6&amp;" 1 until end of "&amp;G4</f>
        <v>from July 1 until end of W30</v>
      </c>
      <c r="K9" s="79"/>
      <c r="L9" s="167" t="str">
        <f>+G6</f>
        <v>July</v>
      </c>
      <c r="M9" s="80"/>
      <c r="N9" s="80"/>
      <c r="O9" s="172" t="str">
        <f>+G4</f>
        <v>W30</v>
      </c>
      <c r="P9" s="173" t="str">
        <f>+VLOOKUP(G4, parameters!$G$9:$I$61,3,0)</f>
        <v>W29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600+320+797+430+396+688+J10</f>
        <v>3982</v>
      </c>
      <c r="I10" s="61"/>
      <c r="J10" s="159">
        <f>1000-102-J11-28</f>
        <v>751</v>
      </c>
      <c r="L10" s="159">
        <f>T17+J10</f>
        <v>980.34125521800001</v>
      </c>
      <c r="N10" s="55"/>
      <c r="O10" s="170">
        <f>+H10+K17</f>
        <v>7196.7256405319986</v>
      </c>
      <c r="P10" s="171" cm="1">
        <f t="array" aca="1" ref="P10" ca="1">INDIRECT(ADDRESS(10,15,,,VLOOKUP($G$4,parameters!$G:$I,3,0)))</f>
        <v>7059.3343962299996</v>
      </c>
      <c r="Q10" s="183">
        <f ca="1">O10-P10</f>
        <v>137.391244301999</v>
      </c>
      <c r="R10" s="86"/>
    </row>
    <row r="11" spans="5:38" ht="20.45" customHeight="1">
      <c r="E11" s="87" t="s">
        <v>224</v>
      </c>
      <c r="F11" s="88"/>
      <c r="G11" s="89"/>
      <c r="H11" s="16">
        <f>13+8+3+3+2+14+J11</f>
        <v>162</v>
      </c>
      <c r="I11" s="61"/>
      <c r="J11" s="16">
        <v>119</v>
      </c>
      <c r="L11" s="159">
        <f>T18+J11</f>
        <v>119</v>
      </c>
      <c r="N11" s="55"/>
      <c r="O11" s="152">
        <f>+H11+K18</f>
        <v>191.743359693</v>
      </c>
      <c r="P11" s="153" cm="1">
        <f t="array" aca="1" ref="P11" ca="1">INDIRECT(ADDRESS(11,15,,,VLOOKUP($G$4,parameters!$G:$I,3,0)))</f>
        <v>191.743359693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4144</v>
      </c>
      <c r="I12" s="293"/>
      <c r="J12" s="126">
        <f>SUM(J10:J11)</f>
        <v>870</v>
      </c>
      <c r="K12" s="65"/>
      <c r="L12" s="126">
        <f>SUM(L10:L11)</f>
        <v>1099.341255218</v>
      </c>
      <c r="M12" s="65"/>
      <c r="N12" s="65"/>
      <c r="O12" s="154">
        <f>SUM(O10:O11)</f>
        <v>7388.469000224999</v>
      </c>
      <c r="P12" s="155">
        <f ca="1">SUM(P10:P11)</f>
        <v>7251.0777559229991</v>
      </c>
      <c r="Q12" s="156">
        <f t="shared" ca="1" si="0"/>
        <v>137.3912443019999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+SUMIF($F$24:$F$89,"External",$J$24:$J$89)</f>
        <v>3214.725640531999</v>
      </c>
      <c r="K17" s="108">
        <f>+SUMIF($F$24:$F$89,"External",$K$24:$K$89)</f>
        <v>3214.725640531999</v>
      </c>
      <c r="L17" s="109">
        <f>+SUMIF($F$24:$F$89,"External",$L$24:$L$89)</f>
        <v>0</v>
      </c>
      <c r="M17" s="110"/>
      <c r="N17" s="111">
        <f t="shared" ref="N17:Y17" si="1">+SUMIF($F$24:$F$89,"External",N$24:N$89)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229.34125521799999</v>
      </c>
      <c r="U17" s="111">
        <f t="shared" si="1"/>
        <v>1208.1565960390001</v>
      </c>
      <c r="V17" s="111">
        <f t="shared" si="1"/>
        <v>1266.0592344689999</v>
      </c>
      <c r="W17" s="111">
        <f t="shared" si="1"/>
        <v>135.84679593800004</v>
      </c>
      <c r="X17" s="111">
        <f t="shared" si="1"/>
        <v>296.05073146799998</v>
      </c>
      <c r="Y17" s="111">
        <f t="shared" si="1"/>
        <v>79.271027399999994</v>
      </c>
      <c r="Z17" s="112"/>
      <c r="AA17" s="111">
        <f t="shared" ref="AA17:AL17" si="2">+SUMIF($F$24:$F$89,"External",AA$24:AA$89)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+SUMIF($F$24:$F$89,"Group",$J$24:$J$89)</f>
        <v>29.743359692999999</v>
      </c>
      <c r="K18" s="113">
        <f>+SUMIF($F$24:$F$89,"Group",$K$24:$K$89)</f>
        <v>29.743359692999999</v>
      </c>
      <c r="L18" s="114">
        <f>SUMIF($F$24:$F$89,"Group",$L$24:$L$89)</f>
        <v>0</v>
      </c>
      <c r="M18" s="110"/>
      <c r="N18" s="114">
        <f t="shared" ref="N18:Y18" si="3">+SUMIF($F$24:$F$89,"Group",N$24:N$89)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29.743359692999999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+SUMIF($F$24:$F$89,"Group",AA$24:AA$89)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3244.469000224999</v>
      </c>
      <c r="K19" s="115">
        <f>SUM(K17:K18)</f>
        <v>3244.469000224999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229.34125521799999</v>
      </c>
      <c r="U19" s="116">
        <f t="shared" si="5"/>
        <v>1237.8999557320001</v>
      </c>
      <c r="V19" s="116">
        <f t="shared" si="5"/>
        <v>1266.0592344689999</v>
      </c>
      <c r="W19" s="116">
        <f t="shared" si="5"/>
        <v>135.84679593800004</v>
      </c>
      <c r="X19" s="116">
        <f t="shared" si="5"/>
        <v>296.05073146799998</v>
      </c>
      <c r="Y19" s="116">
        <f t="shared" si="5"/>
        <v>79.271027399999994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557</v>
      </c>
      <c r="F24" s="7" t="s">
        <v>19</v>
      </c>
      <c r="G24" s="6" t="s">
        <v>561</v>
      </c>
      <c r="H24" s="187" t="s">
        <v>559</v>
      </c>
      <c r="I24" s="187" t="s">
        <v>472</v>
      </c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0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6" t="s">
        <v>19</v>
      </c>
      <c r="G25" s="6" t="s">
        <v>239</v>
      </c>
      <c r="H25" s="6" t="s">
        <v>278</v>
      </c>
      <c r="I25" s="6" t="s">
        <v>466</v>
      </c>
      <c r="J25" s="118">
        <f t="shared" ref="J25:J88" si="10">+K25+L25</f>
        <v>6.4492737049999995</v>
      </c>
      <c r="K25" s="119">
        <f t="shared" ref="K25:K88" si="11">SUM(N25:Y25)</f>
        <v>6.4492737049999995</v>
      </c>
      <c r="L25" s="119">
        <f t="shared" ref="L25:L81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>
        <v>4.7944134859999998</v>
      </c>
      <c r="X25" s="24">
        <v>1.6548602190000001</v>
      </c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6" t="s">
        <v>19</v>
      </c>
      <c r="G26" s="6" t="s">
        <v>237</v>
      </c>
      <c r="H26" s="6" t="s">
        <v>277</v>
      </c>
      <c r="I26" s="6" t="s">
        <v>466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>
        <v>8.2520863759999994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571</v>
      </c>
      <c r="F27" s="6" t="s">
        <v>19</v>
      </c>
      <c r="G27" s="6" t="s">
        <v>529</v>
      </c>
      <c r="H27" s="6" t="s">
        <v>530</v>
      </c>
      <c r="I27" s="6" t="s">
        <v>472</v>
      </c>
      <c r="J27" s="118">
        <f t="shared" si="10"/>
        <v>299.96420974100005</v>
      </c>
      <c r="K27" s="119">
        <f t="shared" si="11"/>
        <v>299.96420974100005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299.96420974100005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470</v>
      </c>
      <c r="F28" s="6" t="s">
        <v>19</v>
      </c>
      <c r="G28" s="6" t="s">
        <v>279</v>
      </c>
      <c r="H28" s="6" t="s">
        <v>280</v>
      </c>
      <c r="I28" s="6" t="s">
        <v>472</v>
      </c>
      <c r="J28" s="118">
        <f t="shared" si="10"/>
        <v>341.04746650600009</v>
      </c>
      <c r="K28" s="119">
        <f t="shared" si="11"/>
        <v>341.04746650600009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>
        <v>192.89139951200005</v>
      </c>
      <c r="V28" s="24"/>
      <c r="W28" s="24"/>
      <c r="X28" s="24">
        <v>148.15606699400001</v>
      </c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6" t="s">
        <v>19</v>
      </c>
      <c r="G29" s="6" t="s">
        <v>282</v>
      </c>
      <c r="H29" s="6" t="s">
        <v>283</v>
      </c>
      <c r="I29" s="6" t="s">
        <v>466</v>
      </c>
      <c r="J29" s="118">
        <f t="shared" si="10"/>
        <v>0.69174142800000005</v>
      </c>
      <c r="K29" s="119">
        <f t="shared" si="11"/>
        <v>0.69174142800000005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>
        <v>0.69174142800000005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6" t="s">
        <v>19</v>
      </c>
      <c r="G30" s="6" t="s">
        <v>282</v>
      </c>
      <c r="H30" s="6" t="s">
        <v>283</v>
      </c>
      <c r="I30" s="6" t="s">
        <v>472</v>
      </c>
      <c r="J30" s="118">
        <f t="shared" si="10"/>
        <v>23.295192105999998</v>
      </c>
      <c r="K30" s="119">
        <f t="shared" si="11"/>
        <v>23.295192105999998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>
        <v>23.295192105999998</v>
      </c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6" t="s">
        <v>19</v>
      </c>
      <c r="G31" s="6" t="s">
        <v>493</v>
      </c>
      <c r="H31" s="6" t="s">
        <v>339</v>
      </c>
      <c r="I31" s="6" t="s">
        <v>472</v>
      </c>
      <c r="J31" s="118">
        <f t="shared" si="10"/>
        <v>5.677604444</v>
      </c>
      <c r="K31" s="119">
        <f t="shared" si="11"/>
        <v>5.677604444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>
        <v>3.3675969889999999</v>
      </c>
      <c r="U31" s="24">
        <v>2.310007455</v>
      </c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6" t="s">
        <v>17</v>
      </c>
      <c r="G32" s="6" t="s">
        <v>493</v>
      </c>
      <c r="H32" s="6" t="s">
        <v>339</v>
      </c>
      <c r="I32" s="6" t="s">
        <v>472</v>
      </c>
      <c r="J32" s="118">
        <f t="shared" si="10"/>
        <v>29.743359692999999</v>
      </c>
      <c r="K32" s="119">
        <f t="shared" si="11"/>
        <v>29.743359692999999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>
        <v>29.743359692999999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474</v>
      </c>
      <c r="F33" s="6" t="s">
        <v>19</v>
      </c>
      <c r="G33" s="6" t="s">
        <v>279</v>
      </c>
      <c r="H33" s="6" t="s">
        <v>280</v>
      </c>
      <c r="I33" s="6" t="s">
        <v>472</v>
      </c>
      <c r="J33" s="118">
        <f t="shared" si="10"/>
        <v>114.986673357</v>
      </c>
      <c r="K33" s="119">
        <f t="shared" si="11"/>
        <v>114.986673357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>
        <v>114.986673357</v>
      </c>
      <c r="V33" s="24"/>
      <c r="W33" s="24"/>
      <c r="X33" s="24"/>
      <c r="Y33" s="24"/>
    </row>
    <row r="34" spans="5:25">
      <c r="E34" s="6" t="s">
        <v>475</v>
      </c>
      <c r="F34" s="6" t="s">
        <v>19</v>
      </c>
      <c r="G34" s="6" t="s">
        <v>245</v>
      </c>
      <c r="H34" s="6" t="s">
        <v>288</v>
      </c>
      <c r="I34" s="6" t="s">
        <v>466</v>
      </c>
      <c r="J34" s="118">
        <f t="shared" si="10"/>
        <v>5.0478331880000002</v>
      </c>
      <c r="K34" s="119">
        <f t="shared" si="11"/>
        <v>5.0478331880000002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>
        <v>5.0478331880000002</v>
      </c>
      <c r="V34" s="24"/>
      <c r="W34" s="24"/>
      <c r="X34" s="24"/>
      <c r="Y34" s="24"/>
    </row>
    <row r="35" spans="5:25">
      <c r="E35" s="6" t="s">
        <v>476</v>
      </c>
      <c r="F35" s="6" t="s">
        <v>19</v>
      </c>
      <c r="G35" s="6" t="s">
        <v>247</v>
      </c>
      <c r="H35" s="6" t="s">
        <v>289</v>
      </c>
      <c r="I35" s="6" t="s">
        <v>466</v>
      </c>
      <c r="J35" s="118">
        <f t="shared" si="10"/>
        <v>139.0848575419999</v>
      </c>
      <c r="K35" s="119">
        <f t="shared" si="11"/>
        <v>139.0848575419999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>
        <v>20.281919299999998</v>
      </c>
      <c r="U35" s="24">
        <f>52.0383301109999+3.4881</f>
        <v>55.526430110999904</v>
      </c>
      <c r="V35" s="24">
        <v>17.540828131000001</v>
      </c>
      <c r="W35" s="24">
        <v>11.99428</v>
      </c>
      <c r="X35" s="24">
        <v>7.1178600000000003</v>
      </c>
      <c r="Y35" s="24">
        <v>26.623539999999998</v>
      </c>
    </row>
    <row r="36" spans="5:25">
      <c r="E36" s="6" t="s">
        <v>476</v>
      </c>
      <c r="F36" s="6" t="s">
        <v>19</v>
      </c>
      <c r="G36" s="6" t="s">
        <v>379</v>
      </c>
      <c r="H36" s="6" t="s">
        <v>291</v>
      </c>
      <c r="I36" s="6" t="s">
        <v>466</v>
      </c>
      <c r="J36" s="118">
        <f t="shared" si="10"/>
        <v>132.44566793199999</v>
      </c>
      <c r="K36" s="119">
        <f t="shared" si="11"/>
        <v>132.44566793199999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>
        <v>16.453380955999997</v>
      </c>
      <c r="U36" s="24">
        <v>28.906766967000003</v>
      </c>
      <c r="V36" s="24">
        <v>41.037860008999999</v>
      </c>
      <c r="W36" s="24">
        <v>23.023830000000004</v>
      </c>
      <c r="X36" s="24">
        <v>13.010380000000001</v>
      </c>
      <c r="Y36" s="24">
        <v>10.013450000000001</v>
      </c>
    </row>
    <row r="37" spans="5:25">
      <c r="E37" s="6" t="s">
        <v>476</v>
      </c>
      <c r="F37" s="6" t="s">
        <v>19</v>
      </c>
      <c r="G37" s="6" t="s">
        <v>454</v>
      </c>
      <c r="H37" s="6" t="s">
        <v>292</v>
      </c>
      <c r="I37" s="6" t="s">
        <v>466</v>
      </c>
      <c r="J37" s="118">
        <f t="shared" si="10"/>
        <v>69.820960038999999</v>
      </c>
      <c r="K37" s="119">
        <f t="shared" si="11"/>
        <v>69.820960038999999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>
        <v>8.9840194390000008</v>
      </c>
      <c r="U37" s="24">
        <v>5</v>
      </c>
      <c r="V37" s="24">
        <v>7.2454200000000002</v>
      </c>
      <c r="W37" s="24">
        <v>34.100680599999997</v>
      </c>
      <c r="X37" s="24">
        <v>7.2454200000000002</v>
      </c>
      <c r="Y37" s="24">
        <v>7.2454200000000002</v>
      </c>
    </row>
    <row r="38" spans="5:25">
      <c r="E38" s="6" t="s">
        <v>476</v>
      </c>
      <c r="F38" s="6" t="s">
        <v>19</v>
      </c>
      <c r="G38" s="6" t="s">
        <v>293</v>
      </c>
      <c r="H38" s="6" t="s">
        <v>294</v>
      </c>
      <c r="I38" s="6" t="s">
        <v>466</v>
      </c>
      <c r="J38" s="118">
        <f t="shared" si="10"/>
        <v>4.1121284999999999</v>
      </c>
      <c r="K38" s="119">
        <f t="shared" si="11"/>
        <v>4.1121284999999999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>
        <v>0.14750250000000001</v>
      </c>
      <c r="U38" s="24"/>
      <c r="V38" s="24"/>
      <c r="W38" s="24"/>
      <c r="X38" s="24">
        <v>1.982313</v>
      </c>
      <c r="Y38" s="24">
        <v>1.982313</v>
      </c>
    </row>
    <row r="39" spans="5:25">
      <c r="E39" s="6" t="s">
        <v>476</v>
      </c>
      <c r="F39" s="6" t="s">
        <v>19</v>
      </c>
      <c r="G39" s="6" t="s">
        <v>447</v>
      </c>
      <c r="H39" s="6" t="s">
        <v>448</v>
      </c>
      <c r="I39" s="6" t="s">
        <v>466</v>
      </c>
      <c r="J39" s="118">
        <f t="shared" si="10"/>
        <v>92.792050799999998</v>
      </c>
      <c r="K39" s="119">
        <f t="shared" si="11"/>
        <v>92.792050799999998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>
        <v>6.8979255000000004</v>
      </c>
      <c r="U39" s="24">
        <f>22.6509589+18.08</f>
        <v>40.730958899999997</v>
      </c>
      <c r="V39" s="24">
        <v>20.704044400000001</v>
      </c>
      <c r="W39" s="24">
        <v>4.8918244</v>
      </c>
      <c r="X39" s="24">
        <v>14.675473199999999</v>
      </c>
      <c r="Y39" s="24">
        <v>4.8918244</v>
      </c>
    </row>
    <row r="40" spans="5:25">
      <c r="E40" s="6" t="s">
        <v>476</v>
      </c>
      <c r="F40" s="6" t="s">
        <v>19</v>
      </c>
      <c r="G40" s="6" t="s">
        <v>252</v>
      </c>
      <c r="H40" s="6" t="s">
        <v>295</v>
      </c>
      <c r="I40" s="6" t="s">
        <v>466</v>
      </c>
      <c r="J40" s="118">
        <f t="shared" si="10"/>
        <v>35.577202381999996</v>
      </c>
      <c r="K40" s="119">
        <f t="shared" si="11"/>
        <v>35.577202381999996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>
        <v>25.034695281999994</v>
      </c>
      <c r="U40" s="24">
        <v>10.185007100000002</v>
      </c>
      <c r="V40" s="24"/>
      <c r="W40" s="24">
        <v>0.35749999999999998</v>
      </c>
      <c r="X40" s="24"/>
      <c r="Y40" s="24"/>
    </row>
    <row r="41" spans="5:25">
      <c r="E41" s="6" t="s">
        <v>476</v>
      </c>
      <c r="F41" s="6" t="s">
        <v>19</v>
      </c>
      <c r="G41" s="6" t="s">
        <v>245</v>
      </c>
      <c r="H41" s="6" t="s">
        <v>288</v>
      </c>
      <c r="I41" s="6" t="s">
        <v>466</v>
      </c>
      <c r="J41" s="118">
        <f t="shared" si="10"/>
        <v>17.780452880000002</v>
      </c>
      <c r="K41" s="119">
        <f t="shared" si="11"/>
        <v>17.780452880000002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>
        <v>8.4195932999999989</v>
      </c>
      <c r="U41" s="24">
        <f>6.912046222+0.87</f>
        <v>7.782046222</v>
      </c>
      <c r="V41" s="24">
        <v>1.5788133580000001</v>
      </c>
      <c r="W41" s="24"/>
      <c r="X41" s="24"/>
      <c r="Y41" s="24"/>
    </row>
    <row r="42" spans="5:25">
      <c r="E42" s="6" t="s">
        <v>476</v>
      </c>
      <c r="F42" s="6" t="s">
        <v>19</v>
      </c>
      <c r="G42" s="6" t="s">
        <v>378</v>
      </c>
      <c r="H42" s="6" t="s">
        <v>290</v>
      </c>
      <c r="I42" s="6" t="s">
        <v>466</v>
      </c>
      <c r="J42" s="118">
        <f t="shared" si="10"/>
        <v>119.07915346899999</v>
      </c>
      <c r="K42" s="119">
        <f t="shared" si="11"/>
        <v>119.07915346899999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>
        <v>14.257239999999999</v>
      </c>
      <c r="U42" s="24">
        <f>24.814776769+5.075+9.91</f>
        <v>39.799776769000005</v>
      </c>
      <c r="V42" s="24">
        <v>10.630462099999999</v>
      </c>
      <c r="W42" s="24">
        <v>15.184264599999999</v>
      </c>
      <c r="X42" s="24">
        <v>10.69293</v>
      </c>
      <c r="Y42" s="24">
        <v>28.514479999999995</v>
      </c>
    </row>
    <row r="43" spans="5:25">
      <c r="E43" s="6" t="s">
        <v>477</v>
      </c>
      <c r="F43" s="6" t="s">
        <v>19</v>
      </c>
      <c r="G43" s="6" t="s">
        <v>454</v>
      </c>
      <c r="H43" s="6" t="s">
        <v>292</v>
      </c>
      <c r="I43" s="6" t="s">
        <v>466</v>
      </c>
      <c r="J43" s="118">
        <f t="shared" si="10"/>
        <v>10.006058019999999</v>
      </c>
      <c r="K43" s="119">
        <f t="shared" si="11"/>
        <v>10.006058019999999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>
        <v>10.006058019999999</v>
      </c>
      <c r="W43" s="24"/>
      <c r="X43" s="24"/>
      <c r="Y43" s="24"/>
    </row>
    <row r="44" spans="5:25">
      <c r="E44" s="6" t="s">
        <v>478</v>
      </c>
      <c r="F44" s="6" t="s">
        <v>19</v>
      </c>
      <c r="G44" s="6" t="s">
        <v>245</v>
      </c>
      <c r="H44" s="6" t="s">
        <v>288</v>
      </c>
      <c r="I44" s="6" t="s">
        <v>466</v>
      </c>
      <c r="J44" s="118">
        <f t="shared" si="10"/>
        <v>62</v>
      </c>
      <c r="K44" s="119">
        <f t="shared" si="11"/>
        <v>62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62</v>
      </c>
      <c r="W44" s="24"/>
      <c r="X44" s="24"/>
      <c r="Y44" s="24"/>
    </row>
    <row r="45" spans="5:25">
      <c r="E45" s="6" t="s">
        <v>414</v>
      </c>
      <c r="F45" s="6" t="s">
        <v>19</v>
      </c>
      <c r="G45" s="6" t="s">
        <v>245</v>
      </c>
      <c r="H45" s="6" t="s">
        <v>288</v>
      </c>
      <c r="I45" s="6" t="s">
        <v>466</v>
      </c>
      <c r="J45" s="118">
        <f t="shared" si="10"/>
        <v>58</v>
      </c>
      <c r="K45" s="119">
        <f t="shared" si="11"/>
        <v>58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58</v>
      </c>
      <c r="W45" s="24"/>
      <c r="X45" s="24"/>
      <c r="Y45" s="24"/>
    </row>
    <row r="46" spans="5:25">
      <c r="E46" s="6" t="s">
        <v>417</v>
      </c>
      <c r="F46" s="6" t="s">
        <v>19</v>
      </c>
      <c r="G46" s="6" t="s">
        <v>282</v>
      </c>
      <c r="H46" s="6" t="s">
        <v>283</v>
      </c>
      <c r="I46" s="6" t="s">
        <v>466</v>
      </c>
      <c r="J46" s="118">
        <f t="shared" si="10"/>
        <v>1.9666872719999999</v>
      </c>
      <c r="K46" s="119">
        <f t="shared" si="11"/>
        <v>1.9666872719999999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>
        <v>1.9666872719999999</v>
      </c>
      <c r="X46" s="24"/>
      <c r="Y46" s="24"/>
    </row>
    <row r="47" spans="5:25">
      <c r="E47" s="6" t="s">
        <v>417</v>
      </c>
      <c r="F47" s="6" t="s">
        <v>19</v>
      </c>
      <c r="G47" s="6" t="s">
        <v>500</v>
      </c>
      <c r="H47" s="6" t="s">
        <v>305</v>
      </c>
      <c r="I47" s="6" t="s">
        <v>472</v>
      </c>
      <c r="J47" s="118">
        <f t="shared" si="10"/>
        <v>19.768845337000002</v>
      </c>
      <c r="K47" s="119">
        <f t="shared" si="11"/>
        <v>19.768845337000002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>
        <v>19.768845337000002</v>
      </c>
      <c r="V47" s="24"/>
      <c r="W47" s="24"/>
      <c r="X47" s="24"/>
      <c r="Y47" s="24"/>
    </row>
    <row r="48" spans="5:25">
      <c r="E48" s="6" t="s">
        <v>457</v>
      </c>
      <c r="F48" s="6" t="s">
        <v>19</v>
      </c>
      <c r="G48" s="6" t="s">
        <v>374</v>
      </c>
      <c r="H48" s="6" t="s">
        <v>317</v>
      </c>
      <c r="I48" s="6" t="s">
        <v>466</v>
      </c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>
        <v>0</v>
      </c>
      <c r="U48" s="24"/>
      <c r="V48" s="24"/>
      <c r="W48" s="24"/>
      <c r="X48" s="24"/>
      <c r="Y48" s="24"/>
    </row>
    <row r="49" spans="5:25">
      <c r="E49" s="6" t="s">
        <v>450</v>
      </c>
      <c r="F49" s="6" t="s">
        <v>19</v>
      </c>
      <c r="G49" s="6" t="s">
        <v>282</v>
      </c>
      <c r="H49" s="6" t="s">
        <v>283</v>
      </c>
      <c r="I49" s="6" t="s">
        <v>466</v>
      </c>
      <c r="J49" s="118">
        <f t="shared" si="10"/>
        <v>1.9317665959999999</v>
      </c>
      <c r="K49" s="119">
        <f t="shared" si="11"/>
        <v>1.9317665959999999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>
        <v>0.83027989599999974</v>
      </c>
      <c r="V49" s="24">
        <f>0.1625413+0.9389454</f>
        <v>1.1014867000000002</v>
      </c>
      <c r="W49" s="24"/>
      <c r="X49" s="24"/>
      <c r="Y49" s="24"/>
    </row>
    <row r="50" spans="5:25">
      <c r="E50" s="6" t="s">
        <v>450</v>
      </c>
      <c r="F50" s="6" t="s">
        <v>19</v>
      </c>
      <c r="G50" s="6" t="s">
        <v>282</v>
      </c>
      <c r="H50" s="6" t="s">
        <v>283</v>
      </c>
      <c r="I50" s="6" t="s">
        <v>472</v>
      </c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>
        <v>0</v>
      </c>
      <c r="V50" s="24"/>
      <c r="W50" s="24"/>
      <c r="X50" s="24"/>
      <c r="Y50" s="24"/>
    </row>
    <row r="51" spans="5:25">
      <c r="E51" s="6" t="s">
        <v>450</v>
      </c>
      <c r="F51" s="6" t="s">
        <v>19</v>
      </c>
      <c r="G51" s="6" t="s">
        <v>500</v>
      </c>
      <c r="H51" s="6" t="s">
        <v>305</v>
      </c>
      <c r="I51" s="6" t="s">
        <v>466</v>
      </c>
      <c r="J51" s="118">
        <f t="shared" si="10"/>
        <v>3.3595952690000002</v>
      </c>
      <c r="K51" s="119">
        <f t="shared" si="11"/>
        <v>3.3595952690000002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>
        <v>3.1510189200000003</v>
      </c>
      <c r="V51" s="24">
        <v>0.20857634899999999</v>
      </c>
      <c r="W51" s="24"/>
      <c r="X51" s="24"/>
      <c r="Y51" s="24"/>
    </row>
    <row r="52" spans="5:25">
      <c r="E52" s="6" t="s">
        <v>450</v>
      </c>
      <c r="F52" s="6" t="s">
        <v>19</v>
      </c>
      <c r="G52" s="6" t="s">
        <v>500</v>
      </c>
      <c r="H52" s="6" t="s">
        <v>305</v>
      </c>
      <c r="I52" s="6" t="s">
        <v>472</v>
      </c>
      <c r="J52" s="118">
        <f t="shared" si="10"/>
        <v>50.432695994999989</v>
      </c>
      <c r="K52" s="119">
        <f t="shared" si="11"/>
        <v>50.432695994999989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>
        <v>39.533459323999992</v>
      </c>
      <c r="V52" s="24">
        <f>10.37456789+0.524668781</f>
        <v>10.899236671000001</v>
      </c>
      <c r="W52" s="24"/>
      <c r="X52" s="24"/>
      <c r="Y52" s="24"/>
    </row>
    <row r="53" spans="5:25">
      <c r="E53" s="6" t="s">
        <v>450</v>
      </c>
      <c r="F53" s="6" t="s">
        <v>19</v>
      </c>
      <c r="G53" s="6" t="s">
        <v>256</v>
      </c>
      <c r="H53" s="6" t="s">
        <v>303</v>
      </c>
      <c r="I53" s="6" t="s">
        <v>466</v>
      </c>
      <c r="J53" s="118">
        <f t="shared" si="10"/>
        <v>181.617569855</v>
      </c>
      <c r="K53" s="119">
        <f t="shared" si="11"/>
        <v>181.617569855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>
        <v>41.265449191000002</v>
      </c>
      <c r="V53" s="24">
        <f>117.190079645+23.162041019</f>
        <v>140.35212066399998</v>
      </c>
      <c r="W53" s="24"/>
      <c r="X53" s="24"/>
      <c r="Y53" s="24"/>
    </row>
    <row r="54" spans="5:25">
      <c r="E54" s="6" t="s">
        <v>572</v>
      </c>
      <c r="F54" s="6" t="s">
        <v>19</v>
      </c>
      <c r="G54" s="6" t="s">
        <v>441</v>
      </c>
      <c r="H54" s="6" t="s">
        <v>481</v>
      </c>
      <c r="I54" s="6" t="s">
        <v>466</v>
      </c>
      <c r="J54" s="118">
        <f t="shared" si="10"/>
        <v>288.88671701999988</v>
      </c>
      <c r="K54" s="119">
        <f t="shared" si="11"/>
        <v>288.88671701999988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>
        <f>137.98928439-97.48</f>
        <v>40.509284389999991</v>
      </c>
      <c r="U54" s="24">
        <v>157.80581940999994</v>
      </c>
      <c r="V54" s="24">
        <v>87.112771739999971</v>
      </c>
      <c r="W54" s="24">
        <v>3.4588414799999998</v>
      </c>
      <c r="X54" s="24"/>
      <c r="Y54" s="24"/>
    </row>
    <row r="55" spans="5:25">
      <c r="E55" s="6" t="s">
        <v>482</v>
      </c>
      <c r="F55" s="6" t="s">
        <v>19</v>
      </c>
      <c r="G55" s="6" t="s">
        <v>258</v>
      </c>
      <c r="H55" s="6" t="s">
        <v>306</v>
      </c>
      <c r="I55" s="6" t="s">
        <v>466</v>
      </c>
      <c r="J55" s="118">
        <f t="shared" si="10"/>
        <v>11.870039992999999</v>
      </c>
      <c r="K55" s="119">
        <f t="shared" si="11"/>
        <v>11.870039992999999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>
        <v>11.870039992999999</v>
      </c>
      <c r="U55" s="24">
        <v>0</v>
      </c>
      <c r="V55" s="24"/>
      <c r="W55" s="24"/>
      <c r="X55" s="24"/>
      <c r="Y55" s="24"/>
    </row>
    <row r="56" spans="5:25">
      <c r="E56" s="6" t="s">
        <v>509</v>
      </c>
      <c r="F56" s="6" t="s">
        <v>19</v>
      </c>
      <c r="G56" s="6" t="s">
        <v>247</v>
      </c>
      <c r="H56" s="6" t="s">
        <v>289</v>
      </c>
      <c r="I56" s="6" t="s">
        <v>466</v>
      </c>
      <c r="J56" s="118">
        <f t="shared" si="10"/>
        <v>2.3907126999999999</v>
      </c>
      <c r="K56" s="119">
        <f t="shared" si="11"/>
        <v>2.3907126999999999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>
        <v>2.3907126999999999</v>
      </c>
      <c r="V56" s="24"/>
      <c r="W56" s="24"/>
      <c r="X56" s="24"/>
      <c r="Y56" s="24"/>
    </row>
    <row r="57" spans="5:25">
      <c r="E57" s="6" t="s">
        <v>509</v>
      </c>
      <c r="F57" s="6" t="s">
        <v>19</v>
      </c>
      <c r="G57" s="6" t="s">
        <v>379</v>
      </c>
      <c r="H57" s="6" t="s">
        <v>291</v>
      </c>
      <c r="I57" s="6" t="s">
        <v>466</v>
      </c>
      <c r="J57" s="118">
        <f t="shared" si="10"/>
        <v>9.7735672210000004</v>
      </c>
      <c r="K57" s="119">
        <f t="shared" si="11"/>
        <v>9.7735672210000004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>
        <v>9.7735672210000004</v>
      </c>
      <c r="V57" s="24"/>
      <c r="W57" s="24"/>
      <c r="X57" s="24"/>
      <c r="Y57" s="24"/>
    </row>
    <row r="58" spans="5:25">
      <c r="E58" s="6" t="s">
        <v>509</v>
      </c>
      <c r="F58" s="6" t="s">
        <v>19</v>
      </c>
      <c r="G58" s="6" t="s">
        <v>454</v>
      </c>
      <c r="H58" s="6" t="s">
        <v>292</v>
      </c>
      <c r="I58" s="6" t="s">
        <v>466</v>
      </c>
      <c r="J58" s="118">
        <f t="shared" si="10"/>
        <v>9.1080971759999994</v>
      </c>
      <c r="K58" s="119">
        <f t="shared" si="11"/>
        <v>9.1080971759999994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>
        <v>9.1080971759999994</v>
      </c>
      <c r="V58" s="24"/>
      <c r="W58" s="24"/>
      <c r="X58" s="24"/>
      <c r="Y58" s="24"/>
    </row>
    <row r="59" spans="5:25">
      <c r="E59" s="6" t="s">
        <v>509</v>
      </c>
      <c r="F59" s="6" t="s">
        <v>19</v>
      </c>
      <c r="G59" s="6" t="s">
        <v>293</v>
      </c>
      <c r="H59" s="6" t="s">
        <v>294</v>
      </c>
      <c r="I59" s="6" t="s">
        <v>466</v>
      </c>
      <c r="J59" s="118">
        <f t="shared" si="10"/>
        <v>3.2584534759999997</v>
      </c>
      <c r="K59" s="119">
        <f t="shared" si="11"/>
        <v>3.2584534759999997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>
        <v>3.2584534759999997</v>
      </c>
      <c r="V59" s="24"/>
      <c r="W59" s="24"/>
      <c r="X59" s="24"/>
      <c r="Y59" s="24"/>
    </row>
    <row r="60" spans="5:25">
      <c r="E60" s="6" t="s">
        <v>509</v>
      </c>
      <c r="F60" s="6" t="s">
        <v>19</v>
      </c>
      <c r="G60" s="6" t="s">
        <v>447</v>
      </c>
      <c r="H60" s="6" t="s">
        <v>448</v>
      </c>
      <c r="I60" s="6" t="s">
        <v>466</v>
      </c>
      <c r="J60" s="118">
        <f t="shared" si="10"/>
        <v>14.074529880999998</v>
      </c>
      <c r="K60" s="119">
        <f t="shared" si="11"/>
        <v>14.074529880999998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>
        <v>14.074529880999998</v>
      </c>
      <c r="V60" s="24"/>
      <c r="W60" s="24"/>
      <c r="X60" s="24"/>
      <c r="Y60" s="24"/>
    </row>
    <row r="61" spans="5:25">
      <c r="E61" s="6" t="s">
        <v>569</v>
      </c>
      <c r="F61" s="6" t="s">
        <v>19</v>
      </c>
      <c r="G61" s="6" t="s">
        <v>447</v>
      </c>
      <c r="H61" s="6" t="s">
        <v>448</v>
      </c>
      <c r="I61" s="6" t="s">
        <v>466</v>
      </c>
      <c r="J61" s="118">
        <f t="shared" si="10"/>
        <v>1</v>
      </c>
      <c r="K61" s="119">
        <f t="shared" si="11"/>
        <v>1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>
        <v>1</v>
      </c>
      <c r="V61" s="24"/>
      <c r="W61" s="24"/>
      <c r="X61" s="24"/>
      <c r="Y61" s="24"/>
    </row>
    <row r="62" spans="5:25">
      <c r="E62" s="6" t="s">
        <v>569</v>
      </c>
      <c r="F62" s="6" t="s">
        <v>19</v>
      </c>
      <c r="G62" s="6" t="s">
        <v>378</v>
      </c>
      <c r="H62" s="6" t="s">
        <v>290</v>
      </c>
      <c r="I62" s="6" t="s">
        <v>466</v>
      </c>
      <c r="J62" s="118">
        <f t="shared" si="10"/>
        <v>34</v>
      </c>
      <c r="K62" s="119">
        <f t="shared" si="11"/>
        <v>34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>
        <v>34</v>
      </c>
      <c r="V62" s="24"/>
      <c r="W62" s="24"/>
      <c r="X62" s="24"/>
      <c r="Y62" s="24"/>
    </row>
    <row r="63" spans="5:25">
      <c r="E63" s="6" t="s">
        <v>483</v>
      </c>
      <c r="F63" s="6" t="s">
        <v>19</v>
      </c>
      <c r="G63" s="6" t="s">
        <v>258</v>
      </c>
      <c r="H63" s="6" t="s">
        <v>306</v>
      </c>
      <c r="I63" s="6" t="s">
        <v>466</v>
      </c>
      <c r="J63" s="118">
        <f t="shared" si="10"/>
        <v>28.729105825999998</v>
      </c>
      <c r="K63" s="119">
        <f t="shared" si="11"/>
        <v>28.729105825999998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>
        <v>28.729105825999998</v>
      </c>
      <c r="V63" s="24"/>
      <c r="W63" s="24"/>
      <c r="X63" s="24"/>
      <c r="Y63" s="24"/>
    </row>
    <row r="64" spans="5:25">
      <c r="E64" s="6" t="s">
        <v>484</v>
      </c>
      <c r="F64" s="6" t="s">
        <v>19</v>
      </c>
      <c r="G64" s="6" t="s">
        <v>503</v>
      </c>
      <c r="H64" s="6" t="s">
        <v>311</v>
      </c>
      <c r="I64" s="6" t="s">
        <v>472</v>
      </c>
      <c r="J64" s="118">
        <f t="shared" si="10"/>
        <v>1.173521574</v>
      </c>
      <c r="K64" s="119">
        <f>SUM(N64:Y64)</f>
        <v>1.173521574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>
        <v>1.173521574</v>
      </c>
      <c r="Y64" s="24"/>
    </row>
    <row r="65" spans="5:25">
      <c r="E65" s="6" t="s">
        <v>484</v>
      </c>
      <c r="F65" s="6" t="s">
        <v>19</v>
      </c>
      <c r="G65" s="6" t="s">
        <v>500</v>
      </c>
      <c r="H65" s="6" t="s">
        <v>305</v>
      </c>
      <c r="I65" s="6" t="s">
        <v>472</v>
      </c>
      <c r="J65" s="118">
        <f t="shared" si="10"/>
        <v>53.278013522000002</v>
      </c>
      <c r="K65" s="119">
        <f t="shared" si="11"/>
        <v>53.278013522000002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53.278013522000002</v>
      </c>
      <c r="Y65" s="24"/>
    </row>
    <row r="66" spans="5:25">
      <c r="E66" s="6" t="s">
        <v>484</v>
      </c>
      <c r="F66" s="6" t="s">
        <v>19</v>
      </c>
      <c r="G66" s="6" t="s">
        <v>370</v>
      </c>
      <c r="H66" s="6" t="s">
        <v>308</v>
      </c>
      <c r="I66" s="6" t="s">
        <v>472</v>
      </c>
      <c r="J66" s="118">
        <f t="shared" si="10"/>
        <v>29.382537231999997</v>
      </c>
      <c r="K66" s="119">
        <f t="shared" si="11"/>
        <v>29.382537231999997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>
        <v>29.382537231999997</v>
      </c>
      <c r="Y66" s="24"/>
    </row>
    <row r="67" spans="5:25">
      <c r="E67" s="6" t="s">
        <v>484</v>
      </c>
      <c r="F67" s="6" t="s">
        <v>19</v>
      </c>
      <c r="G67" s="6" t="s">
        <v>264</v>
      </c>
      <c r="H67" s="6" t="s">
        <v>310</v>
      </c>
      <c r="I67" s="6" t="s">
        <v>472</v>
      </c>
      <c r="J67" s="118">
        <f t="shared" si="10"/>
        <v>0.44208771600000002</v>
      </c>
      <c r="K67" s="119">
        <f t="shared" si="11"/>
        <v>0.44208771600000002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>
        <v>0.33190336400000003</v>
      </c>
      <c r="V67" s="24"/>
      <c r="W67" s="24"/>
      <c r="X67" s="24">
        <v>0.110184352</v>
      </c>
      <c r="Y67" s="24"/>
    </row>
    <row r="68" spans="5:25">
      <c r="E68" s="6" t="s">
        <v>484</v>
      </c>
      <c r="F68" s="6" t="s">
        <v>19</v>
      </c>
      <c r="G68" s="6" t="s">
        <v>454</v>
      </c>
      <c r="H68" s="6" t="s">
        <v>292</v>
      </c>
      <c r="I68" s="6" t="s">
        <v>472</v>
      </c>
      <c r="J68" s="118">
        <f t="shared" si="10"/>
        <v>7.5711713750000005</v>
      </c>
      <c r="K68" s="119">
        <f t="shared" si="11"/>
        <v>7.5711713750000005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>
        <v>7.5711713750000005</v>
      </c>
      <c r="Y68" s="24"/>
    </row>
    <row r="69" spans="5:25">
      <c r="E69" s="6" t="s">
        <v>451</v>
      </c>
      <c r="F69" s="6" t="s">
        <v>19</v>
      </c>
      <c r="G69" s="6" t="s">
        <v>504</v>
      </c>
      <c r="H69" s="6" t="s">
        <v>307</v>
      </c>
      <c r="I69" s="6" t="s">
        <v>466</v>
      </c>
      <c r="J69" s="118">
        <f t="shared" si="10"/>
        <v>16.397439567999999</v>
      </c>
      <c r="K69" s="119">
        <f t="shared" si="11"/>
        <v>16.397439567999999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>
        <v>7.6217258619999999</v>
      </c>
      <c r="U69" s="24">
        <v>8.7757137059999994</v>
      </c>
      <c r="V69" s="24"/>
      <c r="W69" s="24"/>
      <c r="X69" s="24"/>
      <c r="Y69" s="24"/>
    </row>
    <row r="70" spans="5:25">
      <c r="E70" s="6" t="s">
        <v>451</v>
      </c>
      <c r="F70" s="6" t="s">
        <v>19</v>
      </c>
      <c r="G70" s="6" t="s">
        <v>504</v>
      </c>
      <c r="H70" s="6" t="s">
        <v>307</v>
      </c>
      <c r="I70" s="6" t="s">
        <v>472</v>
      </c>
      <c r="J70" s="118">
        <f t="shared" si="10"/>
        <v>0</v>
      </c>
      <c r="K70" s="119">
        <f t="shared" si="11"/>
        <v>0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>
        <v>0</v>
      </c>
      <c r="U70" s="24"/>
      <c r="V70" s="24"/>
      <c r="W70" s="24"/>
      <c r="X70" s="24"/>
      <c r="Y70" s="24"/>
    </row>
    <row r="71" spans="5:25">
      <c r="E71" s="6" t="s">
        <v>451</v>
      </c>
      <c r="F71" s="6" t="s">
        <v>19</v>
      </c>
      <c r="G71" s="6" t="s">
        <v>370</v>
      </c>
      <c r="H71" s="6" t="s">
        <v>308</v>
      </c>
      <c r="I71" s="6" t="s">
        <v>466</v>
      </c>
      <c r="J71" s="118">
        <f t="shared" si="10"/>
        <v>2.1636036089999999</v>
      </c>
      <c r="K71" s="119">
        <f t="shared" si="11"/>
        <v>2.1636036089999999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>
        <v>2.1636036089999999</v>
      </c>
      <c r="V71" s="24"/>
      <c r="W71" s="24"/>
      <c r="X71" s="24"/>
      <c r="Y71" s="24"/>
    </row>
    <row r="72" spans="5:25">
      <c r="E72" s="6" t="s">
        <v>451</v>
      </c>
      <c r="F72" s="6" t="s">
        <v>19</v>
      </c>
      <c r="G72" s="6" t="s">
        <v>370</v>
      </c>
      <c r="H72" s="6" t="s">
        <v>308</v>
      </c>
      <c r="I72" s="6" t="s">
        <v>472</v>
      </c>
      <c r="J72" s="118">
        <f t="shared" si="10"/>
        <v>1.192590007</v>
      </c>
      <c r="K72" s="119">
        <f t="shared" si="11"/>
        <v>1.192590007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>
        <v>1.192590007</v>
      </c>
      <c r="V72" s="24"/>
      <c r="W72" s="24"/>
      <c r="X72" s="24"/>
      <c r="Y72" s="24"/>
    </row>
    <row r="73" spans="5:25">
      <c r="E73" s="6" t="s">
        <v>485</v>
      </c>
      <c r="F73" s="6" t="s">
        <v>19</v>
      </c>
      <c r="G73" s="6" t="s">
        <v>529</v>
      </c>
      <c r="H73" s="6" t="s">
        <v>530</v>
      </c>
      <c r="I73" s="6" t="s">
        <v>472</v>
      </c>
      <c r="J73" s="118">
        <f t="shared" si="10"/>
        <v>296.212621329</v>
      </c>
      <c r="K73" s="119">
        <f t="shared" si="11"/>
        <v>296.212621329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>
        <f>194.212621329+102</f>
        <v>296.212621329</v>
      </c>
      <c r="W73" s="24"/>
      <c r="X73" s="24"/>
      <c r="Y73" s="24"/>
    </row>
    <row r="74" spans="5:25">
      <c r="E74" s="6" t="s">
        <v>268</v>
      </c>
      <c r="F74" s="6" t="s">
        <v>19</v>
      </c>
      <c r="G74" s="6" t="s">
        <v>374</v>
      </c>
      <c r="H74" s="6" t="s">
        <v>317</v>
      </c>
      <c r="I74" s="6" t="s">
        <v>466</v>
      </c>
      <c r="J74" s="118">
        <f t="shared" si="10"/>
        <v>6.5472080990000006</v>
      </c>
      <c r="K74" s="119">
        <f t="shared" si="11"/>
        <v>6.5472080990000006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>
        <v>6.4963317070000004</v>
      </c>
      <c r="U74" s="24">
        <v>5.0876391999999999E-2</v>
      </c>
      <c r="V74" s="24"/>
      <c r="W74" s="24"/>
      <c r="X74" s="24"/>
      <c r="Y74" s="24"/>
    </row>
    <row r="75" spans="5:25">
      <c r="E75" s="6" t="s">
        <v>270</v>
      </c>
      <c r="F75" s="6" t="s">
        <v>19</v>
      </c>
      <c r="G75" s="6" t="s">
        <v>441</v>
      </c>
      <c r="H75" s="6" t="s">
        <v>481</v>
      </c>
      <c r="I75" s="6" t="s">
        <v>466</v>
      </c>
      <c r="J75" s="118">
        <f t="shared" si="10"/>
        <v>102.04527599999999</v>
      </c>
      <c r="K75" s="119">
        <f t="shared" si="11"/>
        <v>102.04527599999999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>
        <v>72.282070499999989</v>
      </c>
      <c r="W75" s="24">
        <v>29.763205500000002</v>
      </c>
      <c r="X75" s="24"/>
      <c r="Y75" s="24"/>
    </row>
    <row r="76" spans="5:25">
      <c r="E76" s="6" t="s">
        <v>270</v>
      </c>
      <c r="F76" s="6" t="s">
        <v>19</v>
      </c>
      <c r="G76" s="6" t="s">
        <v>374</v>
      </c>
      <c r="H76" s="6" t="s">
        <v>317</v>
      </c>
      <c r="I76" s="6" t="s">
        <v>466</v>
      </c>
      <c r="J76" s="118">
        <f t="shared" si="10"/>
        <v>35.962951956999994</v>
      </c>
      <c r="K76" s="119">
        <f t="shared" si="11"/>
        <v>35.962951956999994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>
        <v>28.469028599999994</v>
      </c>
      <c r="V76" s="24">
        <v>1.1826547569999999</v>
      </c>
      <c r="W76" s="24">
        <v>6.3112686</v>
      </c>
      <c r="X76" s="24"/>
      <c r="Y76" s="24"/>
    </row>
    <row r="77" spans="5:25">
      <c r="E77" s="6" t="s">
        <v>570</v>
      </c>
      <c r="F77" s="6" t="s">
        <v>19</v>
      </c>
      <c r="G77" s="6" t="s">
        <v>237</v>
      </c>
      <c r="H77" s="6" t="s">
        <v>277</v>
      </c>
      <c r="I77" s="6" t="s">
        <v>466</v>
      </c>
      <c r="J77" s="118">
        <f t="shared" si="10"/>
        <v>0.42545250000000001</v>
      </c>
      <c r="K77" s="119">
        <f t="shared" si="11"/>
        <v>0.42545250000000001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>
        <v>0.42545250000000001</v>
      </c>
      <c r="V77" s="24"/>
      <c r="W77" s="24"/>
      <c r="X77" s="24"/>
      <c r="Y77" s="24"/>
    </row>
    <row r="78" spans="5:25">
      <c r="E78" s="6" t="s">
        <v>489</v>
      </c>
      <c r="F78" s="6" t="s">
        <v>19</v>
      </c>
      <c r="G78" s="6" t="s">
        <v>379</v>
      </c>
      <c r="H78" s="6" t="s">
        <v>291</v>
      </c>
      <c r="I78" s="6" t="s">
        <v>466</v>
      </c>
      <c r="J78" s="118">
        <f t="shared" si="10"/>
        <v>8</v>
      </c>
      <c r="K78" s="119">
        <f t="shared" si="11"/>
        <v>8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8</v>
      </c>
      <c r="V78" s="24"/>
      <c r="W78" s="24"/>
      <c r="X78" s="24"/>
      <c r="Y78" s="24"/>
    </row>
    <row r="79" spans="5:25">
      <c r="E79" s="6" t="s">
        <v>253</v>
      </c>
      <c r="F79" s="6" t="s">
        <v>19</v>
      </c>
      <c r="G79" s="6" t="s">
        <v>359</v>
      </c>
      <c r="H79" s="6" t="s">
        <v>296</v>
      </c>
      <c r="I79" s="6" t="s">
        <v>466</v>
      </c>
      <c r="J79" s="118">
        <f t="shared" si="10"/>
        <v>1.652170012</v>
      </c>
      <c r="K79" s="119">
        <f t="shared" si="11"/>
        <v>1.652170012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>
        <v>1.652170012</v>
      </c>
      <c r="V79" s="24"/>
      <c r="W79" s="24"/>
      <c r="X79" s="24"/>
      <c r="Y79" s="24"/>
    </row>
    <row r="80" spans="5:25">
      <c r="E80" s="6"/>
      <c r="F80" s="6"/>
      <c r="G80" s="6"/>
      <c r="H80" s="6"/>
      <c r="I80" s="6"/>
      <c r="J80" s="118">
        <f t="shared" si="10"/>
        <v>0</v>
      </c>
      <c r="K80" s="119">
        <f t="shared" si="11"/>
        <v>0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5:25">
      <c r="E81" s="6"/>
      <c r="F81" s="6"/>
      <c r="G81" s="6"/>
      <c r="H81" s="6"/>
      <c r="I81" s="6"/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>
      <c r="E82" s="6"/>
      <c r="F82" s="305" t="s">
        <v>19</v>
      </c>
      <c r="G82" s="305" t="s">
        <v>520</v>
      </c>
      <c r="H82" s="6"/>
      <c r="I82" s="6"/>
      <c r="J82" s="118">
        <f t="shared" si="10"/>
        <v>27</v>
      </c>
      <c r="K82" s="119">
        <f t="shared" si="11"/>
        <v>27</v>
      </c>
      <c r="L82" s="119">
        <f t="shared" ref="L82:L88" si="13">SUM(AA75:AL75)</f>
        <v>0</v>
      </c>
      <c r="N82" s="24"/>
      <c r="O82" s="24"/>
      <c r="P82" s="24"/>
      <c r="Q82" s="24"/>
      <c r="R82" s="24"/>
      <c r="S82" s="344"/>
      <c r="T82" s="306"/>
      <c r="U82" s="306"/>
      <c r="V82" s="306">
        <v>27</v>
      </c>
      <c r="W82" s="24"/>
      <c r="X82" s="24"/>
      <c r="Y82" s="24"/>
    </row>
    <row r="83" spans="5:25">
      <c r="E83" s="6"/>
      <c r="F83" s="305" t="s">
        <v>19</v>
      </c>
      <c r="G83" s="305" t="s">
        <v>521</v>
      </c>
      <c r="H83" s="6"/>
      <c r="I83" s="6"/>
      <c r="J83" s="118">
        <f t="shared" si="10"/>
        <v>322</v>
      </c>
      <c r="K83" s="119">
        <f t="shared" si="11"/>
        <v>322</v>
      </c>
      <c r="L83" s="119">
        <f t="shared" si="13"/>
        <v>0</v>
      </c>
      <c r="N83" s="24"/>
      <c r="O83" s="24"/>
      <c r="P83" s="24"/>
      <c r="Q83" s="24"/>
      <c r="R83" s="24"/>
      <c r="S83" s="344"/>
      <c r="T83" s="306">
        <f>162-60-50</f>
        <v>52</v>
      </c>
      <c r="U83" s="344">
        <f>160+50</f>
        <v>210</v>
      </c>
      <c r="V83" s="306">
        <v>60</v>
      </c>
      <c r="W83" s="24"/>
      <c r="X83" s="24"/>
      <c r="Y83" s="24"/>
    </row>
    <row r="84" spans="5:25">
      <c r="E84" s="6"/>
      <c r="F84" s="305" t="s">
        <v>19</v>
      </c>
      <c r="G84" s="305" t="s">
        <v>522</v>
      </c>
      <c r="H84" s="6"/>
      <c r="I84" s="6"/>
      <c r="J84" s="118">
        <f t="shared" si="10"/>
        <v>18</v>
      </c>
      <c r="K84" s="119">
        <f t="shared" si="11"/>
        <v>18</v>
      </c>
      <c r="L84" s="119">
        <f t="shared" si="13"/>
        <v>0</v>
      </c>
      <c r="N84" s="24"/>
      <c r="O84" s="24"/>
      <c r="P84" s="24"/>
      <c r="Q84" s="24"/>
      <c r="R84" s="24"/>
      <c r="S84" s="344"/>
      <c r="T84" s="306"/>
      <c r="U84" s="306">
        <v>18</v>
      </c>
      <c r="V84" s="306"/>
      <c r="W84" s="24"/>
      <c r="X84" s="24"/>
      <c r="Y84" s="24"/>
    </row>
    <row r="85" spans="5:25">
      <c r="E85" s="6"/>
      <c r="F85" s="305" t="s">
        <v>19</v>
      </c>
      <c r="G85" s="305" t="s">
        <v>523</v>
      </c>
      <c r="H85" s="6"/>
      <c r="I85" s="6"/>
      <c r="J85" s="118">
        <f t="shared" si="10"/>
        <v>17</v>
      </c>
      <c r="K85" s="119">
        <f t="shared" si="11"/>
        <v>17</v>
      </c>
      <c r="L85" s="119">
        <f t="shared" si="13"/>
        <v>0</v>
      </c>
      <c r="N85" s="24"/>
      <c r="O85" s="24"/>
      <c r="P85" s="24"/>
      <c r="Q85" s="24"/>
      <c r="R85" s="24"/>
      <c r="S85" s="344"/>
      <c r="T85" s="306"/>
      <c r="U85" s="306"/>
      <c r="V85" s="306">
        <v>17</v>
      </c>
      <c r="W85" s="24"/>
      <c r="X85" s="24"/>
      <c r="Y85" s="24"/>
    </row>
    <row r="86" spans="5:25">
      <c r="E86" s="6"/>
      <c r="F86" s="360" t="s">
        <v>19</v>
      </c>
      <c r="G86" s="360" t="s">
        <v>457</v>
      </c>
      <c r="H86" s="362"/>
      <c r="I86" s="362"/>
      <c r="J86" s="364">
        <f t="shared" si="10"/>
        <v>29</v>
      </c>
      <c r="K86" s="119">
        <f t="shared" si="11"/>
        <v>29</v>
      </c>
      <c r="L86" s="365">
        <f t="shared" si="13"/>
        <v>0</v>
      </c>
      <c r="N86" s="366"/>
      <c r="O86" s="366"/>
      <c r="P86" s="366"/>
      <c r="Q86" s="366"/>
      <c r="R86" s="366"/>
      <c r="S86" s="404"/>
      <c r="T86" s="404"/>
      <c r="U86" s="404">
        <v>29</v>
      </c>
      <c r="V86" s="404"/>
      <c r="W86" s="24"/>
      <c r="X86" s="24"/>
      <c r="Y86" s="24"/>
    </row>
    <row r="87" spans="5:25">
      <c r="E87" s="6"/>
      <c r="F87" s="360" t="s">
        <v>19</v>
      </c>
      <c r="G87" s="360" t="s">
        <v>555</v>
      </c>
      <c r="H87" s="11"/>
      <c r="I87" s="11"/>
      <c r="J87" s="118">
        <f t="shared" si="10"/>
        <v>7</v>
      </c>
      <c r="K87" s="119">
        <f t="shared" si="11"/>
        <v>7</v>
      </c>
      <c r="L87" s="119">
        <f t="shared" si="13"/>
        <v>0</v>
      </c>
      <c r="N87" s="24"/>
      <c r="O87" s="24"/>
      <c r="P87" s="24"/>
      <c r="Q87" s="24"/>
      <c r="R87" s="24"/>
      <c r="S87" s="24"/>
      <c r="T87" s="306">
        <v>7</v>
      </c>
      <c r="U87" s="24"/>
      <c r="V87" s="24"/>
      <c r="W87" s="24"/>
      <c r="X87" s="24"/>
      <c r="Y87" s="24"/>
    </row>
    <row r="88" spans="5:25">
      <c r="E88" s="6"/>
      <c r="F88" s="360" t="s">
        <v>19</v>
      </c>
      <c r="G88" s="360" t="s">
        <v>556</v>
      </c>
      <c r="H88" s="12"/>
      <c r="I88" s="12"/>
      <c r="J88" s="118">
        <f t="shared" si="10"/>
        <v>24</v>
      </c>
      <c r="K88" s="119">
        <f t="shared" si="11"/>
        <v>24</v>
      </c>
      <c r="L88" s="119">
        <f t="shared" si="13"/>
        <v>0</v>
      </c>
      <c r="N88" s="24"/>
      <c r="O88" s="24"/>
      <c r="P88" s="24"/>
      <c r="Q88" s="24"/>
      <c r="R88" s="24"/>
      <c r="S88" s="24"/>
      <c r="T88" s="306"/>
      <c r="U88" s="24"/>
      <c r="V88" s="306">
        <v>24</v>
      </c>
      <c r="W88" s="24"/>
      <c r="X88" s="24"/>
      <c r="Y88" s="24"/>
    </row>
    <row r="89" spans="5:25">
      <c r="E89" s="6"/>
      <c r="F89" s="7"/>
      <c r="G89" s="6"/>
      <c r="H89" s="12"/>
      <c r="I89" s="12"/>
      <c r="J89" s="118">
        <f t="shared" ref="J89" si="14">+K89+L89</f>
        <v>0</v>
      </c>
      <c r="K89" s="119">
        <f t="shared" ref="K89" si="15">SUM(N89:Y89)</f>
        <v>0</v>
      </c>
      <c r="L89" s="119">
        <f t="shared" ref="L89" si="16">SUM(AA89:AL89)</f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2" spans="5:25">
      <c r="E92" s="191" t="s">
        <v>320</v>
      </c>
      <c r="F92" s="216">
        <v>46174</v>
      </c>
      <c r="G92" s="192">
        <v>270</v>
      </c>
      <c r="H92" s="271" t="s">
        <v>321</v>
      </c>
    </row>
    <row r="93" spans="5:25">
      <c r="E93" s="195" t="s">
        <v>553</v>
      </c>
      <c r="F93" s="217"/>
      <c r="G93" s="196">
        <v>335</v>
      </c>
      <c r="H93" s="271" t="s">
        <v>321</v>
      </c>
    </row>
    <row r="94" spans="5:25">
      <c r="E94" s="195" t="s">
        <v>554</v>
      </c>
      <c r="F94" s="217"/>
      <c r="G94" s="196">
        <v>160</v>
      </c>
      <c r="H94" s="271" t="s">
        <v>321</v>
      </c>
    </row>
    <row r="95" spans="5:25">
      <c r="E95" s="191" t="s">
        <v>320</v>
      </c>
      <c r="F95" s="216">
        <v>46203</v>
      </c>
      <c r="G95" s="192">
        <f>G92+G93-G94</f>
        <v>445</v>
      </c>
      <c r="H95" s="271" t="s">
        <v>321</v>
      </c>
    </row>
    <row r="96" spans="5:25">
      <c r="E96" s="195"/>
      <c r="F96" s="217"/>
      <c r="G96" s="196"/>
      <c r="H96" s="271"/>
    </row>
    <row r="97" spans="5:25">
      <c r="E97" s="191"/>
      <c r="F97" s="216"/>
      <c r="G97" s="192"/>
      <c r="H97" s="271"/>
    </row>
    <row r="99" spans="5:25">
      <c r="E99" s="446" t="s">
        <v>531</v>
      </c>
      <c r="F99" s="447"/>
      <c r="G99" s="447"/>
      <c r="H99" s="447"/>
    </row>
    <row r="100" spans="5:25">
      <c r="E100" s="219" t="s">
        <v>550</v>
      </c>
      <c r="F100" s="219"/>
      <c r="G100" s="202"/>
      <c r="H100" s="219" t="s">
        <v>325</v>
      </c>
    </row>
    <row r="101" spans="5:25">
      <c r="E101" s="416" t="s">
        <v>374</v>
      </c>
      <c r="F101" s="202"/>
      <c r="G101" s="202"/>
      <c r="H101" s="408">
        <v>2</v>
      </c>
    </row>
    <row r="102" spans="5:25">
      <c r="E102" s="414" t="s">
        <v>252</v>
      </c>
      <c r="F102" s="202"/>
      <c r="G102" s="202"/>
      <c r="H102" s="408">
        <v>5</v>
      </c>
    </row>
    <row r="103" spans="5:25">
      <c r="E103" s="415" t="s">
        <v>249</v>
      </c>
      <c r="F103" s="202"/>
      <c r="G103" s="202"/>
      <c r="H103" s="408">
        <v>6</v>
      </c>
    </row>
    <row r="104" spans="5:25">
      <c r="E104" s="416" t="s">
        <v>247</v>
      </c>
      <c r="F104" s="202"/>
      <c r="G104" s="202"/>
      <c r="H104" s="408">
        <v>3</v>
      </c>
    </row>
    <row r="105" spans="5:25">
      <c r="E105" s="416" t="s">
        <v>359</v>
      </c>
      <c r="F105" s="202"/>
      <c r="G105" s="202"/>
      <c r="H105" s="417">
        <v>2</v>
      </c>
    </row>
    <row r="106" spans="5:25">
      <c r="E106" s="410" t="s">
        <v>245</v>
      </c>
      <c r="F106" s="202"/>
      <c r="G106" s="202"/>
      <c r="H106" s="408">
        <v>125</v>
      </c>
    </row>
    <row r="107" spans="5:25">
      <c r="E107" s="356" t="s">
        <v>344</v>
      </c>
      <c r="F107" s="202"/>
      <c r="G107" s="202"/>
      <c r="H107" s="408">
        <f>SUM(H101:H106)</f>
        <v>143</v>
      </c>
    </row>
    <row r="108" spans="5:25">
      <c r="E108" s="227"/>
      <c r="F108" s="278"/>
      <c r="G108" s="227"/>
      <c r="H108" s="280"/>
      <c r="I108" s="280"/>
    </row>
    <row r="109" spans="5:25">
      <c r="E109" s="227"/>
      <c r="F109" s="278"/>
      <c r="G109" s="227"/>
      <c r="H109" s="280"/>
      <c r="I109" s="280"/>
    </row>
    <row r="110" spans="5:25" s="151" customFormat="1">
      <c r="E110" s="151" t="s">
        <v>330</v>
      </c>
      <c r="G110" s="283">
        <f>'W29'!J19</f>
        <v>3228.0777559229996</v>
      </c>
      <c r="H110" s="280"/>
      <c r="I110" s="280"/>
      <c r="J110" s="258"/>
      <c r="K110" s="260"/>
      <c r="L110" s="260"/>
      <c r="M110" s="260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2"/>
    </row>
    <row r="111" spans="5:25" s="151" customFormat="1">
      <c r="E111" s="151" t="s">
        <v>331</v>
      </c>
      <c r="G111" s="283">
        <f>H107</f>
        <v>143</v>
      </c>
      <c r="H111" s="280"/>
      <c r="I111" s="280"/>
      <c r="J111" s="258"/>
      <c r="K111" s="260"/>
      <c r="L111" s="260"/>
      <c r="M111" s="260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2"/>
    </row>
    <row r="112" spans="5:25" s="151" customFormat="1">
      <c r="E112" s="151" t="s">
        <v>332</v>
      </c>
      <c r="G112" s="283">
        <f>J12-'W29'!J12</f>
        <v>121</v>
      </c>
      <c r="H112" s="280"/>
      <c r="I112" s="280"/>
      <c r="J112" s="258"/>
      <c r="K112" s="260"/>
      <c r="L112" s="260"/>
      <c r="M112" s="260"/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2"/>
    </row>
    <row r="113" spans="5:25" s="151" customFormat="1">
      <c r="E113" s="151" t="s">
        <v>333</v>
      </c>
      <c r="G113" s="283">
        <f>G110+G111-G112</f>
        <v>3250.0777559229996</v>
      </c>
      <c r="H113" s="280"/>
      <c r="I113" s="280"/>
      <c r="J113" s="258"/>
      <c r="K113" s="260"/>
      <c r="L113" s="260"/>
      <c r="M113" s="260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2"/>
    </row>
    <row r="114" spans="5:25" s="151" customFormat="1">
      <c r="E114" s="151" t="s">
        <v>334</v>
      </c>
      <c r="G114" s="283">
        <f>J19</f>
        <v>3244.469000224999</v>
      </c>
      <c r="H114" s="280"/>
      <c r="I114" s="280"/>
      <c r="J114" s="258"/>
      <c r="K114" s="260"/>
      <c r="L114" s="260"/>
      <c r="M114" s="260"/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2"/>
    </row>
    <row r="115" spans="5:25" s="151" customFormat="1">
      <c r="E115" s="151" t="s">
        <v>335</v>
      </c>
      <c r="G115" s="284">
        <f>G114-G113</f>
        <v>-5.6087556980005502</v>
      </c>
      <c r="H115" s="280"/>
      <c r="I115" s="280"/>
      <c r="J115" s="258"/>
      <c r="K115" s="260"/>
      <c r="L115" s="260"/>
      <c r="M115" s="260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2"/>
    </row>
    <row r="116" spans="5:25" s="151" customFormat="1">
      <c r="F116" s="257"/>
      <c r="H116" s="280"/>
      <c r="I116" s="280"/>
      <c r="J116" s="258"/>
      <c r="K116" s="260"/>
      <c r="L116" s="260"/>
      <c r="M116" s="260"/>
      <c r="N116" s="261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2"/>
    </row>
    <row r="117" spans="5:25">
      <c r="E117" s="227"/>
      <c r="F117" s="278"/>
      <c r="G117" s="227"/>
      <c r="H117" s="280"/>
      <c r="I117" s="280"/>
    </row>
    <row r="118" spans="5:25">
      <c r="E118" s="227"/>
      <c r="F118" s="278"/>
      <c r="G118" s="227"/>
      <c r="H118" s="280"/>
      <c r="I118" s="280"/>
    </row>
    <row r="119" spans="5:25">
      <c r="E119" s="227"/>
      <c r="F119" s="278"/>
      <c r="G119" s="227"/>
      <c r="H119" s="280"/>
      <c r="I119" s="280"/>
    </row>
    <row r="120" spans="5:25">
      <c r="E120" s="227"/>
      <c r="F120" s="278"/>
      <c r="G120" s="227"/>
      <c r="H120" s="280"/>
      <c r="I120" s="280"/>
    </row>
  </sheetData>
  <sheetProtection formatCells="0" formatColumns="0" formatRows="0" insertRows="0" deleteRows="0" autoFilter="0"/>
  <autoFilter ref="E23:AL234" xr:uid="{00000000-0009-0000-0000-000020000000}"/>
  <mergeCells count="2">
    <mergeCell ref="I4:J4"/>
    <mergeCell ref="E99:H99"/>
  </mergeCells>
  <phoneticPr fontId="40"/>
  <dataValidations count="2">
    <dataValidation type="list" allowBlank="1" showInputMessage="1" showErrorMessage="1" sqref="G2" xr:uid="{00000000-0002-0000-2000-000000000000}">
      <formula1>SOCIETE</formula1>
    </dataValidation>
    <dataValidation type="list" allowBlank="1" showInputMessage="1" showErrorMessage="1" sqref="F24:F89 F100" xr:uid="{4C905E1F-B3AF-4B01-9549-57893AA24112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0:G115" unlockedFormula="1"/>
  </ignoredErrors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4">
    <tabColor theme="3" tint="0.59999389629810485"/>
    <pageSetUpPr fitToPage="1"/>
  </sheetPr>
  <dimension ref="D1:AL124"/>
  <sheetViews>
    <sheetView showGridLines="0" zoomScale="80" zoomScaleNormal="80" workbookViewId="0">
      <selection activeCell="F8" sqref="F8"/>
    </sheetView>
  </sheetViews>
  <sheetFormatPr defaultColWidth="8" defaultRowHeight="15"/>
  <cols>
    <col min="1" max="4" width="4" style="15" customWidth="1"/>
    <col min="5" max="5" width="41.710937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127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July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69.599999999999994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July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W31</v>
      </c>
      <c r="I9" s="61"/>
      <c r="J9" s="161" t="str">
        <f>+"from "&amp;G6&amp;" 1 until end of "&amp;G4</f>
        <v>from July 1 until end of W31</v>
      </c>
      <c r="K9" s="79"/>
      <c r="L9" s="167" t="str">
        <f>+G6</f>
        <v>July</v>
      </c>
      <c r="M9" s="80"/>
      <c r="N9" s="80"/>
      <c r="O9" s="172" t="str">
        <f>+G4</f>
        <v>W31</v>
      </c>
      <c r="P9" s="173" t="str">
        <f>+VLOOKUP(G4, parameters!$G$9:$I$61,3,0)</f>
        <v>W30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600+320+797+430+396+688+J10</f>
        <v>4041</v>
      </c>
      <c r="I10" s="61"/>
      <c r="J10" s="159">
        <f>1158-J11-28-201</f>
        <v>810</v>
      </c>
      <c r="L10" s="159">
        <f>T17+J10</f>
        <v>810</v>
      </c>
      <c r="N10" s="55"/>
      <c r="O10" s="170">
        <f>+H10+K17</f>
        <v>7189.8770642689988</v>
      </c>
      <c r="P10" s="171" cm="1">
        <f t="array" aca="1" ref="P10" ca="1">INDIRECT(ADDRESS(10,15,,,VLOOKUP($G$4,parameters!$G:$I,3,0)))</f>
        <v>7196.7256405319986</v>
      </c>
      <c r="Q10" s="183">
        <f ca="1">O10-P10</f>
        <v>-6.8485762629998135</v>
      </c>
      <c r="R10" s="86"/>
    </row>
    <row r="11" spans="5:38" ht="20.45" customHeight="1">
      <c r="E11" s="87" t="s">
        <v>224</v>
      </c>
      <c r="F11" s="88"/>
      <c r="G11" s="89"/>
      <c r="H11" s="16">
        <f>13+8+3+3+2+14+J11</f>
        <v>162</v>
      </c>
      <c r="I11" s="61"/>
      <c r="J11" s="16">
        <v>119</v>
      </c>
      <c r="L11" s="159">
        <f>T18+J11</f>
        <v>119</v>
      </c>
      <c r="N11" s="55"/>
      <c r="O11" s="152">
        <f>+H11+K18</f>
        <v>191.743359693</v>
      </c>
      <c r="P11" s="153" cm="1">
        <f t="array" aca="1" ref="P11" ca="1">INDIRECT(ADDRESS(11,15,,,VLOOKUP($G$4,parameters!$G:$I,3,0)))</f>
        <v>191.743359693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4203</v>
      </c>
      <c r="I12" s="293"/>
      <c r="J12" s="126">
        <f>SUM(J10:J11)</f>
        <v>929</v>
      </c>
      <c r="K12" s="65"/>
      <c r="L12" s="126">
        <f>SUM(L10:L11)</f>
        <v>929</v>
      </c>
      <c r="M12" s="65"/>
      <c r="N12" s="65"/>
      <c r="O12" s="154">
        <f>SUM(O10:O11)</f>
        <v>7381.6204239619983</v>
      </c>
      <c r="P12" s="155">
        <f ca="1">SUM(P10:P11)</f>
        <v>7388.469000224999</v>
      </c>
      <c r="Q12" s="156">
        <f t="shared" ca="1" si="0"/>
        <v>-6.848576263000723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+SUMIF($F$24:$F$96,"External",$J$24:$J$96)</f>
        <v>3148.8770642689988</v>
      </c>
      <c r="K17" s="108">
        <f>+SUMIF($F$24:$F$96,"External",$K$24:$K$96)</f>
        <v>3148.8770642689988</v>
      </c>
      <c r="L17" s="109">
        <f>+SUMIF($F$24:$F$96,"External",$L$24:$L$96)</f>
        <v>0</v>
      </c>
      <c r="M17" s="110"/>
      <c r="N17" s="111">
        <f t="shared" ref="N17:Y17" si="1">+SUMIF($F$24:$F$96,"External",N$24:N$96)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1255.2290317779996</v>
      </c>
      <c r="V17" s="111">
        <f t="shared" si="1"/>
        <v>1340.663568014</v>
      </c>
      <c r="W17" s="111">
        <f t="shared" si="1"/>
        <v>151.13587223800002</v>
      </c>
      <c r="X17" s="111">
        <f t="shared" si="1"/>
        <v>322.57756483899999</v>
      </c>
      <c r="Y17" s="111">
        <f t="shared" si="1"/>
        <v>79.271027399999994</v>
      </c>
      <c r="Z17" s="112"/>
      <c r="AA17" s="111">
        <f t="shared" ref="AA17:AL17" si="2">+SUMIF($F$24:$F$96,"External",AA$24:AA$96)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+SUMIF($F$24:$F$96,"Group",$J$24:$J$96)</f>
        <v>29.743359692999999</v>
      </c>
      <c r="K18" s="113">
        <f>+SUMIF($F$24:$F$96,"Group",$K$24:$K$96)</f>
        <v>29.743359692999999</v>
      </c>
      <c r="L18" s="114">
        <f>SUMIF($F$24:$F$96,"Group",$L$24:$L$96)</f>
        <v>0</v>
      </c>
      <c r="M18" s="110"/>
      <c r="N18" s="114">
        <f t="shared" ref="N18:Y18" si="3">+SUMIF($F$24:$F$96,"Group",N$24:N$96)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29.743359692999999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+SUMIF($F$24:$F$96,"Group",AA$24:AA$96)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3178.6204239619988</v>
      </c>
      <c r="K19" s="115">
        <f>SUM(K17:K18)</f>
        <v>3178.6204239619988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1284.9723914709996</v>
      </c>
      <c r="V19" s="116">
        <f t="shared" si="5"/>
        <v>1340.663568014</v>
      </c>
      <c r="W19" s="116">
        <f t="shared" si="5"/>
        <v>151.13587223800002</v>
      </c>
      <c r="X19" s="116">
        <f t="shared" si="5"/>
        <v>322.57756483899999</v>
      </c>
      <c r="Y19" s="116">
        <f t="shared" si="5"/>
        <v>79.271027399999994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IF(SUM(J24:J96)=J19,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557</v>
      </c>
      <c r="F24" s="7" t="s">
        <v>19</v>
      </c>
      <c r="G24" s="6" t="s">
        <v>561</v>
      </c>
      <c r="H24" s="187" t="s">
        <v>559</v>
      </c>
      <c r="I24" s="187" t="s">
        <v>561</v>
      </c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0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7" t="s">
        <v>19</v>
      </c>
      <c r="G25" s="6" t="s">
        <v>239</v>
      </c>
      <c r="H25" s="6" t="s">
        <v>278</v>
      </c>
      <c r="I25" s="6" t="s">
        <v>239</v>
      </c>
      <c r="J25" s="118">
        <f t="shared" ref="J25:J88" si="10">+K25+L25</f>
        <v>6.4492737049999995</v>
      </c>
      <c r="K25" s="119">
        <f t="shared" ref="K25:K88" si="11">SUM(N25:Y25)</f>
        <v>6.4492737049999995</v>
      </c>
      <c r="L25" s="119">
        <f t="shared" ref="L25:L83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>
        <v>4.7944134859999998</v>
      </c>
      <c r="X25" s="24">
        <v>1.6548602190000001</v>
      </c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6" t="s">
        <v>277</v>
      </c>
      <c r="I26" s="6" t="s">
        <v>237</v>
      </c>
      <c r="J26" s="118">
        <f t="shared" si="10"/>
        <v>8.2520863759999994</v>
      </c>
      <c r="K26" s="119">
        <f t="shared" si="11"/>
        <v>8.2520863759999994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>
        <v>8.2520863759999994</v>
      </c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573</v>
      </c>
      <c r="F27" s="7" t="s">
        <v>19</v>
      </c>
      <c r="G27" s="6" t="s">
        <v>561</v>
      </c>
      <c r="H27" s="6" t="s">
        <v>559</v>
      </c>
      <c r="I27" s="6" t="s">
        <v>561</v>
      </c>
      <c r="J27" s="118">
        <f t="shared" si="10"/>
        <v>92.379652743000008</v>
      </c>
      <c r="K27" s="119">
        <f t="shared" si="11"/>
        <v>92.379652743000008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92.379652743000008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571</v>
      </c>
      <c r="F28" s="7" t="s">
        <v>19</v>
      </c>
      <c r="G28" s="6" t="s">
        <v>529</v>
      </c>
      <c r="H28" s="6" t="s">
        <v>530</v>
      </c>
      <c r="I28" s="6" t="s">
        <v>529</v>
      </c>
      <c r="J28" s="118">
        <f t="shared" si="10"/>
        <v>331.13333089999998</v>
      </c>
      <c r="K28" s="119">
        <f t="shared" si="11"/>
        <v>331.13333089999998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>
        <v>48.553155499999995</v>
      </c>
      <c r="V28" s="24">
        <v>282.58017539999997</v>
      </c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470</v>
      </c>
      <c r="F29" s="7" t="s">
        <v>19</v>
      </c>
      <c r="G29" s="6" t="s">
        <v>279</v>
      </c>
      <c r="H29" s="6" t="s">
        <v>280</v>
      </c>
      <c r="I29" s="6" t="s">
        <v>279</v>
      </c>
      <c r="J29" s="118">
        <f t="shared" si="10"/>
        <v>334.02327609400004</v>
      </c>
      <c r="K29" s="119">
        <f t="shared" si="11"/>
        <v>334.02327609400004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>
        <v>7.0585135609999998</v>
      </c>
      <c r="V29" s="24">
        <v>153.22080756800005</v>
      </c>
      <c r="W29" s="24"/>
      <c r="X29" s="24">
        <v>173.743954965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7" t="s">
        <v>19</v>
      </c>
      <c r="G30" s="6" t="s">
        <v>282</v>
      </c>
      <c r="H30" s="6" t="s">
        <v>283</v>
      </c>
      <c r="I30" s="6" t="s">
        <v>282</v>
      </c>
      <c r="J30" s="118">
        <f t="shared" si="10"/>
        <v>0.69174142800000005</v>
      </c>
      <c r="K30" s="119">
        <f t="shared" si="11"/>
        <v>0.69174142800000005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>
        <v>0.69174142800000005</v>
      </c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281</v>
      </c>
      <c r="F31" s="7" t="s">
        <v>19</v>
      </c>
      <c r="G31" s="6" t="s">
        <v>282</v>
      </c>
      <c r="H31" s="6" t="s">
        <v>283</v>
      </c>
      <c r="I31" s="6" t="s">
        <v>282</v>
      </c>
      <c r="J31" s="118">
        <f t="shared" si="10"/>
        <v>23.295192105999998</v>
      </c>
      <c r="K31" s="119">
        <f t="shared" si="11"/>
        <v>23.295192105999998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>
        <v>23.295192105999998</v>
      </c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446</v>
      </c>
      <c r="F32" s="7" t="s">
        <v>19</v>
      </c>
      <c r="G32" s="6" t="s">
        <v>493</v>
      </c>
      <c r="H32" s="6" t="s">
        <v>339</v>
      </c>
      <c r="I32" s="6" t="s">
        <v>493</v>
      </c>
      <c r="J32" s="118">
        <f t="shared" si="10"/>
        <v>4.6723122079999992</v>
      </c>
      <c r="K32" s="119">
        <f t="shared" si="11"/>
        <v>4.6723122079999992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>
        <v>4.6723122079999992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473</v>
      </c>
      <c r="F33" s="7" t="s">
        <v>17</v>
      </c>
      <c r="G33" s="6" t="s">
        <v>493</v>
      </c>
      <c r="H33" s="6" t="s">
        <v>339</v>
      </c>
      <c r="I33" s="6" t="s">
        <v>493</v>
      </c>
      <c r="J33" s="118">
        <f t="shared" si="10"/>
        <v>29.743359692999999</v>
      </c>
      <c r="K33" s="119">
        <f t="shared" si="11"/>
        <v>29.743359692999999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>
        <v>29.743359692999999</v>
      </c>
      <c r="V33" s="24"/>
      <c r="W33" s="24"/>
      <c r="X33" s="24"/>
      <c r="Y33" s="24"/>
    </row>
    <row r="34" spans="5:25">
      <c r="E34" s="6" t="s">
        <v>473</v>
      </c>
      <c r="F34" s="7" t="s">
        <v>17</v>
      </c>
      <c r="G34" s="6" t="s">
        <v>508</v>
      </c>
      <c r="H34" s="6" t="s">
        <v>319</v>
      </c>
      <c r="I34" s="6" t="s">
        <v>508</v>
      </c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5:25">
      <c r="E35" s="6" t="s">
        <v>474</v>
      </c>
      <c r="F35" s="7" t="s">
        <v>19</v>
      </c>
      <c r="G35" s="6" t="s">
        <v>279</v>
      </c>
      <c r="H35" s="6" t="s">
        <v>280</v>
      </c>
      <c r="I35" s="6" t="s">
        <v>279</v>
      </c>
      <c r="J35" s="118">
        <f t="shared" si="10"/>
        <v>114.986673357</v>
      </c>
      <c r="K35" s="119">
        <f t="shared" si="11"/>
        <v>114.986673357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114.986673357</v>
      </c>
      <c r="W35" s="24"/>
      <c r="X35" s="24"/>
      <c r="Y35" s="24"/>
    </row>
    <row r="36" spans="5:25">
      <c r="E36" s="6" t="s">
        <v>475</v>
      </c>
      <c r="F36" s="7" t="s">
        <v>19</v>
      </c>
      <c r="G36" s="6" t="s">
        <v>245</v>
      </c>
      <c r="H36" s="6" t="s">
        <v>288</v>
      </c>
      <c r="I36" s="6" t="s">
        <v>245</v>
      </c>
      <c r="J36" s="118">
        <f t="shared" si="10"/>
        <v>5.0478331880000002</v>
      </c>
      <c r="K36" s="119">
        <f t="shared" si="11"/>
        <v>5.0478331880000002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5.0478331880000002</v>
      </c>
      <c r="W36" s="24"/>
      <c r="X36" s="24"/>
      <c r="Y36" s="24"/>
    </row>
    <row r="37" spans="5:25">
      <c r="E37" s="6" t="s">
        <v>476</v>
      </c>
      <c r="F37" s="7" t="s">
        <v>19</v>
      </c>
      <c r="G37" s="6" t="s">
        <v>447</v>
      </c>
      <c r="H37" s="6" t="s">
        <v>448</v>
      </c>
      <c r="I37" s="6" t="s">
        <v>447</v>
      </c>
      <c r="J37" s="118">
        <f t="shared" si="10"/>
        <v>73.730245896999989</v>
      </c>
      <c r="K37" s="119">
        <f t="shared" si="11"/>
        <v>73.730245896999989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>
        <f>3.320555297</f>
        <v>3.3205552969999999</v>
      </c>
      <c r="V37" s="24">
        <v>45.950568599999997</v>
      </c>
      <c r="W37" s="24">
        <v>4.8918244</v>
      </c>
      <c r="X37" s="24">
        <v>14.675473199999999</v>
      </c>
      <c r="Y37" s="24">
        <v>4.8918244</v>
      </c>
    </row>
    <row r="38" spans="5:25">
      <c r="E38" s="6" t="s">
        <v>476</v>
      </c>
      <c r="F38" s="7" t="s">
        <v>19</v>
      </c>
      <c r="G38" s="6" t="s">
        <v>247</v>
      </c>
      <c r="H38" s="6" t="s">
        <v>289</v>
      </c>
      <c r="I38" s="6" t="s">
        <v>247</v>
      </c>
      <c r="J38" s="118">
        <f t="shared" si="10"/>
        <v>125.16639444199987</v>
      </c>
      <c r="K38" s="119">
        <f t="shared" si="11"/>
        <v>125.16639444199987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>
        <v>39.212449510999882</v>
      </c>
      <c r="V38" s="24">
        <v>40.218264931</v>
      </c>
      <c r="W38" s="24">
        <v>11.99428</v>
      </c>
      <c r="X38" s="24">
        <v>7.1178600000000003</v>
      </c>
      <c r="Y38" s="24">
        <v>26.623539999999998</v>
      </c>
    </row>
    <row r="39" spans="5:25">
      <c r="E39" s="6" t="s">
        <v>476</v>
      </c>
      <c r="F39" s="7" t="s">
        <v>19</v>
      </c>
      <c r="G39" s="6" t="s">
        <v>379</v>
      </c>
      <c r="H39" s="6" t="s">
        <v>291</v>
      </c>
      <c r="I39" s="6" t="s">
        <v>379</v>
      </c>
      <c r="J39" s="118">
        <f t="shared" si="10"/>
        <v>110.714298828</v>
      </c>
      <c r="K39" s="119">
        <f t="shared" si="11"/>
        <v>110.714298828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>
        <v>4.9062601189999997</v>
      </c>
      <c r="V39" s="24">
        <v>59.760378708999994</v>
      </c>
      <c r="W39" s="24">
        <v>23.023830000000004</v>
      </c>
      <c r="X39" s="24">
        <v>13.010380000000001</v>
      </c>
      <c r="Y39" s="24">
        <v>10.013450000000001</v>
      </c>
    </row>
    <row r="40" spans="5:25">
      <c r="E40" s="6" t="s">
        <v>476</v>
      </c>
      <c r="F40" s="7" t="s">
        <v>19</v>
      </c>
      <c r="G40" s="6" t="s">
        <v>378</v>
      </c>
      <c r="H40" s="6" t="s">
        <v>290</v>
      </c>
      <c r="I40" s="6" t="s">
        <v>378</v>
      </c>
      <c r="J40" s="118">
        <f t="shared" si="10"/>
        <v>99.243077768999981</v>
      </c>
      <c r="K40" s="119">
        <f t="shared" si="11"/>
        <v>99.243077768999981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>
        <f>19.901233169</f>
        <v>19.901233169000001</v>
      </c>
      <c r="V40" s="24">
        <v>24.950169999999996</v>
      </c>
      <c r="W40" s="24">
        <v>15.184264599999999</v>
      </c>
      <c r="X40" s="24">
        <v>10.69293</v>
      </c>
      <c r="Y40" s="24">
        <v>28.514479999999995</v>
      </c>
    </row>
    <row r="41" spans="5:25">
      <c r="E41" s="6" t="s">
        <v>476</v>
      </c>
      <c r="F41" s="7" t="s">
        <v>19</v>
      </c>
      <c r="G41" s="6" t="s">
        <v>574</v>
      </c>
      <c r="H41" s="6" t="s">
        <v>575</v>
      </c>
      <c r="I41" s="6" t="s">
        <v>574</v>
      </c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>
        <v>0</v>
      </c>
      <c r="V41" s="24"/>
      <c r="W41" s="24"/>
      <c r="X41" s="24"/>
      <c r="Y41" s="24"/>
    </row>
    <row r="42" spans="5:25">
      <c r="E42" s="6" t="s">
        <v>476</v>
      </c>
      <c r="F42" s="7" t="s">
        <v>19</v>
      </c>
      <c r="G42" s="6" t="s">
        <v>454</v>
      </c>
      <c r="H42" s="6" t="s">
        <v>292</v>
      </c>
      <c r="I42" s="6" t="s">
        <v>454</v>
      </c>
      <c r="J42" s="118">
        <f t="shared" si="10"/>
        <v>64.419606239000004</v>
      </c>
      <c r="K42" s="119">
        <f t="shared" si="11"/>
        <v>64.419606239000004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>
        <f>1.337245639</f>
        <v>1.337245639</v>
      </c>
      <c r="V42" s="24">
        <v>7.2454200000000002</v>
      </c>
      <c r="W42" s="24">
        <v>41.3461006</v>
      </c>
      <c r="X42" s="24">
        <v>7.2454200000000002</v>
      </c>
      <c r="Y42" s="24">
        <v>7.2454200000000002</v>
      </c>
    </row>
    <row r="43" spans="5:25">
      <c r="E43" s="6" t="s">
        <v>476</v>
      </c>
      <c r="F43" s="7" t="s">
        <v>19</v>
      </c>
      <c r="G43" s="6" t="s">
        <v>293</v>
      </c>
      <c r="H43" s="6" t="s">
        <v>294</v>
      </c>
      <c r="I43" s="6" t="s">
        <v>293</v>
      </c>
      <c r="J43" s="118">
        <f t="shared" si="10"/>
        <v>4.0365885000000006</v>
      </c>
      <c r="K43" s="119">
        <f t="shared" si="11"/>
        <v>4.0365885000000006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>
        <v>7.1962499999999999E-2</v>
      </c>
      <c r="V43" s="24"/>
      <c r="W43" s="24"/>
      <c r="X43" s="24">
        <v>1.982313</v>
      </c>
      <c r="Y43" s="24">
        <v>1.982313</v>
      </c>
    </row>
    <row r="44" spans="5:25">
      <c r="E44" s="6" t="s">
        <v>476</v>
      </c>
      <c r="F44" s="7" t="s">
        <v>19</v>
      </c>
      <c r="G44" s="6" t="s">
        <v>252</v>
      </c>
      <c r="H44" s="6" t="s">
        <v>295</v>
      </c>
      <c r="I44" s="6" t="s">
        <v>252</v>
      </c>
      <c r="J44" s="118">
        <f t="shared" si="10"/>
        <v>5.7701866229999998</v>
      </c>
      <c r="K44" s="119">
        <f t="shared" si="11"/>
        <v>5.7701866229999998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>
        <f>5.412686623</f>
        <v>5.4126866229999999</v>
      </c>
      <c r="V44" s="24"/>
      <c r="W44" s="24">
        <v>0.35749999999999998</v>
      </c>
      <c r="X44" s="24"/>
      <c r="Y44" s="24"/>
    </row>
    <row r="45" spans="5:25">
      <c r="E45" s="6" t="s">
        <v>476</v>
      </c>
      <c r="F45" s="7" t="s">
        <v>19</v>
      </c>
      <c r="G45" s="6" t="s">
        <v>245</v>
      </c>
      <c r="H45" s="6" t="s">
        <v>288</v>
      </c>
      <c r="I45" s="6" t="s">
        <v>245</v>
      </c>
      <c r="J45" s="118">
        <f t="shared" si="10"/>
        <v>16.255356680000002</v>
      </c>
      <c r="K45" s="119">
        <f t="shared" si="11"/>
        <v>16.255356680000002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>
        <f>14.676543322</f>
        <v>14.676543322000001</v>
      </c>
      <c r="V45" s="24">
        <v>1.5788133580000001</v>
      </c>
      <c r="W45" s="24"/>
      <c r="X45" s="24"/>
      <c r="Y45" s="24"/>
    </row>
    <row r="46" spans="5:25">
      <c r="E46" s="6" t="s">
        <v>477</v>
      </c>
      <c r="F46" s="7" t="s">
        <v>19</v>
      </c>
      <c r="G46" s="6" t="s">
        <v>454</v>
      </c>
      <c r="H46" s="6" t="s">
        <v>292</v>
      </c>
      <c r="I46" s="6" t="s">
        <v>454</v>
      </c>
      <c r="J46" s="118">
        <f t="shared" si="10"/>
        <v>10.006058019999999</v>
      </c>
      <c r="K46" s="119">
        <f t="shared" si="11"/>
        <v>10.006058019999999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10.006058019999999</v>
      </c>
      <c r="W46" s="24"/>
      <c r="X46" s="24"/>
      <c r="Y46" s="24"/>
    </row>
    <row r="47" spans="5:25">
      <c r="E47" s="6" t="s">
        <v>478</v>
      </c>
      <c r="F47" s="7" t="s">
        <v>19</v>
      </c>
      <c r="G47" s="6" t="s">
        <v>245</v>
      </c>
      <c r="H47" s="6" t="s">
        <v>288</v>
      </c>
      <c r="I47" s="6" t="s">
        <v>245</v>
      </c>
      <c r="J47" s="118">
        <f t="shared" si="10"/>
        <v>61.835956552999995</v>
      </c>
      <c r="K47" s="119">
        <f t="shared" si="11"/>
        <v>61.835956552999995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61.835956552999995</v>
      </c>
      <c r="W47" s="24"/>
      <c r="X47" s="24"/>
      <c r="Y47" s="24"/>
    </row>
    <row r="48" spans="5:25">
      <c r="E48" s="6" t="s">
        <v>414</v>
      </c>
      <c r="F48" s="7" t="s">
        <v>19</v>
      </c>
      <c r="G48" s="6" t="s">
        <v>245</v>
      </c>
      <c r="H48" s="6" t="s">
        <v>288</v>
      </c>
      <c r="I48" s="6" t="s">
        <v>245</v>
      </c>
      <c r="J48" s="118">
        <f t="shared" si="10"/>
        <v>58.404625406000008</v>
      </c>
      <c r="K48" s="119">
        <f t="shared" si="11"/>
        <v>58.404625406000008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v>58.404625406000008</v>
      </c>
      <c r="W48" s="24"/>
      <c r="X48" s="24"/>
      <c r="Y48" s="24"/>
    </row>
    <row r="49" spans="5:25">
      <c r="E49" s="6" t="s">
        <v>417</v>
      </c>
      <c r="F49" s="7" t="s">
        <v>19</v>
      </c>
      <c r="G49" s="6" t="s">
        <v>282</v>
      </c>
      <c r="H49" s="6" t="s">
        <v>283</v>
      </c>
      <c r="I49" s="6" t="s">
        <v>282</v>
      </c>
      <c r="J49" s="118">
        <f t="shared" si="10"/>
        <v>1.9666872719999999</v>
      </c>
      <c r="K49" s="119">
        <f t="shared" si="11"/>
        <v>1.9666872719999999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>
        <v>1.9666872719999999</v>
      </c>
      <c r="X49" s="24"/>
      <c r="Y49" s="24"/>
    </row>
    <row r="50" spans="5:25">
      <c r="E50" s="6" t="s">
        <v>417</v>
      </c>
      <c r="F50" s="7" t="s">
        <v>19</v>
      </c>
      <c r="G50" s="6" t="s">
        <v>500</v>
      </c>
      <c r="H50" s="6" t="s">
        <v>305</v>
      </c>
      <c r="I50" s="6" t="s">
        <v>500</v>
      </c>
      <c r="J50" s="118">
        <f t="shared" si="10"/>
        <v>19.768845337000002</v>
      </c>
      <c r="K50" s="119">
        <f t="shared" si="11"/>
        <v>19.768845337000002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>
        <v>19.768845337000002</v>
      </c>
      <c r="V50" s="24"/>
      <c r="W50" s="24"/>
      <c r="X50" s="24"/>
      <c r="Y50" s="24"/>
    </row>
    <row r="51" spans="5:25">
      <c r="E51" s="6" t="s">
        <v>450</v>
      </c>
      <c r="F51" s="7" t="s">
        <v>19</v>
      </c>
      <c r="G51" s="6" t="s">
        <v>282</v>
      </c>
      <c r="H51" s="6" t="s">
        <v>283</v>
      </c>
      <c r="I51" s="6" t="s">
        <v>282</v>
      </c>
      <c r="J51" s="118">
        <f t="shared" si="10"/>
        <v>1.9317665959999997</v>
      </c>
      <c r="K51" s="119">
        <f t="shared" si="11"/>
        <v>1.9317665959999997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>
        <v>0.83027989599999974</v>
      </c>
      <c r="V51" s="24">
        <v>0.1625413</v>
      </c>
      <c r="W51" s="24"/>
      <c r="X51" s="24">
        <v>0.93894539999999993</v>
      </c>
      <c r="Y51" s="24"/>
    </row>
    <row r="52" spans="5:25">
      <c r="E52" s="6" t="s">
        <v>450</v>
      </c>
      <c r="F52" s="7" t="s">
        <v>19</v>
      </c>
      <c r="G52" s="6" t="s">
        <v>282</v>
      </c>
      <c r="H52" s="6" t="s">
        <v>283</v>
      </c>
      <c r="I52" s="6" t="s">
        <v>282</v>
      </c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>
        <v>0</v>
      </c>
      <c r="V52" s="24"/>
      <c r="W52" s="24"/>
      <c r="X52" s="24"/>
      <c r="Y52" s="24"/>
    </row>
    <row r="53" spans="5:25">
      <c r="E53" s="6" t="s">
        <v>450</v>
      </c>
      <c r="F53" s="7" t="s">
        <v>19</v>
      </c>
      <c r="G53" s="6" t="s">
        <v>500</v>
      </c>
      <c r="H53" s="6" t="s">
        <v>305</v>
      </c>
      <c r="I53" s="6" t="s">
        <v>500</v>
      </c>
      <c r="J53" s="118">
        <f t="shared" si="10"/>
        <v>3.3595952690000002</v>
      </c>
      <c r="K53" s="119">
        <f t="shared" si="11"/>
        <v>3.3595952690000002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>
        <v>3.1510189200000003</v>
      </c>
      <c r="V53" s="24">
        <v>0.20857634899999999</v>
      </c>
      <c r="W53" s="24"/>
      <c r="X53" s="24"/>
      <c r="Y53" s="24"/>
    </row>
    <row r="54" spans="5:25">
      <c r="E54" s="6" t="s">
        <v>450</v>
      </c>
      <c r="F54" s="7" t="s">
        <v>19</v>
      </c>
      <c r="G54" s="6" t="s">
        <v>500</v>
      </c>
      <c r="H54" s="6" t="s">
        <v>305</v>
      </c>
      <c r="I54" s="6" t="s">
        <v>500</v>
      </c>
      <c r="J54" s="118">
        <f t="shared" si="10"/>
        <v>50.432695994999996</v>
      </c>
      <c r="K54" s="119">
        <f t="shared" si="11"/>
        <v>50.432695994999996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>
        <v>39.533459323999992</v>
      </c>
      <c r="V54" s="24">
        <v>10.374567890000003</v>
      </c>
      <c r="W54" s="24">
        <v>0.52466878099999992</v>
      </c>
      <c r="X54" s="24"/>
      <c r="Y54" s="24"/>
    </row>
    <row r="55" spans="5:25">
      <c r="E55" s="6" t="s">
        <v>450</v>
      </c>
      <c r="F55" s="7" t="s">
        <v>19</v>
      </c>
      <c r="G55" s="6" t="s">
        <v>256</v>
      </c>
      <c r="H55" s="6" t="s">
        <v>303</v>
      </c>
      <c r="I55" s="6" t="s">
        <v>256</v>
      </c>
      <c r="J55" s="118">
        <f t="shared" si="10"/>
        <v>176.6649635550001</v>
      </c>
      <c r="K55" s="119">
        <f t="shared" si="11"/>
        <v>176.6649635550001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>
        <v>43.452123391000008</v>
      </c>
      <c r="V55" s="24">
        <v>117.1900796450001</v>
      </c>
      <c r="W55" s="24">
        <v>16.022760519000002</v>
      </c>
      <c r="X55" s="24"/>
      <c r="Y55" s="24"/>
    </row>
    <row r="56" spans="5:25">
      <c r="E56" s="6" t="s">
        <v>572</v>
      </c>
      <c r="F56" s="7" t="s">
        <v>19</v>
      </c>
      <c r="G56" s="6" t="s">
        <v>441</v>
      </c>
      <c r="H56" s="6" t="s">
        <v>481</v>
      </c>
      <c r="I56" s="6" t="s">
        <v>441</v>
      </c>
      <c r="J56" s="118">
        <f t="shared" si="10"/>
        <v>365.61366813999956</v>
      </c>
      <c r="K56" s="119">
        <f t="shared" si="11"/>
        <v>365.61366813999956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>
        <v>275.0420549199996</v>
      </c>
      <c r="V56" s="24">
        <v>87.112771739999971</v>
      </c>
      <c r="W56" s="24">
        <v>3.4588414799999998</v>
      </c>
      <c r="X56" s="24"/>
      <c r="Y56" s="24"/>
    </row>
    <row r="57" spans="5:25">
      <c r="E57" s="6" t="s">
        <v>482</v>
      </c>
      <c r="F57" s="7" t="s">
        <v>19</v>
      </c>
      <c r="G57" s="6" t="s">
        <v>258</v>
      </c>
      <c r="H57" s="6" t="s">
        <v>306</v>
      </c>
      <c r="I57" s="6" t="s">
        <v>258</v>
      </c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>
        <v>0</v>
      </c>
      <c r="V57" s="24"/>
      <c r="W57" s="24"/>
      <c r="X57" s="24"/>
      <c r="Y57" s="24"/>
    </row>
    <row r="58" spans="5:25">
      <c r="E58" s="6" t="s">
        <v>509</v>
      </c>
      <c r="F58" s="7" t="s">
        <v>19</v>
      </c>
      <c r="G58" s="6" t="s">
        <v>447</v>
      </c>
      <c r="H58" s="6" t="s">
        <v>448</v>
      </c>
      <c r="I58" s="6" t="s">
        <v>447</v>
      </c>
      <c r="J58" s="118">
        <f t="shared" si="10"/>
        <v>14.074529880999998</v>
      </c>
      <c r="K58" s="119">
        <f t="shared" si="11"/>
        <v>14.074529880999998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>
        <v>14.074529880999998</v>
      </c>
      <c r="V58" s="24"/>
      <c r="W58" s="24"/>
      <c r="X58" s="24"/>
      <c r="Y58" s="24"/>
    </row>
    <row r="59" spans="5:25">
      <c r="E59" s="6" t="s">
        <v>509</v>
      </c>
      <c r="F59" s="7" t="s">
        <v>19</v>
      </c>
      <c r="G59" s="6" t="s">
        <v>247</v>
      </c>
      <c r="H59" s="6" t="s">
        <v>289</v>
      </c>
      <c r="I59" s="6" t="s">
        <v>247</v>
      </c>
      <c r="J59" s="118">
        <f t="shared" si="10"/>
        <v>2.3907126999999999</v>
      </c>
      <c r="K59" s="119">
        <f t="shared" si="11"/>
        <v>2.3907126999999999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>
        <v>2.3907126999999999</v>
      </c>
      <c r="V59" s="24"/>
      <c r="W59" s="24"/>
      <c r="X59" s="24"/>
      <c r="Y59" s="24"/>
    </row>
    <row r="60" spans="5:25">
      <c r="E60" s="6" t="s">
        <v>509</v>
      </c>
      <c r="F60" s="7" t="s">
        <v>19</v>
      </c>
      <c r="G60" s="6" t="s">
        <v>379</v>
      </c>
      <c r="H60" s="6" t="s">
        <v>291</v>
      </c>
      <c r="I60" s="6" t="s">
        <v>379</v>
      </c>
      <c r="J60" s="118">
        <f t="shared" si="10"/>
        <v>9.7735672210000004</v>
      </c>
      <c r="K60" s="119">
        <f t="shared" si="11"/>
        <v>9.7735672210000004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>
        <v>9.7735672210000004</v>
      </c>
      <c r="V60" s="24"/>
      <c r="W60" s="24"/>
      <c r="X60" s="24"/>
      <c r="Y60" s="24"/>
    </row>
    <row r="61" spans="5:25">
      <c r="E61" s="6" t="s">
        <v>509</v>
      </c>
      <c r="F61" s="7" t="s">
        <v>19</v>
      </c>
      <c r="G61" s="6" t="s">
        <v>454</v>
      </c>
      <c r="H61" s="6" t="s">
        <v>292</v>
      </c>
      <c r="I61" s="6" t="s">
        <v>454</v>
      </c>
      <c r="J61" s="118">
        <f t="shared" si="10"/>
        <v>9.1080971759999994</v>
      </c>
      <c r="K61" s="119">
        <f t="shared" si="11"/>
        <v>9.1080971759999994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>
        <v>9.1080971759999994</v>
      </c>
      <c r="V61" s="24"/>
      <c r="W61" s="24"/>
      <c r="X61" s="24"/>
      <c r="Y61" s="24"/>
    </row>
    <row r="62" spans="5:25">
      <c r="E62" s="6" t="s">
        <v>509</v>
      </c>
      <c r="F62" s="7" t="s">
        <v>19</v>
      </c>
      <c r="G62" s="6" t="s">
        <v>293</v>
      </c>
      <c r="H62" s="6" t="s">
        <v>294</v>
      </c>
      <c r="I62" s="6" t="s">
        <v>293</v>
      </c>
      <c r="J62" s="118">
        <f t="shared" si="10"/>
        <v>3.2584534759999997</v>
      </c>
      <c r="K62" s="119">
        <f t="shared" si="11"/>
        <v>3.2584534759999997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>
        <v>3.2584534759999997</v>
      </c>
      <c r="V62" s="24"/>
      <c r="W62" s="24"/>
      <c r="X62" s="24"/>
      <c r="Y62" s="24"/>
    </row>
    <row r="63" spans="5:25">
      <c r="E63" s="6" t="s">
        <v>569</v>
      </c>
      <c r="F63" s="7" t="s">
        <v>19</v>
      </c>
      <c r="G63" s="6" t="s">
        <v>447</v>
      </c>
      <c r="H63" s="6" t="s">
        <v>448</v>
      </c>
      <c r="I63" s="6" t="s">
        <v>447</v>
      </c>
      <c r="J63" s="118">
        <f t="shared" si="10"/>
        <v>1.0213622</v>
      </c>
      <c r="K63" s="119">
        <f t="shared" si="11"/>
        <v>1.0213622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>
        <v>1.0213622</v>
      </c>
      <c r="V63" s="24"/>
      <c r="W63" s="24"/>
      <c r="X63" s="24"/>
      <c r="Y63" s="24"/>
    </row>
    <row r="64" spans="5:25">
      <c r="E64" s="6" t="s">
        <v>569</v>
      </c>
      <c r="F64" s="7" t="s">
        <v>19</v>
      </c>
      <c r="G64" s="6" t="s">
        <v>378</v>
      </c>
      <c r="H64" s="6" t="s">
        <v>290</v>
      </c>
      <c r="I64" s="6" t="s">
        <v>378</v>
      </c>
      <c r="J64" s="118">
        <f t="shared" si="10"/>
        <v>34.208617799999999</v>
      </c>
      <c r="K64" s="119">
        <f t="shared" si="11"/>
        <v>34.208617799999999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>
        <v>34.208617799999999</v>
      </c>
      <c r="V64" s="24"/>
      <c r="W64" s="24"/>
      <c r="X64" s="24"/>
      <c r="Y64" s="24"/>
    </row>
    <row r="65" spans="5:25">
      <c r="E65" s="6" t="s">
        <v>483</v>
      </c>
      <c r="F65" s="7" t="s">
        <v>19</v>
      </c>
      <c r="G65" s="6" t="s">
        <v>258</v>
      </c>
      <c r="H65" s="6" t="s">
        <v>306</v>
      </c>
      <c r="I65" s="6" t="s">
        <v>258</v>
      </c>
      <c r="J65" s="118">
        <f t="shared" si="10"/>
        <v>28.729105825999998</v>
      </c>
      <c r="K65" s="119">
        <f t="shared" si="11"/>
        <v>28.729105825999998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>
        <v>28.729105825999998</v>
      </c>
      <c r="V65" s="24"/>
      <c r="W65" s="24"/>
      <c r="X65" s="24"/>
      <c r="Y65" s="24"/>
    </row>
    <row r="66" spans="5:25">
      <c r="E66" s="6" t="s">
        <v>484</v>
      </c>
      <c r="F66" s="7" t="s">
        <v>19</v>
      </c>
      <c r="G66" s="6" t="s">
        <v>264</v>
      </c>
      <c r="H66" s="6" t="s">
        <v>310</v>
      </c>
      <c r="I66" s="6" t="s">
        <v>264</v>
      </c>
      <c r="J66" s="118">
        <f t="shared" si="10"/>
        <v>0.44208771600000002</v>
      </c>
      <c r="K66" s="119">
        <f t="shared" si="11"/>
        <v>0.44208771600000002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>
        <v>0.33190336400000003</v>
      </c>
      <c r="V66" s="24"/>
      <c r="W66" s="24"/>
      <c r="X66" s="24">
        <v>0.110184352</v>
      </c>
      <c r="Y66" s="24"/>
    </row>
    <row r="67" spans="5:25">
      <c r="E67" s="6" t="s">
        <v>484</v>
      </c>
      <c r="F67" s="7" t="s">
        <v>19</v>
      </c>
      <c r="G67" s="6" t="s">
        <v>500</v>
      </c>
      <c r="H67" s="6" t="s">
        <v>305</v>
      </c>
      <c r="I67" s="6" t="s">
        <v>500</v>
      </c>
      <c r="J67" s="118">
        <f t="shared" si="10"/>
        <v>53.278013522000002</v>
      </c>
      <c r="K67" s="119">
        <f t="shared" si="11"/>
        <v>53.278013522000002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53.278013522000002</v>
      </c>
      <c r="Y67" s="24"/>
    </row>
    <row r="68" spans="5:25">
      <c r="E68" s="6" t="s">
        <v>484</v>
      </c>
      <c r="F68" s="7" t="s">
        <v>19</v>
      </c>
      <c r="G68" s="6" t="s">
        <v>503</v>
      </c>
      <c r="H68" s="6" t="s">
        <v>311</v>
      </c>
      <c r="I68" s="6" t="s">
        <v>503</v>
      </c>
      <c r="J68" s="118">
        <f t="shared" si="10"/>
        <v>1.173521574</v>
      </c>
      <c r="K68" s="119">
        <f t="shared" si="11"/>
        <v>1.173521574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>
        <v>1.173521574</v>
      </c>
      <c r="Y68" s="24"/>
    </row>
    <row r="69" spans="5:25">
      <c r="E69" s="6" t="s">
        <v>484</v>
      </c>
      <c r="F69" s="7" t="s">
        <v>19</v>
      </c>
      <c r="G69" s="6" t="s">
        <v>454</v>
      </c>
      <c r="H69" s="6" t="s">
        <v>292</v>
      </c>
      <c r="I69" s="6" t="s">
        <v>454</v>
      </c>
      <c r="J69" s="118">
        <f t="shared" si="10"/>
        <v>7.5711713750000005</v>
      </c>
      <c r="K69" s="119">
        <f t="shared" si="11"/>
        <v>7.5711713750000005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>
        <v>7.5711713750000005</v>
      </c>
      <c r="Y69" s="24"/>
    </row>
    <row r="70" spans="5:25">
      <c r="E70" s="6" t="s">
        <v>484</v>
      </c>
      <c r="F70" s="7" t="s">
        <v>19</v>
      </c>
      <c r="G70" s="6" t="s">
        <v>370</v>
      </c>
      <c r="H70" s="6" t="s">
        <v>308</v>
      </c>
      <c r="I70" s="6" t="s">
        <v>370</v>
      </c>
      <c r="J70" s="118">
        <f t="shared" si="10"/>
        <v>29.382537231999997</v>
      </c>
      <c r="K70" s="119">
        <f t="shared" si="11"/>
        <v>29.382537231999997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29.382537231999997</v>
      </c>
      <c r="Y70" s="24"/>
    </row>
    <row r="71" spans="5:25">
      <c r="E71" s="6" t="s">
        <v>451</v>
      </c>
      <c r="F71" s="7" t="s">
        <v>19</v>
      </c>
      <c r="G71" s="6" t="s">
        <v>504</v>
      </c>
      <c r="H71" s="6" t="s">
        <v>307</v>
      </c>
      <c r="I71" s="6" t="s">
        <v>504</v>
      </c>
      <c r="J71" s="118">
        <f t="shared" si="10"/>
        <v>16.397439567999999</v>
      </c>
      <c r="K71" s="119">
        <f t="shared" si="11"/>
        <v>16.397439567999999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>
        <v>16.397439567999999</v>
      </c>
      <c r="V71" s="24"/>
      <c r="W71" s="24"/>
      <c r="X71" s="24"/>
      <c r="Y71" s="24"/>
    </row>
    <row r="72" spans="5:25">
      <c r="E72" s="6" t="s">
        <v>451</v>
      </c>
      <c r="F72" s="7" t="s">
        <v>19</v>
      </c>
      <c r="G72" s="6" t="s">
        <v>370</v>
      </c>
      <c r="H72" s="6" t="s">
        <v>308</v>
      </c>
      <c r="I72" s="6" t="s">
        <v>370</v>
      </c>
      <c r="J72" s="118">
        <f t="shared" si="10"/>
        <v>2.1636036089999999</v>
      </c>
      <c r="K72" s="119">
        <f t="shared" si="11"/>
        <v>2.1636036089999999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>
        <v>2.1636036089999999</v>
      </c>
      <c r="V72" s="24"/>
      <c r="W72" s="24"/>
      <c r="X72" s="24"/>
      <c r="Y72" s="24"/>
    </row>
    <row r="73" spans="5:25">
      <c r="E73" s="6" t="s">
        <v>451</v>
      </c>
      <c r="F73" s="7" t="s">
        <v>19</v>
      </c>
      <c r="G73" s="6" t="s">
        <v>370</v>
      </c>
      <c r="H73" s="6" t="s">
        <v>308</v>
      </c>
      <c r="I73" s="6" t="s">
        <v>370</v>
      </c>
      <c r="J73" s="118">
        <f t="shared" si="10"/>
        <v>1.192590007</v>
      </c>
      <c r="K73" s="119">
        <f t="shared" si="11"/>
        <v>1.192590007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>
        <v>1.192590007</v>
      </c>
      <c r="V73" s="24"/>
      <c r="W73" s="24"/>
      <c r="X73" s="24"/>
      <c r="Y73" s="24"/>
    </row>
    <row r="74" spans="5:25">
      <c r="E74" s="6" t="s">
        <v>485</v>
      </c>
      <c r="F74" s="7" t="s">
        <v>19</v>
      </c>
      <c r="G74" s="6" t="s">
        <v>529</v>
      </c>
      <c r="H74" s="6" t="s">
        <v>530</v>
      </c>
      <c r="I74" s="6" t="s">
        <v>529</v>
      </c>
      <c r="J74" s="118">
        <f t="shared" si="10"/>
        <v>18.610925000000002</v>
      </c>
      <c r="K74" s="119">
        <f t="shared" si="11"/>
        <v>18.610925000000002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>
        <v>18.610925000000002</v>
      </c>
      <c r="V74" s="24"/>
      <c r="W74" s="24"/>
      <c r="X74" s="24"/>
      <c r="Y74" s="24"/>
    </row>
    <row r="75" spans="5:25">
      <c r="E75" s="6" t="s">
        <v>268</v>
      </c>
      <c r="F75" s="7" t="s">
        <v>19</v>
      </c>
      <c r="G75" s="6" t="s">
        <v>374</v>
      </c>
      <c r="H75" s="6" t="s">
        <v>317</v>
      </c>
      <c r="I75" s="6" t="s">
        <v>374</v>
      </c>
      <c r="J75" s="118">
        <f t="shared" si="10"/>
        <v>4.9339237029999996</v>
      </c>
      <c r="K75" s="119">
        <f t="shared" si="11"/>
        <v>4.9339237029999996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>
        <f>4.933923703</f>
        <v>4.9339237029999996</v>
      </c>
      <c r="V75" s="24"/>
      <c r="W75" s="24"/>
      <c r="X75" s="24"/>
      <c r="Y75" s="24"/>
    </row>
    <row r="76" spans="5:25">
      <c r="E76" s="6" t="s">
        <v>270</v>
      </c>
      <c r="F76" s="7" t="s">
        <v>19</v>
      </c>
      <c r="G76" s="6" t="s">
        <v>441</v>
      </c>
      <c r="H76" s="6" t="s">
        <v>481</v>
      </c>
      <c r="I76" s="6" t="s">
        <v>441</v>
      </c>
      <c r="J76" s="118">
        <f t="shared" si="10"/>
        <v>59.526410999999996</v>
      </c>
      <c r="K76" s="119">
        <f t="shared" si="11"/>
        <v>59.526410999999996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24">
        <v>38.2669785</v>
      </c>
      <c r="W76" s="24">
        <v>21.259432499999999</v>
      </c>
      <c r="X76" s="24"/>
      <c r="Y76" s="24"/>
    </row>
    <row r="77" spans="5:25">
      <c r="E77" s="6" t="s">
        <v>270</v>
      </c>
      <c r="F77" s="7" t="s">
        <v>19</v>
      </c>
      <c r="G77" s="6" t="s">
        <v>374</v>
      </c>
      <c r="H77" s="6" t="s">
        <v>317</v>
      </c>
      <c r="I77" s="6" t="s">
        <v>374</v>
      </c>
      <c r="J77" s="118">
        <f t="shared" si="10"/>
        <v>35.962951956999994</v>
      </c>
      <c r="K77" s="119">
        <f t="shared" si="11"/>
        <v>35.962951956999994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>
        <v>28.469028599999994</v>
      </c>
      <c r="V77" s="24">
        <v>1.1826547569999999</v>
      </c>
      <c r="W77" s="24">
        <v>6.3112686</v>
      </c>
      <c r="X77" s="24"/>
      <c r="Y77" s="24"/>
    </row>
    <row r="78" spans="5:25">
      <c r="E78" s="6" t="s">
        <v>570</v>
      </c>
      <c r="F78" s="7" t="s">
        <v>19</v>
      </c>
      <c r="G78" s="6" t="s">
        <v>237</v>
      </c>
      <c r="H78" s="6" t="s">
        <v>277</v>
      </c>
      <c r="I78" s="6" t="s">
        <v>237</v>
      </c>
      <c r="J78" s="118">
        <f t="shared" si="10"/>
        <v>0.42545250000000001</v>
      </c>
      <c r="K78" s="119">
        <f t="shared" si="11"/>
        <v>0.42545250000000001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0.42545250000000001</v>
      </c>
      <c r="V78" s="24"/>
      <c r="W78" s="24"/>
      <c r="X78" s="24"/>
      <c r="Y78" s="24"/>
    </row>
    <row r="79" spans="5:25">
      <c r="E79" s="6"/>
      <c r="F79" s="7"/>
      <c r="G79" s="6"/>
      <c r="H79" s="6"/>
      <c r="I79" s="6"/>
      <c r="J79" s="118">
        <f t="shared" si="10"/>
        <v>0</v>
      </c>
      <c r="K79" s="119">
        <f t="shared" si="11"/>
        <v>0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5:25">
      <c r="E80" s="6"/>
      <c r="F80" s="7"/>
      <c r="G80" s="6"/>
      <c r="H80" s="6"/>
      <c r="I80" s="6"/>
      <c r="J80" s="118">
        <f t="shared" si="10"/>
        <v>0</v>
      </c>
      <c r="K80" s="119">
        <f t="shared" si="11"/>
        <v>0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5:25">
      <c r="E81" s="6"/>
      <c r="F81" s="7"/>
      <c r="G81" s="6"/>
      <c r="H81" s="6"/>
      <c r="I81" s="6"/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5:25">
      <c r="E83" s="6"/>
      <c r="F83" s="305" t="s">
        <v>19</v>
      </c>
      <c r="G83" s="305" t="s">
        <v>485</v>
      </c>
      <c r="H83" s="11"/>
      <c r="I83" s="11"/>
      <c r="J83" s="118">
        <f t="shared" si="10"/>
        <v>201</v>
      </c>
      <c r="K83" s="119">
        <f t="shared" si="11"/>
        <v>201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306">
        <v>201</v>
      </c>
      <c r="V83" s="24"/>
      <c r="W83" s="24"/>
      <c r="X83" s="24"/>
      <c r="Y83" s="24"/>
    </row>
    <row r="84" spans="5:25">
      <c r="E84" s="6"/>
      <c r="F84" s="305" t="s">
        <v>19</v>
      </c>
      <c r="G84" s="305" t="s">
        <v>520</v>
      </c>
      <c r="H84" s="6"/>
      <c r="I84" s="6"/>
      <c r="J84" s="118">
        <f t="shared" si="10"/>
        <v>27</v>
      </c>
      <c r="K84" s="119">
        <f t="shared" si="11"/>
        <v>27</v>
      </c>
      <c r="L84" s="119">
        <f t="shared" ref="L84:L90" si="13">SUM(AA77:AL77)</f>
        <v>0</v>
      </c>
      <c r="N84" s="24"/>
      <c r="O84" s="24"/>
      <c r="P84" s="24"/>
      <c r="Q84" s="24"/>
      <c r="R84" s="24"/>
      <c r="S84" s="344"/>
      <c r="T84" s="306"/>
      <c r="U84" s="306"/>
      <c r="V84" s="306">
        <v>27</v>
      </c>
      <c r="W84" s="24"/>
      <c r="X84" s="24"/>
      <c r="Y84" s="24"/>
    </row>
    <row r="85" spans="5:25">
      <c r="E85" s="6"/>
      <c r="F85" s="305" t="s">
        <v>19</v>
      </c>
      <c r="G85" s="305" t="s">
        <v>521</v>
      </c>
      <c r="H85" s="6"/>
      <c r="I85" s="6"/>
      <c r="J85" s="118">
        <f t="shared" si="10"/>
        <v>322</v>
      </c>
      <c r="K85" s="119">
        <f t="shared" si="11"/>
        <v>322</v>
      </c>
      <c r="L85" s="119">
        <f t="shared" si="13"/>
        <v>0</v>
      </c>
      <c r="N85" s="24"/>
      <c r="O85" s="24"/>
      <c r="P85" s="24"/>
      <c r="Q85" s="24"/>
      <c r="R85" s="24"/>
      <c r="S85" s="344"/>
      <c r="T85" s="306"/>
      <c r="U85" s="344">
        <f>160+50+52</f>
        <v>262</v>
      </c>
      <c r="V85" s="306">
        <v>60</v>
      </c>
      <c r="W85" s="24"/>
      <c r="X85" s="24"/>
      <c r="Y85" s="24"/>
    </row>
    <row r="86" spans="5:25">
      <c r="E86" s="6"/>
      <c r="F86" s="305" t="s">
        <v>19</v>
      </c>
      <c r="G86" s="305" t="s">
        <v>522</v>
      </c>
      <c r="H86" s="6"/>
      <c r="I86" s="6"/>
      <c r="J86" s="118">
        <f t="shared" si="10"/>
        <v>18</v>
      </c>
      <c r="K86" s="119">
        <f t="shared" si="11"/>
        <v>18</v>
      </c>
      <c r="L86" s="119">
        <f t="shared" si="13"/>
        <v>0</v>
      </c>
      <c r="N86" s="24"/>
      <c r="O86" s="24"/>
      <c r="P86" s="24"/>
      <c r="Q86" s="24"/>
      <c r="R86" s="24"/>
      <c r="S86" s="344"/>
      <c r="T86" s="306"/>
      <c r="U86" s="306">
        <v>18</v>
      </c>
      <c r="V86" s="306"/>
      <c r="W86" s="24"/>
      <c r="X86" s="24"/>
      <c r="Y86" s="24"/>
    </row>
    <row r="87" spans="5:25">
      <c r="E87" s="6"/>
      <c r="F87" s="305" t="s">
        <v>19</v>
      </c>
      <c r="G87" s="305" t="s">
        <v>523</v>
      </c>
      <c r="H87" s="6"/>
      <c r="I87" s="6"/>
      <c r="J87" s="118">
        <f t="shared" si="10"/>
        <v>17</v>
      </c>
      <c r="K87" s="119">
        <f t="shared" si="11"/>
        <v>17</v>
      </c>
      <c r="L87" s="119">
        <f t="shared" si="13"/>
        <v>0</v>
      </c>
      <c r="N87" s="24"/>
      <c r="O87" s="24"/>
      <c r="P87" s="24"/>
      <c r="Q87" s="24"/>
      <c r="R87" s="24"/>
      <c r="S87" s="344"/>
      <c r="T87" s="306"/>
      <c r="U87" s="306"/>
      <c r="V87" s="306">
        <v>17</v>
      </c>
      <c r="W87" s="24"/>
      <c r="X87" s="24"/>
      <c r="Y87" s="24"/>
    </row>
    <row r="88" spans="5:25">
      <c r="E88" s="6"/>
      <c r="F88" s="360" t="s">
        <v>19</v>
      </c>
      <c r="G88" s="360" t="s">
        <v>457</v>
      </c>
      <c r="H88" s="362"/>
      <c r="I88" s="362"/>
      <c r="J88" s="364">
        <f t="shared" si="10"/>
        <v>29</v>
      </c>
      <c r="K88" s="119">
        <f t="shared" si="11"/>
        <v>29</v>
      </c>
      <c r="L88" s="365">
        <f t="shared" si="13"/>
        <v>0</v>
      </c>
      <c r="N88" s="366"/>
      <c r="O88" s="366"/>
      <c r="P88" s="366"/>
      <c r="Q88" s="366"/>
      <c r="R88" s="366"/>
      <c r="S88" s="404"/>
      <c r="T88" s="404"/>
      <c r="U88" s="404">
        <v>29</v>
      </c>
      <c r="V88" s="404"/>
      <c r="W88" s="24"/>
      <c r="X88" s="24"/>
      <c r="Y88" s="24"/>
    </row>
    <row r="89" spans="5:25">
      <c r="E89" s="6"/>
      <c r="F89" s="360" t="s">
        <v>19</v>
      </c>
      <c r="G89" s="360" t="s">
        <v>555</v>
      </c>
      <c r="H89" s="11"/>
      <c r="I89" s="11"/>
      <c r="J89" s="118">
        <f t="shared" ref="J89:J90" si="14">+K89+L89</f>
        <v>7</v>
      </c>
      <c r="K89" s="119">
        <f t="shared" ref="K89:K90" si="15">SUM(N89:Y89)</f>
        <v>7</v>
      </c>
      <c r="L89" s="119">
        <f t="shared" si="13"/>
        <v>0</v>
      </c>
      <c r="N89" s="24"/>
      <c r="O89" s="24"/>
      <c r="P89" s="24"/>
      <c r="Q89" s="24"/>
      <c r="R89" s="24"/>
      <c r="S89" s="24"/>
      <c r="T89" s="306"/>
      <c r="U89" s="24">
        <v>7</v>
      </c>
      <c r="V89" s="24"/>
      <c r="W89" s="24"/>
      <c r="X89" s="24"/>
      <c r="Y89" s="24"/>
    </row>
    <row r="90" spans="5:25">
      <c r="E90" s="6"/>
      <c r="F90" s="360" t="s">
        <v>19</v>
      </c>
      <c r="G90" s="360" t="s">
        <v>556</v>
      </c>
      <c r="H90" s="12"/>
      <c r="I90" s="12"/>
      <c r="J90" s="118">
        <f t="shared" si="14"/>
        <v>24</v>
      </c>
      <c r="K90" s="119">
        <f t="shared" si="15"/>
        <v>24</v>
      </c>
      <c r="L90" s="119">
        <f t="shared" si="13"/>
        <v>0</v>
      </c>
      <c r="N90" s="24"/>
      <c r="O90" s="24"/>
      <c r="P90" s="24"/>
      <c r="Q90" s="24"/>
      <c r="R90" s="24"/>
      <c r="S90" s="24"/>
      <c r="T90" s="306"/>
      <c r="U90" s="24"/>
      <c r="V90" s="306">
        <v>24</v>
      </c>
      <c r="W90" s="24"/>
      <c r="X90" s="24"/>
      <c r="Y90" s="24"/>
    </row>
    <row r="91" spans="5:25">
      <c r="E91" s="6"/>
      <c r="F91" s="7"/>
      <c r="G91" s="6"/>
      <c r="H91" s="12"/>
      <c r="I91" s="12"/>
      <c r="J91" s="118">
        <f t="shared" ref="J91:J96" si="16">+K91+L91</f>
        <v>0</v>
      </c>
      <c r="K91" s="119">
        <f t="shared" ref="K91:K96" si="17">SUM(N91:Y91)</f>
        <v>0</v>
      </c>
      <c r="L91" s="119">
        <f t="shared" ref="L91:L96" si="18">SUM(AA91:AL91)</f>
        <v>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5:25">
      <c r="E92" s="13"/>
      <c r="F92" s="7"/>
      <c r="G92" s="6"/>
      <c r="H92" s="12"/>
      <c r="I92" s="12"/>
      <c r="J92" s="118">
        <f t="shared" si="16"/>
        <v>0</v>
      </c>
      <c r="K92" s="119">
        <f t="shared" si="17"/>
        <v>0</v>
      </c>
      <c r="L92" s="119">
        <f t="shared" si="18"/>
        <v>0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5:25">
      <c r="E93" s="6"/>
      <c r="F93" s="7"/>
      <c r="G93" s="6"/>
      <c r="H93" s="9"/>
      <c r="I93" s="9"/>
      <c r="J93" s="118">
        <f t="shared" si="16"/>
        <v>0</v>
      </c>
      <c r="K93" s="119">
        <f t="shared" si="17"/>
        <v>0</v>
      </c>
      <c r="L93" s="119">
        <f t="shared" si="18"/>
        <v>0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5:25">
      <c r="E94" s="6"/>
      <c r="F94" s="7"/>
      <c r="G94" s="6"/>
      <c r="H94" s="9"/>
      <c r="I94" s="9"/>
      <c r="J94" s="118">
        <f t="shared" si="16"/>
        <v>0</v>
      </c>
      <c r="K94" s="119">
        <f t="shared" si="17"/>
        <v>0</v>
      </c>
      <c r="L94" s="119">
        <f t="shared" si="18"/>
        <v>0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5:25">
      <c r="E95" s="6"/>
      <c r="F95" s="7"/>
      <c r="G95" s="6"/>
      <c r="H95" s="10"/>
      <c r="I95" s="10"/>
      <c r="J95" s="118">
        <f t="shared" si="16"/>
        <v>0</v>
      </c>
      <c r="K95" s="119">
        <f t="shared" si="17"/>
        <v>0</v>
      </c>
      <c r="L95" s="119">
        <f t="shared" si="18"/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5:25">
      <c r="E96" s="6"/>
      <c r="F96" s="7"/>
      <c r="G96" s="6"/>
      <c r="H96" s="11"/>
      <c r="I96" s="11"/>
      <c r="J96" s="118">
        <f t="shared" si="16"/>
        <v>0</v>
      </c>
      <c r="K96" s="119">
        <f t="shared" si="17"/>
        <v>0</v>
      </c>
      <c r="L96" s="119">
        <f t="shared" si="18"/>
        <v>0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8" spans="5:8">
      <c r="E98" s="191" t="s">
        <v>320</v>
      </c>
      <c r="F98" s="216">
        <v>46174</v>
      </c>
      <c r="G98" s="192">
        <v>270</v>
      </c>
      <c r="H98" s="271" t="s">
        <v>321</v>
      </c>
    </row>
    <row r="99" spans="5:8">
      <c r="E99" s="195" t="s">
        <v>553</v>
      </c>
      <c r="F99" s="217"/>
      <c r="G99" s="196">
        <v>335</v>
      </c>
      <c r="H99" s="271" t="s">
        <v>321</v>
      </c>
    </row>
    <row r="100" spans="5:8">
      <c r="E100" s="195" t="s">
        <v>554</v>
      </c>
      <c r="F100" s="217"/>
      <c r="G100" s="196">
        <v>160</v>
      </c>
      <c r="H100" s="271" t="s">
        <v>321</v>
      </c>
    </row>
    <row r="101" spans="5:8">
      <c r="E101" s="191" t="s">
        <v>320</v>
      </c>
      <c r="F101" s="216">
        <v>46203</v>
      </c>
      <c r="G101" s="192">
        <f>G98+G99-G100</f>
        <v>445</v>
      </c>
      <c r="H101" s="271" t="s">
        <v>321</v>
      </c>
    </row>
    <row r="102" spans="5:8">
      <c r="E102" s="195"/>
      <c r="F102" s="217"/>
      <c r="G102" s="196"/>
      <c r="H102" s="271"/>
    </row>
    <row r="103" spans="5:8">
      <c r="E103" s="191"/>
      <c r="F103" s="216"/>
      <c r="G103" s="192"/>
      <c r="H103" s="271"/>
    </row>
    <row r="105" spans="5:8">
      <c r="E105" s="446" t="s">
        <v>531</v>
      </c>
      <c r="F105" s="447"/>
      <c r="G105" s="447"/>
      <c r="H105" s="447"/>
    </row>
    <row r="106" spans="5:8">
      <c r="E106" s="219" t="s">
        <v>550</v>
      </c>
      <c r="F106" s="219"/>
      <c r="G106" s="202"/>
      <c r="H106" s="219" t="s">
        <v>325</v>
      </c>
    </row>
    <row r="107" spans="5:8">
      <c r="E107" s="416"/>
      <c r="F107" s="202"/>
      <c r="G107" s="202"/>
      <c r="H107" s="408"/>
    </row>
    <row r="108" spans="5:8">
      <c r="E108" s="418" t="s">
        <v>561</v>
      </c>
      <c r="F108" s="202"/>
      <c r="G108" s="202"/>
      <c r="H108" s="408">
        <v>92</v>
      </c>
    </row>
    <row r="109" spans="5:8">
      <c r="E109" s="415"/>
      <c r="F109" s="202"/>
      <c r="G109" s="202"/>
      <c r="H109" s="408"/>
    </row>
    <row r="110" spans="5:8">
      <c r="E110" s="416"/>
      <c r="F110" s="202"/>
      <c r="G110" s="202"/>
      <c r="H110" s="408"/>
    </row>
    <row r="111" spans="5:8">
      <c r="E111" s="416"/>
      <c r="F111" s="202"/>
      <c r="G111" s="202"/>
      <c r="H111" s="417"/>
    </row>
    <row r="112" spans="5:8">
      <c r="E112" s="410"/>
      <c r="F112" s="202"/>
      <c r="G112" s="202"/>
      <c r="H112" s="408"/>
    </row>
    <row r="113" spans="5:8">
      <c r="E113" s="356" t="s">
        <v>344</v>
      </c>
      <c r="F113" s="202"/>
      <c r="G113" s="202"/>
      <c r="H113" s="408">
        <f>SUM(H107:H112)</f>
        <v>92</v>
      </c>
    </row>
    <row r="114" spans="5:8">
      <c r="E114" s="227"/>
      <c r="F114" s="278"/>
      <c r="G114" s="227"/>
      <c r="H114" s="280"/>
    </row>
    <row r="115" spans="5:8">
      <c r="E115" s="227"/>
      <c r="F115" s="278"/>
      <c r="G115" s="227"/>
      <c r="H115" s="280"/>
    </row>
    <row r="116" spans="5:8">
      <c r="E116" s="151" t="s">
        <v>330</v>
      </c>
      <c r="F116" s="151"/>
      <c r="G116" s="283">
        <f>'W30'!J19</f>
        <v>3244.469000224999</v>
      </c>
      <c r="H116" s="280"/>
    </row>
    <row r="117" spans="5:8">
      <c r="E117" s="151" t="s">
        <v>331</v>
      </c>
      <c r="F117" s="151"/>
      <c r="G117" s="283">
        <f>H113</f>
        <v>92</v>
      </c>
      <c r="H117" s="280"/>
    </row>
    <row r="118" spans="5:8">
      <c r="E118" s="151" t="s">
        <v>332</v>
      </c>
      <c r="F118" s="151"/>
      <c r="G118" s="283">
        <f>J12-'W30'!J12</f>
        <v>59</v>
      </c>
      <c r="H118" s="280"/>
    </row>
    <row r="119" spans="5:8">
      <c r="E119" s="151" t="s">
        <v>333</v>
      </c>
      <c r="F119" s="151"/>
      <c r="G119" s="283">
        <f>G116+G117-G118</f>
        <v>3277.469000224999</v>
      </c>
      <c r="H119" s="280"/>
    </row>
    <row r="120" spans="5:8">
      <c r="E120" s="151" t="s">
        <v>334</v>
      </c>
      <c r="F120" s="151"/>
      <c r="G120" s="283">
        <f>J19</f>
        <v>3178.6204239619988</v>
      </c>
      <c r="H120" s="280"/>
    </row>
    <row r="121" spans="5:8">
      <c r="E121" s="151" t="s">
        <v>335</v>
      </c>
      <c r="F121" s="151"/>
      <c r="G121" s="284">
        <f>G120-G119</f>
        <v>-98.848576263000268</v>
      </c>
      <c r="H121" s="280"/>
    </row>
    <row r="122" spans="5:8">
      <c r="E122" s="227"/>
      <c r="F122" s="278"/>
      <c r="G122" s="227"/>
      <c r="H122" s="280"/>
    </row>
    <row r="123" spans="5:8">
      <c r="E123" s="227"/>
      <c r="F123" s="278"/>
      <c r="G123" s="227"/>
      <c r="H123" s="280"/>
    </row>
    <row r="124" spans="5:8">
      <c r="E124" s="227"/>
      <c r="F124" s="278"/>
      <c r="G124" s="227"/>
      <c r="H124" s="280"/>
    </row>
  </sheetData>
  <sheetProtection formatCells="0" formatColumns="0" formatRows="0" insertRows="0" deleteRows="0" autoFilter="0"/>
  <autoFilter ref="E23:AL241" xr:uid="{00000000-0009-0000-0000-000021000000}"/>
  <mergeCells count="2">
    <mergeCell ref="I4:J4"/>
    <mergeCell ref="E105:H105"/>
  </mergeCells>
  <phoneticPr fontId="40"/>
  <dataValidations disablePrompts="1" count="2">
    <dataValidation type="list" allowBlank="1" showInputMessage="1" showErrorMessage="1" sqref="G2" xr:uid="{00000000-0002-0000-2100-000000000000}">
      <formula1>SOCIETE</formula1>
    </dataValidation>
    <dataValidation type="list" allowBlank="1" showInputMessage="1" showErrorMessage="1" sqref="F106 F24:F96" xr:uid="{64E71A72-708D-4308-8B84-8E1C0577DA3F}">
      <formula1>Liste</formula1>
    </dataValidation>
  </dataValidations>
  <pageMargins left="0.17" right="0.17" top="0.37" bottom="0.23" header="0.31496062992125984" footer="0.16"/>
  <pageSetup paperSize="9" scale="50" orientation="landscape" r:id="rId1"/>
  <ignoredErrors>
    <ignoredError sqref="G116:G121" unlockedFormula="1"/>
  </ignoredErrors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35">
    <tabColor theme="4" tint="-0.499984740745262"/>
    <pageSetUpPr fitToPage="1"/>
  </sheetPr>
  <dimension ref="D1:AL128"/>
  <sheetViews>
    <sheetView showGridLines="0" topLeftCell="A102" zoomScale="80" zoomScaleNormal="80" workbookViewId="0">
      <selection activeCell="E116" sqref="E116:G123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130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August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August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W32</v>
      </c>
      <c r="I9" s="61"/>
      <c r="J9" s="161" t="str">
        <f>+"from "&amp;G6&amp;" 1 until end of "&amp;G4</f>
        <v>from August 1 until end of W32</v>
      </c>
      <c r="K9" s="79"/>
      <c r="L9" s="167" t="str">
        <f>+G6</f>
        <v>August</v>
      </c>
      <c r="M9" s="80"/>
      <c r="N9" s="80"/>
      <c r="O9" s="172" t="str">
        <f>+G4</f>
        <v>W32</v>
      </c>
      <c r="P9" s="173" t="str">
        <f>+VLOOKUP(G4, parameters!$G$9:$I$61,3,0)</f>
        <v>W31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>
        <f>600+320+797+430+396+688+856+J10</f>
        <v>4190</v>
      </c>
      <c r="I10" s="61"/>
      <c r="J10" s="159">
        <v>103</v>
      </c>
      <c r="L10" s="159">
        <f>U17+J10</f>
        <v>907.23384675099965</v>
      </c>
      <c r="N10" s="55"/>
      <c r="O10" s="170">
        <f>+H10+K17</f>
        <v>7195.8961181649993</v>
      </c>
      <c r="P10" s="171" cm="1">
        <f t="array" aca="1" ref="P10" ca="1">INDIRECT(ADDRESS(10,15,,,VLOOKUP($G$4,parameters!$G:$I,3,0)))</f>
        <v>7189.8770642689988</v>
      </c>
      <c r="Q10" s="183">
        <f ca="1">O10-P10</f>
        <v>6.0190538960005142</v>
      </c>
      <c r="R10" s="86"/>
    </row>
    <row r="11" spans="5:38" ht="20.45" customHeight="1">
      <c r="E11" s="87" t="s">
        <v>224</v>
      </c>
      <c r="F11" s="88"/>
      <c r="G11" s="89"/>
      <c r="H11" s="16">
        <f>13+8+3+3+2+14+119+J11</f>
        <v>165</v>
      </c>
      <c r="I11" s="61"/>
      <c r="J11" s="16">
        <v>3</v>
      </c>
      <c r="L11" s="159">
        <f>U18+J11</f>
        <v>3</v>
      </c>
      <c r="N11" s="55"/>
      <c r="O11" s="152">
        <f>+H11+K18</f>
        <v>194.743359693</v>
      </c>
      <c r="P11" s="153" cm="1">
        <f t="array" aca="1" ref="P11" ca="1">INDIRECT(ADDRESS(11,15,,,VLOOKUP($G$4,parameters!$G:$I,3,0)))</f>
        <v>191.743359693</v>
      </c>
      <c r="Q11" s="184">
        <f ca="1">O11-P11</f>
        <v>3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4355</v>
      </c>
      <c r="I12" s="293"/>
      <c r="J12" s="126">
        <f>SUM(J10:J11)</f>
        <v>106</v>
      </c>
      <c r="K12" s="65"/>
      <c r="L12" s="126">
        <f>SUM(L10:L11)</f>
        <v>910.23384675099965</v>
      </c>
      <c r="M12" s="65"/>
      <c r="N12" s="65"/>
      <c r="O12" s="154">
        <f>SUM(O10:O11)</f>
        <v>7390.6394778579997</v>
      </c>
      <c r="P12" s="155">
        <f ca="1">SUM(P10:P11)</f>
        <v>7381.6204239619983</v>
      </c>
      <c r="Q12" s="156">
        <f ca="1">O12-P12</f>
        <v>9.0190538960014237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+SUMIF($F$24:$F$97,"External",$J$24:$J$97)</f>
        <v>3005.8961181649997</v>
      </c>
      <c r="K17" s="108">
        <f>+SUMIF($F$24:$F$97,"External",$K$24:$K$97)</f>
        <v>3005.8961181649997</v>
      </c>
      <c r="L17" s="109">
        <f>+SUMIF($F$24:$F$96,"External",$L$24:$L$96)</f>
        <v>0</v>
      </c>
      <c r="M17" s="110"/>
      <c r="N17" s="111">
        <f t="shared" ref="N17:T17" si="0">+SUMIF($F$24:$F$96,"External",N$24:N$96)</f>
        <v>0</v>
      </c>
      <c r="O17" s="111">
        <f t="shared" si="0"/>
        <v>0</v>
      </c>
      <c r="P17" s="111">
        <f t="shared" si="0"/>
        <v>0</v>
      </c>
      <c r="Q17" s="111">
        <f t="shared" si="0"/>
        <v>0</v>
      </c>
      <c r="R17" s="111">
        <f t="shared" si="0"/>
        <v>0</v>
      </c>
      <c r="S17" s="111">
        <f t="shared" si="0"/>
        <v>0</v>
      </c>
      <c r="T17" s="111">
        <f t="shared" si="0"/>
        <v>0</v>
      </c>
      <c r="U17" s="111">
        <f>+SUMIF($F$24:$F$97,"External",U$24:U$97)</f>
        <v>804.23384675099965</v>
      </c>
      <c r="V17" s="111">
        <f>+SUMIF($F$24:$F$96,"External",V$24:V$96)</f>
        <v>1549.0749691209999</v>
      </c>
      <c r="W17" s="111">
        <f>+SUMIF($F$24:$F$96,"External",W$24:W$96)</f>
        <v>240.04606433399999</v>
      </c>
      <c r="X17" s="111">
        <f>+SUMIF($F$24:$F$96,"External",X$24:X$96)</f>
        <v>333.27021055899996</v>
      </c>
      <c r="Y17" s="111">
        <f>+SUMIF($F$24:$F$96,"External",Y$24:Y$96)</f>
        <v>79.271027399999994</v>
      </c>
      <c r="Z17" s="112"/>
      <c r="AA17" s="111">
        <f t="shared" ref="AA17:AL17" si="1">+SUMIF($F$24:$F$96,"External",AA$24:AA$96)</f>
        <v>0</v>
      </c>
      <c r="AB17" s="111">
        <f t="shared" si="1"/>
        <v>0</v>
      </c>
      <c r="AC17" s="111">
        <f t="shared" si="1"/>
        <v>0</v>
      </c>
      <c r="AD17" s="111">
        <f t="shared" si="1"/>
        <v>0</v>
      </c>
      <c r="AE17" s="111">
        <f t="shared" si="1"/>
        <v>0</v>
      </c>
      <c r="AF17" s="111">
        <f t="shared" si="1"/>
        <v>0</v>
      </c>
      <c r="AG17" s="111">
        <f t="shared" si="1"/>
        <v>0</v>
      </c>
      <c r="AH17" s="111">
        <f t="shared" si="1"/>
        <v>0</v>
      </c>
      <c r="AI17" s="111">
        <f t="shared" si="1"/>
        <v>0</v>
      </c>
      <c r="AJ17" s="111">
        <f t="shared" si="1"/>
        <v>0</v>
      </c>
      <c r="AK17" s="111">
        <f t="shared" si="1"/>
        <v>0</v>
      </c>
      <c r="AL17" s="111">
        <f t="shared" si="1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+SUMIF($F$24:$F$96,"Group",$J$24:$J$96)</f>
        <v>29.743359692999999</v>
      </c>
      <c r="K18" s="113">
        <f>+SUMIF($F$24:$F$97,"Group",$K$24:$K$97)</f>
        <v>29.743359692999999</v>
      </c>
      <c r="L18" s="114">
        <f>SUMIF($F$24:$F$96,"Group",$L$24:$L$96)</f>
        <v>0</v>
      </c>
      <c r="M18" s="110"/>
      <c r="N18" s="114">
        <f t="shared" ref="N18:Y18" si="2">+SUMIF($F$24:$F$96,"Group",N$24:N$96)</f>
        <v>0</v>
      </c>
      <c r="O18" s="114">
        <f t="shared" si="2"/>
        <v>0</v>
      </c>
      <c r="P18" s="114">
        <f t="shared" si="2"/>
        <v>0</v>
      </c>
      <c r="Q18" s="114">
        <f t="shared" si="2"/>
        <v>0</v>
      </c>
      <c r="R18" s="114">
        <f t="shared" si="2"/>
        <v>0</v>
      </c>
      <c r="S18" s="114">
        <f t="shared" si="2"/>
        <v>0</v>
      </c>
      <c r="T18" s="114">
        <f t="shared" si="2"/>
        <v>0</v>
      </c>
      <c r="U18" s="114">
        <f t="shared" si="2"/>
        <v>0</v>
      </c>
      <c r="V18" s="114">
        <f t="shared" si="2"/>
        <v>0</v>
      </c>
      <c r="W18" s="114">
        <f t="shared" si="2"/>
        <v>29.743359692999999</v>
      </c>
      <c r="X18" s="114">
        <f t="shared" si="2"/>
        <v>0</v>
      </c>
      <c r="Y18" s="114">
        <f t="shared" si="2"/>
        <v>0</v>
      </c>
      <c r="Z18" s="112"/>
      <c r="AA18" s="114">
        <f t="shared" ref="AA18:AL18" si="3">+SUMIF($F$24:$F$96,"Group",AA$24:AA$96)</f>
        <v>0</v>
      </c>
      <c r="AB18" s="114">
        <f t="shared" si="3"/>
        <v>0</v>
      </c>
      <c r="AC18" s="114">
        <f t="shared" si="3"/>
        <v>0</v>
      </c>
      <c r="AD18" s="114">
        <f t="shared" si="3"/>
        <v>0</v>
      </c>
      <c r="AE18" s="114">
        <f t="shared" si="3"/>
        <v>0</v>
      </c>
      <c r="AF18" s="114">
        <f t="shared" si="3"/>
        <v>0</v>
      </c>
      <c r="AG18" s="114">
        <f t="shared" si="3"/>
        <v>0</v>
      </c>
      <c r="AH18" s="114">
        <f t="shared" si="3"/>
        <v>0</v>
      </c>
      <c r="AI18" s="114">
        <f t="shared" si="3"/>
        <v>0</v>
      </c>
      <c r="AJ18" s="114">
        <f t="shared" si="3"/>
        <v>0</v>
      </c>
      <c r="AK18" s="114">
        <f t="shared" si="3"/>
        <v>0</v>
      </c>
      <c r="AL18" s="114">
        <f t="shared" si="3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3035.6394778579997</v>
      </c>
      <c r="K19" s="115">
        <f>SUM(K17:K18)</f>
        <v>3035.6394778579997</v>
      </c>
      <c r="L19" s="116">
        <f>SUM(L17:L18)</f>
        <v>0</v>
      </c>
      <c r="M19" s="117"/>
      <c r="N19" s="116">
        <f>SUM(N17:N18)</f>
        <v>0</v>
      </c>
      <c r="O19" s="116">
        <f t="shared" ref="O19:Y19" si="4">SUM(O17:O18)</f>
        <v>0</v>
      </c>
      <c r="P19" s="116">
        <f t="shared" si="4"/>
        <v>0</v>
      </c>
      <c r="Q19" s="116">
        <f t="shared" si="4"/>
        <v>0</v>
      </c>
      <c r="R19" s="116">
        <f t="shared" si="4"/>
        <v>0</v>
      </c>
      <c r="S19" s="116">
        <f t="shared" si="4"/>
        <v>0</v>
      </c>
      <c r="T19" s="116">
        <f t="shared" si="4"/>
        <v>0</v>
      </c>
      <c r="U19" s="116">
        <f t="shared" si="4"/>
        <v>804.23384675099965</v>
      </c>
      <c r="V19" s="116">
        <f>SUM(V17:V18)</f>
        <v>1549.0749691209999</v>
      </c>
      <c r="W19" s="116">
        <f>SUM(W17:W18)</f>
        <v>269.789424027</v>
      </c>
      <c r="X19" s="116">
        <f>SUM(X17:X18)</f>
        <v>333.27021055899996</v>
      </c>
      <c r="Y19" s="116">
        <f t="shared" si="4"/>
        <v>79.271027399999994</v>
      </c>
      <c r="Z19" s="112"/>
      <c r="AA19" s="116">
        <f t="shared" ref="AA19:AL19" si="5">SUM(AA17:AA18)</f>
        <v>0</v>
      </c>
      <c r="AB19" s="116">
        <f t="shared" si="5"/>
        <v>0</v>
      </c>
      <c r="AC19" s="116">
        <f t="shared" si="5"/>
        <v>0</v>
      </c>
      <c r="AD19" s="116">
        <f t="shared" si="5"/>
        <v>0</v>
      </c>
      <c r="AE19" s="116">
        <f t="shared" si="5"/>
        <v>0</v>
      </c>
      <c r="AF19" s="116">
        <f t="shared" si="5"/>
        <v>0</v>
      </c>
      <c r="AG19" s="116">
        <f t="shared" si="5"/>
        <v>0</v>
      </c>
      <c r="AH19" s="116">
        <f t="shared" si="5"/>
        <v>0</v>
      </c>
      <c r="AI19" s="116">
        <f t="shared" si="5"/>
        <v>0</v>
      </c>
      <c r="AJ19" s="116">
        <f t="shared" si="5"/>
        <v>0</v>
      </c>
      <c r="AK19" s="116">
        <f t="shared" si="5"/>
        <v>0</v>
      </c>
      <c r="AL19" s="116">
        <f t="shared" si="5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IF(SUM(J24:J96)=J19, "OK", "Please correct: the sum of orders below is not equal to the total calculated above. Make sure to pick External or Group for each order and don't change the formulas in columns K and L")</f>
        <v>Please correct: the sum of orders below is not equal to the total calculated above. Make sure to pick External or Group for each order and don't change the formulas in columns K and L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94" t="s">
        <v>275</v>
      </c>
      <c r="I23" s="94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532</v>
      </c>
      <c r="F24" s="187" t="s">
        <v>19</v>
      </c>
      <c r="G24" s="6" t="s">
        <v>494</v>
      </c>
      <c r="H24" s="187" t="s">
        <v>299</v>
      </c>
      <c r="I24" s="187" t="s">
        <v>466</v>
      </c>
      <c r="J24" s="118">
        <f t="shared" ref="J24" si="6">+K24+L24</f>
        <v>15.297677649000001</v>
      </c>
      <c r="K24" s="119">
        <f t="shared" ref="K24" si="7">SUM(N24:Y24)</f>
        <v>15.297677649000001</v>
      </c>
      <c r="L24" s="119">
        <f t="shared" ref="L24" si="8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15.297677649000001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557</v>
      </c>
      <c r="F25" s="187" t="s">
        <v>19</v>
      </c>
      <c r="G25" s="6" t="s">
        <v>561</v>
      </c>
      <c r="H25" s="188" t="s">
        <v>559</v>
      </c>
      <c r="I25" s="188" t="s">
        <v>472</v>
      </c>
      <c r="J25" s="118">
        <f t="shared" ref="J25:J88" si="9">+K25+L25</f>
        <v>0</v>
      </c>
      <c r="K25" s="119">
        <f t="shared" ref="K25:K88" si="10">SUM(N25:Y25)</f>
        <v>0</v>
      </c>
      <c r="L25" s="119">
        <f t="shared" ref="L25:L86" si="11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>
        <v>0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468</v>
      </c>
      <c r="F26" s="187" t="s">
        <v>19</v>
      </c>
      <c r="G26" s="6" t="s">
        <v>239</v>
      </c>
      <c r="H26" s="6" t="s">
        <v>278</v>
      </c>
      <c r="I26" s="6" t="s">
        <v>466</v>
      </c>
      <c r="J26" s="118">
        <f t="shared" si="9"/>
        <v>6.4492737049999995</v>
      </c>
      <c r="K26" s="119">
        <f t="shared" si="10"/>
        <v>6.4492737049999995</v>
      </c>
      <c r="L26" s="119">
        <f t="shared" si="11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>
        <v>4.7944134859999998</v>
      </c>
      <c r="X26" s="24">
        <v>1.6548602190000001</v>
      </c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469</v>
      </c>
      <c r="F27" s="187" t="s">
        <v>19</v>
      </c>
      <c r="G27" s="6" t="s">
        <v>237</v>
      </c>
      <c r="H27" s="6" t="s">
        <v>277</v>
      </c>
      <c r="I27" s="6" t="s">
        <v>466</v>
      </c>
      <c r="J27" s="118">
        <f t="shared" si="9"/>
        <v>8.2520863759999994</v>
      </c>
      <c r="K27" s="119">
        <f t="shared" si="10"/>
        <v>8.2520863759999994</v>
      </c>
      <c r="L27" s="119">
        <f t="shared" si="11"/>
        <v>0</v>
      </c>
      <c r="M27" s="23"/>
      <c r="N27" s="24"/>
      <c r="O27" s="24"/>
      <c r="P27" s="24"/>
      <c r="Q27" s="24"/>
      <c r="R27" s="24"/>
      <c r="S27" s="24"/>
      <c r="T27" s="24"/>
      <c r="U27" s="24">
        <v>8.2520863759999994</v>
      </c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573</v>
      </c>
      <c r="F28" s="187" t="s">
        <v>19</v>
      </c>
      <c r="G28" s="6" t="s">
        <v>561</v>
      </c>
      <c r="H28" s="6" t="s">
        <v>559</v>
      </c>
      <c r="I28" s="6" t="s">
        <v>472</v>
      </c>
      <c r="J28" s="118">
        <f t="shared" si="9"/>
        <v>92.379652743000008</v>
      </c>
      <c r="K28" s="119">
        <f t="shared" si="10"/>
        <v>92.379652743000008</v>
      </c>
      <c r="L28" s="119">
        <f t="shared" si="11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>
        <v>92.379652743000008</v>
      </c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576</v>
      </c>
      <c r="F29" s="187" t="s">
        <v>19</v>
      </c>
      <c r="G29" s="6" t="s">
        <v>494</v>
      </c>
      <c r="H29" s="6" t="s">
        <v>299</v>
      </c>
      <c r="I29" s="6" t="s">
        <v>466</v>
      </c>
      <c r="J29" s="118">
        <f t="shared" si="9"/>
        <v>3.3580268009999998</v>
      </c>
      <c r="K29" s="119">
        <f t="shared" si="10"/>
        <v>3.3580268009999998</v>
      </c>
      <c r="L29" s="119">
        <f t="shared" si="11"/>
        <v>0</v>
      </c>
      <c r="M29" s="23"/>
      <c r="N29" s="24"/>
      <c r="O29" s="24"/>
      <c r="P29" s="24"/>
      <c r="Q29" s="24"/>
      <c r="R29" s="24"/>
      <c r="S29" s="24"/>
      <c r="T29" s="24"/>
      <c r="U29" s="24">
        <v>3.3580268009999998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571</v>
      </c>
      <c r="F30" s="187" t="s">
        <v>19</v>
      </c>
      <c r="G30" s="6" t="s">
        <v>529</v>
      </c>
      <c r="H30" s="6" t="s">
        <v>530</v>
      </c>
      <c r="I30" s="6" t="s">
        <v>472</v>
      </c>
      <c r="J30" s="118">
        <f t="shared" si="9"/>
        <v>331.13333089999998</v>
      </c>
      <c r="K30" s="119">
        <f t="shared" si="10"/>
        <v>331.13333089999998</v>
      </c>
      <c r="L30" s="119">
        <f t="shared" si="11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>
        <v>331.13333089999998</v>
      </c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470</v>
      </c>
      <c r="F31" s="187" t="s">
        <v>19</v>
      </c>
      <c r="G31" s="6" t="s">
        <v>279</v>
      </c>
      <c r="H31" s="6" t="s">
        <v>280</v>
      </c>
      <c r="I31" s="6" t="s">
        <v>472</v>
      </c>
      <c r="J31" s="118">
        <f t="shared" si="9"/>
        <v>334.02327609400004</v>
      </c>
      <c r="K31" s="119">
        <f t="shared" si="10"/>
        <v>334.02327609400004</v>
      </c>
      <c r="L31" s="119">
        <f t="shared" si="11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>
        <v>160.27932112900004</v>
      </c>
      <c r="W31" s="24"/>
      <c r="X31" s="24">
        <v>173.743954965</v>
      </c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281</v>
      </c>
      <c r="F32" s="187" t="s">
        <v>19</v>
      </c>
      <c r="G32" s="6" t="s">
        <v>282</v>
      </c>
      <c r="H32" s="6" t="s">
        <v>283</v>
      </c>
      <c r="I32" s="6" t="s">
        <v>466</v>
      </c>
      <c r="J32" s="118">
        <f t="shared" si="9"/>
        <v>0.69174142800000005</v>
      </c>
      <c r="K32" s="119">
        <f t="shared" si="10"/>
        <v>0.69174142800000005</v>
      </c>
      <c r="L32" s="119">
        <f t="shared" si="11"/>
        <v>0</v>
      </c>
      <c r="M32" s="15"/>
      <c r="N32" s="24"/>
      <c r="O32" s="24"/>
      <c r="P32" s="24"/>
      <c r="Q32" s="24"/>
      <c r="R32" s="24"/>
      <c r="S32" s="24"/>
      <c r="T32" s="24"/>
      <c r="U32" s="24">
        <v>0.69174142800000005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281</v>
      </c>
      <c r="F33" s="187" t="s">
        <v>19</v>
      </c>
      <c r="G33" s="6" t="s">
        <v>282</v>
      </c>
      <c r="H33" s="6" t="s">
        <v>283</v>
      </c>
      <c r="I33" s="6" t="s">
        <v>472</v>
      </c>
      <c r="J33" s="118">
        <f t="shared" si="9"/>
        <v>23.295192104999998</v>
      </c>
      <c r="K33" s="119">
        <f t="shared" si="10"/>
        <v>23.295192104999998</v>
      </c>
      <c r="L33" s="119">
        <f t="shared" si="11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>
        <v>23.295192104999998</v>
      </c>
      <c r="W33" s="24"/>
      <c r="X33" s="24"/>
      <c r="Y33" s="24"/>
    </row>
    <row r="34" spans="5:25">
      <c r="E34" s="6" t="s">
        <v>446</v>
      </c>
      <c r="F34" s="187" t="s">
        <v>19</v>
      </c>
      <c r="G34" s="6" t="s">
        <v>493</v>
      </c>
      <c r="H34" s="6" t="s">
        <v>339</v>
      </c>
      <c r="I34" s="6" t="s">
        <v>472</v>
      </c>
      <c r="J34" s="118">
        <f t="shared" si="9"/>
        <v>5.0408142879999991</v>
      </c>
      <c r="K34" s="119">
        <f t="shared" si="10"/>
        <v>5.0408142879999991</v>
      </c>
      <c r="L34" s="119">
        <f t="shared" si="11"/>
        <v>0</v>
      </c>
      <c r="M34" s="15"/>
      <c r="N34" s="24"/>
      <c r="O34" s="24"/>
      <c r="P34" s="24"/>
      <c r="Q34" s="24"/>
      <c r="R34" s="24"/>
      <c r="S34" s="24"/>
      <c r="T34" s="24"/>
      <c r="U34" s="24">
        <v>5.0408142879999991</v>
      </c>
      <c r="V34" s="24"/>
      <c r="W34" s="24"/>
      <c r="X34" s="24"/>
      <c r="Y34" s="24"/>
    </row>
    <row r="35" spans="5:25">
      <c r="E35" s="6" t="s">
        <v>473</v>
      </c>
      <c r="F35" s="187" t="s">
        <v>17</v>
      </c>
      <c r="G35" s="6" t="s">
        <v>493</v>
      </c>
      <c r="H35" s="6" t="s">
        <v>339</v>
      </c>
      <c r="I35" s="6" t="s">
        <v>472</v>
      </c>
      <c r="J35" s="118">
        <f t="shared" si="9"/>
        <v>29.743359692999999</v>
      </c>
      <c r="K35" s="119">
        <f t="shared" si="10"/>
        <v>29.743359692999999</v>
      </c>
      <c r="L35" s="119">
        <f t="shared" si="11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>
        <v>29.743359692999999</v>
      </c>
      <c r="X35" s="24"/>
      <c r="Y35" s="24"/>
    </row>
    <row r="36" spans="5:25">
      <c r="E36" s="6" t="s">
        <v>474</v>
      </c>
      <c r="F36" s="187" t="s">
        <v>19</v>
      </c>
      <c r="G36" s="6" t="s">
        <v>279</v>
      </c>
      <c r="H36" s="6" t="s">
        <v>280</v>
      </c>
      <c r="I36" s="6" t="s">
        <v>472</v>
      </c>
      <c r="J36" s="118">
        <f t="shared" si="9"/>
        <v>114.986673357</v>
      </c>
      <c r="K36" s="119">
        <f t="shared" si="10"/>
        <v>114.986673357</v>
      </c>
      <c r="L36" s="119">
        <f t="shared" si="11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114.986673357</v>
      </c>
      <c r="W36" s="24"/>
      <c r="X36" s="24"/>
      <c r="Y36" s="24"/>
    </row>
    <row r="37" spans="5:25">
      <c r="E37" s="6" t="s">
        <v>475</v>
      </c>
      <c r="F37" s="187" t="s">
        <v>19</v>
      </c>
      <c r="G37" s="6" t="s">
        <v>245</v>
      </c>
      <c r="H37" s="6" t="s">
        <v>288</v>
      </c>
      <c r="I37" s="6" t="s">
        <v>466</v>
      </c>
      <c r="J37" s="118">
        <f t="shared" si="9"/>
        <v>5.0478331880000002</v>
      </c>
      <c r="K37" s="119">
        <f t="shared" si="10"/>
        <v>5.0478331880000002</v>
      </c>
      <c r="L37" s="119">
        <f t="shared" si="11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>
        <v>5.0478331880000002</v>
      </c>
      <c r="W37" s="24"/>
      <c r="X37" s="24"/>
      <c r="Y37" s="24"/>
    </row>
    <row r="38" spans="5:25">
      <c r="E38" s="6" t="s">
        <v>476</v>
      </c>
      <c r="F38" s="187" t="s">
        <v>19</v>
      </c>
      <c r="G38" s="6" t="s">
        <v>247</v>
      </c>
      <c r="H38" s="6" t="s">
        <v>289</v>
      </c>
      <c r="I38" s="6" t="s">
        <v>466</v>
      </c>
      <c r="J38" s="118">
        <f t="shared" si="9"/>
        <v>103.24204337299989</v>
      </c>
      <c r="K38" s="119">
        <f t="shared" si="10"/>
        <v>103.24204337299989</v>
      </c>
      <c r="L38" s="119">
        <f t="shared" si="11"/>
        <v>0</v>
      </c>
      <c r="M38" s="15"/>
      <c r="N38" s="24"/>
      <c r="O38" s="24"/>
      <c r="P38" s="24"/>
      <c r="Q38" s="24"/>
      <c r="R38" s="24"/>
      <c r="S38" s="24"/>
      <c r="T38" s="24"/>
      <c r="U38" s="24">
        <v>2.3603041309999999</v>
      </c>
      <c r="V38" s="24">
        <v>55.146059241999893</v>
      </c>
      <c r="W38" s="24">
        <v>11.99428</v>
      </c>
      <c r="X38" s="24">
        <v>7.1178600000000003</v>
      </c>
      <c r="Y38" s="24">
        <v>26.623539999999998</v>
      </c>
    </row>
    <row r="39" spans="5:25">
      <c r="E39" s="6" t="s">
        <v>476</v>
      </c>
      <c r="F39" s="187" t="s">
        <v>19</v>
      </c>
      <c r="G39" s="6" t="s">
        <v>379</v>
      </c>
      <c r="H39" s="6" t="s">
        <v>291</v>
      </c>
      <c r="I39" s="6" t="s">
        <v>466</v>
      </c>
      <c r="J39" s="118">
        <f t="shared" si="9"/>
        <v>111.263035921</v>
      </c>
      <c r="K39" s="119">
        <f t="shared" si="10"/>
        <v>111.263035921</v>
      </c>
      <c r="L39" s="119">
        <f t="shared" si="11"/>
        <v>0</v>
      </c>
      <c r="M39" s="15"/>
      <c r="N39" s="24"/>
      <c r="O39" s="24"/>
      <c r="P39" s="24"/>
      <c r="Q39" s="24"/>
      <c r="R39" s="24"/>
      <c r="S39" s="24"/>
      <c r="T39" s="24"/>
      <c r="U39" s="24">
        <v>5.4549972119999994</v>
      </c>
      <c r="V39" s="24">
        <v>59.760378708999994</v>
      </c>
      <c r="W39" s="24">
        <v>23.023830000000004</v>
      </c>
      <c r="X39" s="24">
        <v>13.010380000000001</v>
      </c>
      <c r="Y39" s="24">
        <v>10.013450000000001</v>
      </c>
    </row>
    <row r="40" spans="5:25">
      <c r="E40" s="6" t="s">
        <v>476</v>
      </c>
      <c r="F40" s="187" t="s">
        <v>19</v>
      </c>
      <c r="G40" s="6" t="s">
        <v>454</v>
      </c>
      <c r="H40" s="6" t="s">
        <v>292</v>
      </c>
      <c r="I40" s="6" t="s">
        <v>466</v>
      </c>
      <c r="J40" s="118">
        <f t="shared" si="9"/>
        <v>64.419606239000004</v>
      </c>
      <c r="K40" s="119">
        <f t="shared" si="10"/>
        <v>64.419606239000004</v>
      </c>
      <c r="L40" s="119">
        <f t="shared" si="11"/>
        <v>0</v>
      </c>
      <c r="M40" s="15"/>
      <c r="N40" s="24"/>
      <c r="O40" s="24"/>
      <c r="P40" s="24"/>
      <c r="Q40" s="24"/>
      <c r="R40" s="24"/>
      <c r="S40" s="24"/>
      <c r="T40" s="24"/>
      <c r="U40" s="24">
        <v>1.337245639</v>
      </c>
      <c r="V40" s="24">
        <v>7.2454200000000002</v>
      </c>
      <c r="W40" s="24">
        <v>41.3461006</v>
      </c>
      <c r="X40" s="24">
        <v>7.2454200000000002</v>
      </c>
      <c r="Y40" s="24">
        <v>7.2454200000000002</v>
      </c>
    </row>
    <row r="41" spans="5:25">
      <c r="E41" s="6" t="s">
        <v>476</v>
      </c>
      <c r="F41" s="187" t="s">
        <v>19</v>
      </c>
      <c r="G41" s="6" t="s">
        <v>293</v>
      </c>
      <c r="H41" s="6" t="s">
        <v>294</v>
      </c>
      <c r="I41" s="6" t="s">
        <v>466</v>
      </c>
      <c r="J41" s="118">
        <f t="shared" si="9"/>
        <v>4.0488577299999999</v>
      </c>
      <c r="K41" s="119">
        <f t="shared" si="10"/>
        <v>4.0488577299999999</v>
      </c>
      <c r="L41" s="119">
        <f t="shared" si="11"/>
        <v>0</v>
      </c>
      <c r="M41" s="15"/>
      <c r="N41" s="24"/>
      <c r="O41" s="24"/>
      <c r="P41" s="24"/>
      <c r="Q41" s="24"/>
      <c r="R41" s="24"/>
      <c r="S41" s="24"/>
      <c r="T41" s="24"/>
      <c r="U41" s="24">
        <v>7.1962499999999999E-2</v>
      </c>
      <c r="V41" s="24">
        <v>1.2269229999999999E-2</v>
      </c>
      <c r="W41" s="24"/>
      <c r="X41" s="24">
        <v>1.982313</v>
      </c>
      <c r="Y41" s="24">
        <v>1.982313</v>
      </c>
    </row>
    <row r="42" spans="5:25">
      <c r="E42" s="6" t="s">
        <v>476</v>
      </c>
      <c r="F42" s="187" t="s">
        <v>19</v>
      </c>
      <c r="G42" s="6" t="s">
        <v>447</v>
      </c>
      <c r="H42" s="6" t="s">
        <v>448</v>
      </c>
      <c r="I42" s="6" t="s">
        <v>466</v>
      </c>
      <c r="J42" s="118">
        <f t="shared" si="9"/>
        <v>73.667482051999997</v>
      </c>
      <c r="K42" s="119">
        <f t="shared" si="10"/>
        <v>73.667482051999997</v>
      </c>
      <c r="L42" s="119">
        <f t="shared" si="11"/>
        <v>0</v>
      </c>
      <c r="M42" s="15"/>
      <c r="N42" s="24"/>
      <c r="O42" s="24"/>
      <c r="P42" s="24"/>
      <c r="Q42" s="24"/>
      <c r="R42" s="24"/>
      <c r="S42" s="24"/>
      <c r="T42" s="24"/>
      <c r="U42" s="24">
        <v>3.2224467000000003</v>
      </c>
      <c r="V42" s="24">
        <v>45.985913351999997</v>
      </c>
      <c r="W42" s="24">
        <v>4.8918244</v>
      </c>
      <c r="X42" s="24">
        <v>14.675473199999999</v>
      </c>
      <c r="Y42" s="24">
        <v>4.8918244</v>
      </c>
    </row>
    <row r="43" spans="5:25">
      <c r="E43" s="6" t="s">
        <v>476</v>
      </c>
      <c r="F43" s="187" t="s">
        <v>19</v>
      </c>
      <c r="G43" s="6" t="s">
        <v>252</v>
      </c>
      <c r="H43" s="6" t="s">
        <v>295</v>
      </c>
      <c r="I43" s="6" t="s">
        <v>466</v>
      </c>
      <c r="J43" s="118">
        <f t="shared" si="9"/>
        <v>5.4126866230000008</v>
      </c>
      <c r="K43" s="119">
        <f t="shared" si="10"/>
        <v>5.4126866230000008</v>
      </c>
      <c r="L43" s="119">
        <f t="shared" si="11"/>
        <v>0</v>
      </c>
      <c r="M43" s="15"/>
      <c r="N43" s="24"/>
      <c r="O43" s="24"/>
      <c r="P43" s="24"/>
      <c r="Q43" s="24"/>
      <c r="R43" s="24"/>
      <c r="S43" s="24"/>
      <c r="T43" s="24"/>
      <c r="U43" s="24">
        <v>5.4126866230000008</v>
      </c>
      <c r="V43" s="24"/>
      <c r="W43" s="24"/>
      <c r="X43" s="24"/>
      <c r="Y43" s="24"/>
    </row>
    <row r="44" spans="5:25">
      <c r="E44" s="6" t="s">
        <v>476</v>
      </c>
      <c r="F44" s="187" t="s">
        <v>19</v>
      </c>
      <c r="G44" s="6" t="s">
        <v>245</v>
      </c>
      <c r="H44" s="6" t="s">
        <v>288</v>
      </c>
      <c r="I44" s="6" t="s">
        <v>466</v>
      </c>
      <c r="J44" s="118">
        <f t="shared" si="9"/>
        <v>16.318321397000002</v>
      </c>
      <c r="K44" s="119">
        <f t="shared" si="10"/>
        <v>16.318321397000002</v>
      </c>
      <c r="L44" s="119">
        <f t="shared" si="11"/>
        <v>0</v>
      </c>
      <c r="M44" s="15"/>
      <c r="N44" s="24"/>
      <c r="O44" s="24"/>
      <c r="P44" s="24"/>
      <c r="Q44" s="24"/>
      <c r="R44" s="24"/>
      <c r="S44" s="24"/>
      <c r="T44" s="24"/>
      <c r="U44" s="24">
        <v>14.676543322000001</v>
      </c>
      <c r="V44" s="24">
        <v>1.6417780750000002</v>
      </c>
      <c r="W44" s="24"/>
      <c r="X44" s="24"/>
      <c r="Y44" s="24"/>
    </row>
    <row r="45" spans="5:25">
      <c r="E45" s="6" t="s">
        <v>476</v>
      </c>
      <c r="F45" s="187" t="s">
        <v>19</v>
      </c>
      <c r="G45" s="6" t="s">
        <v>378</v>
      </c>
      <c r="H45" s="6" t="s">
        <v>290</v>
      </c>
      <c r="I45" s="6" t="s">
        <v>466</v>
      </c>
      <c r="J45" s="118">
        <f t="shared" si="9"/>
        <v>107.236254394</v>
      </c>
      <c r="K45" s="119">
        <f t="shared" si="10"/>
        <v>107.236254394</v>
      </c>
      <c r="L45" s="119">
        <f t="shared" si="11"/>
        <v>0</v>
      </c>
      <c r="M45" s="15"/>
      <c r="N45" s="24"/>
      <c r="O45" s="24"/>
      <c r="P45" s="24"/>
      <c r="Q45" s="24"/>
      <c r="R45" s="24"/>
      <c r="S45" s="24"/>
      <c r="T45" s="24"/>
      <c r="U45" s="24">
        <v>21.057503425</v>
      </c>
      <c r="V45" s="24">
        <v>31.787076368999994</v>
      </c>
      <c r="W45" s="24">
        <v>15.184264599999999</v>
      </c>
      <c r="X45" s="24">
        <v>10.69293</v>
      </c>
      <c r="Y45" s="24">
        <v>28.514479999999995</v>
      </c>
    </row>
    <row r="46" spans="5:25">
      <c r="E46" s="6" t="s">
        <v>477</v>
      </c>
      <c r="F46" s="187" t="s">
        <v>19</v>
      </c>
      <c r="G46" s="6" t="s">
        <v>454</v>
      </c>
      <c r="H46" s="6" t="s">
        <v>292</v>
      </c>
      <c r="I46" s="6" t="s">
        <v>466</v>
      </c>
      <c r="J46" s="118">
        <f t="shared" si="9"/>
        <v>10.006058019999999</v>
      </c>
      <c r="K46" s="119">
        <f t="shared" si="10"/>
        <v>10.006058019999999</v>
      </c>
      <c r="L46" s="119">
        <f t="shared" si="11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10.006058019999999</v>
      </c>
      <c r="W46" s="24"/>
      <c r="X46" s="24"/>
      <c r="Y46" s="24"/>
    </row>
    <row r="47" spans="5:25">
      <c r="E47" s="6" t="s">
        <v>478</v>
      </c>
      <c r="F47" s="187" t="s">
        <v>19</v>
      </c>
      <c r="G47" s="6" t="s">
        <v>245</v>
      </c>
      <c r="H47" s="6" t="s">
        <v>288</v>
      </c>
      <c r="I47" s="6" t="s">
        <v>466</v>
      </c>
      <c r="J47" s="118">
        <f t="shared" si="9"/>
        <v>61.835956552999995</v>
      </c>
      <c r="K47" s="119">
        <f t="shared" si="10"/>
        <v>61.835956552999995</v>
      </c>
      <c r="L47" s="119">
        <f t="shared" si="11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61.835956552999995</v>
      </c>
      <c r="W47" s="24"/>
      <c r="X47" s="24"/>
      <c r="Y47" s="24"/>
    </row>
    <row r="48" spans="5:25">
      <c r="E48" s="6" t="s">
        <v>414</v>
      </c>
      <c r="F48" s="187" t="s">
        <v>19</v>
      </c>
      <c r="G48" s="6" t="s">
        <v>245</v>
      </c>
      <c r="H48" s="6" t="s">
        <v>288</v>
      </c>
      <c r="I48" s="6" t="s">
        <v>466</v>
      </c>
      <c r="J48" s="118">
        <f t="shared" si="9"/>
        <v>58.404625406000008</v>
      </c>
      <c r="K48" s="119">
        <f t="shared" si="10"/>
        <v>58.404625406000008</v>
      </c>
      <c r="L48" s="119">
        <f t="shared" si="11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v>58.404625406000008</v>
      </c>
      <c r="W48" s="24"/>
      <c r="X48" s="24"/>
      <c r="Y48" s="24"/>
    </row>
    <row r="49" spans="5:25">
      <c r="E49" s="6" t="s">
        <v>417</v>
      </c>
      <c r="F49" s="187" t="s">
        <v>19</v>
      </c>
      <c r="G49" s="6" t="s">
        <v>282</v>
      </c>
      <c r="H49" s="6" t="s">
        <v>283</v>
      </c>
      <c r="I49" s="6" t="s">
        <v>466</v>
      </c>
      <c r="J49" s="118">
        <f t="shared" si="9"/>
        <v>1.9666872719999999</v>
      </c>
      <c r="K49" s="119">
        <f t="shared" si="10"/>
        <v>1.9666872719999999</v>
      </c>
      <c r="L49" s="119">
        <f t="shared" si="11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>
        <v>1.9666872719999999</v>
      </c>
      <c r="X49" s="24"/>
      <c r="Y49" s="24"/>
    </row>
    <row r="50" spans="5:25">
      <c r="E50" s="6" t="s">
        <v>450</v>
      </c>
      <c r="F50" s="187" t="s">
        <v>19</v>
      </c>
      <c r="G50" s="6" t="s">
        <v>282</v>
      </c>
      <c r="H50" s="6" t="s">
        <v>283</v>
      </c>
      <c r="I50" s="6" t="s">
        <v>466</v>
      </c>
      <c r="J50" s="118">
        <f t="shared" si="9"/>
        <v>1.9317665959999997</v>
      </c>
      <c r="K50" s="119">
        <f t="shared" si="10"/>
        <v>1.9317665959999997</v>
      </c>
      <c r="L50" s="119">
        <f t="shared" si="11"/>
        <v>0</v>
      </c>
      <c r="M50" s="15"/>
      <c r="N50" s="24"/>
      <c r="O50" s="24"/>
      <c r="P50" s="24"/>
      <c r="Q50" s="24"/>
      <c r="R50" s="24"/>
      <c r="S50" s="24"/>
      <c r="T50" s="24"/>
      <c r="U50" s="24">
        <v>0.83027989599999974</v>
      </c>
      <c r="V50" s="24">
        <v>0.1625413</v>
      </c>
      <c r="W50" s="24"/>
      <c r="X50" s="24">
        <v>0.93894539999999993</v>
      </c>
      <c r="Y50" s="24"/>
    </row>
    <row r="51" spans="5:25">
      <c r="E51" s="6" t="s">
        <v>450</v>
      </c>
      <c r="F51" s="187" t="s">
        <v>19</v>
      </c>
      <c r="G51" s="6" t="s">
        <v>500</v>
      </c>
      <c r="H51" s="6" t="s">
        <v>305</v>
      </c>
      <c r="I51" s="6" t="s">
        <v>466</v>
      </c>
      <c r="J51" s="118">
        <f t="shared" si="9"/>
        <v>3.3595952690000002</v>
      </c>
      <c r="K51" s="119">
        <f t="shared" si="10"/>
        <v>3.3595952690000002</v>
      </c>
      <c r="L51" s="119">
        <f t="shared" si="11"/>
        <v>0</v>
      </c>
      <c r="M51" s="15"/>
      <c r="N51" s="24"/>
      <c r="O51" s="24"/>
      <c r="P51" s="24"/>
      <c r="Q51" s="24"/>
      <c r="R51" s="24"/>
      <c r="S51" s="24"/>
      <c r="T51" s="24"/>
      <c r="U51" s="24">
        <v>3.1510189200000003</v>
      </c>
      <c r="V51" s="24">
        <v>0.20857634899999999</v>
      </c>
      <c r="W51" s="24"/>
      <c r="X51" s="24"/>
      <c r="Y51" s="24"/>
    </row>
    <row r="52" spans="5:25">
      <c r="E52" s="6" t="s">
        <v>450</v>
      </c>
      <c r="F52" s="187" t="s">
        <v>19</v>
      </c>
      <c r="G52" s="6" t="s">
        <v>256</v>
      </c>
      <c r="H52" s="6" t="s">
        <v>303</v>
      </c>
      <c r="I52" s="6" t="s">
        <v>466</v>
      </c>
      <c r="J52" s="118">
        <f t="shared" si="9"/>
        <v>184.91358517800015</v>
      </c>
      <c r="K52" s="119">
        <f t="shared" si="10"/>
        <v>184.91358517800015</v>
      </c>
      <c r="L52" s="119">
        <f t="shared" si="11"/>
        <v>0</v>
      </c>
      <c r="M52" s="15"/>
      <c r="N52" s="24"/>
      <c r="O52" s="24"/>
      <c r="P52" s="24"/>
      <c r="Q52" s="24"/>
      <c r="R52" s="24"/>
      <c r="S52" s="24"/>
      <c r="T52" s="24"/>
      <c r="U52" s="24">
        <v>2.7671322910000011</v>
      </c>
      <c r="V52" s="24">
        <v>165.42301786800016</v>
      </c>
      <c r="W52" s="24">
        <v>16.723435018999993</v>
      </c>
      <c r="X52" s="24"/>
      <c r="Y52" s="24"/>
    </row>
    <row r="53" spans="5:25">
      <c r="E53" s="6" t="s">
        <v>450</v>
      </c>
      <c r="F53" s="187" t="s">
        <v>19</v>
      </c>
      <c r="G53" s="6" t="s">
        <v>282</v>
      </c>
      <c r="H53" s="6" t="s">
        <v>283</v>
      </c>
      <c r="I53" s="6" t="s">
        <v>472</v>
      </c>
      <c r="J53" s="118">
        <f t="shared" si="9"/>
        <v>0</v>
      </c>
      <c r="K53" s="119">
        <f t="shared" si="10"/>
        <v>0</v>
      </c>
      <c r="L53" s="119">
        <f t="shared" si="11"/>
        <v>0</v>
      </c>
      <c r="M53" s="15"/>
      <c r="N53" s="24"/>
      <c r="O53" s="24"/>
      <c r="P53" s="24"/>
      <c r="Q53" s="24"/>
      <c r="R53" s="24"/>
      <c r="S53" s="24"/>
      <c r="T53" s="24"/>
      <c r="U53" s="24">
        <v>0</v>
      </c>
      <c r="V53" s="24"/>
      <c r="W53" s="24"/>
      <c r="X53" s="24"/>
      <c r="Y53" s="24"/>
    </row>
    <row r="54" spans="5:25">
      <c r="E54" s="6" t="s">
        <v>450</v>
      </c>
      <c r="F54" s="187" t="s">
        <v>19</v>
      </c>
      <c r="G54" s="6" t="s">
        <v>500</v>
      </c>
      <c r="H54" s="6" t="s">
        <v>305</v>
      </c>
      <c r="I54" s="6" t="s">
        <v>472</v>
      </c>
      <c r="J54" s="118">
        <f t="shared" si="9"/>
        <v>44.34677489500001</v>
      </c>
      <c r="K54" s="119">
        <f t="shared" si="10"/>
        <v>44.34677489500001</v>
      </c>
      <c r="L54" s="119">
        <f t="shared" si="11"/>
        <v>0</v>
      </c>
      <c r="M54" s="15"/>
      <c r="N54" s="24"/>
      <c r="O54" s="24"/>
      <c r="P54" s="24"/>
      <c r="Q54" s="24"/>
      <c r="R54" s="24"/>
      <c r="S54" s="24"/>
      <c r="T54" s="24"/>
      <c r="U54" s="24">
        <v>16.673765806000002</v>
      </c>
      <c r="V54" s="24">
        <v>16.455694588000007</v>
      </c>
      <c r="W54" s="24">
        <v>0.52466878099999992</v>
      </c>
      <c r="X54" s="24">
        <v>10.692645720000002</v>
      </c>
      <c r="Y54" s="24"/>
    </row>
    <row r="55" spans="5:25">
      <c r="E55" s="6" t="s">
        <v>572</v>
      </c>
      <c r="F55" s="187" t="s">
        <v>19</v>
      </c>
      <c r="G55" s="6" t="s">
        <v>441</v>
      </c>
      <c r="H55" s="6" t="s">
        <v>481</v>
      </c>
      <c r="I55" s="6" t="s">
        <v>466</v>
      </c>
      <c r="J55" s="118">
        <f t="shared" si="9"/>
        <v>334.48409481999965</v>
      </c>
      <c r="K55" s="119">
        <f t="shared" si="10"/>
        <v>334.48409481999965</v>
      </c>
      <c r="L55" s="119">
        <f t="shared" si="11"/>
        <v>0</v>
      </c>
      <c r="M55" s="15"/>
      <c r="N55" s="24"/>
      <c r="O55" s="24"/>
      <c r="P55" s="24"/>
      <c r="Q55" s="24"/>
      <c r="R55" s="24"/>
      <c r="S55" s="24"/>
      <c r="T55" s="24"/>
      <c r="U55" s="24">
        <v>245.2133702699997</v>
      </c>
      <c r="V55" s="24">
        <v>85.811883069999979</v>
      </c>
      <c r="W55" s="24">
        <v>3.4588414799999998</v>
      </c>
      <c r="X55" s="24"/>
      <c r="Y55" s="24"/>
    </row>
    <row r="56" spans="5:25">
      <c r="E56" s="6" t="s">
        <v>482</v>
      </c>
      <c r="F56" s="187" t="s">
        <v>19</v>
      </c>
      <c r="G56" s="6" t="s">
        <v>258</v>
      </c>
      <c r="H56" s="6" t="s">
        <v>306</v>
      </c>
      <c r="I56" s="6" t="s">
        <v>466</v>
      </c>
      <c r="J56" s="118">
        <f t="shared" si="9"/>
        <v>0</v>
      </c>
      <c r="K56" s="119">
        <f t="shared" si="10"/>
        <v>0</v>
      </c>
      <c r="L56" s="119">
        <f t="shared" si="11"/>
        <v>0</v>
      </c>
      <c r="M56" s="15"/>
      <c r="N56" s="24"/>
      <c r="O56" s="24"/>
      <c r="P56" s="24"/>
      <c r="Q56" s="24"/>
      <c r="R56" s="24"/>
      <c r="S56" s="24"/>
      <c r="T56" s="24"/>
      <c r="U56" s="24">
        <v>0</v>
      </c>
      <c r="V56" s="24">
        <v>0</v>
      </c>
      <c r="W56" s="24"/>
      <c r="X56" s="24"/>
      <c r="Y56" s="24"/>
    </row>
    <row r="57" spans="5:25">
      <c r="E57" s="6" t="s">
        <v>509</v>
      </c>
      <c r="F57" s="187" t="s">
        <v>19</v>
      </c>
      <c r="G57" s="6" t="s">
        <v>247</v>
      </c>
      <c r="H57" s="6" t="s">
        <v>289</v>
      </c>
      <c r="I57" s="6" t="s">
        <v>466</v>
      </c>
      <c r="J57" s="118">
        <f t="shared" si="9"/>
        <v>2.3907126999999999</v>
      </c>
      <c r="K57" s="119">
        <f t="shared" si="10"/>
        <v>2.3907126999999999</v>
      </c>
      <c r="L57" s="119">
        <f t="shared" si="11"/>
        <v>0</v>
      </c>
      <c r="M57" s="15"/>
      <c r="N57" s="24"/>
      <c r="O57" s="24"/>
      <c r="P57" s="24"/>
      <c r="Q57" s="24"/>
      <c r="R57" s="24"/>
      <c r="S57" s="24"/>
      <c r="T57" s="24"/>
      <c r="U57" s="24">
        <v>2.3907126999999999</v>
      </c>
      <c r="V57" s="24"/>
      <c r="W57" s="24"/>
      <c r="X57" s="24"/>
      <c r="Y57" s="24"/>
    </row>
    <row r="58" spans="5:25">
      <c r="E58" s="6" t="s">
        <v>509</v>
      </c>
      <c r="F58" s="187" t="s">
        <v>19</v>
      </c>
      <c r="G58" s="6" t="s">
        <v>379</v>
      </c>
      <c r="H58" s="6" t="s">
        <v>291</v>
      </c>
      <c r="I58" s="6" t="s">
        <v>466</v>
      </c>
      <c r="J58" s="118">
        <f t="shared" si="9"/>
        <v>9.7735672210000004</v>
      </c>
      <c r="K58" s="119">
        <f t="shared" si="10"/>
        <v>9.7735672210000004</v>
      </c>
      <c r="L58" s="119">
        <f t="shared" si="11"/>
        <v>0</v>
      </c>
      <c r="M58" s="15"/>
      <c r="N58" s="24"/>
      <c r="O58" s="24"/>
      <c r="P58" s="24"/>
      <c r="Q58" s="24"/>
      <c r="R58" s="24"/>
      <c r="S58" s="24"/>
      <c r="T58" s="24"/>
      <c r="U58" s="24">
        <v>9.7735672210000004</v>
      </c>
      <c r="V58" s="24"/>
      <c r="W58" s="24"/>
      <c r="X58" s="24"/>
      <c r="Y58" s="24"/>
    </row>
    <row r="59" spans="5:25">
      <c r="E59" s="6" t="s">
        <v>509</v>
      </c>
      <c r="F59" s="187" t="s">
        <v>19</v>
      </c>
      <c r="G59" s="6" t="s">
        <v>454</v>
      </c>
      <c r="H59" s="6" t="s">
        <v>292</v>
      </c>
      <c r="I59" s="6" t="s">
        <v>466</v>
      </c>
      <c r="J59" s="118">
        <f t="shared" si="9"/>
        <v>9.1080971759999994</v>
      </c>
      <c r="K59" s="119">
        <f t="shared" si="10"/>
        <v>9.1080971759999994</v>
      </c>
      <c r="L59" s="119">
        <f t="shared" si="11"/>
        <v>0</v>
      </c>
      <c r="M59" s="15"/>
      <c r="N59" s="24"/>
      <c r="O59" s="24"/>
      <c r="P59" s="24"/>
      <c r="Q59" s="24"/>
      <c r="R59" s="24"/>
      <c r="S59" s="24"/>
      <c r="T59" s="24"/>
      <c r="U59" s="24">
        <v>9.1080971759999994</v>
      </c>
      <c r="V59" s="24"/>
      <c r="W59" s="24"/>
      <c r="X59" s="24"/>
      <c r="Y59" s="24"/>
    </row>
    <row r="60" spans="5:25">
      <c r="E60" s="6" t="s">
        <v>509</v>
      </c>
      <c r="F60" s="187" t="s">
        <v>19</v>
      </c>
      <c r="G60" s="6" t="s">
        <v>293</v>
      </c>
      <c r="H60" s="6" t="s">
        <v>294</v>
      </c>
      <c r="I60" s="6" t="s">
        <v>466</v>
      </c>
      <c r="J60" s="118">
        <f t="shared" si="9"/>
        <v>3.2584534759999997</v>
      </c>
      <c r="K60" s="119">
        <f t="shared" si="10"/>
        <v>3.2584534759999997</v>
      </c>
      <c r="L60" s="119">
        <f t="shared" si="11"/>
        <v>0</v>
      </c>
      <c r="M60" s="15"/>
      <c r="N60" s="24"/>
      <c r="O60" s="24"/>
      <c r="P60" s="24"/>
      <c r="Q60" s="24"/>
      <c r="R60" s="24"/>
      <c r="S60" s="24"/>
      <c r="T60" s="24"/>
      <c r="U60" s="24">
        <v>3.2584534759999997</v>
      </c>
      <c r="V60" s="24"/>
      <c r="W60" s="24"/>
      <c r="X60" s="24"/>
      <c r="Y60" s="24"/>
    </row>
    <row r="61" spans="5:25">
      <c r="E61" s="6" t="s">
        <v>509</v>
      </c>
      <c r="F61" s="187" t="s">
        <v>19</v>
      </c>
      <c r="G61" s="6" t="s">
        <v>447</v>
      </c>
      <c r="H61" s="6" t="s">
        <v>448</v>
      </c>
      <c r="I61" s="6" t="s">
        <v>466</v>
      </c>
      <c r="J61" s="118">
        <f t="shared" si="9"/>
        <v>14.074529880999998</v>
      </c>
      <c r="K61" s="119">
        <f t="shared" si="10"/>
        <v>14.074529880999998</v>
      </c>
      <c r="L61" s="119">
        <f t="shared" si="11"/>
        <v>0</v>
      </c>
      <c r="M61" s="15"/>
      <c r="N61" s="24"/>
      <c r="O61" s="24"/>
      <c r="P61" s="24"/>
      <c r="Q61" s="24"/>
      <c r="R61" s="24"/>
      <c r="S61" s="24"/>
      <c r="T61" s="24"/>
      <c r="U61" s="24">
        <v>14.074529880999998</v>
      </c>
      <c r="V61" s="24"/>
      <c r="W61" s="24"/>
      <c r="X61" s="24"/>
      <c r="Y61" s="24"/>
    </row>
    <row r="62" spans="5:25">
      <c r="E62" s="6" t="s">
        <v>569</v>
      </c>
      <c r="F62" s="187" t="s">
        <v>19</v>
      </c>
      <c r="G62" s="6" t="s">
        <v>447</v>
      </c>
      <c r="H62" s="6" t="s">
        <v>448</v>
      </c>
      <c r="I62" s="6" t="s">
        <v>466</v>
      </c>
      <c r="J62" s="118">
        <f t="shared" si="9"/>
        <v>1.0213622</v>
      </c>
      <c r="K62" s="119">
        <f t="shared" si="10"/>
        <v>1.0213622</v>
      </c>
      <c r="L62" s="119">
        <f t="shared" si="11"/>
        <v>0</v>
      </c>
      <c r="M62" s="15"/>
      <c r="N62" s="24"/>
      <c r="O62" s="24"/>
      <c r="P62" s="24"/>
      <c r="Q62" s="24"/>
      <c r="R62" s="24"/>
      <c r="S62" s="24"/>
      <c r="T62" s="24"/>
      <c r="U62" s="24">
        <v>1.0213622</v>
      </c>
      <c r="V62" s="24"/>
      <c r="W62" s="24"/>
      <c r="X62" s="24"/>
      <c r="Y62" s="24"/>
    </row>
    <row r="63" spans="5:25">
      <c r="E63" s="6" t="s">
        <v>569</v>
      </c>
      <c r="F63" s="187" t="s">
        <v>19</v>
      </c>
      <c r="G63" s="6" t="s">
        <v>378</v>
      </c>
      <c r="H63" s="6" t="s">
        <v>290</v>
      </c>
      <c r="I63" s="6" t="s">
        <v>466</v>
      </c>
      <c r="J63" s="118">
        <f t="shared" si="9"/>
        <v>34.208617799999999</v>
      </c>
      <c r="K63" s="119">
        <f t="shared" si="10"/>
        <v>34.208617799999999</v>
      </c>
      <c r="L63" s="119">
        <f t="shared" si="11"/>
        <v>0</v>
      </c>
      <c r="M63" s="15"/>
      <c r="N63" s="24"/>
      <c r="O63" s="24"/>
      <c r="P63" s="24"/>
      <c r="Q63" s="24"/>
      <c r="R63" s="24"/>
      <c r="S63" s="24"/>
      <c r="T63" s="24"/>
      <c r="U63" s="24">
        <v>34.208617799999999</v>
      </c>
      <c r="V63" s="24"/>
      <c r="W63" s="24"/>
      <c r="X63" s="24"/>
      <c r="Y63" s="24"/>
    </row>
    <row r="64" spans="5:25">
      <c r="E64" s="6" t="s">
        <v>483</v>
      </c>
      <c r="F64" s="187" t="s">
        <v>19</v>
      </c>
      <c r="G64" s="6" t="s">
        <v>258</v>
      </c>
      <c r="H64" s="6" t="s">
        <v>306</v>
      </c>
      <c r="I64" s="6" t="s">
        <v>466</v>
      </c>
      <c r="J64" s="118">
        <f t="shared" si="9"/>
        <v>28.729105825999998</v>
      </c>
      <c r="K64" s="119">
        <f t="shared" si="10"/>
        <v>28.729105825999998</v>
      </c>
      <c r="L64" s="119">
        <f t="shared" si="11"/>
        <v>0</v>
      </c>
      <c r="M64" s="15"/>
      <c r="N64" s="24"/>
      <c r="O64" s="24"/>
      <c r="P64" s="24"/>
      <c r="Q64" s="24"/>
      <c r="R64" s="24"/>
      <c r="S64" s="24"/>
      <c r="T64" s="24"/>
      <c r="U64" s="24">
        <v>19.442721626999997</v>
      </c>
      <c r="V64" s="24">
        <v>4.5952463460000006</v>
      </c>
      <c r="W64" s="24">
        <v>4.6911378529999999</v>
      </c>
      <c r="X64" s="24"/>
      <c r="Y64" s="24"/>
    </row>
    <row r="65" spans="5:25">
      <c r="E65" s="6" t="s">
        <v>484</v>
      </c>
      <c r="F65" s="187" t="s">
        <v>19</v>
      </c>
      <c r="G65" s="6" t="s">
        <v>503</v>
      </c>
      <c r="H65" s="6" t="s">
        <v>311</v>
      </c>
      <c r="I65" s="6" t="s">
        <v>472</v>
      </c>
      <c r="J65" s="118">
        <f t="shared" si="9"/>
        <v>1.173521574</v>
      </c>
      <c r="K65" s="119">
        <f t="shared" si="10"/>
        <v>1.173521574</v>
      </c>
      <c r="L65" s="119">
        <f t="shared" si="11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1.173521574</v>
      </c>
      <c r="Y65" s="24"/>
    </row>
    <row r="66" spans="5:25">
      <c r="E66" s="6" t="s">
        <v>484</v>
      </c>
      <c r="F66" s="187" t="s">
        <v>19</v>
      </c>
      <c r="G66" s="6" t="s">
        <v>500</v>
      </c>
      <c r="H66" s="6" t="s">
        <v>305</v>
      </c>
      <c r="I66" s="6" t="s">
        <v>472</v>
      </c>
      <c r="J66" s="118">
        <f t="shared" si="9"/>
        <v>53.278013522000002</v>
      </c>
      <c r="K66" s="119">
        <f t="shared" si="10"/>
        <v>53.278013522000002</v>
      </c>
      <c r="L66" s="119">
        <f t="shared" si="11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>
        <v>53.278013522000002</v>
      </c>
      <c r="Y66" s="24"/>
    </row>
    <row r="67" spans="5:25">
      <c r="E67" s="6" t="s">
        <v>484</v>
      </c>
      <c r="F67" s="187" t="s">
        <v>19</v>
      </c>
      <c r="G67" s="6" t="s">
        <v>370</v>
      </c>
      <c r="H67" s="6" t="s">
        <v>308</v>
      </c>
      <c r="I67" s="6" t="s">
        <v>472</v>
      </c>
      <c r="J67" s="118">
        <f t="shared" si="9"/>
        <v>29.382537231999997</v>
      </c>
      <c r="K67" s="119">
        <f t="shared" si="10"/>
        <v>29.382537231999997</v>
      </c>
      <c r="L67" s="119">
        <f t="shared" si="11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29.382537231999997</v>
      </c>
      <c r="Y67" s="24"/>
    </row>
    <row r="68" spans="5:25">
      <c r="E68" s="6" t="s">
        <v>484</v>
      </c>
      <c r="F68" s="187" t="s">
        <v>19</v>
      </c>
      <c r="G68" s="6" t="s">
        <v>264</v>
      </c>
      <c r="H68" s="6" t="s">
        <v>310</v>
      </c>
      <c r="I68" s="6" t="s">
        <v>472</v>
      </c>
      <c r="J68" s="118">
        <f t="shared" si="9"/>
        <v>0.44208771600000002</v>
      </c>
      <c r="K68" s="119">
        <f t="shared" si="10"/>
        <v>0.44208771600000002</v>
      </c>
      <c r="L68" s="119">
        <f t="shared" si="11"/>
        <v>0</v>
      </c>
      <c r="N68" s="24"/>
      <c r="O68" s="24"/>
      <c r="P68" s="24"/>
      <c r="Q68" s="24"/>
      <c r="R68" s="24"/>
      <c r="S68" s="24"/>
      <c r="T68" s="24"/>
      <c r="U68" s="24"/>
      <c r="V68" s="24">
        <v>0.33190336400000003</v>
      </c>
      <c r="W68" s="24"/>
      <c r="X68" s="24">
        <v>0.110184352</v>
      </c>
      <c r="Y68" s="24"/>
    </row>
    <row r="69" spans="5:25">
      <c r="E69" s="6" t="s">
        <v>484</v>
      </c>
      <c r="F69" s="187" t="s">
        <v>19</v>
      </c>
      <c r="G69" s="6" t="s">
        <v>454</v>
      </c>
      <c r="H69" s="6" t="s">
        <v>292</v>
      </c>
      <c r="I69" s="6" t="s">
        <v>472</v>
      </c>
      <c r="J69" s="118">
        <f t="shared" si="9"/>
        <v>7.5711713750000005</v>
      </c>
      <c r="K69" s="119">
        <f t="shared" si="10"/>
        <v>7.5711713750000005</v>
      </c>
      <c r="L69" s="119">
        <f t="shared" si="11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>
        <v>7.5711713750000005</v>
      </c>
      <c r="Y69" s="24"/>
    </row>
    <row r="70" spans="5:25">
      <c r="E70" s="6" t="s">
        <v>451</v>
      </c>
      <c r="F70" s="187" t="s">
        <v>19</v>
      </c>
      <c r="G70" s="6" t="s">
        <v>504</v>
      </c>
      <c r="H70" s="6" t="s">
        <v>307</v>
      </c>
      <c r="I70" s="6" t="s">
        <v>466</v>
      </c>
      <c r="J70" s="118">
        <f t="shared" si="9"/>
        <v>11.206827364</v>
      </c>
      <c r="K70" s="119">
        <f t="shared" si="10"/>
        <v>11.206827364</v>
      </c>
      <c r="L70" s="119">
        <f t="shared" si="11"/>
        <v>0</v>
      </c>
      <c r="N70" s="24"/>
      <c r="O70" s="24"/>
      <c r="P70" s="24"/>
      <c r="Q70" s="24"/>
      <c r="R70" s="24"/>
      <c r="S70" s="24"/>
      <c r="T70" s="24"/>
      <c r="U70" s="24">
        <v>11.206827364</v>
      </c>
      <c r="V70" s="24"/>
      <c r="W70" s="24"/>
      <c r="X70" s="24"/>
      <c r="Y70" s="24"/>
    </row>
    <row r="71" spans="5:25">
      <c r="E71" s="6" t="s">
        <v>451</v>
      </c>
      <c r="F71" s="187" t="s">
        <v>19</v>
      </c>
      <c r="G71" s="6" t="s">
        <v>370</v>
      </c>
      <c r="H71" s="6" t="s">
        <v>308</v>
      </c>
      <c r="I71" s="6" t="s">
        <v>466</v>
      </c>
      <c r="J71" s="118">
        <f t="shared" si="9"/>
        <v>2.1636036089999999</v>
      </c>
      <c r="K71" s="119">
        <f t="shared" si="10"/>
        <v>2.1636036089999999</v>
      </c>
      <c r="L71" s="119">
        <f t="shared" si="11"/>
        <v>0</v>
      </c>
      <c r="N71" s="24"/>
      <c r="O71" s="24"/>
      <c r="P71" s="24"/>
      <c r="Q71" s="24"/>
      <c r="R71" s="24"/>
      <c r="S71" s="24"/>
      <c r="T71" s="24"/>
      <c r="U71" s="24">
        <v>2.1636036089999999</v>
      </c>
      <c r="V71" s="24"/>
      <c r="W71" s="24"/>
      <c r="X71" s="24"/>
      <c r="Y71" s="24"/>
    </row>
    <row r="72" spans="5:25">
      <c r="E72" s="6" t="s">
        <v>451</v>
      </c>
      <c r="F72" s="187" t="s">
        <v>19</v>
      </c>
      <c r="G72" s="6" t="s">
        <v>370</v>
      </c>
      <c r="H72" s="6" t="s">
        <v>308</v>
      </c>
      <c r="I72" s="6" t="s">
        <v>472</v>
      </c>
      <c r="J72" s="118">
        <f t="shared" si="9"/>
        <v>1.192590007</v>
      </c>
      <c r="K72" s="119">
        <f t="shared" si="10"/>
        <v>1.192590007</v>
      </c>
      <c r="L72" s="119">
        <f t="shared" si="11"/>
        <v>0</v>
      </c>
      <c r="N72" s="24"/>
      <c r="O72" s="24"/>
      <c r="P72" s="24"/>
      <c r="Q72" s="24"/>
      <c r="R72" s="24"/>
      <c r="S72" s="24"/>
      <c r="T72" s="24"/>
      <c r="U72" s="24"/>
      <c r="V72" s="24">
        <v>1.192590007</v>
      </c>
      <c r="W72" s="24"/>
      <c r="X72" s="24"/>
      <c r="Y72" s="24"/>
    </row>
    <row r="73" spans="5:25">
      <c r="E73" s="6" t="s">
        <v>577</v>
      </c>
      <c r="F73" s="187" t="s">
        <v>19</v>
      </c>
      <c r="G73" s="6" t="s">
        <v>500</v>
      </c>
      <c r="H73" s="6" t="s">
        <v>305</v>
      </c>
      <c r="I73" s="6" t="s">
        <v>472</v>
      </c>
      <c r="J73" s="118">
        <f t="shared" si="9"/>
        <v>19.768845337000002</v>
      </c>
      <c r="K73" s="119">
        <f t="shared" si="10"/>
        <v>19.768845337000002</v>
      </c>
      <c r="L73" s="119">
        <f t="shared" si="11"/>
        <v>0</v>
      </c>
      <c r="N73" s="24"/>
      <c r="O73" s="24"/>
      <c r="P73" s="24"/>
      <c r="Q73" s="24"/>
      <c r="R73" s="24"/>
      <c r="S73" s="24"/>
      <c r="T73" s="24"/>
      <c r="U73" s="24"/>
      <c r="V73" s="24">
        <v>19.768845337000002</v>
      </c>
      <c r="W73" s="24"/>
      <c r="X73" s="24"/>
      <c r="Y73" s="24"/>
    </row>
    <row r="74" spans="5:25">
      <c r="E74" s="6" t="s">
        <v>533</v>
      </c>
      <c r="F74" s="187" t="s">
        <v>19</v>
      </c>
      <c r="G74" s="6" t="s">
        <v>494</v>
      </c>
      <c r="H74" s="6" t="s">
        <v>299</v>
      </c>
      <c r="I74" s="6" t="s">
        <v>466</v>
      </c>
      <c r="J74" s="118">
        <f t="shared" si="9"/>
        <v>2.6117986230000003</v>
      </c>
      <c r="K74" s="119">
        <f t="shared" si="10"/>
        <v>2.6117986230000003</v>
      </c>
      <c r="L74" s="119">
        <f t="shared" si="11"/>
        <v>0</v>
      </c>
      <c r="N74" s="24"/>
      <c r="O74" s="24"/>
      <c r="P74" s="24"/>
      <c r="Q74" s="24"/>
      <c r="R74" s="24"/>
      <c r="S74" s="24"/>
      <c r="T74" s="24"/>
      <c r="U74" s="24">
        <v>2.6117986230000003</v>
      </c>
      <c r="V74" s="24"/>
      <c r="W74" s="24"/>
      <c r="X74" s="24"/>
      <c r="Y74" s="24"/>
    </row>
    <row r="75" spans="5:25">
      <c r="E75" s="6" t="s">
        <v>485</v>
      </c>
      <c r="F75" s="187" t="s">
        <v>19</v>
      </c>
      <c r="G75" s="6" t="s">
        <v>529</v>
      </c>
      <c r="H75" s="6" t="s">
        <v>530</v>
      </c>
      <c r="I75" s="6" t="s">
        <v>472</v>
      </c>
      <c r="J75" s="118">
        <f t="shared" si="9"/>
        <v>18.610925000000002</v>
      </c>
      <c r="K75" s="119">
        <f t="shared" si="10"/>
        <v>18.610925000000002</v>
      </c>
      <c r="L75" s="119">
        <f t="shared" si="11"/>
        <v>0</v>
      </c>
      <c r="N75" s="24"/>
      <c r="O75" s="24"/>
      <c r="P75" s="24"/>
      <c r="Q75" s="24"/>
      <c r="R75" s="24"/>
      <c r="S75" s="24"/>
      <c r="T75" s="24"/>
      <c r="U75" s="24"/>
      <c r="V75" s="24">
        <v>18.610925000000002</v>
      </c>
      <c r="W75" s="24"/>
      <c r="X75" s="24"/>
      <c r="Y75" s="24"/>
    </row>
    <row r="76" spans="5:25">
      <c r="E76" s="6" t="s">
        <v>485</v>
      </c>
      <c r="F76" s="187" t="s">
        <v>19</v>
      </c>
      <c r="G76" s="6" t="s">
        <v>590</v>
      </c>
      <c r="H76" s="6" t="s">
        <v>591</v>
      </c>
      <c r="I76" s="6" t="s">
        <v>472</v>
      </c>
      <c r="J76" s="118">
        <f t="shared" si="9"/>
        <v>0.39912539699999994</v>
      </c>
      <c r="K76" s="119">
        <f t="shared" si="10"/>
        <v>0.39912539699999994</v>
      </c>
      <c r="L76" s="119">
        <f t="shared" si="11"/>
        <v>0</v>
      </c>
      <c r="N76" s="24"/>
      <c r="O76" s="24"/>
      <c r="P76" s="24"/>
      <c r="Q76" s="24"/>
      <c r="R76" s="24"/>
      <c r="S76" s="24"/>
      <c r="T76" s="24"/>
      <c r="U76" s="24">
        <v>0.39912539699999994</v>
      </c>
      <c r="V76" s="24"/>
      <c r="W76" s="24"/>
      <c r="X76" s="24"/>
      <c r="Y76" s="24"/>
    </row>
    <row r="77" spans="5:25">
      <c r="E77" s="6" t="s">
        <v>268</v>
      </c>
      <c r="F77" s="187" t="s">
        <v>19</v>
      </c>
      <c r="G77" s="6" t="s">
        <v>374</v>
      </c>
      <c r="H77" s="6" t="s">
        <v>317</v>
      </c>
      <c r="I77" s="6" t="s">
        <v>466</v>
      </c>
      <c r="J77" s="118">
        <f t="shared" si="9"/>
        <v>4.9339237030000005</v>
      </c>
      <c r="K77" s="119">
        <f t="shared" si="10"/>
        <v>4.9339237030000005</v>
      </c>
      <c r="L77" s="119">
        <f t="shared" si="11"/>
        <v>0</v>
      </c>
      <c r="N77" s="24"/>
      <c r="O77" s="24"/>
      <c r="P77" s="24"/>
      <c r="Q77" s="24"/>
      <c r="R77" s="24"/>
      <c r="S77" s="24"/>
      <c r="T77" s="24"/>
      <c r="U77" s="24">
        <v>4.9339237030000005</v>
      </c>
      <c r="V77" s="24"/>
      <c r="W77" s="24"/>
      <c r="X77" s="24"/>
      <c r="Y77" s="24"/>
    </row>
    <row r="78" spans="5:25">
      <c r="E78" s="6" t="s">
        <v>270</v>
      </c>
      <c r="F78" s="187" t="s">
        <v>19</v>
      </c>
      <c r="G78" s="6" t="s">
        <v>441</v>
      </c>
      <c r="H78" s="6" t="s">
        <v>481</v>
      </c>
      <c r="I78" s="6" t="s">
        <v>466</v>
      </c>
      <c r="J78" s="118">
        <f t="shared" si="9"/>
        <v>43.922865000000002</v>
      </c>
      <c r="K78" s="119">
        <f t="shared" si="10"/>
        <v>43.922865000000002</v>
      </c>
      <c r="L78" s="119">
        <f t="shared" si="11"/>
        <v>0</v>
      </c>
      <c r="N78" s="24"/>
      <c r="O78" s="24"/>
      <c r="P78" s="24"/>
      <c r="Q78" s="24"/>
      <c r="R78" s="24"/>
      <c r="S78" s="24"/>
      <c r="T78" s="24"/>
      <c r="U78" s="24">
        <v>1.4039999999999999</v>
      </c>
      <c r="V78" s="24">
        <v>29.763205500000002</v>
      </c>
      <c r="W78" s="24">
        <v>12.755659499999998</v>
      </c>
      <c r="X78" s="24"/>
      <c r="Y78" s="24"/>
    </row>
    <row r="79" spans="5:25">
      <c r="E79" s="6" t="s">
        <v>270</v>
      </c>
      <c r="F79" s="187" t="s">
        <v>19</v>
      </c>
      <c r="G79" s="6" t="s">
        <v>374</v>
      </c>
      <c r="H79" s="6" t="s">
        <v>317</v>
      </c>
      <c r="I79" s="6" t="s">
        <v>466</v>
      </c>
      <c r="J79" s="118">
        <f t="shared" si="9"/>
        <v>10.027582382</v>
      </c>
      <c r="K79" s="119">
        <f t="shared" si="10"/>
        <v>10.027582382</v>
      </c>
      <c r="L79" s="119">
        <f t="shared" si="11"/>
        <v>0</v>
      </c>
      <c r="N79" s="24"/>
      <c r="O79" s="24"/>
      <c r="P79" s="24"/>
      <c r="Q79" s="24"/>
      <c r="R79" s="24"/>
      <c r="S79" s="24"/>
      <c r="T79" s="24"/>
      <c r="U79" s="24">
        <v>2.533659025</v>
      </c>
      <c r="V79" s="24">
        <v>1.1826547569999999</v>
      </c>
      <c r="W79" s="24">
        <v>6.3112686</v>
      </c>
      <c r="X79" s="24"/>
      <c r="Y79" s="24"/>
    </row>
    <row r="80" spans="5:25">
      <c r="E80" s="6" t="s">
        <v>270</v>
      </c>
      <c r="F80" s="187" t="s">
        <v>19</v>
      </c>
      <c r="G80" s="6" t="s">
        <v>508</v>
      </c>
      <c r="H80" s="6" t="s">
        <v>319</v>
      </c>
      <c r="I80" s="6" t="s">
        <v>472</v>
      </c>
      <c r="J80" s="118">
        <f t="shared" si="9"/>
        <v>0</v>
      </c>
      <c r="K80" s="119">
        <f t="shared" si="10"/>
        <v>0</v>
      </c>
      <c r="L80" s="119">
        <f t="shared" si="11"/>
        <v>0</v>
      </c>
      <c r="N80" s="24"/>
      <c r="O80" s="24"/>
      <c r="P80" s="24"/>
      <c r="Q80" s="24"/>
      <c r="R80" s="24"/>
      <c r="S80" s="24"/>
      <c r="T80" s="24"/>
      <c r="U80" s="24">
        <v>0</v>
      </c>
      <c r="V80" s="24"/>
      <c r="W80" s="24"/>
      <c r="X80" s="24"/>
      <c r="Y80" s="24"/>
    </row>
    <row r="81" spans="5:25">
      <c r="E81" s="6" t="s">
        <v>570</v>
      </c>
      <c r="F81" s="187" t="s">
        <v>19</v>
      </c>
      <c r="G81" s="6" t="s">
        <v>237</v>
      </c>
      <c r="H81" s="6" t="s">
        <v>277</v>
      </c>
      <c r="I81" s="6" t="s">
        <v>466</v>
      </c>
      <c r="J81" s="118">
        <f t="shared" si="9"/>
        <v>0.42545250000000001</v>
      </c>
      <c r="K81" s="119">
        <f t="shared" si="10"/>
        <v>0.42545250000000001</v>
      </c>
      <c r="L81" s="119">
        <f t="shared" si="11"/>
        <v>0</v>
      </c>
      <c r="N81" s="24"/>
      <c r="O81" s="24"/>
      <c r="P81" s="24"/>
      <c r="Q81" s="24"/>
      <c r="R81" s="24"/>
      <c r="S81" s="24"/>
      <c r="T81" s="24"/>
      <c r="U81" s="24">
        <v>0.42545250000000001</v>
      </c>
      <c r="V81" s="24"/>
      <c r="W81" s="24"/>
      <c r="X81" s="24"/>
      <c r="Y81" s="24"/>
    </row>
    <row r="82" spans="5:25">
      <c r="E82" s="6" t="s">
        <v>489</v>
      </c>
      <c r="F82" s="187" t="s">
        <v>19</v>
      </c>
      <c r="G82" s="6" t="s">
        <v>508</v>
      </c>
      <c r="H82" s="6" t="s">
        <v>319</v>
      </c>
      <c r="I82" s="6" t="s">
        <v>466</v>
      </c>
      <c r="J82" s="118">
        <f t="shared" si="9"/>
        <v>17.392204084999996</v>
      </c>
      <c r="K82" s="119">
        <f t="shared" si="10"/>
        <v>17.392204084999996</v>
      </c>
      <c r="L82" s="119">
        <f t="shared" si="11"/>
        <v>0</v>
      </c>
      <c r="N82" s="24"/>
      <c r="O82" s="24"/>
      <c r="P82" s="24"/>
      <c r="Q82" s="24"/>
      <c r="R82" s="24"/>
      <c r="S82" s="24"/>
      <c r="T82" s="24"/>
      <c r="U82" s="24">
        <v>17.392204084999996</v>
      </c>
      <c r="V82" s="24"/>
      <c r="W82" s="24"/>
      <c r="X82" s="24"/>
      <c r="Y82" s="24"/>
    </row>
    <row r="83" spans="5:25">
      <c r="E83" s="6" t="s">
        <v>589</v>
      </c>
      <c r="F83" s="187" t="s">
        <v>19</v>
      </c>
      <c r="G83" s="6" t="s">
        <v>379</v>
      </c>
      <c r="H83" s="11" t="s">
        <v>291</v>
      </c>
      <c r="I83" s="11" t="s">
        <v>466</v>
      </c>
      <c r="J83" s="118">
        <f t="shared" si="9"/>
        <v>1.5587086999999999E-2</v>
      </c>
      <c r="K83" s="119">
        <f t="shared" si="10"/>
        <v>1.5587086999999999E-2</v>
      </c>
      <c r="L83" s="119">
        <f t="shared" si="11"/>
        <v>0</v>
      </c>
      <c r="N83" s="24"/>
      <c r="O83" s="24"/>
      <c r="P83" s="24"/>
      <c r="Q83" s="24"/>
      <c r="R83" s="24"/>
      <c r="S83" s="24"/>
      <c r="T83" s="24"/>
      <c r="U83" s="24">
        <v>1.5587086999999999E-2</v>
      </c>
      <c r="V83" s="24"/>
      <c r="W83" s="24"/>
      <c r="X83" s="24"/>
      <c r="Y83" s="24"/>
    </row>
    <row r="84" spans="5:25">
      <c r="E84" s="6"/>
      <c r="F84" s="7"/>
      <c r="G84" s="6"/>
      <c r="H84" s="11"/>
      <c r="I84" s="11"/>
      <c r="J84" s="118">
        <f t="shared" si="9"/>
        <v>0</v>
      </c>
      <c r="K84" s="119">
        <f t="shared" si="10"/>
        <v>0</v>
      </c>
      <c r="L84" s="119">
        <f t="shared" si="11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5:25">
      <c r="E85" s="6"/>
      <c r="F85" s="7"/>
      <c r="G85" s="6"/>
      <c r="H85" s="11"/>
      <c r="I85" s="11"/>
      <c r="J85" s="118">
        <f t="shared" si="9"/>
        <v>0</v>
      </c>
      <c r="K85" s="119">
        <f t="shared" si="10"/>
        <v>0</v>
      </c>
      <c r="L85" s="119">
        <f t="shared" si="11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5:25">
      <c r="E86" s="6"/>
      <c r="F86" s="305" t="s">
        <v>19</v>
      </c>
      <c r="G86" s="305" t="s">
        <v>520</v>
      </c>
      <c r="H86" s="11"/>
      <c r="I86" s="11"/>
      <c r="J86" s="118">
        <f t="shared" si="9"/>
        <v>24</v>
      </c>
      <c r="K86" s="119">
        <f t="shared" si="10"/>
        <v>24</v>
      </c>
      <c r="L86" s="119">
        <f t="shared" si="11"/>
        <v>0</v>
      </c>
      <c r="N86" s="24"/>
      <c r="O86" s="24"/>
      <c r="P86" s="24"/>
      <c r="Q86" s="24"/>
      <c r="R86" s="24"/>
      <c r="S86" s="24"/>
      <c r="T86" s="24"/>
      <c r="U86" s="306"/>
      <c r="V86" s="24">
        <v>24</v>
      </c>
      <c r="W86" s="24"/>
      <c r="X86" s="24"/>
      <c r="Y86" s="24"/>
    </row>
    <row r="87" spans="5:25">
      <c r="E87" s="6"/>
      <c r="F87" s="305" t="s">
        <v>19</v>
      </c>
      <c r="G87" s="305" t="s">
        <v>580</v>
      </c>
      <c r="H87" s="6"/>
      <c r="I87" s="6"/>
      <c r="J87" s="118">
        <f t="shared" si="9"/>
        <v>16</v>
      </c>
      <c r="K87" s="119">
        <f t="shared" si="10"/>
        <v>16</v>
      </c>
      <c r="L87" s="119">
        <f t="shared" ref="L87:L93" si="12">SUM(AA80:AL80)</f>
        <v>0</v>
      </c>
      <c r="N87" s="24"/>
      <c r="O87" s="24"/>
      <c r="P87" s="24"/>
      <c r="Q87" s="24"/>
      <c r="R87" s="24"/>
      <c r="S87" s="344"/>
      <c r="T87" s="306"/>
      <c r="U87" s="306"/>
      <c r="V87" s="306">
        <v>16</v>
      </c>
      <c r="W87" s="24"/>
      <c r="X87" s="24"/>
      <c r="Y87" s="24"/>
    </row>
    <row r="88" spans="5:25">
      <c r="E88" s="6"/>
      <c r="F88" s="305" t="s">
        <v>19</v>
      </c>
      <c r="G88" s="305" t="s">
        <v>555</v>
      </c>
      <c r="H88" s="6"/>
      <c r="I88" s="6"/>
      <c r="J88" s="118">
        <f t="shared" si="9"/>
        <v>7</v>
      </c>
      <c r="K88" s="119">
        <f t="shared" si="10"/>
        <v>7</v>
      </c>
      <c r="L88" s="119">
        <f t="shared" si="12"/>
        <v>0</v>
      </c>
      <c r="N88" s="24"/>
      <c r="O88" s="24"/>
      <c r="P88" s="24"/>
      <c r="Q88" s="24"/>
      <c r="R88" s="24"/>
      <c r="S88" s="344"/>
      <c r="T88" s="306"/>
      <c r="U88" s="344">
        <v>7</v>
      </c>
      <c r="V88" s="306"/>
      <c r="W88" s="24"/>
      <c r="X88" s="24"/>
      <c r="Y88" s="24"/>
    </row>
    <row r="89" spans="5:25">
      <c r="E89" s="6"/>
      <c r="F89" s="305" t="s">
        <v>19</v>
      </c>
      <c r="G89" s="305" t="s">
        <v>581</v>
      </c>
      <c r="H89" s="6"/>
      <c r="I89" s="6"/>
      <c r="J89" s="118">
        <f t="shared" ref="J89:J93" si="13">+K89+L89</f>
        <v>233</v>
      </c>
      <c r="K89" s="119">
        <f t="shared" ref="K89:K93" si="14">SUM(N89:Y89)</f>
        <v>233</v>
      </c>
      <c r="L89" s="119">
        <f t="shared" si="12"/>
        <v>0</v>
      </c>
      <c r="N89" s="24"/>
      <c r="O89" s="24"/>
      <c r="P89" s="24"/>
      <c r="Q89" s="24"/>
      <c r="R89" s="24"/>
      <c r="S89" s="344"/>
      <c r="T89" s="306"/>
      <c r="U89" s="306">
        <v>233</v>
      </c>
      <c r="V89" s="306"/>
      <c r="W89" s="24"/>
      <c r="X89" s="24"/>
      <c r="Y89" s="24"/>
    </row>
    <row r="90" spans="5:25">
      <c r="E90" s="6"/>
      <c r="F90" s="305" t="s">
        <v>19</v>
      </c>
      <c r="G90" s="305" t="s">
        <v>582</v>
      </c>
      <c r="H90" s="6"/>
      <c r="I90" s="6"/>
      <c r="J90" s="118">
        <f t="shared" si="13"/>
        <v>1</v>
      </c>
      <c r="K90" s="119">
        <f t="shared" si="14"/>
        <v>1</v>
      </c>
      <c r="L90" s="119">
        <f t="shared" si="12"/>
        <v>0</v>
      </c>
      <c r="N90" s="24"/>
      <c r="O90" s="24"/>
      <c r="P90" s="24"/>
      <c r="Q90" s="24"/>
      <c r="R90" s="24"/>
      <c r="S90" s="344"/>
      <c r="T90" s="306"/>
      <c r="U90" s="306"/>
      <c r="V90" s="306">
        <v>1</v>
      </c>
      <c r="W90" s="24"/>
      <c r="X90" s="24"/>
      <c r="Y90" s="24"/>
    </row>
    <row r="91" spans="5:25">
      <c r="E91" s="6"/>
      <c r="F91" s="360" t="s">
        <v>19</v>
      </c>
      <c r="G91" s="360" t="s">
        <v>583</v>
      </c>
      <c r="H91" s="362"/>
      <c r="I91" s="362"/>
      <c r="J91" s="364">
        <f t="shared" si="13"/>
        <v>21</v>
      </c>
      <c r="K91" s="119">
        <f t="shared" si="14"/>
        <v>21</v>
      </c>
      <c r="L91" s="365">
        <f t="shared" si="12"/>
        <v>0</v>
      </c>
      <c r="N91" s="366"/>
      <c r="O91" s="366"/>
      <c r="P91" s="366"/>
      <c r="Q91" s="366"/>
      <c r="R91" s="366"/>
      <c r="S91" s="404"/>
      <c r="T91" s="404"/>
      <c r="U91" s="404">
        <v>21</v>
      </c>
      <c r="V91" s="404"/>
      <c r="W91" s="24"/>
      <c r="X91" s="24"/>
      <c r="Y91" s="24"/>
    </row>
    <row r="92" spans="5:25">
      <c r="E92" s="13"/>
      <c r="F92" s="360" t="s">
        <v>19</v>
      </c>
      <c r="G92" s="360" t="s">
        <v>584</v>
      </c>
      <c r="H92" s="11"/>
      <c r="I92" s="11"/>
      <c r="J92" s="118">
        <f t="shared" si="13"/>
        <v>35</v>
      </c>
      <c r="K92" s="119">
        <f t="shared" si="14"/>
        <v>35</v>
      </c>
      <c r="L92" s="119">
        <f t="shared" si="12"/>
        <v>0</v>
      </c>
      <c r="N92" s="24"/>
      <c r="O92" s="24"/>
      <c r="P92" s="24"/>
      <c r="Q92" s="24"/>
      <c r="R92" s="24"/>
      <c r="S92" s="24"/>
      <c r="T92" s="306"/>
      <c r="U92" s="24">
        <v>35</v>
      </c>
      <c r="V92" s="24"/>
      <c r="W92" s="24"/>
      <c r="X92" s="24"/>
      <c r="Y92" s="24"/>
    </row>
    <row r="93" spans="5:25">
      <c r="E93" s="6"/>
      <c r="F93" s="360" t="s">
        <v>19</v>
      </c>
      <c r="G93" s="360" t="s">
        <v>585</v>
      </c>
      <c r="H93" s="12"/>
      <c r="I93" s="12"/>
      <c r="J93" s="118">
        <f t="shared" si="13"/>
        <v>16</v>
      </c>
      <c r="K93" s="119">
        <f t="shared" si="14"/>
        <v>16</v>
      </c>
      <c r="L93" s="119">
        <f t="shared" si="12"/>
        <v>0</v>
      </c>
      <c r="N93" s="24"/>
      <c r="O93" s="24"/>
      <c r="P93" s="24"/>
      <c r="Q93" s="24"/>
      <c r="R93" s="24"/>
      <c r="S93" s="24"/>
      <c r="T93" s="306"/>
      <c r="U93" s="24">
        <v>3</v>
      </c>
      <c r="V93" s="306">
        <v>13</v>
      </c>
      <c r="W93" s="24"/>
      <c r="X93" s="24"/>
      <c r="Y93" s="24"/>
    </row>
    <row r="94" spans="5:25">
      <c r="E94" s="6"/>
      <c r="F94" s="360" t="s">
        <v>19</v>
      </c>
      <c r="G94" s="360" t="s">
        <v>485</v>
      </c>
      <c r="H94" s="9"/>
      <c r="I94" s="9"/>
      <c r="J94" s="118">
        <f t="shared" ref="J94:J97" si="15">+K94+L94</f>
        <v>185</v>
      </c>
      <c r="K94" s="119">
        <f t="shared" ref="K94:K97" si="16">SUM(N94:Y94)</f>
        <v>185</v>
      </c>
      <c r="L94" s="119">
        <f t="shared" ref="L94:L97" si="17">SUM(AA94:AL94)</f>
        <v>0</v>
      </c>
      <c r="N94" s="24"/>
      <c r="O94" s="24"/>
      <c r="P94" s="24"/>
      <c r="Q94" s="24"/>
      <c r="R94" s="24"/>
      <c r="S94" s="24"/>
      <c r="T94" s="24"/>
      <c r="U94" s="24"/>
      <c r="V94" s="24">
        <v>185</v>
      </c>
      <c r="W94" s="24"/>
      <c r="X94" s="24"/>
      <c r="Y94" s="24"/>
    </row>
    <row r="95" spans="5:25">
      <c r="E95" s="6"/>
      <c r="F95" s="360" t="s">
        <v>19</v>
      </c>
      <c r="G95" s="360" t="s">
        <v>586</v>
      </c>
      <c r="H95" s="10"/>
      <c r="I95" s="10"/>
      <c r="J95" s="118">
        <f t="shared" si="15"/>
        <v>2</v>
      </c>
      <c r="K95" s="119">
        <f t="shared" si="16"/>
        <v>2</v>
      </c>
      <c r="L95" s="119">
        <f t="shared" si="17"/>
        <v>0</v>
      </c>
      <c r="N95" s="24"/>
      <c r="O95" s="24"/>
      <c r="P95" s="24"/>
      <c r="Q95" s="24"/>
      <c r="R95" s="24"/>
      <c r="S95" s="24"/>
      <c r="T95" s="24"/>
      <c r="U95" s="24">
        <v>2</v>
      </c>
      <c r="V95" s="24"/>
      <c r="W95" s="24"/>
      <c r="X95" s="24"/>
      <c r="Y95" s="24"/>
    </row>
    <row r="96" spans="5:25">
      <c r="E96" s="362"/>
      <c r="F96" s="360" t="s">
        <v>19</v>
      </c>
      <c r="G96" s="360" t="s">
        <v>587</v>
      </c>
      <c r="H96" s="363"/>
      <c r="I96" s="363"/>
      <c r="J96" s="118">
        <f t="shared" si="15"/>
        <v>4</v>
      </c>
      <c r="K96" s="119">
        <f t="shared" si="16"/>
        <v>4</v>
      </c>
      <c r="L96" s="119">
        <f t="shared" si="17"/>
        <v>0</v>
      </c>
      <c r="N96" s="366"/>
      <c r="O96" s="366"/>
      <c r="P96" s="366"/>
      <c r="Q96" s="366"/>
      <c r="R96" s="366"/>
      <c r="S96" s="366"/>
      <c r="T96" s="366"/>
      <c r="U96" s="366">
        <v>4</v>
      </c>
      <c r="V96" s="366"/>
      <c r="W96" s="366"/>
      <c r="X96" s="366"/>
      <c r="Y96" s="366"/>
    </row>
    <row r="97" spans="5:25">
      <c r="E97" s="6"/>
      <c r="F97" s="305" t="s">
        <v>19</v>
      </c>
      <c r="G97" s="305" t="s">
        <v>588</v>
      </c>
      <c r="H97" s="11"/>
      <c r="I97" s="11"/>
      <c r="J97" s="118">
        <f t="shared" si="15"/>
        <v>8</v>
      </c>
      <c r="K97" s="119">
        <f t="shared" si="16"/>
        <v>8</v>
      </c>
      <c r="L97" s="119">
        <f t="shared" si="17"/>
        <v>0</v>
      </c>
      <c r="M97" s="373"/>
      <c r="N97" s="24"/>
      <c r="O97" s="24"/>
      <c r="P97" s="24"/>
      <c r="Q97" s="24"/>
      <c r="R97" s="24"/>
      <c r="S97" s="24"/>
      <c r="T97" s="24"/>
      <c r="U97" s="24">
        <v>8</v>
      </c>
      <c r="V97" s="24"/>
      <c r="W97" s="24"/>
      <c r="X97" s="24"/>
      <c r="Y97" s="24"/>
    </row>
    <row r="99" spans="5:25">
      <c r="E99" s="191" t="s">
        <v>320</v>
      </c>
      <c r="F99" s="216">
        <v>46204</v>
      </c>
      <c r="G99" s="192">
        <v>445</v>
      </c>
      <c r="H99" s="271" t="s">
        <v>321</v>
      </c>
    </row>
    <row r="100" spans="5:25">
      <c r="E100" s="195" t="s">
        <v>578</v>
      </c>
      <c r="F100" s="217"/>
      <c r="G100" s="196">
        <v>294</v>
      </c>
      <c r="H100" s="271" t="s">
        <v>321</v>
      </c>
    </row>
    <row r="101" spans="5:25">
      <c r="E101" s="195" t="s">
        <v>579</v>
      </c>
      <c r="F101" s="217"/>
      <c r="G101" s="196">
        <v>185</v>
      </c>
      <c r="H101" s="271" t="s">
        <v>321</v>
      </c>
    </row>
    <row r="102" spans="5:25">
      <c r="E102" s="191" t="s">
        <v>320</v>
      </c>
      <c r="F102" s="216">
        <v>46234</v>
      </c>
      <c r="G102" s="192">
        <f>G99+G100-G101</f>
        <v>554</v>
      </c>
      <c r="H102" s="271" t="s">
        <v>321</v>
      </c>
    </row>
    <row r="103" spans="5:25">
      <c r="E103" s="195"/>
      <c r="F103" s="217"/>
      <c r="G103" s="196"/>
      <c r="H103" s="271"/>
    </row>
    <row r="104" spans="5:25">
      <c r="E104" s="191"/>
      <c r="F104" s="216"/>
      <c r="G104" s="192"/>
      <c r="H104" s="271"/>
    </row>
    <row r="106" spans="5:25">
      <c r="E106" s="446" t="s">
        <v>531</v>
      </c>
      <c r="F106" s="447"/>
      <c r="G106" s="447"/>
      <c r="H106" s="447"/>
    </row>
    <row r="107" spans="5:25">
      <c r="E107" s="219" t="s">
        <v>550</v>
      </c>
      <c r="F107" s="219"/>
      <c r="G107" s="202"/>
      <c r="H107" s="219" t="s">
        <v>325</v>
      </c>
    </row>
    <row r="108" spans="5:25">
      <c r="E108" s="416"/>
      <c r="F108" s="202"/>
      <c r="G108" s="202"/>
      <c r="H108" s="408"/>
    </row>
    <row r="109" spans="5:25">
      <c r="E109" s="418" t="s">
        <v>378</v>
      </c>
      <c r="F109" s="202"/>
      <c r="G109" s="202"/>
      <c r="H109" s="408">
        <v>7.9931766250000003</v>
      </c>
    </row>
    <row r="110" spans="5:25">
      <c r="E110" s="415" t="s">
        <v>494</v>
      </c>
      <c r="F110" s="202"/>
      <c r="G110" s="202"/>
      <c r="H110" s="408">
        <v>21.267503073</v>
      </c>
    </row>
    <row r="111" spans="5:25">
      <c r="E111" s="416" t="s">
        <v>256</v>
      </c>
      <c r="F111" s="202"/>
      <c r="G111" s="202"/>
      <c r="H111" s="408">
        <v>8.248621623</v>
      </c>
    </row>
    <row r="112" spans="5:25">
      <c r="E112" s="416"/>
      <c r="F112" s="202"/>
      <c r="G112" s="202"/>
      <c r="H112" s="417"/>
    </row>
    <row r="113" spans="5:9">
      <c r="E113" s="410"/>
      <c r="F113" s="202"/>
      <c r="G113" s="202"/>
      <c r="H113" s="408"/>
    </row>
    <row r="114" spans="5:9">
      <c r="E114" s="356" t="s">
        <v>344</v>
      </c>
      <c r="F114" s="202"/>
      <c r="G114" s="202"/>
      <c r="H114" s="408">
        <f>SUM(H108:H113)</f>
        <v>37.509301321000002</v>
      </c>
    </row>
    <row r="115" spans="5:9">
      <c r="E115" s="227"/>
      <c r="F115" s="278"/>
      <c r="G115" s="227"/>
      <c r="H115" s="280"/>
      <c r="I115" s="280"/>
    </row>
    <row r="116" spans="5:9">
      <c r="E116" s="151"/>
      <c r="F116" s="257"/>
      <c r="G116" s="151"/>
      <c r="H116" s="280"/>
      <c r="I116" s="280"/>
    </row>
    <row r="117" spans="5:9">
      <c r="E117" s="151" t="s">
        <v>330</v>
      </c>
      <c r="F117" s="151"/>
      <c r="G117" s="283">
        <f>'W31'!J19</f>
        <v>3178.6204239619988</v>
      </c>
      <c r="H117" s="280"/>
      <c r="I117" s="280"/>
    </row>
    <row r="118" spans="5:9">
      <c r="E118" s="151" t="s">
        <v>331</v>
      </c>
      <c r="F118" s="151"/>
      <c r="G118" s="283">
        <f>H114</f>
        <v>37.509301321000002</v>
      </c>
      <c r="H118" s="280"/>
      <c r="I118" s="280"/>
    </row>
    <row r="119" spans="5:9">
      <c r="E119" s="151" t="s">
        <v>332</v>
      </c>
      <c r="F119" s="151"/>
      <c r="G119" s="283">
        <f>J12</f>
        <v>106</v>
      </c>
      <c r="H119" s="280"/>
      <c r="I119" s="280"/>
    </row>
    <row r="120" spans="5:9">
      <c r="E120" s="151" t="s">
        <v>333</v>
      </c>
      <c r="F120" s="151"/>
      <c r="G120" s="283">
        <f>G117+G118-G119</f>
        <v>3110.1297252829986</v>
      </c>
      <c r="H120" s="280"/>
      <c r="I120" s="280"/>
    </row>
    <row r="121" spans="5:9">
      <c r="E121" s="151" t="s">
        <v>334</v>
      </c>
      <c r="F121" s="151"/>
      <c r="G121" s="283">
        <f>J19</f>
        <v>3035.6394778579997</v>
      </c>
      <c r="H121" s="280"/>
      <c r="I121" s="280"/>
    </row>
    <row r="122" spans="5:9">
      <c r="E122" s="151" t="s">
        <v>335</v>
      </c>
      <c r="F122" s="151"/>
      <c r="G122" s="284">
        <f>G121-G120</f>
        <v>-74.49024742499887</v>
      </c>
      <c r="H122" s="280"/>
      <c r="I122" s="280"/>
    </row>
    <row r="123" spans="5:9">
      <c r="E123" s="151"/>
      <c r="F123" s="257"/>
      <c r="G123" s="151"/>
      <c r="H123" s="280"/>
      <c r="I123" s="280"/>
    </row>
    <row r="124" spans="5:9">
      <c r="E124" s="227"/>
      <c r="F124" s="278"/>
      <c r="G124" s="227"/>
      <c r="H124" s="280"/>
      <c r="I124" s="280"/>
    </row>
    <row r="125" spans="5:9">
      <c r="E125" s="227"/>
      <c r="F125" s="278"/>
      <c r="G125" s="227"/>
      <c r="H125" s="280"/>
      <c r="I125" s="280"/>
    </row>
    <row r="126" spans="5:9">
      <c r="E126" s="227"/>
      <c r="F126" s="278"/>
      <c r="G126" s="227"/>
      <c r="H126" s="280"/>
      <c r="I126" s="280"/>
    </row>
    <row r="127" spans="5:9">
      <c r="E127" s="227"/>
      <c r="F127" s="278"/>
      <c r="G127" s="227"/>
      <c r="H127" s="280"/>
      <c r="I127" s="280"/>
    </row>
    <row r="128" spans="5:9">
      <c r="E128" s="227"/>
      <c r="F128" s="278"/>
      <c r="G128" s="227"/>
      <c r="H128" s="280"/>
      <c r="I128" s="280"/>
    </row>
  </sheetData>
  <sheetProtection formatCells="0" formatColumns="0" formatRows="0" insertRows="0" deleteRows="0" autoFilter="0"/>
  <autoFilter ref="E23:AL242" xr:uid="{00000000-0009-0000-0000-000022000000}"/>
  <mergeCells count="2">
    <mergeCell ref="I4:J4"/>
    <mergeCell ref="E106:H106"/>
  </mergeCells>
  <phoneticPr fontId="40"/>
  <dataValidations count="2">
    <dataValidation type="list" allowBlank="1" showInputMessage="1" showErrorMessage="1" sqref="G2" xr:uid="{00000000-0002-0000-2200-000000000000}">
      <formula1>SOCIETE</formula1>
    </dataValidation>
    <dataValidation type="list" allowBlank="1" showInputMessage="1" showErrorMessage="1" sqref="F107 F24:F97" xr:uid="{E3D46E91-B0AF-456D-9D9D-4E7F76BE39BA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7:G122" unlockedFormula="1"/>
  </ignoredError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36">
    <tabColor theme="4" tint="-0.499984740745262"/>
    <pageSetUpPr fitToPage="1"/>
  </sheetPr>
  <dimension ref="D1:AL125"/>
  <sheetViews>
    <sheetView showGridLines="0" topLeftCell="F1" zoomScale="70" zoomScaleNormal="70" workbookViewId="0">
      <selection activeCell="J12" sqref="J1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235" customWidth="1"/>
    <col min="9" max="9" width="17.28515625" style="235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206"/>
      <c r="I1" s="206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207"/>
      <c r="I2" s="231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206"/>
      <c r="I3" s="206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133</v>
      </c>
      <c r="H4" s="206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206"/>
      <c r="I5" s="207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August</v>
      </c>
      <c r="H6" s="206"/>
      <c r="I6" s="206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206"/>
      <c r="I7" s="206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269" t="s">
        <v>220</v>
      </c>
      <c r="I8" s="206"/>
      <c r="J8" s="166" t="str">
        <f>+G6&amp;" Turnover"</f>
        <v>August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270" t="str">
        <f>+"from January 1 until end of "&amp;G4</f>
        <v>from January 1 until end of W33</v>
      </c>
      <c r="I9" s="206"/>
      <c r="J9" s="161" t="str">
        <f>+"from "&amp;G6&amp;" 1 until end of "&amp;G4</f>
        <v>from August 1 until end of W33</v>
      </c>
      <c r="K9" s="79"/>
      <c r="L9" s="167" t="str">
        <f>+G6</f>
        <v>August</v>
      </c>
      <c r="M9" s="80"/>
      <c r="N9" s="80"/>
      <c r="O9" s="172" t="str">
        <f>+G4</f>
        <v>W33</v>
      </c>
      <c r="P9" s="173" t="str">
        <f>+VLOOKUP(G4, parameters!$G$9:$I$61,3,0)</f>
        <v>W32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19">
        <f>600+320+797+430+396+688+856+J10</f>
        <v>4311</v>
      </c>
      <c r="I10" s="206"/>
      <c r="J10" s="159">
        <v>224</v>
      </c>
      <c r="L10" s="159">
        <f>U17+J10</f>
        <v>862.71232252099992</v>
      </c>
      <c r="N10" s="55"/>
      <c r="O10" s="170">
        <f>+H10+K17</f>
        <v>7225.9621630760003</v>
      </c>
      <c r="P10" s="171" cm="1">
        <f t="array" aca="1" ref="P10" ca="1">INDIRECT(ADDRESS(10,15,,,VLOOKUP($G$4,parameters!$G:$I,3,0)))</f>
        <v>7195.8961181649993</v>
      </c>
      <c r="Q10" s="183">
        <f ca="1">O10-P10</f>
        <v>30.066044911000972</v>
      </c>
      <c r="R10" s="86"/>
    </row>
    <row r="11" spans="5:38" ht="20.45" customHeight="1">
      <c r="E11" s="87" t="s">
        <v>224</v>
      </c>
      <c r="F11" s="88"/>
      <c r="G11" s="89"/>
      <c r="H11" s="420">
        <f>13+8+3+3+2+14+119+J11</f>
        <v>165</v>
      </c>
      <c r="I11" s="206"/>
      <c r="J11" s="16">
        <v>3</v>
      </c>
      <c r="L11" s="159">
        <f>U18+J11</f>
        <v>3</v>
      </c>
      <c r="N11" s="55"/>
      <c r="O11" s="152">
        <f>+H11+K18</f>
        <v>194.743359693</v>
      </c>
      <c r="P11" s="153" cm="1">
        <f t="array" aca="1" ref="P11" ca="1">INDIRECT(ADDRESS(11,15,,,VLOOKUP($G$4,parameters!$G:$I,3,0)))</f>
        <v>194.743359693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421">
        <f>SUM(H10:H11)</f>
        <v>4476</v>
      </c>
      <c r="I12" s="423"/>
      <c r="J12" s="126">
        <f>SUM(J10:J11)</f>
        <v>227</v>
      </c>
      <c r="K12" s="65"/>
      <c r="L12" s="126">
        <f>SUM(L10:L11)</f>
        <v>865.71232252099992</v>
      </c>
      <c r="M12" s="65"/>
      <c r="N12" s="65"/>
      <c r="O12" s="154">
        <f>SUM(O10:O11)</f>
        <v>7420.7055227689998</v>
      </c>
      <c r="P12" s="155">
        <f ca="1">SUM(P10:P11)</f>
        <v>7390.6394778579997</v>
      </c>
      <c r="Q12" s="156">
        <f t="shared" ca="1" si="0"/>
        <v>30.066044911000063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206"/>
      <c r="I13" s="206"/>
      <c r="J13" s="61"/>
      <c r="N13" s="55"/>
      <c r="W13" s="60"/>
      <c r="X13" s="60"/>
    </row>
    <row r="14" spans="5:38" ht="4.1500000000000004" customHeight="1">
      <c r="E14" s="71"/>
      <c r="G14" s="61"/>
      <c r="H14" s="206"/>
      <c r="I14" s="206"/>
      <c r="J14" s="61"/>
      <c r="N14" s="55"/>
      <c r="W14" s="60"/>
      <c r="X14" s="60"/>
    </row>
    <row r="15" spans="5:38" ht="3.6" customHeight="1">
      <c r="G15" s="61"/>
      <c r="H15" s="206"/>
      <c r="I15" s="206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206"/>
      <c r="I16" s="206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212"/>
      <c r="I17" s="212"/>
      <c r="J17" s="108">
        <f>+SUMIF($F$24:$F$95,"External",$J$24:$J$95)</f>
        <v>2914.9621630760003</v>
      </c>
      <c r="K17" s="108">
        <f>+SUMIF($F$24:$F$95,"External",$K$24:$K$95)</f>
        <v>2914.9621630760003</v>
      </c>
      <c r="L17" s="109">
        <f>+SUMIF($F$24:$F$95,"External",$L$24:$L$95)</f>
        <v>0</v>
      </c>
      <c r="M17" s="110"/>
      <c r="N17" s="111">
        <f t="shared" ref="N17:Y17" si="1">+SUMIF($F$24:$F$95,"External",N$24:N$95)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638.71232252099992</v>
      </c>
      <c r="V17" s="111">
        <f t="shared" si="1"/>
        <v>1624.089325447</v>
      </c>
      <c r="W17" s="111">
        <f t="shared" si="1"/>
        <v>239.23703194799998</v>
      </c>
      <c r="X17" s="111">
        <f t="shared" si="1"/>
        <v>333.65245576000007</v>
      </c>
      <c r="Y17" s="111">
        <f t="shared" si="1"/>
        <v>79.271027399999994</v>
      </c>
      <c r="Z17" s="112"/>
      <c r="AA17" s="111">
        <f t="shared" ref="AA17:AL17" si="2">+SUMIF($F$24:$F$95,"External",AA$24:AA$95)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213"/>
      <c r="I18" s="213"/>
      <c r="J18" s="113">
        <f>+SUMIF($F$24:$F$95,"Group",$J$24:$J$95)</f>
        <v>29.743359692999999</v>
      </c>
      <c r="K18" s="113">
        <f>+SUMIF($F$24:$F$95,"Group",$K$24:$K$95)</f>
        <v>29.743359692999999</v>
      </c>
      <c r="L18" s="114">
        <f>SUMIF($F$24:$F$95,"Group",$L$24:$L$95)</f>
        <v>0</v>
      </c>
      <c r="M18" s="110"/>
      <c r="N18" s="114">
        <f t="shared" ref="N18:Y18" si="3">+SUMIF($F$24:$F$95,"Group",N$24:N$95)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29.743359692999999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+SUMIF($F$24:$F$95,"Group",AA$24:AA$95)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214"/>
      <c r="I19" s="214"/>
      <c r="J19" s="115">
        <f>SUM(J17:J18)</f>
        <v>2944.7055227690003</v>
      </c>
      <c r="K19" s="115">
        <f>SUM(K17:K18)</f>
        <v>2944.7055227690003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638.71232252099992</v>
      </c>
      <c r="V19" s="116">
        <f t="shared" si="5"/>
        <v>1624.089325447</v>
      </c>
      <c r="W19" s="116">
        <f t="shared" si="5"/>
        <v>268.98039164099998</v>
      </c>
      <c r="X19" s="116">
        <f t="shared" si="5"/>
        <v>333.65245576000007</v>
      </c>
      <c r="Y19" s="116">
        <f t="shared" si="5"/>
        <v>79.271027399999994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215"/>
      <c r="I20" s="215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215"/>
      <c r="I21" s="215" t="s">
        <v>231</v>
      </c>
      <c r="J21" s="25" t="str">
        <f>IF(SUM(J24:J95)=J19,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215"/>
      <c r="I22" s="215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532</v>
      </c>
      <c r="F24" s="7" t="s">
        <v>19</v>
      </c>
      <c r="G24" s="6" t="s">
        <v>494</v>
      </c>
      <c r="H24" s="187" t="s">
        <v>299</v>
      </c>
      <c r="I24" s="187" t="s">
        <v>466</v>
      </c>
      <c r="J24" s="118">
        <f t="shared" ref="J24" si="7">+K24+L24</f>
        <v>15.297677649000001</v>
      </c>
      <c r="K24" s="119">
        <f t="shared" ref="K24" si="8">SUM(N24:Y24)</f>
        <v>15.297677649000001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>
        <v>15.297677649000001</v>
      </c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557</v>
      </c>
      <c r="F25" s="6" t="s">
        <v>19</v>
      </c>
      <c r="G25" s="6" t="s">
        <v>561</v>
      </c>
      <c r="H25" s="6" t="s">
        <v>559</v>
      </c>
      <c r="I25" s="6" t="s">
        <v>472</v>
      </c>
      <c r="J25" s="118">
        <f t="shared" ref="J25:J89" si="10">+K25+L25</f>
        <v>0</v>
      </c>
      <c r="K25" s="119">
        <f t="shared" ref="K25:K89" si="11">SUM(N25:Y25)</f>
        <v>0</v>
      </c>
      <c r="L25" s="119">
        <f t="shared" ref="L25:L82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>
        <v>0</v>
      </c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468</v>
      </c>
      <c r="F26" s="6" t="s">
        <v>19</v>
      </c>
      <c r="G26" s="6" t="s">
        <v>239</v>
      </c>
      <c r="H26" s="6" t="s">
        <v>278</v>
      </c>
      <c r="I26" s="6" t="s">
        <v>466</v>
      </c>
      <c r="J26" s="118">
        <f t="shared" si="10"/>
        <v>6.4492737049999995</v>
      </c>
      <c r="K26" s="119">
        <f t="shared" si="11"/>
        <v>6.4492737049999995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>
        <v>4.7944134859999998</v>
      </c>
      <c r="X26" s="24">
        <v>1.6548602190000001</v>
      </c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469</v>
      </c>
      <c r="F27" s="6" t="s">
        <v>19</v>
      </c>
      <c r="G27" s="6" t="s">
        <v>237</v>
      </c>
      <c r="H27" s="6" t="s">
        <v>277</v>
      </c>
      <c r="I27" s="6" t="s">
        <v>466</v>
      </c>
      <c r="J27" s="118">
        <f t="shared" si="10"/>
        <v>13.386228027</v>
      </c>
      <c r="K27" s="119">
        <f t="shared" si="11"/>
        <v>13.386228027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13.386228027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573</v>
      </c>
      <c r="F28" s="6" t="s">
        <v>19</v>
      </c>
      <c r="G28" s="6" t="s">
        <v>561</v>
      </c>
      <c r="H28" s="6" t="s">
        <v>559</v>
      </c>
      <c r="I28" s="6" t="s">
        <v>472</v>
      </c>
      <c r="J28" s="118">
        <f t="shared" si="10"/>
        <v>92.379652743000008</v>
      </c>
      <c r="K28" s="119">
        <f t="shared" si="11"/>
        <v>92.379652743000008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>
        <v>92.379652743000008</v>
      </c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576</v>
      </c>
      <c r="F29" s="6" t="s">
        <v>19</v>
      </c>
      <c r="G29" s="6" t="s">
        <v>494</v>
      </c>
      <c r="H29" s="6" t="s">
        <v>299</v>
      </c>
      <c r="I29" s="6" t="s">
        <v>466</v>
      </c>
      <c r="J29" s="118">
        <f t="shared" si="10"/>
        <v>3.3580268009999998</v>
      </c>
      <c r="K29" s="119">
        <f t="shared" si="11"/>
        <v>3.3580268009999998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>
        <v>3.3580268009999998</v>
      </c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571</v>
      </c>
      <c r="F30" s="6" t="s">
        <v>19</v>
      </c>
      <c r="G30" s="6" t="s">
        <v>529</v>
      </c>
      <c r="H30" s="6" t="s">
        <v>530</v>
      </c>
      <c r="I30" s="6" t="s">
        <v>472</v>
      </c>
      <c r="J30" s="118">
        <f t="shared" si="10"/>
        <v>331.13333089999998</v>
      </c>
      <c r="K30" s="119">
        <f t="shared" si="11"/>
        <v>331.13333089999998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>
        <v>331.13333089999998</v>
      </c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470</v>
      </c>
      <c r="F31" s="6" t="s">
        <v>19</v>
      </c>
      <c r="G31" s="6" t="s">
        <v>279</v>
      </c>
      <c r="H31" s="6" t="s">
        <v>280</v>
      </c>
      <c r="I31" s="6" t="s">
        <v>472</v>
      </c>
      <c r="J31" s="118">
        <f t="shared" si="10"/>
        <v>190.44402513600005</v>
      </c>
      <c r="K31" s="119">
        <f t="shared" si="11"/>
        <v>190.44402513600005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>
        <v>160.27932112900004</v>
      </c>
      <c r="W31" s="24"/>
      <c r="X31" s="24">
        <v>30.164704007000001</v>
      </c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281</v>
      </c>
      <c r="F32" s="6" t="s">
        <v>19</v>
      </c>
      <c r="G32" s="6" t="s">
        <v>282</v>
      </c>
      <c r="H32" s="6" t="s">
        <v>283</v>
      </c>
      <c r="I32" s="6" t="s">
        <v>466</v>
      </c>
      <c r="J32" s="118">
        <f t="shared" si="10"/>
        <v>0.69174142800000005</v>
      </c>
      <c r="K32" s="119">
        <f t="shared" si="11"/>
        <v>0.69174142800000005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>
        <v>0.69174142800000005</v>
      </c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281</v>
      </c>
      <c r="F33" s="6" t="s">
        <v>19</v>
      </c>
      <c r="G33" s="6" t="s">
        <v>282</v>
      </c>
      <c r="H33" s="6" t="s">
        <v>283</v>
      </c>
      <c r="I33" s="6" t="s">
        <v>472</v>
      </c>
      <c r="J33" s="118">
        <f t="shared" si="10"/>
        <v>23.295192104999998</v>
      </c>
      <c r="K33" s="119">
        <f t="shared" si="11"/>
        <v>23.295192104999998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>
        <v>23.295192104999998</v>
      </c>
      <c r="W33" s="24"/>
      <c r="X33" s="24"/>
      <c r="Y33" s="24"/>
    </row>
    <row r="34" spans="5:25">
      <c r="E34" s="6" t="s">
        <v>446</v>
      </c>
      <c r="F34" s="6" t="s">
        <v>19</v>
      </c>
      <c r="G34" s="6" t="s">
        <v>493</v>
      </c>
      <c r="H34" s="6" t="s">
        <v>339</v>
      </c>
      <c r="I34" s="6" t="s">
        <v>472</v>
      </c>
      <c r="J34" s="118">
        <f t="shared" si="10"/>
        <v>0.62711191399999999</v>
      </c>
      <c r="K34" s="119">
        <f t="shared" si="11"/>
        <v>0.62711191399999999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>
        <v>0.62711191399999999</v>
      </c>
      <c r="V34" s="24"/>
      <c r="W34" s="24"/>
      <c r="X34" s="24"/>
      <c r="Y34" s="24"/>
    </row>
    <row r="35" spans="5:25">
      <c r="E35" s="6" t="s">
        <v>473</v>
      </c>
      <c r="F35" s="6" t="s">
        <v>17</v>
      </c>
      <c r="G35" s="6" t="s">
        <v>493</v>
      </c>
      <c r="H35" s="6" t="s">
        <v>339</v>
      </c>
      <c r="I35" s="6" t="s">
        <v>472</v>
      </c>
      <c r="J35" s="118">
        <f t="shared" si="10"/>
        <v>29.743359692999999</v>
      </c>
      <c r="K35" s="119">
        <f t="shared" si="11"/>
        <v>29.743359692999999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>
        <v>29.743359692999999</v>
      </c>
      <c r="X35" s="24"/>
      <c r="Y35" s="24"/>
    </row>
    <row r="36" spans="5:25">
      <c r="E36" s="6" t="s">
        <v>474</v>
      </c>
      <c r="F36" s="6" t="s">
        <v>19</v>
      </c>
      <c r="G36" s="6" t="s">
        <v>279</v>
      </c>
      <c r="H36" s="6" t="s">
        <v>280</v>
      </c>
      <c r="I36" s="6" t="s">
        <v>472</v>
      </c>
      <c r="J36" s="118">
        <f t="shared" si="10"/>
        <v>114.986673357</v>
      </c>
      <c r="K36" s="119">
        <f t="shared" si="11"/>
        <v>114.986673357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114.986673357</v>
      </c>
      <c r="W36" s="24"/>
      <c r="X36" s="24"/>
      <c r="Y36" s="24"/>
    </row>
    <row r="37" spans="5:25">
      <c r="E37" s="6" t="s">
        <v>475</v>
      </c>
      <c r="F37" s="6" t="s">
        <v>19</v>
      </c>
      <c r="G37" s="6" t="s">
        <v>245</v>
      </c>
      <c r="H37" s="6" t="s">
        <v>288</v>
      </c>
      <c r="I37" s="6" t="s">
        <v>466</v>
      </c>
      <c r="J37" s="118">
        <f t="shared" si="10"/>
        <v>5.0478331880000002</v>
      </c>
      <c r="K37" s="119">
        <f t="shared" si="11"/>
        <v>5.0478331880000002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>
        <v>5.0478331880000002</v>
      </c>
      <c r="W37" s="24"/>
      <c r="X37" s="24"/>
      <c r="Y37" s="24"/>
    </row>
    <row r="38" spans="5:25">
      <c r="E38" s="6" t="s">
        <v>476</v>
      </c>
      <c r="F38" s="6" t="s">
        <v>19</v>
      </c>
      <c r="G38" s="6" t="s">
        <v>247</v>
      </c>
      <c r="H38" s="6" t="s">
        <v>289</v>
      </c>
      <c r="I38" s="6" t="s">
        <v>466</v>
      </c>
      <c r="J38" s="118">
        <f t="shared" si="10"/>
        <v>100.90221474199987</v>
      </c>
      <c r="K38" s="119">
        <f t="shared" si="11"/>
        <v>100.90221474199987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>
        <v>2.0475500000000001E-2</v>
      </c>
      <c r="V38" s="24">
        <v>55.146059241999886</v>
      </c>
      <c r="W38" s="24">
        <v>11.99428</v>
      </c>
      <c r="X38" s="24">
        <v>7.1178600000000003</v>
      </c>
      <c r="Y38" s="24">
        <v>26.623539999999998</v>
      </c>
    </row>
    <row r="39" spans="5:25">
      <c r="E39" s="6" t="s">
        <v>476</v>
      </c>
      <c r="F39" s="6" t="s">
        <v>19</v>
      </c>
      <c r="G39" s="6" t="s">
        <v>379</v>
      </c>
      <c r="H39" s="6" t="s">
        <v>291</v>
      </c>
      <c r="I39" s="6" t="s">
        <v>466</v>
      </c>
      <c r="J39" s="118">
        <f t="shared" si="10"/>
        <v>110.96803592099999</v>
      </c>
      <c r="K39" s="119">
        <f t="shared" si="11"/>
        <v>110.96803592099999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>
        <v>5.1599972119999995</v>
      </c>
      <c r="V39" s="24">
        <v>59.760378708999994</v>
      </c>
      <c r="W39" s="24">
        <v>23.023830000000004</v>
      </c>
      <c r="X39" s="24">
        <v>13.010380000000001</v>
      </c>
      <c r="Y39" s="24">
        <v>10.013450000000001</v>
      </c>
    </row>
    <row r="40" spans="5:25">
      <c r="E40" s="6" t="s">
        <v>476</v>
      </c>
      <c r="F40" s="6" t="s">
        <v>19</v>
      </c>
      <c r="G40" s="6" t="s">
        <v>454</v>
      </c>
      <c r="H40" s="6" t="s">
        <v>292</v>
      </c>
      <c r="I40" s="6" t="s">
        <v>466</v>
      </c>
      <c r="J40" s="118">
        <f t="shared" si="10"/>
        <v>64.419606239000004</v>
      </c>
      <c r="K40" s="119">
        <f t="shared" si="11"/>
        <v>64.419606239000004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>
        <v>1.337245639</v>
      </c>
      <c r="V40" s="24">
        <v>7.2454200000000002</v>
      </c>
      <c r="W40" s="24">
        <v>41.3461006</v>
      </c>
      <c r="X40" s="24">
        <v>7.2454200000000002</v>
      </c>
      <c r="Y40" s="24">
        <v>7.2454200000000002</v>
      </c>
    </row>
    <row r="41" spans="5:25">
      <c r="E41" s="6" t="s">
        <v>476</v>
      </c>
      <c r="F41" s="6" t="s">
        <v>19</v>
      </c>
      <c r="G41" s="6" t="s">
        <v>293</v>
      </c>
      <c r="H41" s="6" t="s">
        <v>294</v>
      </c>
      <c r="I41" s="6" t="s">
        <v>466</v>
      </c>
      <c r="J41" s="118">
        <f t="shared" si="10"/>
        <v>4.0488577299999999</v>
      </c>
      <c r="K41" s="119">
        <f t="shared" si="11"/>
        <v>4.0488577299999999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>
        <v>7.1962499999999999E-2</v>
      </c>
      <c r="V41" s="24">
        <v>1.2269229999999999E-2</v>
      </c>
      <c r="W41" s="24"/>
      <c r="X41" s="24">
        <v>1.982313</v>
      </c>
      <c r="Y41" s="24">
        <v>1.982313</v>
      </c>
    </row>
    <row r="42" spans="5:25">
      <c r="E42" s="6" t="s">
        <v>476</v>
      </c>
      <c r="F42" s="6" t="s">
        <v>19</v>
      </c>
      <c r="G42" s="6" t="s">
        <v>447</v>
      </c>
      <c r="H42" s="6" t="s">
        <v>448</v>
      </c>
      <c r="I42" s="6" t="s">
        <v>466</v>
      </c>
      <c r="J42" s="118">
        <f t="shared" si="10"/>
        <v>73.667482051999997</v>
      </c>
      <c r="K42" s="119">
        <f t="shared" si="11"/>
        <v>73.667482051999997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>
        <v>3.2224467000000003</v>
      </c>
      <c r="V42" s="24">
        <v>45.985913351999997</v>
      </c>
      <c r="W42" s="24">
        <v>4.8918244</v>
      </c>
      <c r="X42" s="24">
        <v>14.675473199999999</v>
      </c>
      <c r="Y42" s="24">
        <v>4.8918244</v>
      </c>
    </row>
    <row r="43" spans="5:25">
      <c r="E43" s="6" t="s">
        <v>476</v>
      </c>
      <c r="F43" s="6" t="s">
        <v>19</v>
      </c>
      <c r="G43" s="6" t="s">
        <v>252</v>
      </c>
      <c r="H43" s="6" t="s">
        <v>295</v>
      </c>
      <c r="I43" s="6" t="s">
        <v>466</v>
      </c>
      <c r="J43" s="118">
        <f t="shared" si="10"/>
        <v>5.4126866230000008</v>
      </c>
      <c r="K43" s="119">
        <f t="shared" si="11"/>
        <v>5.4126866230000008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>
        <v>5.4126866230000008</v>
      </c>
      <c r="V43" s="24"/>
      <c r="W43" s="24"/>
      <c r="X43" s="24"/>
      <c r="Y43" s="24"/>
    </row>
    <row r="44" spans="5:25">
      <c r="E44" s="6" t="s">
        <v>476</v>
      </c>
      <c r="F44" s="6" t="s">
        <v>19</v>
      </c>
      <c r="G44" s="6" t="s">
        <v>245</v>
      </c>
      <c r="H44" s="6" t="s">
        <v>288</v>
      </c>
      <c r="I44" s="6" t="s">
        <v>466</v>
      </c>
      <c r="J44" s="118">
        <f t="shared" si="10"/>
        <v>16.318321397000002</v>
      </c>
      <c r="K44" s="119">
        <f t="shared" si="11"/>
        <v>16.318321397000002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>
        <v>14.676543322000001</v>
      </c>
      <c r="V44" s="24">
        <v>1.6417780750000002</v>
      </c>
      <c r="W44" s="24"/>
      <c r="X44" s="24"/>
      <c r="Y44" s="24"/>
    </row>
    <row r="45" spans="5:25">
      <c r="E45" s="6" t="s">
        <v>476</v>
      </c>
      <c r="F45" s="6" t="s">
        <v>19</v>
      </c>
      <c r="G45" s="6" t="s">
        <v>378</v>
      </c>
      <c r="H45" s="6" t="s">
        <v>290</v>
      </c>
      <c r="I45" s="6" t="s">
        <v>466</v>
      </c>
      <c r="J45" s="118">
        <f t="shared" si="10"/>
        <v>107.236254394</v>
      </c>
      <c r="K45" s="119">
        <f t="shared" si="11"/>
        <v>107.236254394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>
        <v>21.057503425</v>
      </c>
      <c r="V45" s="24">
        <v>31.787076368999994</v>
      </c>
      <c r="W45" s="24">
        <v>15.184264599999999</v>
      </c>
      <c r="X45" s="24">
        <v>10.69293</v>
      </c>
      <c r="Y45" s="24">
        <v>28.514479999999995</v>
      </c>
    </row>
    <row r="46" spans="5:25">
      <c r="E46" s="6" t="s">
        <v>476</v>
      </c>
      <c r="F46" s="6" t="s">
        <v>19</v>
      </c>
      <c r="G46" s="6" t="s">
        <v>508</v>
      </c>
      <c r="H46" s="6" t="s">
        <v>319</v>
      </c>
      <c r="I46" s="6" t="s">
        <v>466</v>
      </c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>
        <v>0</v>
      </c>
      <c r="V46" s="24"/>
      <c r="W46" s="24"/>
      <c r="X46" s="24"/>
      <c r="Y46" s="24"/>
    </row>
    <row r="47" spans="5:25">
      <c r="E47" s="6" t="s">
        <v>477</v>
      </c>
      <c r="F47" s="6" t="s">
        <v>19</v>
      </c>
      <c r="G47" s="6" t="s">
        <v>454</v>
      </c>
      <c r="H47" s="6" t="s">
        <v>292</v>
      </c>
      <c r="I47" s="6" t="s">
        <v>466</v>
      </c>
      <c r="J47" s="118">
        <f t="shared" si="10"/>
        <v>10.006058019999999</v>
      </c>
      <c r="K47" s="119">
        <f t="shared" si="11"/>
        <v>10.006058019999999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10.006058019999999</v>
      </c>
      <c r="W47" s="24"/>
      <c r="X47" s="24"/>
      <c r="Y47" s="24"/>
    </row>
    <row r="48" spans="5:25">
      <c r="E48" s="6" t="s">
        <v>478</v>
      </c>
      <c r="F48" s="6" t="s">
        <v>19</v>
      </c>
      <c r="G48" s="6" t="s">
        <v>245</v>
      </c>
      <c r="H48" s="6" t="s">
        <v>288</v>
      </c>
      <c r="I48" s="6" t="s">
        <v>466</v>
      </c>
      <c r="J48" s="118">
        <f t="shared" si="10"/>
        <v>61.835956552999995</v>
      </c>
      <c r="K48" s="119">
        <f t="shared" si="11"/>
        <v>61.835956552999995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v>61.835956552999995</v>
      </c>
      <c r="W48" s="24"/>
      <c r="X48" s="24"/>
      <c r="Y48" s="24"/>
    </row>
    <row r="49" spans="5:25">
      <c r="E49" s="6" t="s">
        <v>414</v>
      </c>
      <c r="F49" s="6" t="s">
        <v>19</v>
      </c>
      <c r="G49" s="6" t="s">
        <v>245</v>
      </c>
      <c r="H49" s="6" t="s">
        <v>288</v>
      </c>
      <c r="I49" s="6" t="s">
        <v>466</v>
      </c>
      <c r="J49" s="118">
        <f t="shared" si="10"/>
        <v>58.404625406000008</v>
      </c>
      <c r="K49" s="119">
        <f t="shared" si="11"/>
        <v>58.404625406000008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>
        <v>58.404625406000008</v>
      </c>
      <c r="W49" s="24"/>
      <c r="X49" s="24"/>
      <c r="Y49" s="24"/>
    </row>
    <row r="50" spans="5:25">
      <c r="E50" s="6" t="s">
        <v>479</v>
      </c>
      <c r="F50" s="6" t="s">
        <v>19</v>
      </c>
      <c r="G50" s="6" t="s">
        <v>494</v>
      </c>
      <c r="H50" s="6" t="s">
        <v>299</v>
      </c>
      <c r="I50" s="6" t="s">
        <v>466</v>
      </c>
      <c r="J50" s="118">
        <f t="shared" si="10"/>
        <v>6.7440701700000005</v>
      </c>
      <c r="K50" s="119">
        <f t="shared" si="11"/>
        <v>6.7440701700000005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>
        <v>6.7440701700000005</v>
      </c>
      <c r="V50" s="24"/>
      <c r="W50" s="24"/>
      <c r="X50" s="24"/>
      <c r="Y50" s="24"/>
    </row>
    <row r="51" spans="5:25">
      <c r="E51" s="6" t="s">
        <v>450</v>
      </c>
      <c r="F51" s="6" t="s">
        <v>19</v>
      </c>
      <c r="G51" s="6" t="s">
        <v>282</v>
      </c>
      <c r="H51" s="6" t="s">
        <v>283</v>
      </c>
      <c r="I51" s="6" t="s">
        <v>466</v>
      </c>
      <c r="J51" s="118">
        <f t="shared" si="10"/>
        <v>2.0409973299999997</v>
      </c>
      <c r="K51" s="119">
        <f t="shared" si="11"/>
        <v>2.0409973299999997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>
        <v>0.93951063000000001</v>
      </c>
      <c r="V51" s="24">
        <v>0.1625413</v>
      </c>
      <c r="W51" s="24"/>
      <c r="X51" s="24">
        <v>0.93894539999999993</v>
      </c>
      <c r="Y51" s="24"/>
    </row>
    <row r="52" spans="5:25">
      <c r="E52" s="6" t="s">
        <v>450</v>
      </c>
      <c r="F52" s="6" t="s">
        <v>19</v>
      </c>
      <c r="G52" s="6" t="s">
        <v>282</v>
      </c>
      <c r="H52" s="6" t="s">
        <v>283</v>
      </c>
      <c r="I52" s="6" t="s">
        <v>472</v>
      </c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>
        <v>0</v>
      </c>
      <c r="W52" s="24"/>
      <c r="X52" s="24"/>
      <c r="Y52" s="24"/>
    </row>
    <row r="53" spans="5:25">
      <c r="E53" s="6" t="s">
        <v>450</v>
      </c>
      <c r="F53" s="6" t="s">
        <v>19</v>
      </c>
      <c r="G53" s="6" t="s">
        <v>500</v>
      </c>
      <c r="H53" s="6" t="s">
        <v>305</v>
      </c>
      <c r="I53" s="6" t="s">
        <v>466</v>
      </c>
      <c r="J53" s="118">
        <f t="shared" si="10"/>
        <v>3.3595952690000002</v>
      </c>
      <c r="K53" s="119">
        <f t="shared" si="11"/>
        <v>3.3595952690000002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>
        <v>3.1510189200000003</v>
      </c>
      <c r="V53" s="24">
        <v>0.20857634899999999</v>
      </c>
      <c r="W53" s="24"/>
      <c r="X53" s="24"/>
      <c r="Y53" s="24"/>
    </row>
    <row r="54" spans="5:25">
      <c r="E54" s="6" t="s">
        <v>450</v>
      </c>
      <c r="F54" s="6" t="s">
        <v>19</v>
      </c>
      <c r="G54" s="6" t="s">
        <v>500</v>
      </c>
      <c r="H54" s="6" t="s">
        <v>305</v>
      </c>
      <c r="I54" s="6" t="s">
        <v>472</v>
      </c>
      <c r="J54" s="118">
        <f t="shared" si="10"/>
        <v>44.34677489500001</v>
      </c>
      <c r="K54" s="119">
        <f t="shared" si="11"/>
        <v>44.34677489500001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>
        <v>16.673765806000002</v>
      </c>
      <c r="V54" s="24">
        <v>16.455694588000007</v>
      </c>
      <c r="W54" s="24">
        <v>0.52466878099999992</v>
      </c>
      <c r="X54" s="24">
        <v>10.69264572</v>
      </c>
      <c r="Y54" s="24"/>
    </row>
    <row r="55" spans="5:25">
      <c r="E55" s="6" t="s">
        <v>450</v>
      </c>
      <c r="F55" s="6" t="s">
        <v>19</v>
      </c>
      <c r="G55" s="6" t="s">
        <v>256</v>
      </c>
      <c r="H55" s="6" t="s">
        <v>303</v>
      </c>
      <c r="I55" s="6" t="s">
        <v>466</v>
      </c>
      <c r="J55" s="118">
        <f t="shared" si="10"/>
        <v>184.10455279200013</v>
      </c>
      <c r="K55" s="119">
        <f t="shared" si="11"/>
        <v>184.10455279200013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>
        <v>2.6101764000000012</v>
      </c>
      <c r="V55" s="24">
        <v>165.57997375900015</v>
      </c>
      <c r="W55" s="24">
        <v>15.914402632999991</v>
      </c>
      <c r="X55" s="24"/>
      <c r="Y55" s="24"/>
    </row>
    <row r="56" spans="5:25">
      <c r="E56" s="6" t="s">
        <v>450</v>
      </c>
      <c r="F56" s="6" t="s">
        <v>19</v>
      </c>
      <c r="G56" s="6" t="s">
        <v>237</v>
      </c>
      <c r="H56" s="6" t="s">
        <v>277</v>
      </c>
      <c r="I56" s="6" t="s">
        <v>472</v>
      </c>
      <c r="J56" s="118">
        <f t="shared" si="10"/>
        <v>10.246294899999999</v>
      </c>
      <c r="K56" s="119">
        <f t="shared" si="11"/>
        <v>10.246294899999999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>
        <v>10.246294899999999</v>
      </c>
      <c r="W56" s="24"/>
      <c r="X56" s="24"/>
      <c r="Y56" s="24"/>
    </row>
    <row r="57" spans="5:25">
      <c r="E57" s="6" t="s">
        <v>572</v>
      </c>
      <c r="F57" s="6" t="s">
        <v>19</v>
      </c>
      <c r="G57" s="6" t="s">
        <v>441</v>
      </c>
      <c r="H57" s="6" t="s">
        <v>481</v>
      </c>
      <c r="I57" s="6" t="s">
        <v>466</v>
      </c>
      <c r="J57" s="118">
        <f t="shared" si="10"/>
        <v>279.14263113999982</v>
      </c>
      <c r="K57" s="119">
        <f t="shared" si="11"/>
        <v>279.14263113999982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>
        <v>193.33074806999986</v>
      </c>
      <c r="V57" s="24">
        <v>82.353041589999975</v>
      </c>
      <c r="W57" s="24">
        <v>3.4588414799999998</v>
      </c>
      <c r="X57" s="24"/>
      <c r="Y57" s="24"/>
    </row>
    <row r="58" spans="5:25">
      <c r="E58" s="6" t="s">
        <v>482</v>
      </c>
      <c r="F58" s="6" t="s">
        <v>19</v>
      </c>
      <c r="G58" s="6" t="s">
        <v>258</v>
      </c>
      <c r="H58" s="6" t="s">
        <v>306</v>
      </c>
      <c r="I58" s="6" t="s">
        <v>466</v>
      </c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>
        <v>0</v>
      </c>
      <c r="W58" s="24"/>
      <c r="X58" s="24"/>
      <c r="Y58" s="24"/>
    </row>
    <row r="59" spans="5:25">
      <c r="E59" s="6" t="s">
        <v>509</v>
      </c>
      <c r="F59" s="6" t="s">
        <v>19</v>
      </c>
      <c r="G59" s="6" t="s">
        <v>447</v>
      </c>
      <c r="H59" s="6" t="s">
        <v>448</v>
      </c>
      <c r="I59" s="6" t="s">
        <v>466</v>
      </c>
      <c r="J59" s="118">
        <f t="shared" si="10"/>
        <v>1.3839165</v>
      </c>
      <c r="K59" s="119">
        <f t="shared" si="11"/>
        <v>1.3839165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>
        <v>1.3839165</v>
      </c>
      <c r="V59" s="24"/>
      <c r="W59" s="24"/>
      <c r="X59" s="24"/>
      <c r="Y59" s="24"/>
    </row>
    <row r="60" spans="5:25">
      <c r="E60" s="6" t="s">
        <v>569</v>
      </c>
      <c r="F60" s="6" t="s">
        <v>19</v>
      </c>
      <c r="G60" s="6" t="s">
        <v>447</v>
      </c>
      <c r="H60" s="6" t="s">
        <v>448</v>
      </c>
      <c r="I60" s="6" t="s">
        <v>466</v>
      </c>
      <c r="J60" s="118">
        <f t="shared" si="10"/>
        <v>1.0213622</v>
      </c>
      <c r="K60" s="119">
        <f t="shared" si="11"/>
        <v>1.0213622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>
        <v>1.0213622</v>
      </c>
      <c r="W60" s="24"/>
      <c r="X60" s="24"/>
      <c r="Y60" s="24"/>
    </row>
    <row r="61" spans="5:25">
      <c r="E61" s="6" t="s">
        <v>569</v>
      </c>
      <c r="F61" s="6" t="s">
        <v>19</v>
      </c>
      <c r="G61" s="6" t="s">
        <v>378</v>
      </c>
      <c r="H61" s="6" t="s">
        <v>290</v>
      </c>
      <c r="I61" s="6" t="s">
        <v>466</v>
      </c>
      <c r="J61" s="118">
        <f t="shared" si="10"/>
        <v>34.208617799999999</v>
      </c>
      <c r="K61" s="119">
        <f t="shared" si="11"/>
        <v>34.208617799999999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>
        <v>34.208617799999999</v>
      </c>
      <c r="W61" s="24"/>
      <c r="X61" s="24"/>
      <c r="Y61" s="24"/>
    </row>
    <row r="62" spans="5:25">
      <c r="E62" s="6" t="s">
        <v>483</v>
      </c>
      <c r="F62" s="6" t="s">
        <v>19</v>
      </c>
      <c r="G62" s="6" t="s">
        <v>258</v>
      </c>
      <c r="H62" s="6" t="s">
        <v>306</v>
      </c>
      <c r="I62" s="6" t="s">
        <v>466</v>
      </c>
      <c r="J62" s="118">
        <f t="shared" si="10"/>
        <v>33.390968588</v>
      </c>
      <c r="K62" s="119">
        <f t="shared" si="11"/>
        <v>33.390968588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>
        <v>4.6508454009999998</v>
      </c>
      <c r="V62" s="24">
        <v>24.048985333999997</v>
      </c>
      <c r="W62" s="24">
        <v>4.6911378529999999</v>
      </c>
      <c r="X62" s="24"/>
      <c r="Y62" s="24"/>
    </row>
    <row r="63" spans="5:25">
      <c r="E63" s="6" t="s">
        <v>484</v>
      </c>
      <c r="F63" s="6" t="s">
        <v>19</v>
      </c>
      <c r="G63" s="6" t="s">
        <v>503</v>
      </c>
      <c r="H63" s="6" t="s">
        <v>311</v>
      </c>
      <c r="I63" s="6" t="s">
        <v>472</v>
      </c>
      <c r="J63" s="118">
        <f t="shared" si="10"/>
        <v>1.173521574</v>
      </c>
      <c r="K63" s="119">
        <f t="shared" si="11"/>
        <v>1.173521574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>
        <v>1.173521574</v>
      </c>
      <c r="Y63" s="24"/>
    </row>
    <row r="64" spans="5:25">
      <c r="E64" s="6" t="s">
        <v>484</v>
      </c>
      <c r="F64" s="6" t="s">
        <v>19</v>
      </c>
      <c r="G64" s="6" t="s">
        <v>500</v>
      </c>
      <c r="H64" s="6" t="s">
        <v>305</v>
      </c>
      <c r="I64" s="6" t="s">
        <v>472</v>
      </c>
      <c r="J64" s="118">
        <f t="shared" si="10"/>
        <v>53.278013522000002</v>
      </c>
      <c r="K64" s="119">
        <f t="shared" si="11"/>
        <v>53.278013522000002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>
        <v>53.278013522000002</v>
      </c>
      <c r="Y64" s="24"/>
    </row>
    <row r="65" spans="5:25">
      <c r="E65" s="6" t="s">
        <v>484</v>
      </c>
      <c r="F65" s="6" t="s">
        <v>19</v>
      </c>
      <c r="G65" s="6" t="s">
        <v>370</v>
      </c>
      <c r="H65" s="6" t="s">
        <v>308</v>
      </c>
      <c r="I65" s="6" t="s">
        <v>472</v>
      </c>
      <c r="J65" s="118">
        <f t="shared" si="10"/>
        <v>29.382537231999997</v>
      </c>
      <c r="K65" s="119">
        <f t="shared" si="11"/>
        <v>29.382537231999997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>
        <v>29.382537231999997</v>
      </c>
      <c r="Y65" s="24"/>
    </row>
    <row r="66" spans="5:25">
      <c r="E66" s="6" t="s">
        <v>484</v>
      </c>
      <c r="F66" s="6" t="s">
        <v>19</v>
      </c>
      <c r="G66" s="6" t="s">
        <v>264</v>
      </c>
      <c r="H66" s="6" t="s">
        <v>310</v>
      </c>
      <c r="I66" s="6" t="s">
        <v>472</v>
      </c>
      <c r="J66" s="118">
        <f t="shared" si="10"/>
        <v>0.44208771600000002</v>
      </c>
      <c r="K66" s="119">
        <f t="shared" si="11"/>
        <v>0.44208771600000002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>
        <v>0.33190336400000003</v>
      </c>
      <c r="W66" s="24"/>
      <c r="X66" s="24">
        <v>0.110184352</v>
      </c>
      <c r="Y66" s="24"/>
    </row>
    <row r="67" spans="5:25">
      <c r="E67" s="6" t="s">
        <v>484</v>
      </c>
      <c r="F67" s="6" t="s">
        <v>19</v>
      </c>
      <c r="G67" s="6" t="s">
        <v>454</v>
      </c>
      <c r="H67" s="6" t="s">
        <v>292</v>
      </c>
      <c r="I67" s="6" t="s">
        <v>472</v>
      </c>
      <c r="J67" s="118">
        <f t="shared" si="10"/>
        <v>7.5711713750000005</v>
      </c>
      <c r="K67" s="119">
        <f t="shared" si="11"/>
        <v>7.5711713750000005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>
        <v>7.5711713750000005</v>
      </c>
      <c r="Y67" s="24"/>
    </row>
    <row r="68" spans="5:25">
      <c r="E68" s="6" t="s">
        <v>451</v>
      </c>
      <c r="F68" s="6" t="s">
        <v>19</v>
      </c>
      <c r="G68" s="6" t="s">
        <v>504</v>
      </c>
      <c r="H68" s="6" t="s">
        <v>307</v>
      </c>
      <c r="I68" s="6" t="s">
        <v>466</v>
      </c>
      <c r="J68" s="118">
        <f t="shared" si="10"/>
        <v>11.206827364</v>
      </c>
      <c r="K68" s="119">
        <f t="shared" si="11"/>
        <v>11.206827364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>
        <v>11.206827364</v>
      </c>
      <c r="V68" s="24"/>
      <c r="W68" s="24"/>
      <c r="X68" s="24"/>
      <c r="Y68" s="24"/>
    </row>
    <row r="69" spans="5:25">
      <c r="E69" s="6" t="s">
        <v>451</v>
      </c>
      <c r="F69" s="6" t="s">
        <v>19</v>
      </c>
      <c r="G69" s="6" t="s">
        <v>370</v>
      </c>
      <c r="H69" s="6" t="s">
        <v>308</v>
      </c>
      <c r="I69" s="6" t="s">
        <v>466</v>
      </c>
      <c r="J69" s="118">
        <f t="shared" si="10"/>
        <v>2.1636036089999999</v>
      </c>
      <c r="K69" s="119">
        <f t="shared" si="11"/>
        <v>2.1636036089999999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>
        <v>2.1636036089999999</v>
      </c>
      <c r="V69" s="24"/>
      <c r="W69" s="24"/>
      <c r="X69" s="24"/>
      <c r="Y69" s="24"/>
    </row>
    <row r="70" spans="5:25">
      <c r="E70" s="6" t="s">
        <v>451</v>
      </c>
      <c r="F70" s="6" t="s">
        <v>19</v>
      </c>
      <c r="G70" s="6" t="s">
        <v>370</v>
      </c>
      <c r="H70" s="6" t="s">
        <v>308</v>
      </c>
      <c r="I70" s="6" t="s">
        <v>472</v>
      </c>
      <c r="J70" s="118">
        <f t="shared" si="10"/>
        <v>1.192590007</v>
      </c>
      <c r="K70" s="119">
        <f t="shared" si="11"/>
        <v>1.192590007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>
        <v>1.192590007</v>
      </c>
      <c r="W70" s="24"/>
      <c r="X70" s="24"/>
      <c r="Y70" s="24"/>
    </row>
    <row r="71" spans="5:25">
      <c r="E71" s="6" t="s">
        <v>577</v>
      </c>
      <c r="F71" s="6" t="s">
        <v>19</v>
      </c>
      <c r="G71" s="6" t="s">
        <v>500</v>
      </c>
      <c r="H71" s="6" t="s">
        <v>305</v>
      </c>
      <c r="I71" s="6" t="s">
        <v>472</v>
      </c>
      <c r="J71" s="118">
        <f t="shared" si="10"/>
        <v>19.768845337000002</v>
      </c>
      <c r="K71" s="119">
        <f t="shared" si="11"/>
        <v>19.768845337000002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>
        <v>19.768845337000002</v>
      </c>
      <c r="W71" s="24"/>
      <c r="X71" s="24"/>
      <c r="Y71" s="24"/>
    </row>
    <row r="72" spans="5:25">
      <c r="E72" s="6" t="s">
        <v>533</v>
      </c>
      <c r="F72" s="6" t="s">
        <v>19</v>
      </c>
      <c r="G72" s="6" t="s">
        <v>494</v>
      </c>
      <c r="H72" s="6" t="s">
        <v>299</v>
      </c>
      <c r="I72" s="6" t="s">
        <v>466</v>
      </c>
      <c r="J72" s="118">
        <f t="shared" si="10"/>
        <v>2.6117986230000003</v>
      </c>
      <c r="K72" s="119">
        <f t="shared" si="11"/>
        <v>2.6117986230000003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>
        <v>2.6117986230000003</v>
      </c>
      <c r="V72" s="24"/>
      <c r="W72" s="24"/>
      <c r="X72" s="24"/>
      <c r="Y72" s="24"/>
    </row>
    <row r="73" spans="5:25">
      <c r="E73" s="6" t="s">
        <v>485</v>
      </c>
      <c r="F73" s="6" t="s">
        <v>19</v>
      </c>
      <c r="G73" s="6" t="s">
        <v>529</v>
      </c>
      <c r="H73" s="6" t="s">
        <v>530</v>
      </c>
      <c r="I73" s="6" t="s">
        <v>472</v>
      </c>
      <c r="J73" s="118">
        <f t="shared" si="10"/>
        <v>18.610925000000002</v>
      </c>
      <c r="K73" s="119">
        <f t="shared" si="11"/>
        <v>18.610925000000002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>
        <v>18.610925000000002</v>
      </c>
      <c r="W73" s="24"/>
      <c r="X73" s="24"/>
      <c r="Y73" s="24"/>
    </row>
    <row r="74" spans="5:25">
      <c r="E74" s="6" t="s">
        <v>589</v>
      </c>
      <c r="F74" s="6" t="s">
        <v>19</v>
      </c>
      <c r="G74" s="6" t="s">
        <v>282</v>
      </c>
      <c r="H74" s="6" t="s">
        <v>283</v>
      </c>
      <c r="I74" s="6" t="s">
        <v>466</v>
      </c>
      <c r="J74" s="118">
        <f t="shared" si="10"/>
        <v>1.9666872719999999</v>
      </c>
      <c r="K74" s="119">
        <f t="shared" si="11"/>
        <v>1.9666872719999999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/>
      <c r="W74" s="24">
        <v>1.9666872719999999</v>
      </c>
      <c r="X74" s="24"/>
      <c r="Y74" s="24"/>
    </row>
    <row r="75" spans="5:25">
      <c r="E75" s="6" t="s">
        <v>589</v>
      </c>
      <c r="F75" s="6" t="s">
        <v>19</v>
      </c>
      <c r="G75" s="6" t="s">
        <v>379</v>
      </c>
      <c r="H75" s="6" t="s">
        <v>291</v>
      </c>
      <c r="I75" s="6" t="s">
        <v>466</v>
      </c>
      <c r="J75" s="118">
        <f t="shared" si="10"/>
        <v>1.5587086999999999E-2</v>
      </c>
      <c r="K75" s="119">
        <f t="shared" si="11"/>
        <v>1.5587086999999999E-2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>
        <v>1.5587086999999999E-2</v>
      </c>
      <c r="V75" s="24"/>
      <c r="W75" s="24"/>
      <c r="X75" s="24"/>
      <c r="Y75" s="24"/>
    </row>
    <row r="76" spans="5:25">
      <c r="E76" s="6" t="s">
        <v>268</v>
      </c>
      <c r="F76" s="6" t="s">
        <v>19</v>
      </c>
      <c r="G76" s="6" t="s">
        <v>374</v>
      </c>
      <c r="H76" s="6" t="s">
        <v>317</v>
      </c>
      <c r="I76" s="6" t="s">
        <v>466</v>
      </c>
      <c r="J76" s="118">
        <f t="shared" si="10"/>
        <v>4.9339237030000005</v>
      </c>
      <c r="K76" s="119">
        <f t="shared" si="11"/>
        <v>4.9339237030000005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>
        <v>4.9339237030000005</v>
      </c>
      <c r="V76" s="24"/>
      <c r="W76" s="24"/>
      <c r="X76" s="24"/>
      <c r="Y76" s="24"/>
    </row>
    <row r="77" spans="5:25">
      <c r="E77" s="6" t="s">
        <v>270</v>
      </c>
      <c r="F77" s="6" t="s">
        <v>19</v>
      </c>
      <c r="G77" s="6" t="s">
        <v>441</v>
      </c>
      <c r="H77" s="6" t="s">
        <v>481</v>
      </c>
      <c r="I77" s="6" t="s">
        <v>466</v>
      </c>
      <c r="J77" s="118">
        <f t="shared" si="10"/>
        <v>43.922865000000002</v>
      </c>
      <c r="K77" s="119">
        <f t="shared" si="11"/>
        <v>43.922865000000002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>
        <v>1.4039999999999999</v>
      </c>
      <c r="V77" s="24">
        <v>29.763205500000005</v>
      </c>
      <c r="W77" s="24">
        <v>12.7556595</v>
      </c>
      <c r="X77" s="24"/>
      <c r="Y77" s="24"/>
    </row>
    <row r="78" spans="5:25">
      <c r="E78" s="6" t="s">
        <v>270</v>
      </c>
      <c r="F78" s="6" t="s">
        <v>19</v>
      </c>
      <c r="G78" s="6" t="s">
        <v>374</v>
      </c>
      <c r="H78" s="6" t="s">
        <v>317</v>
      </c>
      <c r="I78" s="6" t="s">
        <v>466</v>
      </c>
      <c r="J78" s="118">
        <f t="shared" si="10"/>
        <v>10.027582382</v>
      </c>
      <c r="K78" s="119">
        <f t="shared" si="11"/>
        <v>10.027582382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>
        <v>2.533659025</v>
      </c>
      <c r="V78" s="24">
        <v>1.1826547569999999</v>
      </c>
      <c r="W78" s="24">
        <v>6.3112686</v>
      </c>
      <c r="X78" s="24"/>
      <c r="Y78" s="24"/>
    </row>
    <row r="79" spans="5:25">
      <c r="E79" s="6" t="s">
        <v>570</v>
      </c>
      <c r="F79" s="6" t="s">
        <v>19</v>
      </c>
      <c r="G79" s="6" t="s">
        <v>237</v>
      </c>
      <c r="H79" s="6" t="s">
        <v>277</v>
      </c>
      <c r="I79" s="6" t="s">
        <v>466</v>
      </c>
      <c r="J79" s="118">
        <f t="shared" si="10"/>
        <v>0.42545250000000001</v>
      </c>
      <c r="K79" s="119">
        <f t="shared" si="11"/>
        <v>0.42545250000000001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>
        <v>0.42545250000000001</v>
      </c>
      <c r="V79" s="24"/>
      <c r="W79" s="24"/>
      <c r="X79" s="24"/>
      <c r="Y79" s="24"/>
    </row>
    <row r="80" spans="5:25">
      <c r="E80" s="6" t="s">
        <v>541</v>
      </c>
      <c r="F80" s="6" t="s">
        <v>19</v>
      </c>
      <c r="G80" s="6" t="s">
        <v>279</v>
      </c>
      <c r="H80" s="190" t="s">
        <v>280</v>
      </c>
      <c r="I80" s="190" t="s">
        <v>472</v>
      </c>
      <c r="J80" s="118">
        <f t="shared" si="10"/>
        <v>143.96149615900001</v>
      </c>
      <c r="K80" s="119">
        <f t="shared" si="11"/>
        <v>143.96149615900001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>
        <f>121.961496159+22</f>
        <v>143.96149615900001</v>
      </c>
      <c r="Y80" s="24"/>
    </row>
    <row r="81" spans="5:25">
      <c r="E81" s="6"/>
      <c r="F81" s="6"/>
      <c r="G81" s="6"/>
      <c r="H81" s="190"/>
      <c r="I81" s="190"/>
      <c r="J81" s="118"/>
      <c r="K81" s="119"/>
      <c r="L81" s="119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>
      <c r="E82" s="6"/>
      <c r="F82" s="305" t="s">
        <v>19</v>
      </c>
      <c r="G82" s="305" t="s">
        <v>520</v>
      </c>
      <c r="H82" s="11"/>
      <c r="I82" s="11"/>
      <c r="J82" s="118">
        <f t="shared" si="10"/>
        <v>24</v>
      </c>
      <c r="K82" s="119">
        <f t="shared" si="11"/>
        <v>24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306"/>
      <c r="V82" s="306">
        <v>24</v>
      </c>
      <c r="W82" s="24"/>
      <c r="X82" s="24"/>
      <c r="Y82" s="24"/>
    </row>
    <row r="83" spans="5:25">
      <c r="E83" s="6"/>
      <c r="F83" s="305" t="s">
        <v>19</v>
      </c>
      <c r="G83" s="305" t="s">
        <v>580</v>
      </c>
      <c r="H83" s="6"/>
      <c r="I83" s="6"/>
      <c r="J83" s="118">
        <f t="shared" si="10"/>
        <v>16</v>
      </c>
      <c r="K83" s="119">
        <f t="shared" si="11"/>
        <v>16</v>
      </c>
      <c r="L83" s="119">
        <f t="shared" ref="L83:L88" si="13">SUM(AA75:AL75)</f>
        <v>0</v>
      </c>
      <c r="N83" s="24"/>
      <c r="O83" s="24"/>
      <c r="P83" s="24"/>
      <c r="Q83" s="24"/>
      <c r="R83" s="24"/>
      <c r="S83" s="344"/>
      <c r="T83" s="306"/>
      <c r="U83" s="306"/>
      <c r="V83" s="306">
        <v>16</v>
      </c>
      <c r="W83" s="24"/>
      <c r="X83" s="24"/>
      <c r="Y83" s="24"/>
    </row>
    <row r="84" spans="5:25">
      <c r="E84" s="6"/>
      <c r="F84" s="305" t="s">
        <v>19</v>
      </c>
      <c r="G84" s="305" t="s">
        <v>555</v>
      </c>
      <c r="H84" s="6"/>
      <c r="I84" s="6"/>
      <c r="J84" s="118">
        <f t="shared" si="10"/>
        <v>7</v>
      </c>
      <c r="K84" s="119">
        <f t="shared" si="11"/>
        <v>7</v>
      </c>
      <c r="L84" s="119">
        <f t="shared" si="13"/>
        <v>0</v>
      </c>
      <c r="N84" s="24"/>
      <c r="O84" s="24"/>
      <c r="P84" s="24"/>
      <c r="Q84" s="24"/>
      <c r="R84" s="24"/>
      <c r="S84" s="344"/>
      <c r="T84" s="306"/>
      <c r="U84" s="344">
        <v>7</v>
      </c>
      <c r="V84" s="306"/>
      <c r="W84" s="24"/>
      <c r="X84" s="24"/>
      <c r="Y84" s="24"/>
    </row>
    <row r="85" spans="5:25">
      <c r="E85" s="6"/>
      <c r="F85" s="305" t="s">
        <v>19</v>
      </c>
      <c r="G85" s="305" t="s">
        <v>581</v>
      </c>
      <c r="H85" s="6"/>
      <c r="I85" s="6"/>
      <c r="J85" s="118">
        <f t="shared" si="10"/>
        <v>233</v>
      </c>
      <c r="K85" s="119">
        <f t="shared" si="11"/>
        <v>233</v>
      </c>
      <c r="L85" s="119">
        <f t="shared" si="13"/>
        <v>0</v>
      </c>
      <c r="N85" s="24"/>
      <c r="O85" s="24"/>
      <c r="P85" s="24"/>
      <c r="Q85" s="24"/>
      <c r="R85" s="24"/>
      <c r="S85" s="344"/>
      <c r="T85" s="306"/>
      <c r="U85" s="306">
        <v>233</v>
      </c>
      <c r="V85" s="306"/>
      <c r="W85" s="24"/>
      <c r="X85" s="24"/>
      <c r="Y85" s="24"/>
    </row>
    <row r="86" spans="5:25">
      <c r="E86" s="6"/>
      <c r="F86" s="305" t="s">
        <v>19</v>
      </c>
      <c r="G86" s="305" t="s">
        <v>582</v>
      </c>
      <c r="H86" s="6"/>
      <c r="I86" s="6"/>
      <c r="J86" s="118">
        <f t="shared" si="10"/>
        <v>1</v>
      </c>
      <c r="K86" s="119">
        <f t="shared" si="11"/>
        <v>1</v>
      </c>
      <c r="L86" s="119">
        <f t="shared" si="13"/>
        <v>0</v>
      </c>
      <c r="N86" s="24"/>
      <c r="O86" s="24"/>
      <c r="P86" s="24"/>
      <c r="Q86" s="24"/>
      <c r="R86" s="24"/>
      <c r="S86" s="344"/>
      <c r="T86" s="306"/>
      <c r="U86" s="306"/>
      <c r="V86" s="306">
        <v>1</v>
      </c>
      <c r="W86" s="24"/>
      <c r="X86" s="24"/>
      <c r="Y86" s="24"/>
    </row>
    <row r="87" spans="5:25">
      <c r="E87" s="6"/>
      <c r="F87" s="360" t="s">
        <v>19</v>
      </c>
      <c r="G87" s="360" t="s">
        <v>583</v>
      </c>
      <c r="H87" s="362"/>
      <c r="I87" s="362"/>
      <c r="J87" s="364">
        <f t="shared" si="10"/>
        <v>21</v>
      </c>
      <c r="K87" s="119">
        <f t="shared" si="11"/>
        <v>21</v>
      </c>
      <c r="L87" s="365">
        <f t="shared" si="13"/>
        <v>0</v>
      </c>
      <c r="N87" s="366"/>
      <c r="O87" s="366"/>
      <c r="P87" s="366"/>
      <c r="Q87" s="366"/>
      <c r="R87" s="366"/>
      <c r="S87" s="404"/>
      <c r="T87" s="404"/>
      <c r="U87" s="404">
        <v>21</v>
      </c>
      <c r="V87" s="404"/>
      <c r="W87" s="24"/>
      <c r="X87" s="24"/>
      <c r="Y87" s="24"/>
    </row>
    <row r="88" spans="5:25">
      <c r="E88" s="6"/>
      <c r="F88" s="360" t="s">
        <v>19</v>
      </c>
      <c r="G88" s="360" t="s">
        <v>584</v>
      </c>
      <c r="H88" s="11"/>
      <c r="I88" s="11"/>
      <c r="J88" s="118">
        <f t="shared" si="10"/>
        <v>35</v>
      </c>
      <c r="K88" s="119">
        <f t="shared" si="11"/>
        <v>35</v>
      </c>
      <c r="L88" s="119">
        <f t="shared" si="13"/>
        <v>0</v>
      </c>
      <c r="N88" s="24"/>
      <c r="O88" s="24"/>
      <c r="P88" s="24"/>
      <c r="Q88" s="24"/>
      <c r="R88" s="24"/>
      <c r="S88" s="24"/>
      <c r="T88" s="306"/>
      <c r="U88" s="306">
        <v>35</v>
      </c>
      <c r="V88" s="306"/>
      <c r="W88" s="24"/>
      <c r="X88" s="24"/>
      <c r="Y88" s="24"/>
    </row>
    <row r="89" spans="5:25">
      <c r="E89" s="6"/>
      <c r="F89" s="360" t="s">
        <v>19</v>
      </c>
      <c r="G89" s="360" t="s">
        <v>585</v>
      </c>
      <c r="H89" s="12"/>
      <c r="I89" s="12"/>
      <c r="J89" s="118">
        <f t="shared" si="10"/>
        <v>16</v>
      </c>
      <c r="K89" s="119">
        <f t="shared" si="11"/>
        <v>16</v>
      </c>
      <c r="L89" s="119">
        <f t="shared" ref="L89" si="14">SUM(AA82:AL82)</f>
        <v>0</v>
      </c>
      <c r="N89" s="24"/>
      <c r="O89" s="24"/>
      <c r="P89" s="24"/>
      <c r="Q89" s="24"/>
      <c r="R89" s="24"/>
      <c r="S89" s="24"/>
      <c r="T89" s="306"/>
      <c r="U89" s="306">
        <v>3</v>
      </c>
      <c r="V89" s="306">
        <v>13</v>
      </c>
      <c r="W89" s="24"/>
      <c r="X89" s="24"/>
      <c r="Y89" s="24"/>
    </row>
    <row r="90" spans="5:25">
      <c r="E90" s="6"/>
      <c r="F90" s="360" t="s">
        <v>19</v>
      </c>
      <c r="G90" s="360" t="s">
        <v>485</v>
      </c>
      <c r="H90" s="9"/>
      <c r="I90" s="9"/>
      <c r="J90" s="118">
        <f t="shared" ref="J90:J93" si="15">+K90+L90</f>
        <v>185</v>
      </c>
      <c r="K90" s="119">
        <f t="shared" ref="K90:K93" si="16">SUM(N90:Y90)</f>
        <v>185</v>
      </c>
      <c r="L90" s="119">
        <f t="shared" ref="L90:L93" si="17">SUM(AA90:AL90)</f>
        <v>0</v>
      </c>
      <c r="N90" s="24"/>
      <c r="O90" s="24"/>
      <c r="P90" s="24"/>
      <c r="Q90" s="24"/>
      <c r="R90" s="24"/>
      <c r="S90" s="24"/>
      <c r="T90" s="24"/>
      <c r="U90" s="306"/>
      <c r="V90" s="306">
        <v>185</v>
      </c>
      <c r="W90" s="24"/>
      <c r="X90" s="24"/>
      <c r="Y90" s="24"/>
    </row>
    <row r="91" spans="5:25">
      <c r="E91" s="6"/>
      <c r="F91" s="360" t="s">
        <v>19</v>
      </c>
      <c r="G91" s="360" t="s">
        <v>586</v>
      </c>
      <c r="H91" s="10"/>
      <c r="I91" s="10"/>
      <c r="J91" s="118">
        <f t="shared" si="15"/>
        <v>2</v>
      </c>
      <c r="K91" s="119">
        <f t="shared" si="16"/>
        <v>2</v>
      </c>
      <c r="L91" s="119">
        <f t="shared" si="17"/>
        <v>0</v>
      </c>
      <c r="N91" s="24"/>
      <c r="O91" s="24"/>
      <c r="P91" s="24"/>
      <c r="Q91" s="24"/>
      <c r="R91" s="24"/>
      <c r="S91" s="24"/>
      <c r="T91" s="24"/>
      <c r="U91" s="306">
        <v>2</v>
      </c>
      <c r="V91" s="306"/>
      <c r="W91" s="24"/>
      <c r="X91" s="24"/>
      <c r="Y91" s="24"/>
    </row>
    <row r="92" spans="5:25">
      <c r="E92" s="6"/>
      <c r="F92" s="360" t="s">
        <v>19</v>
      </c>
      <c r="G92" s="360" t="s">
        <v>587</v>
      </c>
      <c r="H92" s="363"/>
      <c r="I92" s="363"/>
      <c r="J92" s="118">
        <f t="shared" si="15"/>
        <v>4</v>
      </c>
      <c r="K92" s="119">
        <f t="shared" si="16"/>
        <v>4</v>
      </c>
      <c r="L92" s="119">
        <f t="shared" si="17"/>
        <v>0</v>
      </c>
      <c r="N92" s="366"/>
      <c r="O92" s="366"/>
      <c r="P92" s="366"/>
      <c r="Q92" s="366"/>
      <c r="R92" s="366"/>
      <c r="S92" s="366"/>
      <c r="T92" s="366"/>
      <c r="U92" s="404">
        <v>4</v>
      </c>
      <c r="V92" s="404"/>
      <c r="W92" s="24"/>
      <c r="X92" s="24"/>
      <c r="Y92" s="24"/>
    </row>
    <row r="93" spans="5:25">
      <c r="E93" s="13"/>
      <c r="F93" s="305" t="s">
        <v>19</v>
      </c>
      <c r="G93" s="305" t="s">
        <v>588</v>
      </c>
      <c r="H93" s="11"/>
      <c r="I93" s="11"/>
      <c r="J93" s="118">
        <f t="shared" si="15"/>
        <v>8</v>
      </c>
      <c r="K93" s="119">
        <f t="shared" si="16"/>
        <v>8</v>
      </c>
      <c r="L93" s="119">
        <f t="shared" si="17"/>
        <v>0</v>
      </c>
      <c r="M93" s="373"/>
      <c r="N93" s="24"/>
      <c r="O93" s="24"/>
      <c r="P93" s="24"/>
      <c r="Q93" s="24"/>
      <c r="R93" s="24"/>
      <c r="S93" s="24"/>
      <c r="T93" s="24"/>
      <c r="U93" s="306">
        <v>8</v>
      </c>
      <c r="V93" s="306"/>
      <c r="W93" s="24"/>
      <c r="X93" s="24"/>
      <c r="Y93" s="24"/>
    </row>
    <row r="94" spans="5:25">
      <c r="E94" s="6"/>
      <c r="F94" s="7"/>
      <c r="G94" s="6"/>
      <c r="H94" s="188"/>
      <c r="I94" s="188"/>
      <c r="J94" s="118">
        <f t="shared" ref="J94:J95" si="18">+K94+L94</f>
        <v>0</v>
      </c>
      <c r="K94" s="119">
        <f t="shared" ref="K94:K95" si="19">SUM(N94:Y94)</f>
        <v>0</v>
      </c>
      <c r="L94" s="119">
        <f t="shared" ref="L94:L95" si="20">SUM(AA94:AL94)</f>
        <v>0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5:25">
      <c r="E95" s="6"/>
      <c r="F95" s="7"/>
      <c r="G95" s="6"/>
      <c r="H95" s="188"/>
      <c r="I95" s="188"/>
      <c r="J95" s="118">
        <f t="shared" si="18"/>
        <v>0</v>
      </c>
      <c r="K95" s="119">
        <f t="shared" si="19"/>
        <v>0</v>
      </c>
      <c r="L95" s="119">
        <f t="shared" si="20"/>
        <v>0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7" spans="5:8">
      <c r="E97" s="191" t="s">
        <v>320</v>
      </c>
      <c r="F97" s="216">
        <v>46204</v>
      </c>
      <c r="G97" s="192">
        <v>445</v>
      </c>
      <c r="H97" s="271" t="s">
        <v>321</v>
      </c>
    </row>
    <row r="98" spans="5:8">
      <c r="E98" s="195" t="s">
        <v>578</v>
      </c>
      <c r="F98" s="217"/>
      <c r="G98" s="196">
        <v>294</v>
      </c>
      <c r="H98" s="271" t="s">
        <v>321</v>
      </c>
    </row>
    <row r="99" spans="5:8">
      <c r="E99" s="195" t="s">
        <v>579</v>
      </c>
      <c r="F99" s="217"/>
      <c r="G99" s="196">
        <v>185</v>
      </c>
      <c r="H99" s="271" t="s">
        <v>321</v>
      </c>
    </row>
    <row r="100" spans="5:8">
      <c r="E100" s="191" t="s">
        <v>320</v>
      </c>
      <c r="F100" s="216">
        <v>46234</v>
      </c>
      <c r="G100" s="192">
        <f>G97+G98-G99</f>
        <v>554</v>
      </c>
      <c r="H100" s="271" t="s">
        <v>321</v>
      </c>
    </row>
    <row r="101" spans="5:8">
      <c r="E101" s="195"/>
      <c r="F101" s="217"/>
      <c r="G101" s="196"/>
      <c r="H101" s="271"/>
    </row>
    <row r="102" spans="5:8">
      <c r="E102" s="191"/>
      <c r="F102" s="216"/>
      <c r="G102" s="192"/>
      <c r="H102" s="271"/>
    </row>
    <row r="106" spans="5:8">
      <c r="E106" s="446" t="s">
        <v>531</v>
      </c>
      <c r="F106" s="447"/>
      <c r="G106" s="447"/>
      <c r="H106" s="448"/>
    </row>
    <row r="107" spans="5:8">
      <c r="E107" s="219" t="s">
        <v>550</v>
      </c>
      <c r="F107" s="219"/>
      <c r="G107" s="202"/>
      <c r="H107" s="219" t="s">
        <v>325</v>
      </c>
    </row>
    <row r="108" spans="5:8">
      <c r="E108" s="416"/>
      <c r="F108" s="202"/>
      <c r="G108" s="202"/>
      <c r="H108" s="408"/>
    </row>
    <row r="109" spans="5:8">
      <c r="E109" s="422" t="s">
        <v>258</v>
      </c>
      <c r="F109" s="202"/>
      <c r="G109" s="202"/>
      <c r="H109" s="408">
        <v>5</v>
      </c>
    </row>
    <row r="110" spans="5:8">
      <c r="E110" s="415" t="s">
        <v>494</v>
      </c>
      <c r="F110" s="202"/>
      <c r="G110" s="202"/>
      <c r="H110" s="408">
        <v>7</v>
      </c>
    </row>
    <row r="111" spans="5:8">
      <c r="E111" s="416" t="s">
        <v>237</v>
      </c>
      <c r="F111" s="202"/>
      <c r="G111" s="202"/>
      <c r="H111" s="408">
        <v>15</v>
      </c>
    </row>
    <row r="112" spans="5:8">
      <c r="E112" s="416"/>
      <c r="F112" s="202"/>
      <c r="G112" s="202"/>
      <c r="H112" s="417"/>
    </row>
    <row r="113" spans="5:9">
      <c r="E113" s="410"/>
      <c r="F113" s="202"/>
      <c r="G113" s="202"/>
      <c r="H113" s="408"/>
    </row>
    <row r="114" spans="5:9">
      <c r="E114" s="356" t="s">
        <v>344</v>
      </c>
      <c r="F114" s="202"/>
      <c r="G114" s="202"/>
      <c r="H114" s="408">
        <f>SUM(H108:H113)</f>
        <v>27</v>
      </c>
    </row>
    <row r="115" spans="5:9">
      <c r="E115" s="227"/>
      <c r="F115" s="278"/>
      <c r="G115" s="227"/>
      <c r="H115" s="279"/>
      <c r="I115" s="279"/>
    </row>
    <row r="116" spans="5:9">
      <c r="E116" s="227"/>
      <c r="F116" s="278"/>
      <c r="G116" s="227"/>
      <c r="H116" s="279"/>
      <c r="I116" s="279"/>
    </row>
    <row r="117" spans="5:9">
      <c r="E117" s="151" t="s">
        <v>330</v>
      </c>
      <c r="F117" s="151"/>
      <c r="G117" s="283">
        <f>'W32'!J19</f>
        <v>3035.6394778579997</v>
      </c>
      <c r="H117" s="279"/>
      <c r="I117" s="279"/>
    </row>
    <row r="118" spans="5:9">
      <c r="E118" s="151" t="s">
        <v>331</v>
      </c>
      <c r="F118" s="151"/>
      <c r="G118" s="283">
        <f>H114</f>
        <v>27</v>
      </c>
      <c r="H118" s="279"/>
      <c r="I118" s="279"/>
    </row>
    <row r="119" spans="5:9">
      <c r="E119" s="151" t="s">
        <v>332</v>
      </c>
      <c r="F119" s="151"/>
      <c r="G119" s="283">
        <f>J12-'W32'!J12</f>
        <v>121</v>
      </c>
      <c r="H119" s="279"/>
      <c r="I119" s="279"/>
    </row>
    <row r="120" spans="5:9">
      <c r="E120" s="151" t="s">
        <v>333</v>
      </c>
      <c r="F120" s="151"/>
      <c r="G120" s="283">
        <f>G117+G118-G119</f>
        <v>2941.6394778579997</v>
      </c>
      <c r="H120" s="279"/>
      <c r="I120" s="279"/>
    </row>
    <row r="121" spans="5:9">
      <c r="E121" s="151" t="s">
        <v>334</v>
      </c>
      <c r="F121" s="151"/>
      <c r="G121" s="283">
        <f>J19</f>
        <v>2944.7055227690003</v>
      </c>
      <c r="H121" s="279"/>
      <c r="I121" s="279"/>
    </row>
    <row r="122" spans="5:9">
      <c r="E122" s="151" t="s">
        <v>335</v>
      </c>
      <c r="F122" s="151"/>
      <c r="G122" s="284">
        <f>G121-G120</f>
        <v>3.0660449110005175</v>
      </c>
      <c r="H122" s="279"/>
      <c r="I122" s="279"/>
    </row>
    <row r="123" spans="5:9">
      <c r="E123" s="151"/>
      <c r="F123" s="257"/>
      <c r="G123" s="151"/>
      <c r="H123" s="279"/>
      <c r="I123" s="279"/>
    </row>
    <row r="124" spans="5:9">
      <c r="E124" s="227"/>
      <c r="F124" s="278"/>
      <c r="G124" s="227"/>
      <c r="H124" s="279"/>
    </row>
    <row r="125" spans="5:9">
      <c r="E125" s="227"/>
      <c r="F125" s="278"/>
      <c r="G125" s="227"/>
      <c r="H125" s="279"/>
    </row>
  </sheetData>
  <sheetProtection formatCells="0" formatColumns="0" formatRows="0" insertRows="0" deleteRows="0" autoFilter="0"/>
  <autoFilter ref="E23:AL240" xr:uid="{00000000-0009-0000-0000-000023000000}"/>
  <mergeCells count="2">
    <mergeCell ref="I4:J4"/>
    <mergeCell ref="E106:H106"/>
  </mergeCells>
  <phoneticPr fontId="40"/>
  <dataValidations count="2">
    <dataValidation type="list" allowBlank="1" showInputMessage="1" showErrorMessage="1" sqref="F107 F24:F95" xr:uid="{9C544367-E43F-4612-B959-DC092119A38B}">
      <formula1>Liste</formula1>
    </dataValidation>
    <dataValidation type="list" allowBlank="1" showInputMessage="1" showErrorMessage="1" sqref="G2" xr:uid="{00000000-0002-0000-2300-000001000000}">
      <formula1>SOCIETE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7 G118:G122" unlockedFormula="1"/>
  </ignoredErrors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7">
    <tabColor theme="4" tint="-0.499984740745262"/>
    <pageSetUpPr fitToPage="1"/>
  </sheetPr>
  <dimension ref="D1:AL125"/>
  <sheetViews>
    <sheetView showGridLines="0" topLeftCell="D1" zoomScale="70" zoomScaleNormal="70" workbookViewId="0">
      <selection activeCell="E118" sqref="E118:G124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136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August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August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W34</v>
      </c>
      <c r="I9" s="61"/>
      <c r="J9" s="161" t="str">
        <f>+"from "&amp;G6&amp;" 1 until end of "&amp;G4</f>
        <v>from August 1 until end of W34</v>
      </c>
      <c r="K9" s="79"/>
      <c r="L9" s="167" t="str">
        <f>+G6</f>
        <v>August</v>
      </c>
      <c r="M9" s="80"/>
      <c r="N9" s="80"/>
      <c r="O9" s="172" t="str">
        <f>+G4</f>
        <v>W34</v>
      </c>
      <c r="P9" s="173" t="str">
        <f>+VLOOKUP(G4, parameters!$G$9:$I$61,3,0)</f>
        <v>W33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600+320+797+430+396+688+856+J10</f>
        <v>4467</v>
      </c>
      <c r="I10" s="61"/>
      <c r="J10" s="159">
        <f>388-J11</f>
        <v>380</v>
      </c>
      <c r="L10" s="159">
        <f>U17+J10</f>
        <v>944.18170605299997</v>
      </c>
      <c r="N10" s="55"/>
      <c r="O10" s="170">
        <f>+H10+K17</f>
        <v>7446.9021946020002</v>
      </c>
      <c r="P10" s="171" cm="1">
        <f t="array" aca="1" ref="P10" ca="1">INDIRECT(ADDRESS(10,15,,,VLOOKUP($G$4,parameters!$G:$I,3,0)))</f>
        <v>7225.9621630760003</v>
      </c>
      <c r="Q10" s="183">
        <f ca="1">O10-P10</f>
        <v>220.94003152599998</v>
      </c>
      <c r="R10" s="86"/>
    </row>
    <row r="11" spans="5:38" ht="20.45" customHeight="1">
      <c r="E11" s="87" t="s">
        <v>224</v>
      </c>
      <c r="F11" s="88"/>
      <c r="G11" s="89"/>
      <c r="H11" s="430">
        <f>13+8+3+3+2+14+119+J11</f>
        <v>170</v>
      </c>
      <c r="I11" s="61"/>
      <c r="J11" s="16">
        <v>8</v>
      </c>
      <c r="L11" s="159">
        <f>U18+J11</f>
        <v>8</v>
      </c>
      <c r="N11" s="55"/>
      <c r="O11" s="152">
        <f>+H11+K18</f>
        <v>250.67931550499998</v>
      </c>
      <c r="P11" s="153" cm="1">
        <f t="array" aca="1" ref="P11" ca="1">INDIRECT(ADDRESS(11,15,,,VLOOKUP($G$4,parameters!$G:$I,3,0)))</f>
        <v>194.743359693</v>
      </c>
      <c r="Q11" s="184">
        <f t="shared" ref="Q11:Q12" ca="1" si="0">O11-P11</f>
        <v>55.935955811999975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4637</v>
      </c>
      <c r="I12" s="293"/>
      <c r="J12" s="126">
        <f>SUM(J10:J11)</f>
        <v>388</v>
      </c>
      <c r="K12" s="65"/>
      <c r="L12" s="126">
        <f>SUM(L10:L11)</f>
        <v>952.18170605299997</v>
      </c>
      <c r="M12" s="65"/>
      <c r="N12" s="65"/>
      <c r="O12" s="154">
        <f>SUM(O10:O11)</f>
        <v>7697.5815101070002</v>
      </c>
      <c r="P12" s="155">
        <f ca="1">SUM(P10:P11)</f>
        <v>7420.7055227689998</v>
      </c>
      <c r="Q12" s="156">
        <f t="shared" ca="1" si="0"/>
        <v>276.87598733800041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+SUMIF($F$24:$F$89,"External",$J$24:$J$89)</f>
        <v>2979.9021946020002</v>
      </c>
      <c r="K17" s="108">
        <f>+SUMIF($F$24:$F$89,"External",$K$24:$K$89)</f>
        <v>2979.9021946020002</v>
      </c>
      <c r="L17" s="109">
        <f>+SUMIF($F$24:$F$89,"External",$L$24:$L$89)</f>
        <v>0</v>
      </c>
      <c r="M17" s="110"/>
      <c r="N17" s="111">
        <f t="shared" ref="N17:Y17" si="1">+SUMIF($F$24:$F$89,"External",N$24:N$89)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564.18170605299997</v>
      </c>
      <c r="V17" s="111">
        <f t="shared" si="1"/>
        <v>1493.6363816109999</v>
      </c>
      <c r="W17" s="111">
        <f t="shared" si="1"/>
        <v>410.8129736300001</v>
      </c>
      <c r="X17" s="111">
        <f t="shared" si="1"/>
        <v>431.30836448000008</v>
      </c>
      <c r="Y17" s="111">
        <f t="shared" si="1"/>
        <v>79.962768827999994</v>
      </c>
      <c r="Z17" s="112"/>
      <c r="AA17" s="111">
        <f t="shared" ref="AA17:AL17" si="2">+SUMIF($F$24:$F$89,"External",AA$24:AA$89)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+SUMIF($F$24:$F$89,"Group",$J$24:$J$89)</f>
        <v>80.679315504999991</v>
      </c>
      <c r="K18" s="113">
        <f>+SUMIF($F$24:$F$89,"Group",$K$24:$K$89)</f>
        <v>80.679315504999991</v>
      </c>
      <c r="L18" s="114">
        <f>SUMIF($F$24:$F$89,"Group",$L$24:$L$89)</f>
        <v>0</v>
      </c>
      <c r="M18" s="110"/>
      <c r="N18" s="114">
        <f t="shared" ref="N18:Y18" si="3">+SUMIF($F$24:$F$89,"Group",N$24:N$89)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80.679315504999991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+SUMIF($F$24:$F$89,"Group",AA$24:AA$89)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3060.5815101070002</v>
      </c>
      <c r="K19" s="115">
        <f>SUM(K17:K18)</f>
        <v>3060.5815101070002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564.18170605299997</v>
      </c>
      <c r="V19" s="116">
        <f t="shared" si="5"/>
        <v>1493.6363816109999</v>
      </c>
      <c r="W19" s="116">
        <f t="shared" si="5"/>
        <v>491.49228913500008</v>
      </c>
      <c r="X19" s="116">
        <f t="shared" si="5"/>
        <v>431.30836448000008</v>
      </c>
      <c r="Y19" s="116">
        <f t="shared" si="5"/>
        <v>79.962768827999994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IF(SUM(J24:J89)=J19,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532</v>
      </c>
      <c r="F24" s="7" t="s">
        <v>19</v>
      </c>
      <c r="G24" s="6" t="s">
        <v>494</v>
      </c>
      <c r="H24" s="187" t="s">
        <v>299</v>
      </c>
      <c r="I24" s="187" t="s">
        <v>466</v>
      </c>
      <c r="J24" s="118">
        <f t="shared" ref="J24" si="7">+K24+L24</f>
        <v>15.297677649000001</v>
      </c>
      <c r="K24" s="119">
        <f t="shared" ref="K24" si="8">SUM(N24:Y24)</f>
        <v>15.297677649000001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>
        <v>15.297677649000001</v>
      </c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 ht="15.75" customHeight="1">
      <c r="E25" s="6" t="s">
        <v>468</v>
      </c>
      <c r="F25" s="7" t="s">
        <v>19</v>
      </c>
      <c r="G25" s="6" t="s">
        <v>239</v>
      </c>
      <c r="H25" s="6" t="s">
        <v>278</v>
      </c>
      <c r="I25" s="6" t="s">
        <v>466</v>
      </c>
      <c r="J25" s="118">
        <f t="shared" ref="J25:J81" si="10">+K25+L25</f>
        <v>6.4492737049999995</v>
      </c>
      <c r="K25" s="119">
        <f t="shared" ref="K25:K81" si="11">SUM(N25:Y25)</f>
        <v>6.4492737049999995</v>
      </c>
      <c r="L25" s="119">
        <f t="shared" ref="L25:L74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>
        <v>4.7944134859999998</v>
      </c>
      <c r="X25" s="24">
        <v>1.6548602190000001</v>
      </c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>
      <c r="E26" s="6" t="s">
        <v>469</v>
      </c>
      <c r="F26" s="7" t="s">
        <v>19</v>
      </c>
      <c r="G26" s="6" t="s">
        <v>237</v>
      </c>
      <c r="H26" s="6" t="s">
        <v>277</v>
      </c>
      <c r="I26" s="6" t="s">
        <v>466</v>
      </c>
      <c r="J26" s="118">
        <f t="shared" si="10"/>
        <v>13.386228027</v>
      </c>
      <c r="K26" s="119">
        <f t="shared" si="11"/>
        <v>13.386228027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>
        <v>13.386228027</v>
      </c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573</v>
      </c>
      <c r="F27" s="7" t="s">
        <v>19</v>
      </c>
      <c r="G27" s="6" t="s">
        <v>561</v>
      </c>
      <c r="H27" s="6" t="s">
        <v>559</v>
      </c>
      <c r="I27" s="6" t="s">
        <v>472</v>
      </c>
      <c r="J27" s="118">
        <f t="shared" si="10"/>
        <v>92.379652743000008</v>
      </c>
      <c r="K27" s="119">
        <f t="shared" si="11"/>
        <v>92.379652743000008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>
        <v>92.379652743000008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576</v>
      </c>
      <c r="F28" s="7" t="s">
        <v>19</v>
      </c>
      <c r="G28" s="6" t="s">
        <v>494</v>
      </c>
      <c r="H28" s="6" t="s">
        <v>299</v>
      </c>
      <c r="I28" s="6" t="s">
        <v>466</v>
      </c>
      <c r="J28" s="118">
        <f t="shared" si="10"/>
        <v>3.3580268009999998</v>
      </c>
      <c r="K28" s="119">
        <f t="shared" si="11"/>
        <v>3.3580268009999998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>
        <v>3.3580268009999998</v>
      </c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571</v>
      </c>
      <c r="F29" s="7" t="s">
        <v>19</v>
      </c>
      <c r="G29" s="6" t="s">
        <v>529</v>
      </c>
      <c r="H29" s="6" t="s">
        <v>530</v>
      </c>
      <c r="I29" s="6" t="s">
        <v>472</v>
      </c>
      <c r="J29" s="118">
        <f t="shared" si="10"/>
        <v>331.13333089999998</v>
      </c>
      <c r="K29" s="119">
        <f t="shared" si="11"/>
        <v>331.13333089999998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>
        <v>331.13333089999998</v>
      </c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470</v>
      </c>
      <c r="F30" s="7" t="s">
        <v>19</v>
      </c>
      <c r="G30" s="6" t="s">
        <v>279</v>
      </c>
      <c r="H30" s="6" t="s">
        <v>280</v>
      </c>
      <c r="I30" s="6" t="s">
        <v>472</v>
      </c>
      <c r="J30" s="118">
        <f t="shared" si="10"/>
        <v>190.44402513600008</v>
      </c>
      <c r="K30" s="119">
        <f t="shared" si="11"/>
        <v>190.44402513600008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>
        <v>7.0585135609999998</v>
      </c>
      <c r="W30" s="24">
        <v>153.22080756800005</v>
      </c>
      <c r="X30" s="24">
        <v>30.164704007000001</v>
      </c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541</v>
      </c>
      <c r="F31" s="7" t="s">
        <v>19</v>
      </c>
      <c r="G31" s="6" t="s">
        <v>279</v>
      </c>
      <c r="H31" s="6" t="s">
        <v>280</v>
      </c>
      <c r="I31" s="6" t="s">
        <v>472</v>
      </c>
      <c r="J31" s="118">
        <f t="shared" si="10"/>
        <v>151.30458358800001</v>
      </c>
      <c r="K31" s="119">
        <f t="shared" si="11"/>
        <v>151.30458358800001</v>
      </c>
      <c r="L31" s="119">
        <f t="shared" si="12"/>
        <v>0</v>
      </c>
      <c r="M31" s="15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>
        <v>151.30458358800001</v>
      </c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281</v>
      </c>
      <c r="F32" s="7" t="s">
        <v>19</v>
      </c>
      <c r="G32" s="6" t="s">
        <v>282</v>
      </c>
      <c r="H32" s="6" t="s">
        <v>283</v>
      </c>
      <c r="I32" s="6" t="s">
        <v>466</v>
      </c>
      <c r="J32" s="118">
        <f t="shared" si="10"/>
        <v>14.074951203000007</v>
      </c>
      <c r="K32" s="119">
        <f t="shared" si="11"/>
        <v>14.074951203000007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>
        <v>13.383209775000006</v>
      </c>
      <c r="W32" s="24"/>
      <c r="X32" s="24"/>
      <c r="Y32" s="24">
        <v>0.69174142800000005</v>
      </c>
    </row>
    <row r="33" spans="5:25">
      <c r="E33" s="6" t="s">
        <v>473</v>
      </c>
      <c r="F33" s="7" t="s">
        <v>17</v>
      </c>
      <c r="G33" s="6" t="s">
        <v>493</v>
      </c>
      <c r="H33" s="6" t="s">
        <v>339</v>
      </c>
      <c r="I33" s="6" t="s">
        <v>472</v>
      </c>
      <c r="J33" s="118">
        <f t="shared" si="10"/>
        <v>80.679315504999991</v>
      </c>
      <c r="K33" s="119">
        <f t="shared" si="11"/>
        <v>80.679315504999991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80.679315504999991</v>
      </c>
      <c r="X33" s="24"/>
      <c r="Y33" s="24"/>
    </row>
    <row r="34" spans="5:25">
      <c r="E34" s="6" t="s">
        <v>474</v>
      </c>
      <c r="F34" s="7" t="s">
        <v>19</v>
      </c>
      <c r="G34" s="6" t="s">
        <v>279</v>
      </c>
      <c r="H34" s="6" t="s">
        <v>280</v>
      </c>
      <c r="I34" s="6" t="s">
        <v>472</v>
      </c>
      <c r="J34" s="118">
        <f t="shared" si="10"/>
        <v>114.986673357</v>
      </c>
      <c r="K34" s="119">
        <f t="shared" si="11"/>
        <v>114.986673357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>
        <v>114.986673357</v>
      </c>
      <c r="X34" s="24"/>
      <c r="Y34" s="24"/>
    </row>
    <row r="35" spans="5:25">
      <c r="E35" s="6" t="s">
        <v>475</v>
      </c>
      <c r="F35" s="7" t="s">
        <v>19</v>
      </c>
      <c r="G35" s="6" t="s">
        <v>245</v>
      </c>
      <c r="H35" s="6" t="s">
        <v>288</v>
      </c>
      <c r="I35" s="6" t="s">
        <v>466</v>
      </c>
      <c r="J35" s="118">
        <f t="shared" si="10"/>
        <v>5.0478331880000002</v>
      </c>
      <c r="K35" s="119">
        <f t="shared" si="11"/>
        <v>5.0478331880000002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5.0478331880000002</v>
      </c>
      <c r="W35" s="24"/>
      <c r="X35" s="24"/>
      <c r="Y35" s="24"/>
    </row>
    <row r="36" spans="5:25">
      <c r="E36" s="6" t="s">
        <v>476</v>
      </c>
      <c r="F36" s="7" t="s">
        <v>19</v>
      </c>
      <c r="G36" s="6" t="s">
        <v>247</v>
      </c>
      <c r="H36" s="6" t="s">
        <v>289</v>
      </c>
      <c r="I36" s="6" t="s">
        <v>466</v>
      </c>
      <c r="J36" s="118">
        <f t="shared" si="10"/>
        <v>101.15798397199987</v>
      </c>
      <c r="K36" s="119">
        <f t="shared" si="11"/>
        <v>101.15798397199987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>
        <v>0.27624472999999994</v>
      </c>
      <c r="V36" s="24">
        <v>55.146059241999886</v>
      </c>
      <c r="W36" s="24">
        <v>11.99428</v>
      </c>
      <c r="X36" s="24">
        <v>7.1178600000000003</v>
      </c>
      <c r="Y36" s="24">
        <v>26.623539999999998</v>
      </c>
    </row>
    <row r="37" spans="5:25">
      <c r="E37" s="6" t="s">
        <v>476</v>
      </c>
      <c r="F37" s="7" t="s">
        <v>19</v>
      </c>
      <c r="G37" s="6" t="s">
        <v>379</v>
      </c>
      <c r="H37" s="6" t="s">
        <v>291</v>
      </c>
      <c r="I37" s="6" t="s">
        <v>466</v>
      </c>
      <c r="J37" s="118">
        <f t="shared" si="10"/>
        <v>111.149371418</v>
      </c>
      <c r="K37" s="119">
        <f t="shared" si="11"/>
        <v>111.149371418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>
        <v>5.3413327089999987</v>
      </c>
      <c r="V37" s="24">
        <v>59.760378708999994</v>
      </c>
      <c r="W37" s="24">
        <v>23.023830000000004</v>
      </c>
      <c r="X37" s="24">
        <v>13.010380000000001</v>
      </c>
      <c r="Y37" s="24">
        <v>10.013450000000001</v>
      </c>
    </row>
    <row r="38" spans="5:25">
      <c r="E38" s="6" t="s">
        <v>476</v>
      </c>
      <c r="F38" s="7" t="s">
        <v>19</v>
      </c>
      <c r="G38" s="6" t="s">
        <v>454</v>
      </c>
      <c r="H38" s="6" t="s">
        <v>292</v>
      </c>
      <c r="I38" s="6" t="s">
        <v>466</v>
      </c>
      <c r="J38" s="118">
        <f t="shared" si="10"/>
        <v>64.419606239000004</v>
      </c>
      <c r="K38" s="119">
        <f t="shared" si="11"/>
        <v>64.419606239000004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>
        <v>1.3372456389999998</v>
      </c>
      <c r="V38" s="24">
        <v>7.2454200000000002</v>
      </c>
      <c r="W38" s="24">
        <v>41.3461006</v>
      </c>
      <c r="X38" s="24">
        <v>7.2454200000000002</v>
      </c>
      <c r="Y38" s="24">
        <v>7.2454200000000002</v>
      </c>
    </row>
    <row r="39" spans="5:25">
      <c r="E39" s="6" t="s">
        <v>476</v>
      </c>
      <c r="F39" s="7" t="s">
        <v>19</v>
      </c>
      <c r="G39" s="6" t="s">
        <v>293</v>
      </c>
      <c r="H39" s="6" t="s">
        <v>294</v>
      </c>
      <c r="I39" s="6" t="s">
        <v>466</v>
      </c>
      <c r="J39" s="118">
        <f t="shared" si="10"/>
        <v>4.0365885000000006</v>
      </c>
      <c r="K39" s="119">
        <f t="shared" si="11"/>
        <v>4.0365885000000006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>
        <v>7.1962499999999999E-2</v>
      </c>
      <c r="V39" s="24"/>
      <c r="W39" s="24"/>
      <c r="X39" s="24">
        <v>1.982313</v>
      </c>
      <c r="Y39" s="24">
        <v>1.982313</v>
      </c>
    </row>
    <row r="40" spans="5:25">
      <c r="E40" s="6" t="s">
        <v>476</v>
      </c>
      <c r="F40" s="7" t="s">
        <v>19</v>
      </c>
      <c r="G40" s="6" t="s">
        <v>447</v>
      </c>
      <c r="H40" s="6" t="s">
        <v>448</v>
      </c>
      <c r="I40" s="6" t="s">
        <v>466</v>
      </c>
      <c r="J40" s="118">
        <f t="shared" si="10"/>
        <v>73.667482051999997</v>
      </c>
      <c r="K40" s="119">
        <f t="shared" si="11"/>
        <v>73.667482051999997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>
        <v>3.2224467000000003</v>
      </c>
      <c r="V40" s="24">
        <v>45.985913351999997</v>
      </c>
      <c r="W40" s="24">
        <v>4.8918244</v>
      </c>
      <c r="X40" s="24">
        <v>14.675473199999999</v>
      </c>
      <c r="Y40" s="24">
        <v>4.8918244</v>
      </c>
    </row>
    <row r="41" spans="5:25">
      <c r="E41" s="6" t="s">
        <v>476</v>
      </c>
      <c r="F41" s="7" t="s">
        <v>19</v>
      </c>
      <c r="G41" s="6" t="s">
        <v>252</v>
      </c>
      <c r="H41" s="6" t="s">
        <v>295</v>
      </c>
      <c r="I41" s="6" t="s">
        <v>466</v>
      </c>
      <c r="J41" s="118">
        <f t="shared" si="10"/>
        <v>5.370076623000001</v>
      </c>
      <c r="K41" s="119">
        <f t="shared" si="11"/>
        <v>5.370076623000001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>
        <v>5.370076623000001</v>
      </c>
      <c r="V41" s="24"/>
      <c r="W41" s="24"/>
      <c r="X41" s="24"/>
      <c r="Y41" s="24"/>
    </row>
    <row r="42" spans="5:25">
      <c r="E42" s="6" t="s">
        <v>476</v>
      </c>
      <c r="F42" s="7" t="s">
        <v>19</v>
      </c>
      <c r="G42" s="6" t="s">
        <v>245</v>
      </c>
      <c r="H42" s="6" t="s">
        <v>288</v>
      </c>
      <c r="I42" s="6" t="s">
        <v>466</v>
      </c>
      <c r="J42" s="118">
        <f t="shared" si="10"/>
        <v>16.255356680000002</v>
      </c>
      <c r="K42" s="119">
        <f t="shared" si="11"/>
        <v>16.255356680000002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>
        <v>14.676543322000001</v>
      </c>
      <c r="V42" s="24">
        <v>1.5788133580000001</v>
      </c>
      <c r="W42" s="24"/>
      <c r="X42" s="24"/>
      <c r="Y42" s="24"/>
    </row>
    <row r="43" spans="5:25">
      <c r="E43" s="6" t="s">
        <v>476</v>
      </c>
      <c r="F43" s="7" t="s">
        <v>19</v>
      </c>
      <c r="G43" s="6" t="s">
        <v>378</v>
      </c>
      <c r="H43" s="6" t="s">
        <v>290</v>
      </c>
      <c r="I43" s="6" t="s">
        <v>466</v>
      </c>
      <c r="J43" s="118">
        <f t="shared" si="10"/>
        <v>107.236254394</v>
      </c>
      <c r="K43" s="119">
        <f t="shared" si="11"/>
        <v>107.236254394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>
        <v>21.057503425</v>
      </c>
      <c r="V43" s="24">
        <v>31.787076368999994</v>
      </c>
      <c r="W43" s="24">
        <v>15.184264599999999</v>
      </c>
      <c r="X43" s="24">
        <v>10.69293</v>
      </c>
      <c r="Y43" s="24">
        <v>28.514479999999995</v>
      </c>
    </row>
    <row r="44" spans="5:25">
      <c r="E44" s="6" t="s">
        <v>478</v>
      </c>
      <c r="F44" s="7" t="s">
        <v>19</v>
      </c>
      <c r="G44" s="6" t="s">
        <v>245</v>
      </c>
      <c r="H44" s="6" t="s">
        <v>288</v>
      </c>
      <c r="I44" s="6" t="s">
        <v>466</v>
      </c>
      <c r="J44" s="118">
        <f t="shared" si="10"/>
        <v>61.835956552999995</v>
      </c>
      <c r="K44" s="119">
        <f t="shared" si="11"/>
        <v>61.835956552999995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61.835956552999995</v>
      </c>
      <c r="W44" s="24"/>
      <c r="X44" s="24"/>
      <c r="Y44" s="24"/>
    </row>
    <row r="45" spans="5:25">
      <c r="E45" s="6" t="s">
        <v>414</v>
      </c>
      <c r="F45" s="7" t="s">
        <v>19</v>
      </c>
      <c r="G45" s="6" t="s">
        <v>245</v>
      </c>
      <c r="H45" s="6" t="s">
        <v>288</v>
      </c>
      <c r="I45" s="6" t="s">
        <v>466</v>
      </c>
      <c r="J45" s="118">
        <f t="shared" si="10"/>
        <v>58.404625406000008</v>
      </c>
      <c r="K45" s="119">
        <f t="shared" si="11"/>
        <v>58.404625406000008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58.404625406000008</v>
      </c>
      <c r="W45" s="24"/>
      <c r="X45" s="24"/>
      <c r="Y45" s="24"/>
    </row>
    <row r="46" spans="5:25">
      <c r="E46" s="6" t="s">
        <v>479</v>
      </c>
      <c r="F46" s="7" t="s">
        <v>19</v>
      </c>
      <c r="G46" s="6" t="s">
        <v>494</v>
      </c>
      <c r="H46" s="6" t="s">
        <v>299</v>
      </c>
      <c r="I46" s="6" t="s">
        <v>466</v>
      </c>
      <c r="J46" s="118">
        <f t="shared" si="10"/>
        <v>94.010933514000016</v>
      </c>
      <c r="K46" s="119">
        <f t="shared" si="11"/>
        <v>94.010933514000016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94.010933514000016</v>
      </c>
      <c r="W46" s="24"/>
      <c r="X46" s="24"/>
      <c r="Y46" s="24"/>
    </row>
    <row r="47" spans="5:25">
      <c r="E47" s="6" t="s">
        <v>450</v>
      </c>
      <c r="F47" s="7" t="s">
        <v>19</v>
      </c>
      <c r="G47" s="6" t="s">
        <v>282</v>
      </c>
      <c r="H47" s="6" t="s">
        <v>283</v>
      </c>
      <c r="I47" s="6" t="s">
        <v>466</v>
      </c>
      <c r="J47" s="118">
        <f t="shared" si="10"/>
        <v>1.8661022999999999</v>
      </c>
      <c r="K47" s="119">
        <f t="shared" si="11"/>
        <v>1.8661022999999999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>
        <v>0.76461559999999995</v>
      </c>
      <c r="V47" s="24">
        <v>0.1625413</v>
      </c>
      <c r="W47" s="24"/>
      <c r="X47" s="24">
        <v>0.93894539999999993</v>
      </c>
      <c r="Y47" s="24"/>
    </row>
    <row r="48" spans="5:25">
      <c r="E48" s="6" t="s">
        <v>450</v>
      </c>
      <c r="F48" s="7" t="s">
        <v>19</v>
      </c>
      <c r="G48" s="6" t="s">
        <v>500</v>
      </c>
      <c r="H48" s="6" t="s">
        <v>305</v>
      </c>
      <c r="I48" s="6" t="s">
        <v>466</v>
      </c>
      <c r="J48" s="118">
        <f t="shared" si="10"/>
        <v>3.3595952689999997</v>
      </c>
      <c r="K48" s="119">
        <f t="shared" si="11"/>
        <v>3.3595952689999997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>
        <v>3.1510189199999998</v>
      </c>
      <c r="V48" s="24">
        <v>0.20857634899999999</v>
      </c>
      <c r="W48" s="24"/>
      <c r="X48" s="24"/>
      <c r="Y48" s="24"/>
    </row>
    <row r="49" spans="5:25">
      <c r="E49" s="6" t="s">
        <v>450</v>
      </c>
      <c r="F49" s="7" t="s">
        <v>19</v>
      </c>
      <c r="G49" s="6" t="s">
        <v>500</v>
      </c>
      <c r="H49" s="6" t="s">
        <v>305</v>
      </c>
      <c r="I49" s="6" t="s">
        <v>472</v>
      </c>
      <c r="J49" s="118">
        <f t="shared" si="10"/>
        <v>44.34677489500001</v>
      </c>
      <c r="K49" s="119">
        <f t="shared" si="11"/>
        <v>44.34677489500001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>
        <v>16.673765806000002</v>
      </c>
      <c r="V49" s="24">
        <v>16.455694588000004</v>
      </c>
      <c r="W49" s="24">
        <v>0.52466878099999992</v>
      </c>
      <c r="X49" s="24">
        <v>10.692645720000002</v>
      </c>
      <c r="Y49" s="24"/>
    </row>
    <row r="50" spans="5:25">
      <c r="E50" s="6" t="s">
        <v>450</v>
      </c>
      <c r="F50" s="7" t="s">
        <v>19</v>
      </c>
      <c r="G50" s="6" t="s">
        <v>256</v>
      </c>
      <c r="H50" s="6" t="s">
        <v>303</v>
      </c>
      <c r="I50" s="6" t="s">
        <v>466</v>
      </c>
      <c r="J50" s="118">
        <f t="shared" si="10"/>
        <v>187.40387990500014</v>
      </c>
      <c r="K50" s="119">
        <f t="shared" si="11"/>
        <v>187.40387990500014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>
        <v>2.6101764000000012</v>
      </c>
      <c r="V50" s="24">
        <v>168.87930087200016</v>
      </c>
      <c r="W50" s="24">
        <v>15.914402632999991</v>
      </c>
      <c r="X50" s="24"/>
      <c r="Y50" s="24"/>
    </row>
    <row r="51" spans="5:25">
      <c r="E51" s="6" t="s">
        <v>450</v>
      </c>
      <c r="F51" s="7" t="s">
        <v>19</v>
      </c>
      <c r="G51" s="6" t="s">
        <v>237</v>
      </c>
      <c r="H51" s="6" t="s">
        <v>277</v>
      </c>
      <c r="I51" s="6" t="s">
        <v>472</v>
      </c>
      <c r="J51" s="118">
        <f t="shared" si="10"/>
        <v>10.246294899999999</v>
      </c>
      <c r="K51" s="119">
        <f t="shared" si="11"/>
        <v>10.246294899999999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>
        <v>10.246294899999999</v>
      </c>
      <c r="W51" s="24"/>
      <c r="X51" s="24"/>
      <c r="Y51" s="24"/>
    </row>
    <row r="52" spans="5:25">
      <c r="E52" s="6" t="s">
        <v>572</v>
      </c>
      <c r="F52" s="7" t="s">
        <v>19</v>
      </c>
      <c r="G52" s="6" t="s">
        <v>441</v>
      </c>
      <c r="H52" s="6" t="s">
        <v>481</v>
      </c>
      <c r="I52" s="6" t="s">
        <v>466</v>
      </c>
      <c r="J52" s="118">
        <f t="shared" si="10"/>
        <v>279.46689321700012</v>
      </c>
      <c r="K52" s="119">
        <f t="shared" si="11"/>
        <v>279.46689321700012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>
        <v>144.90696735</v>
      </c>
      <c r="V52" s="24">
        <v>131.10108438700013</v>
      </c>
      <c r="W52" s="24">
        <v>3.4588414799999998</v>
      </c>
      <c r="X52" s="24"/>
      <c r="Y52" s="24"/>
    </row>
    <row r="53" spans="5:25">
      <c r="E53" s="6" t="s">
        <v>569</v>
      </c>
      <c r="F53" s="7" t="s">
        <v>19</v>
      </c>
      <c r="G53" s="6" t="s">
        <v>447</v>
      </c>
      <c r="H53" s="6" t="s">
        <v>448</v>
      </c>
      <c r="I53" s="6" t="s">
        <v>466</v>
      </c>
      <c r="J53" s="118">
        <f t="shared" si="10"/>
        <v>1.0213622</v>
      </c>
      <c r="K53" s="119">
        <f t="shared" si="11"/>
        <v>1.0213622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>
        <v>1.0213622</v>
      </c>
      <c r="W53" s="24"/>
      <c r="X53" s="24"/>
      <c r="Y53" s="24"/>
    </row>
    <row r="54" spans="5:25">
      <c r="E54" s="6" t="s">
        <v>569</v>
      </c>
      <c r="F54" s="7" t="s">
        <v>19</v>
      </c>
      <c r="G54" s="6" t="s">
        <v>378</v>
      </c>
      <c r="H54" s="6" t="s">
        <v>290</v>
      </c>
      <c r="I54" s="6" t="s">
        <v>466</v>
      </c>
      <c r="J54" s="118">
        <f t="shared" si="10"/>
        <v>34.208617799999999</v>
      </c>
      <c r="K54" s="119">
        <f t="shared" si="11"/>
        <v>34.208617799999999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>
        <v>34.208617799999999</v>
      </c>
      <c r="W54" s="24"/>
      <c r="X54" s="24"/>
      <c r="Y54" s="24"/>
    </row>
    <row r="55" spans="5:25">
      <c r="E55" s="6" t="s">
        <v>483</v>
      </c>
      <c r="F55" s="7" t="s">
        <v>19</v>
      </c>
      <c r="G55" s="6" t="s">
        <v>258</v>
      </c>
      <c r="H55" s="6" t="s">
        <v>306</v>
      </c>
      <c r="I55" s="6" t="s">
        <v>466</v>
      </c>
      <c r="J55" s="118">
        <f t="shared" si="10"/>
        <v>24.144876840999999</v>
      </c>
      <c r="K55" s="119">
        <f t="shared" si="11"/>
        <v>24.144876840999999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>
        <v>4.6508454009999998</v>
      </c>
      <c r="V55" s="24">
        <v>14.802893586999998</v>
      </c>
      <c r="W55" s="24">
        <v>4.6911378529999999</v>
      </c>
      <c r="X55" s="24"/>
      <c r="Y55" s="24"/>
    </row>
    <row r="56" spans="5:25">
      <c r="E56" s="6" t="s">
        <v>484</v>
      </c>
      <c r="F56" s="7" t="s">
        <v>19</v>
      </c>
      <c r="G56" s="6" t="s">
        <v>503</v>
      </c>
      <c r="H56" s="6" t="s">
        <v>311</v>
      </c>
      <c r="I56" s="6" t="s">
        <v>472</v>
      </c>
      <c r="J56" s="118">
        <f t="shared" si="10"/>
        <v>1.173521574</v>
      </c>
      <c r="K56" s="119">
        <f t="shared" si="11"/>
        <v>1.173521574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>
        <v>1.173521574</v>
      </c>
      <c r="Y56" s="24"/>
    </row>
    <row r="57" spans="5:25">
      <c r="E57" s="6" t="s">
        <v>484</v>
      </c>
      <c r="F57" s="7" t="s">
        <v>19</v>
      </c>
      <c r="G57" s="6" t="s">
        <v>500</v>
      </c>
      <c r="H57" s="6" t="s">
        <v>305</v>
      </c>
      <c r="I57" s="6" t="s">
        <v>472</v>
      </c>
      <c r="J57" s="118">
        <f t="shared" si="10"/>
        <v>51.321366421999997</v>
      </c>
      <c r="K57" s="119">
        <f t="shared" si="11"/>
        <v>51.321366421999997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>
        <v>51.321366421999997</v>
      </c>
      <c r="Y57" s="24"/>
    </row>
    <row r="58" spans="5:25">
      <c r="E58" s="6" t="s">
        <v>484</v>
      </c>
      <c r="F58" s="7" t="s">
        <v>19</v>
      </c>
      <c r="G58" s="6" t="s">
        <v>370</v>
      </c>
      <c r="H58" s="6" t="s">
        <v>308</v>
      </c>
      <c r="I58" s="6" t="s">
        <v>472</v>
      </c>
      <c r="J58" s="118">
        <f t="shared" si="10"/>
        <v>29.382537231999997</v>
      </c>
      <c r="K58" s="119">
        <f t="shared" si="11"/>
        <v>29.382537231999997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>
        <v>29.382537231999997</v>
      </c>
      <c r="Y58" s="24"/>
    </row>
    <row r="59" spans="5:25">
      <c r="E59" s="6" t="s">
        <v>484</v>
      </c>
      <c r="F59" s="7" t="s">
        <v>19</v>
      </c>
      <c r="G59" s="6" t="s">
        <v>454</v>
      </c>
      <c r="H59" s="6" t="s">
        <v>292</v>
      </c>
      <c r="I59" s="6" t="s">
        <v>472</v>
      </c>
      <c r="J59" s="118">
        <f t="shared" si="10"/>
        <v>7.5711713750000005</v>
      </c>
      <c r="K59" s="119">
        <f t="shared" si="11"/>
        <v>7.5711713750000005</v>
      </c>
      <c r="L59" s="119">
        <f t="shared" si="12"/>
        <v>0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>
        <v>7.5711713750000005</v>
      </c>
      <c r="Y59" s="24"/>
    </row>
    <row r="60" spans="5:25">
      <c r="E60" s="6" t="s">
        <v>451</v>
      </c>
      <c r="F60" s="7" t="s">
        <v>19</v>
      </c>
      <c r="G60" s="6" t="s">
        <v>504</v>
      </c>
      <c r="H60" s="6" t="s">
        <v>307</v>
      </c>
      <c r="I60" s="6" t="s">
        <v>466</v>
      </c>
      <c r="J60" s="118">
        <f t="shared" si="10"/>
        <v>18.871161126999997</v>
      </c>
      <c r="K60" s="119">
        <f t="shared" si="11"/>
        <v>18.871161126999997</v>
      </c>
      <c r="L60" s="119">
        <f t="shared" si="12"/>
        <v>0</v>
      </c>
      <c r="N60" s="24"/>
      <c r="O60" s="24"/>
      <c r="P60" s="24"/>
      <c r="Q60" s="24"/>
      <c r="R60" s="24"/>
      <c r="S60" s="24"/>
      <c r="T60" s="24"/>
      <c r="U60" s="24">
        <v>18.871161126999997</v>
      </c>
      <c r="V60" s="24"/>
      <c r="W60" s="24"/>
      <c r="X60" s="24"/>
      <c r="Y60" s="24"/>
    </row>
    <row r="61" spans="5:25">
      <c r="E61" s="6" t="s">
        <v>451</v>
      </c>
      <c r="F61" s="7" t="s">
        <v>19</v>
      </c>
      <c r="G61" s="6" t="s">
        <v>370</v>
      </c>
      <c r="H61" s="6" t="s">
        <v>308</v>
      </c>
      <c r="I61" s="6" t="s">
        <v>466</v>
      </c>
      <c r="J61" s="118">
        <f t="shared" si="10"/>
        <v>2.1636036089999999</v>
      </c>
      <c r="K61" s="119">
        <f t="shared" si="11"/>
        <v>2.1636036089999999</v>
      </c>
      <c r="L61" s="119">
        <f t="shared" si="12"/>
        <v>0</v>
      </c>
      <c r="N61" s="24"/>
      <c r="O61" s="24"/>
      <c r="P61" s="24"/>
      <c r="Q61" s="24"/>
      <c r="R61" s="24"/>
      <c r="S61" s="24"/>
      <c r="T61" s="24"/>
      <c r="U61" s="24">
        <v>2.1636036089999999</v>
      </c>
      <c r="V61" s="24"/>
      <c r="W61" s="24"/>
      <c r="X61" s="24"/>
      <c r="Y61" s="24"/>
    </row>
    <row r="62" spans="5:25">
      <c r="E62" s="6" t="s">
        <v>451</v>
      </c>
      <c r="F62" s="7" t="s">
        <v>19</v>
      </c>
      <c r="G62" s="6" t="s">
        <v>370</v>
      </c>
      <c r="H62" s="6" t="s">
        <v>308</v>
      </c>
      <c r="I62" s="6" t="s">
        <v>472</v>
      </c>
      <c r="J62" s="118">
        <f t="shared" si="10"/>
        <v>1.5585387229999998</v>
      </c>
      <c r="K62" s="119">
        <f t="shared" si="11"/>
        <v>1.5585387229999998</v>
      </c>
      <c r="L62" s="119">
        <f t="shared" si="12"/>
        <v>0</v>
      </c>
      <c r="N62" s="24"/>
      <c r="O62" s="24"/>
      <c r="P62" s="24"/>
      <c r="Q62" s="24"/>
      <c r="R62" s="24"/>
      <c r="S62" s="24"/>
      <c r="T62" s="24"/>
      <c r="U62" s="24">
        <v>0.36594871600000001</v>
      </c>
      <c r="V62" s="24">
        <v>1.192590007</v>
      </c>
      <c r="W62" s="24"/>
      <c r="X62" s="24"/>
      <c r="Y62" s="24"/>
    </row>
    <row r="63" spans="5:25">
      <c r="E63" s="6" t="s">
        <v>577</v>
      </c>
      <c r="F63" s="7" t="s">
        <v>19</v>
      </c>
      <c r="G63" s="6" t="s">
        <v>500</v>
      </c>
      <c r="H63" s="6" t="s">
        <v>305</v>
      </c>
      <c r="I63" s="6" t="s">
        <v>472</v>
      </c>
      <c r="J63" s="118">
        <f t="shared" si="10"/>
        <v>19.768845337000002</v>
      </c>
      <c r="K63" s="119">
        <f t="shared" si="11"/>
        <v>19.768845337000002</v>
      </c>
      <c r="L63" s="119">
        <f t="shared" si="12"/>
        <v>0</v>
      </c>
      <c r="N63" s="24"/>
      <c r="O63" s="24"/>
      <c r="P63" s="24"/>
      <c r="Q63" s="24"/>
      <c r="R63" s="24"/>
      <c r="S63" s="24"/>
      <c r="T63" s="24"/>
      <c r="U63" s="24"/>
      <c r="V63" s="24">
        <v>19.768845337000002</v>
      </c>
      <c r="W63" s="24"/>
      <c r="X63" s="24"/>
      <c r="Y63" s="24"/>
    </row>
    <row r="64" spans="5:25">
      <c r="E64" s="6" t="s">
        <v>533</v>
      </c>
      <c r="F64" s="7" t="s">
        <v>19</v>
      </c>
      <c r="G64" s="6" t="s">
        <v>494</v>
      </c>
      <c r="H64" s="6" t="s">
        <v>299</v>
      </c>
      <c r="I64" s="6" t="s">
        <v>466</v>
      </c>
      <c r="J64" s="118">
        <f t="shared" si="10"/>
        <v>2.6117986230000003</v>
      </c>
      <c r="K64" s="119">
        <f t="shared" si="11"/>
        <v>2.6117986230000003</v>
      </c>
      <c r="L64" s="119">
        <f t="shared" si="12"/>
        <v>0</v>
      </c>
      <c r="N64" s="24"/>
      <c r="O64" s="24"/>
      <c r="P64" s="24"/>
      <c r="Q64" s="24"/>
      <c r="R64" s="24"/>
      <c r="S64" s="24"/>
      <c r="T64" s="24"/>
      <c r="U64" s="24"/>
      <c r="V64" s="24">
        <v>2.6117986230000003</v>
      </c>
      <c r="W64" s="24"/>
      <c r="X64" s="24"/>
      <c r="Y64" s="24"/>
    </row>
    <row r="65" spans="5:25">
      <c r="E65" s="6" t="s">
        <v>485</v>
      </c>
      <c r="F65" s="7" t="s">
        <v>19</v>
      </c>
      <c r="G65" s="6" t="s">
        <v>529</v>
      </c>
      <c r="H65" s="6" t="s">
        <v>530</v>
      </c>
      <c r="I65" s="6" t="s">
        <v>472</v>
      </c>
      <c r="J65" s="118">
        <f t="shared" si="10"/>
        <v>18.610925000000002</v>
      </c>
      <c r="K65" s="119">
        <f t="shared" si="11"/>
        <v>18.610925000000002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>
        <v>18.610925000000002</v>
      </c>
      <c r="W65" s="24"/>
      <c r="X65" s="24"/>
      <c r="Y65" s="24"/>
    </row>
    <row r="66" spans="5:25">
      <c r="E66" s="6" t="s">
        <v>589</v>
      </c>
      <c r="F66" s="7" t="s">
        <v>19</v>
      </c>
      <c r="G66" s="6" t="s">
        <v>282</v>
      </c>
      <c r="H66" s="6" t="s">
        <v>283</v>
      </c>
      <c r="I66" s="6" t="s">
        <v>466</v>
      </c>
      <c r="J66" s="118">
        <f t="shared" si="10"/>
        <v>1.9666872719999999</v>
      </c>
      <c r="K66" s="119">
        <f t="shared" si="11"/>
        <v>1.9666872719999999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>
        <v>1.9666872719999999</v>
      </c>
      <c r="X66" s="24"/>
      <c r="Y66" s="24"/>
    </row>
    <row r="67" spans="5:25">
      <c r="E67" s="6" t="s">
        <v>268</v>
      </c>
      <c r="F67" s="7" t="s">
        <v>19</v>
      </c>
      <c r="G67" s="6" t="s">
        <v>374</v>
      </c>
      <c r="H67" s="6" t="s">
        <v>317</v>
      </c>
      <c r="I67" s="6" t="s">
        <v>466</v>
      </c>
      <c r="J67" s="118">
        <f t="shared" si="10"/>
        <v>4.2662474760000002</v>
      </c>
      <c r="K67" s="119">
        <f t="shared" si="11"/>
        <v>4.2662474760000002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>
        <v>4.2662474760000002</v>
      </c>
      <c r="V67" s="24"/>
      <c r="W67" s="24"/>
      <c r="X67" s="24"/>
      <c r="Y67" s="24"/>
    </row>
    <row r="68" spans="5:25">
      <c r="E68" s="6" t="s">
        <v>270</v>
      </c>
      <c r="F68" s="7" t="s">
        <v>19</v>
      </c>
      <c r="G68" s="6" t="s">
        <v>441</v>
      </c>
      <c r="H68" s="6" t="s">
        <v>481</v>
      </c>
      <c r="I68" s="6" t="s">
        <v>466</v>
      </c>
      <c r="J68" s="118">
        <f t="shared" si="10"/>
        <v>39.670978500000004</v>
      </c>
      <c r="K68" s="119">
        <f t="shared" si="11"/>
        <v>39.670978500000004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>
        <v>1.4039999999999999</v>
      </c>
      <c r="V68" s="24">
        <v>29.763205500000002</v>
      </c>
      <c r="W68" s="24">
        <v>8.5037729999999989</v>
      </c>
      <c r="X68" s="24"/>
      <c r="Y68" s="24"/>
    </row>
    <row r="69" spans="5:25">
      <c r="E69" s="6" t="s">
        <v>270</v>
      </c>
      <c r="F69" s="7" t="s">
        <v>19</v>
      </c>
      <c r="G69" s="6" t="s">
        <v>374</v>
      </c>
      <c r="H69" s="6" t="s">
        <v>317</v>
      </c>
      <c r="I69" s="6" t="s">
        <v>466</v>
      </c>
      <c r="J69" s="118">
        <f t="shared" si="10"/>
        <v>7.4939233569999999</v>
      </c>
      <c r="K69" s="119">
        <f t="shared" si="11"/>
        <v>7.4939233569999999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>
        <v>1.1826547569999999</v>
      </c>
      <c r="W69" s="24">
        <v>6.3112686</v>
      </c>
      <c r="X69" s="24"/>
      <c r="Y69" s="24"/>
    </row>
    <row r="70" spans="5:25">
      <c r="E70" s="6"/>
      <c r="F70" s="6"/>
      <c r="G70" s="6"/>
      <c r="H70" s="6"/>
      <c r="I70" s="6"/>
      <c r="J70" s="118">
        <f t="shared" si="10"/>
        <v>0</v>
      </c>
      <c r="K70" s="119">
        <f t="shared" si="11"/>
        <v>0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5:25">
      <c r="E71" s="6"/>
      <c r="F71" s="6"/>
      <c r="G71" s="6"/>
      <c r="H71" s="6"/>
      <c r="I71" s="6"/>
      <c r="J71" s="118">
        <f t="shared" si="10"/>
        <v>0</v>
      </c>
      <c r="K71" s="119">
        <f t="shared" si="11"/>
        <v>0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5:25">
      <c r="E72" s="6"/>
      <c r="F72" s="6"/>
      <c r="G72" s="6"/>
      <c r="H72" s="6"/>
      <c r="I72" s="6"/>
      <c r="J72" s="118">
        <f t="shared" si="10"/>
        <v>0</v>
      </c>
      <c r="K72" s="119">
        <f t="shared" si="11"/>
        <v>0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5:25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5:25">
      <c r="E74" s="6"/>
      <c r="F74" s="305" t="s">
        <v>19</v>
      </c>
      <c r="G74" s="305" t="s">
        <v>520</v>
      </c>
      <c r="H74" s="11"/>
      <c r="I74" s="11"/>
      <c r="J74" s="118">
        <f t="shared" si="10"/>
        <v>24</v>
      </c>
      <c r="K74" s="119">
        <f t="shared" si="11"/>
        <v>24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306"/>
      <c r="V74" s="306">
        <v>24</v>
      </c>
      <c r="W74" s="24"/>
      <c r="X74" s="24"/>
      <c r="Y74" s="24"/>
    </row>
    <row r="75" spans="5:25">
      <c r="E75" s="6"/>
      <c r="F75" s="305" t="s">
        <v>19</v>
      </c>
      <c r="G75" s="305" t="s">
        <v>580</v>
      </c>
      <c r="H75" s="6"/>
      <c r="I75" s="6"/>
      <c r="J75" s="118">
        <f t="shared" si="10"/>
        <v>16</v>
      </c>
      <c r="K75" s="119">
        <f t="shared" si="11"/>
        <v>16</v>
      </c>
      <c r="L75" s="119">
        <f t="shared" ref="L75:L80" si="13">SUM(AA67:AL67)</f>
        <v>0</v>
      </c>
      <c r="N75" s="24"/>
      <c r="O75" s="24"/>
      <c r="P75" s="24"/>
      <c r="Q75" s="24"/>
      <c r="R75" s="24"/>
      <c r="S75" s="344"/>
      <c r="T75" s="306"/>
      <c r="U75" s="306"/>
      <c r="V75" s="306">
        <v>16</v>
      </c>
      <c r="W75" s="24"/>
      <c r="X75" s="24"/>
      <c r="Y75" s="24"/>
    </row>
    <row r="76" spans="5:25">
      <c r="E76" s="6"/>
      <c r="F76" s="305" t="s">
        <v>19</v>
      </c>
      <c r="G76" s="305" t="s">
        <v>555</v>
      </c>
      <c r="H76" s="6"/>
      <c r="I76" s="6"/>
      <c r="J76" s="118">
        <f t="shared" si="10"/>
        <v>7</v>
      </c>
      <c r="K76" s="119">
        <f t="shared" si="11"/>
        <v>7</v>
      </c>
      <c r="L76" s="119">
        <f t="shared" si="13"/>
        <v>0</v>
      </c>
      <c r="N76" s="24"/>
      <c r="O76" s="24"/>
      <c r="P76" s="24"/>
      <c r="Q76" s="24"/>
      <c r="R76" s="24"/>
      <c r="S76" s="344"/>
      <c r="T76" s="306"/>
      <c r="U76" s="344">
        <v>7</v>
      </c>
      <c r="V76" s="306"/>
      <c r="W76" s="24"/>
      <c r="X76" s="24"/>
      <c r="Y76" s="24"/>
    </row>
    <row r="77" spans="5:25">
      <c r="E77" s="6"/>
      <c r="F77" s="305" t="s">
        <v>19</v>
      </c>
      <c r="G77" s="305" t="s">
        <v>581</v>
      </c>
      <c r="H77" s="6"/>
      <c r="I77" s="6"/>
      <c r="J77" s="118">
        <f t="shared" si="10"/>
        <v>233</v>
      </c>
      <c r="K77" s="119">
        <f t="shared" si="11"/>
        <v>233</v>
      </c>
      <c r="L77" s="119">
        <f t="shared" si="13"/>
        <v>0</v>
      </c>
      <c r="N77" s="24"/>
      <c r="O77" s="24"/>
      <c r="P77" s="24"/>
      <c r="Q77" s="24"/>
      <c r="R77" s="24"/>
      <c r="S77" s="344"/>
      <c r="T77" s="306"/>
      <c r="U77" s="306">
        <v>233</v>
      </c>
      <c r="V77" s="306"/>
      <c r="W77" s="24"/>
      <c r="X77" s="24"/>
      <c r="Y77" s="24"/>
    </row>
    <row r="78" spans="5:25">
      <c r="E78" s="6"/>
      <c r="F78" s="305" t="s">
        <v>19</v>
      </c>
      <c r="G78" s="305" t="s">
        <v>582</v>
      </c>
      <c r="H78" s="6"/>
      <c r="I78" s="6"/>
      <c r="J78" s="118">
        <f t="shared" si="10"/>
        <v>1</v>
      </c>
      <c r="K78" s="119">
        <f t="shared" si="11"/>
        <v>1</v>
      </c>
      <c r="L78" s="119">
        <f t="shared" si="13"/>
        <v>0</v>
      </c>
      <c r="N78" s="24"/>
      <c r="O78" s="24"/>
      <c r="P78" s="24"/>
      <c r="Q78" s="24"/>
      <c r="R78" s="24"/>
      <c r="S78" s="344"/>
      <c r="T78" s="306"/>
      <c r="U78" s="306"/>
      <c r="V78" s="306">
        <v>1</v>
      </c>
      <c r="W78" s="24"/>
      <c r="X78" s="24"/>
      <c r="Y78" s="24"/>
    </row>
    <row r="79" spans="5:25">
      <c r="E79" s="6"/>
      <c r="F79" s="360" t="s">
        <v>19</v>
      </c>
      <c r="G79" s="360" t="s">
        <v>583</v>
      </c>
      <c r="H79" s="362"/>
      <c r="I79" s="362"/>
      <c r="J79" s="364">
        <f t="shared" si="10"/>
        <v>21</v>
      </c>
      <c r="K79" s="119">
        <f t="shared" si="11"/>
        <v>21</v>
      </c>
      <c r="L79" s="365">
        <f t="shared" si="13"/>
        <v>0</v>
      </c>
      <c r="N79" s="366"/>
      <c r="O79" s="366"/>
      <c r="P79" s="366"/>
      <c r="Q79" s="366"/>
      <c r="R79" s="366"/>
      <c r="S79" s="404"/>
      <c r="T79" s="404"/>
      <c r="U79" s="404">
        <v>21</v>
      </c>
      <c r="V79" s="404"/>
      <c r="W79" s="24"/>
      <c r="X79" s="24"/>
      <c r="Y79" s="24"/>
    </row>
    <row r="80" spans="5:25">
      <c r="E80" s="6"/>
      <c r="F80" s="360" t="s">
        <v>19</v>
      </c>
      <c r="G80" s="360" t="s">
        <v>584</v>
      </c>
      <c r="H80" s="11"/>
      <c r="I80" s="11"/>
      <c r="J80" s="118">
        <f t="shared" si="10"/>
        <v>35</v>
      </c>
      <c r="K80" s="119">
        <f t="shared" si="11"/>
        <v>35</v>
      </c>
      <c r="L80" s="119">
        <f t="shared" si="13"/>
        <v>0</v>
      </c>
      <c r="N80" s="24"/>
      <c r="O80" s="24"/>
      <c r="P80" s="24"/>
      <c r="Q80" s="24"/>
      <c r="R80" s="24"/>
      <c r="S80" s="24"/>
      <c r="T80" s="306"/>
      <c r="U80" s="306">
        <v>35</v>
      </c>
      <c r="V80" s="306"/>
      <c r="W80" s="24"/>
      <c r="X80" s="24"/>
      <c r="Y80" s="24"/>
    </row>
    <row r="81" spans="5:25">
      <c r="E81" s="6"/>
      <c r="F81" s="360" t="s">
        <v>19</v>
      </c>
      <c r="G81" s="360" t="s">
        <v>585</v>
      </c>
      <c r="H81" s="12"/>
      <c r="I81" s="12"/>
      <c r="J81" s="118">
        <f t="shared" si="10"/>
        <v>16</v>
      </c>
      <c r="K81" s="119">
        <f t="shared" si="11"/>
        <v>16</v>
      </c>
      <c r="L81" s="119">
        <f t="shared" ref="L81" si="14">SUM(AA74:AL74)</f>
        <v>0</v>
      </c>
      <c r="N81" s="24"/>
      <c r="O81" s="24"/>
      <c r="P81" s="24"/>
      <c r="Q81" s="24"/>
      <c r="R81" s="24"/>
      <c r="S81" s="24"/>
      <c r="T81" s="306"/>
      <c r="U81" s="306">
        <v>3</v>
      </c>
      <c r="V81" s="306">
        <v>13</v>
      </c>
      <c r="W81" s="24"/>
      <c r="X81" s="24"/>
      <c r="Y81" s="24"/>
    </row>
    <row r="82" spans="5:25">
      <c r="E82" s="6"/>
      <c r="F82" s="360" t="s">
        <v>19</v>
      </c>
      <c r="G82" s="360" t="s">
        <v>485</v>
      </c>
      <c r="H82" s="9"/>
      <c r="I82" s="9"/>
      <c r="J82" s="118">
        <f t="shared" ref="J82:J85" si="15">+K82+L82</f>
        <v>185</v>
      </c>
      <c r="K82" s="119">
        <f t="shared" ref="K82:K85" si="16">SUM(N82:Y82)</f>
        <v>185</v>
      </c>
      <c r="L82" s="119">
        <f t="shared" ref="L82:L85" si="17">SUM(AA82:AL82)</f>
        <v>0</v>
      </c>
      <c r="N82" s="24"/>
      <c r="O82" s="24"/>
      <c r="P82" s="24"/>
      <c r="Q82" s="24"/>
      <c r="R82" s="24"/>
      <c r="S82" s="24"/>
      <c r="T82" s="24"/>
      <c r="U82" s="306"/>
      <c r="V82" s="306">
        <v>185</v>
      </c>
      <c r="W82" s="24"/>
      <c r="X82" s="24"/>
      <c r="Y82" s="24"/>
    </row>
    <row r="83" spans="5:25">
      <c r="E83" s="6"/>
      <c r="F83" s="360" t="s">
        <v>19</v>
      </c>
      <c r="G83" s="360" t="s">
        <v>586</v>
      </c>
      <c r="H83" s="10"/>
      <c r="I83" s="10"/>
      <c r="J83" s="118">
        <f t="shared" si="15"/>
        <v>2</v>
      </c>
      <c r="K83" s="119">
        <f t="shared" si="16"/>
        <v>2</v>
      </c>
      <c r="L83" s="119">
        <f t="shared" si="17"/>
        <v>0</v>
      </c>
      <c r="N83" s="24"/>
      <c r="O83" s="24"/>
      <c r="P83" s="24"/>
      <c r="Q83" s="24"/>
      <c r="R83" s="24"/>
      <c r="S83" s="24"/>
      <c r="T83" s="24"/>
      <c r="U83" s="306">
        <v>2</v>
      </c>
      <c r="V83" s="306"/>
      <c r="W83" s="24"/>
      <c r="X83" s="24"/>
      <c r="Y83" s="24"/>
    </row>
    <row r="84" spans="5:25">
      <c r="E84" s="6"/>
      <c r="F84" s="360" t="s">
        <v>19</v>
      </c>
      <c r="G84" s="360" t="s">
        <v>587</v>
      </c>
      <c r="H84" s="363"/>
      <c r="I84" s="363"/>
      <c r="J84" s="118">
        <f t="shared" si="15"/>
        <v>4</v>
      </c>
      <c r="K84" s="119">
        <f t="shared" si="16"/>
        <v>4</v>
      </c>
      <c r="L84" s="119">
        <f t="shared" si="17"/>
        <v>0</v>
      </c>
      <c r="N84" s="366"/>
      <c r="O84" s="366"/>
      <c r="P84" s="366"/>
      <c r="Q84" s="366"/>
      <c r="R84" s="366"/>
      <c r="S84" s="366"/>
      <c r="T84" s="366"/>
      <c r="U84" s="404">
        <v>4</v>
      </c>
      <c r="V84" s="404"/>
      <c r="W84" s="24"/>
      <c r="X84" s="24"/>
      <c r="Y84" s="24"/>
    </row>
    <row r="85" spans="5:25">
      <c r="E85" s="13"/>
      <c r="F85" s="305" t="s">
        <v>19</v>
      </c>
      <c r="G85" s="305" t="s">
        <v>588</v>
      </c>
      <c r="H85" s="11"/>
      <c r="I85" s="11"/>
      <c r="J85" s="118">
        <f t="shared" si="15"/>
        <v>8</v>
      </c>
      <c r="K85" s="119">
        <f t="shared" si="16"/>
        <v>8</v>
      </c>
      <c r="L85" s="119">
        <f t="shared" si="17"/>
        <v>0</v>
      </c>
      <c r="M85" s="373"/>
      <c r="N85" s="24"/>
      <c r="O85" s="24"/>
      <c r="P85" s="24"/>
      <c r="Q85" s="24"/>
      <c r="R85" s="24"/>
      <c r="S85" s="24"/>
      <c r="T85" s="24"/>
      <c r="U85" s="306">
        <v>8</v>
      </c>
      <c r="V85" s="306"/>
      <c r="W85" s="24"/>
      <c r="X85" s="24"/>
      <c r="Y85" s="24"/>
    </row>
    <row r="86" spans="5:25">
      <c r="E86" s="6"/>
      <c r="F86" s="7"/>
      <c r="G86" s="6"/>
      <c r="H86" s="9"/>
      <c r="I86" s="9"/>
      <c r="J86" s="118">
        <f t="shared" ref="J86:J89" si="18">+K86+L86</f>
        <v>0</v>
      </c>
      <c r="K86" s="119">
        <f t="shared" ref="K86:K89" si="19">SUM(N86:Y86)</f>
        <v>0</v>
      </c>
      <c r="L86" s="119">
        <f t="shared" ref="L86:L89" si="20">SUM(AA86:AL86)</f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5:25">
      <c r="E87" s="6"/>
      <c r="F87" s="7"/>
      <c r="G87" s="6"/>
      <c r="H87" s="9"/>
      <c r="I87" s="9"/>
      <c r="J87" s="118">
        <f t="shared" si="18"/>
        <v>0</v>
      </c>
      <c r="K87" s="119">
        <f t="shared" si="19"/>
        <v>0</v>
      </c>
      <c r="L87" s="119">
        <f t="shared" si="20"/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5:25">
      <c r="E88" s="6"/>
      <c r="F88" s="7"/>
      <c r="G88" s="6"/>
      <c r="H88" s="10"/>
      <c r="I88" s="10"/>
      <c r="J88" s="118">
        <f t="shared" si="18"/>
        <v>0</v>
      </c>
      <c r="K88" s="119">
        <f t="shared" si="19"/>
        <v>0</v>
      </c>
      <c r="L88" s="119">
        <f t="shared" si="20"/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5:25">
      <c r="E89" s="6"/>
      <c r="F89" s="7"/>
      <c r="G89" s="6"/>
      <c r="H89" s="11"/>
      <c r="I89" s="11"/>
      <c r="J89" s="118">
        <f t="shared" si="18"/>
        <v>0</v>
      </c>
      <c r="K89" s="119">
        <f t="shared" si="19"/>
        <v>0</v>
      </c>
      <c r="L89" s="119">
        <f t="shared" si="20"/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1" spans="5:25">
      <c r="E91" s="191" t="s">
        <v>320</v>
      </c>
      <c r="F91" s="216">
        <v>46204</v>
      </c>
      <c r="G91" s="192">
        <v>445</v>
      </c>
      <c r="H91" s="271" t="s">
        <v>321</v>
      </c>
    </row>
    <row r="92" spans="5:25">
      <c r="E92" s="195" t="s">
        <v>578</v>
      </c>
      <c r="F92" s="217"/>
      <c r="G92" s="196">
        <v>294</v>
      </c>
      <c r="H92" s="271" t="s">
        <v>321</v>
      </c>
    </row>
    <row r="93" spans="5:25">
      <c r="E93" s="195" t="s">
        <v>579</v>
      </c>
      <c r="F93" s="217"/>
      <c r="G93" s="196">
        <v>185</v>
      </c>
      <c r="H93" s="271" t="s">
        <v>321</v>
      </c>
    </row>
    <row r="94" spans="5:25">
      <c r="E94" s="191" t="s">
        <v>320</v>
      </c>
      <c r="F94" s="216">
        <v>46234</v>
      </c>
      <c r="G94" s="192">
        <f>G91+G92-G93</f>
        <v>554</v>
      </c>
      <c r="H94" s="271" t="s">
        <v>321</v>
      </c>
    </row>
    <row r="95" spans="5:25">
      <c r="E95" s="195"/>
      <c r="F95" s="217"/>
      <c r="G95" s="196"/>
      <c r="H95" s="271"/>
    </row>
    <row r="96" spans="5:25">
      <c r="E96" s="191"/>
      <c r="F96" s="216"/>
      <c r="G96" s="192"/>
      <c r="H96" s="271"/>
    </row>
    <row r="98" spans="5:8">
      <c r="E98" s="446" t="s">
        <v>531</v>
      </c>
      <c r="F98" s="447"/>
      <c r="G98" s="447"/>
      <c r="H98" s="448"/>
    </row>
    <row r="99" spans="5:8">
      <c r="E99" s="219" t="s">
        <v>550</v>
      </c>
      <c r="F99" s="219"/>
      <c r="G99" s="202"/>
      <c r="H99" s="219" t="s">
        <v>325</v>
      </c>
    </row>
    <row r="100" spans="5:8">
      <c r="E100" s="424" t="s">
        <v>447</v>
      </c>
      <c r="F100" s="219"/>
      <c r="G100" s="202"/>
      <c r="H100" s="426">
        <v>5.0511884780000003</v>
      </c>
    </row>
    <row r="101" spans="5:8">
      <c r="E101" s="424" t="s">
        <v>282</v>
      </c>
      <c r="F101" s="219"/>
      <c r="G101" s="202"/>
      <c r="H101" s="426">
        <v>13</v>
      </c>
    </row>
    <row r="102" spans="5:8">
      <c r="E102" s="424" t="s">
        <v>471</v>
      </c>
      <c r="F102" s="219"/>
      <c r="G102" s="202"/>
      <c r="H102" s="426">
        <v>7</v>
      </c>
    </row>
    <row r="103" spans="5:8">
      <c r="E103" s="424" t="s">
        <v>247</v>
      </c>
      <c r="F103" s="219"/>
      <c r="G103" s="202"/>
      <c r="H103" s="426">
        <v>1.6893648529999998</v>
      </c>
    </row>
    <row r="104" spans="5:8">
      <c r="E104" s="424" t="s">
        <v>493</v>
      </c>
      <c r="F104" s="219"/>
      <c r="G104" s="202"/>
      <c r="H104" s="426">
        <f>45.897386617+5.21</f>
        <v>51.107386617000003</v>
      </c>
    </row>
    <row r="105" spans="5:8">
      <c r="E105" s="424" t="s">
        <v>379</v>
      </c>
      <c r="F105" s="219"/>
      <c r="G105" s="202"/>
      <c r="H105" s="426">
        <v>5.4465225779999997</v>
      </c>
    </row>
    <row r="106" spans="5:8">
      <c r="E106" s="424" t="s">
        <v>378</v>
      </c>
      <c r="F106" s="202"/>
      <c r="G106" s="202"/>
      <c r="H106" s="425">
        <v>3.3262149350000003</v>
      </c>
    </row>
    <row r="107" spans="5:8">
      <c r="E107" s="424" t="s">
        <v>441</v>
      </c>
      <c r="F107" s="202"/>
      <c r="G107" s="202"/>
      <c r="H107" s="425">
        <v>48.748042797000004</v>
      </c>
    </row>
    <row r="108" spans="5:8">
      <c r="E108" s="424" t="s">
        <v>494</v>
      </c>
      <c r="F108" s="202"/>
      <c r="G108" s="202"/>
      <c r="H108" s="427">
        <f>89.549582115+8.86</f>
        <v>98.409582115000006</v>
      </c>
    </row>
    <row r="109" spans="5:8">
      <c r="E109" s="424" t="s">
        <v>504</v>
      </c>
      <c r="F109" s="202"/>
      <c r="G109" s="202"/>
      <c r="H109" s="425">
        <v>8.3986976749999958</v>
      </c>
    </row>
    <row r="110" spans="5:8">
      <c r="E110" s="424" t="s">
        <v>454</v>
      </c>
      <c r="F110" s="202"/>
      <c r="G110" s="202"/>
      <c r="H110" s="425">
        <v>1.312964531</v>
      </c>
    </row>
    <row r="111" spans="5:8">
      <c r="E111" s="410" t="s">
        <v>256</v>
      </c>
      <c r="F111" s="202"/>
      <c r="G111" s="202"/>
      <c r="H111" s="408">
        <v>12</v>
      </c>
    </row>
    <row r="112" spans="5:8">
      <c r="E112" s="428" t="s">
        <v>370</v>
      </c>
      <c r="F112" s="202"/>
      <c r="G112" s="202"/>
      <c r="H112" s="408">
        <v>9</v>
      </c>
    </row>
    <row r="113" spans="5:8">
      <c r="E113" s="410" t="s">
        <v>293</v>
      </c>
      <c r="F113" s="202"/>
      <c r="G113" s="202"/>
      <c r="H113" s="408">
        <v>3</v>
      </c>
    </row>
    <row r="114" spans="5:8">
      <c r="E114" s="356" t="s">
        <v>344</v>
      </c>
      <c r="F114" s="202"/>
      <c r="G114" s="202"/>
      <c r="H114" s="408">
        <f>SUM(H100:H113)</f>
        <v>267.489964579</v>
      </c>
    </row>
    <row r="115" spans="5:8">
      <c r="E115" s="227"/>
      <c r="F115" s="278"/>
      <c r="G115" s="227"/>
      <c r="H115" s="280"/>
    </row>
    <row r="116" spans="5:8">
      <c r="E116" s="227"/>
      <c r="F116" s="278"/>
      <c r="G116" s="227"/>
      <c r="H116" s="280"/>
    </row>
    <row r="117" spans="5:8">
      <c r="E117" s="227"/>
      <c r="F117" s="278"/>
      <c r="G117" s="227"/>
      <c r="H117" s="280"/>
    </row>
    <row r="118" spans="5:8">
      <c r="E118" s="151" t="s">
        <v>330</v>
      </c>
      <c r="F118" s="151"/>
      <c r="G118" s="283">
        <f>'W33'!J19</f>
        <v>2944.7055227690003</v>
      </c>
      <c r="H118" s="280"/>
    </row>
    <row r="119" spans="5:8">
      <c r="E119" s="151" t="s">
        <v>331</v>
      </c>
      <c r="F119" s="151"/>
      <c r="G119" s="283">
        <f>H114</f>
        <v>267.489964579</v>
      </c>
      <c r="H119" s="280"/>
    </row>
    <row r="120" spans="5:8">
      <c r="E120" s="151" t="s">
        <v>332</v>
      </c>
      <c r="F120" s="151"/>
      <c r="G120" s="283">
        <f>J12-'W33'!J12</f>
        <v>161</v>
      </c>
      <c r="H120" s="280"/>
    </row>
    <row r="121" spans="5:8">
      <c r="E121" s="151" t="s">
        <v>333</v>
      </c>
      <c r="F121" s="151"/>
      <c r="G121" s="283">
        <f>G118+G119-G120</f>
        <v>3051.1954873480004</v>
      </c>
      <c r="H121" s="280"/>
    </row>
    <row r="122" spans="5:8">
      <c r="E122" s="151" t="s">
        <v>334</v>
      </c>
      <c r="F122" s="151"/>
      <c r="G122" s="283">
        <f>J19</f>
        <v>3060.5815101070002</v>
      </c>
      <c r="H122" s="280"/>
    </row>
    <row r="123" spans="5:8">
      <c r="E123" s="151" t="s">
        <v>335</v>
      </c>
      <c r="F123" s="151"/>
      <c r="G123" s="284">
        <f>G122-G121</f>
        <v>9.3860227589998431</v>
      </c>
      <c r="H123" s="280"/>
    </row>
    <row r="124" spans="5:8">
      <c r="E124" s="151"/>
      <c r="F124" s="257"/>
      <c r="G124" s="151"/>
      <c r="H124" s="280"/>
    </row>
    <row r="125" spans="5:8">
      <c r="E125" s="227"/>
      <c r="F125" s="278"/>
      <c r="G125" s="227"/>
      <c r="H125" s="280"/>
    </row>
  </sheetData>
  <sheetProtection formatCells="0" formatColumns="0" formatRows="0" insertRows="0" deleteRows="0" autoFilter="0"/>
  <autoFilter ref="E23:AL234" xr:uid="{00000000-0009-0000-0000-000024000000}"/>
  <mergeCells count="2">
    <mergeCell ref="I4:J4"/>
    <mergeCell ref="E98:H98"/>
  </mergeCells>
  <phoneticPr fontId="40"/>
  <dataValidations count="2">
    <dataValidation type="list" allowBlank="1" showInputMessage="1" showErrorMessage="1" sqref="G2" xr:uid="{00000000-0002-0000-2400-000000000000}">
      <formula1>SOCIETE</formula1>
    </dataValidation>
    <dataValidation type="list" allowBlank="1" showInputMessage="1" showErrorMessage="1" sqref="F99:F105 F24:F89" xr:uid="{E89B75FE-FC60-43A3-881B-03D7D33A1155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8:G123" unlockedFormula="1"/>
  </ignoredErrors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8">
    <tabColor theme="4" tint="-0.499984740745262"/>
    <pageSetUpPr fitToPage="1"/>
  </sheetPr>
  <dimension ref="E1:AL126"/>
  <sheetViews>
    <sheetView showGridLines="0" topLeftCell="A95" zoomScale="70" zoomScaleNormal="70" workbookViewId="0">
      <selection activeCell="E23" sqref="E23:I23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139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August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8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August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W35</v>
      </c>
      <c r="I9" s="61"/>
      <c r="J9" s="161" t="str">
        <f>+"from "&amp;G6&amp;" 1 until end of "&amp;G4</f>
        <v>from August 1 until end of W35</v>
      </c>
      <c r="K9" s="79"/>
      <c r="L9" s="167" t="str">
        <f>+G6</f>
        <v>August</v>
      </c>
      <c r="M9" s="80"/>
      <c r="N9" s="80"/>
      <c r="O9" s="172" t="str">
        <f>+G4</f>
        <v>W35</v>
      </c>
      <c r="P9" s="173" t="str">
        <f>+VLOOKUP(G4, parameters!$G$9:$I$61,3,0)</f>
        <v>W34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600+320+797+430+396+688+856+J10</f>
        <v>4777</v>
      </c>
      <c r="I10" s="61"/>
      <c r="J10" s="159">
        <f>699-J11</f>
        <v>690</v>
      </c>
      <c r="L10" s="159">
        <f>U17+J10</f>
        <v>828</v>
      </c>
      <c r="N10" s="55"/>
      <c r="O10" s="170">
        <f>+H10+K17</f>
        <v>8500.2840667510009</v>
      </c>
      <c r="P10" s="171" cm="1">
        <f t="array" aca="1" ref="P10" ca="1">INDIRECT(ADDRESS(10,15,,,VLOOKUP($G$4,parameters!$G:$I,3,0)))</f>
        <v>7446.9021946020002</v>
      </c>
      <c r="Q10" s="183">
        <f ca="1">O10-P10</f>
        <v>1053.3818721490006</v>
      </c>
      <c r="R10" s="86"/>
    </row>
    <row r="11" spans="5:38" ht="20.45" customHeight="1">
      <c r="E11" s="87" t="s">
        <v>224</v>
      </c>
      <c r="F11" s="88"/>
      <c r="G11" s="89"/>
      <c r="H11" s="430">
        <f>13+8+3+3+2+14+119+J11</f>
        <v>171</v>
      </c>
      <c r="I11" s="61"/>
      <c r="J11" s="16">
        <v>9</v>
      </c>
      <c r="L11" s="159">
        <f>U18+J11</f>
        <v>9</v>
      </c>
      <c r="N11" s="55"/>
      <c r="O11" s="152">
        <f>+H11+K18</f>
        <v>257.25517468599998</v>
      </c>
      <c r="P11" s="153" cm="1">
        <f t="array" aca="1" ref="P11" ca="1">INDIRECT(ADDRESS(11,15,,,VLOOKUP($G$4,parameters!$G:$I,3,0)))</f>
        <v>250.67931550499998</v>
      </c>
      <c r="Q11" s="184">
        <f t="shared" ref="Q11:Q12" ca="1" si="0">O11-P11</f>
        <v>6.5758591809999984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4948</v>
      </c>
      <c r="I12" s="293"/>
      <c r="J12" s="126">
        <f>SUM(J10:J11)</f>
        <v>699</v>
      </c>
      <c r="K12" s="65"/>
      <c r="L12" s="126">
        <f>SUM(L10:L11)</f>
        <v>837</v>
      </c>
      <c r="M12" s="65"/>
      <c r="N12" s="65"/>
      <c r="O12" s="154">
        <f>SUM(O10:O11)</f>
        <v>8757.5392414370017</v>
      </c>
      <c r="P12" s="155">
        <f ca="1">SUM(P10:P11)</f>
        <v>7697.5815101070002</v>
      </c>
      <c r="Q12" s="156">
        <f t="shared" ca="1" si="0"/>
        <v>1059.9577313300015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5:38" ht="14.25">
      <c r="E17" s="120" t="s">
        <v>19</v>
      </c>
      <c r="F17" s="121"/>
      <c r="G17" s="121"/>
      <c r="H17" s="121"/>
      <c r="I17" s="121"/>
      <c r="J17" s="108">
        <f>+SUMIF($F$24:$F$87,"External",$J$24:$J$87)</f>
        <v>3723.2840667510004</v>
      </c>
      <c r="K17" s="108">
        <f>+SUMIF($F$24:$F$87,"External",$K$24:$K$87)</f>
        <v>3723.2840667510004</v>
      </c>
      <c r="L17" s="109">
        <f>+SUMIF($F$24:$F$87,"External",$L$24:$L$87)</f>
        <v>0</v>
      </c>
      <c r="M17" s="110"/>
      <c r="N17" s="111">
        <f t="shared" ref="N17:Y17" si="1">+SUMIF($F$24:$F$87,"External",N$24:N$87)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138</v>
      </c>
      <c r="V17" s="111">
        <f t="shared" si="1"/>
        <v>1439.2443060539999</v>
      </c>
      <c r="W17" s="111">
        <f t="shared" si="1"/>
        <v>1510.9285080220002</v>
      </c>
      <c r="X17" s="111">
        <f t="shared" si="1"/>
        <v>523.5246368469999</v>
      </c>
      <c r="Y17" s="111">
        <f t="shared" si="1"/>
        <v>111.58661582799999</v>
      </c>
      <c r="Z17" s="112"/>
      <c r="AA17" s="111">
        <f t="shared" ref="AA17:AL17" si="2">+SUMIF($F$24:$F$87,"External",AA$24:AA$87)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5:38" ht="14.25">
      <c r="E18" s="122" t="s">
        <v>17</v>
      </c>
      <c r="F18" s="123"/>
      <c r="G18" s="123"/>
      <c r="H18" s="123"/>
      <c r="I18" s="123"/>
      <c r="J18" s="113">
        <f>+SUMIF($F$24:$F$87,"Group",$J$24:$J$87)</f>
        <v>86.255174685999989</v>
      </c>
      <c r="K18" s="113">
        <f>+SUMIF($F$24:$F$87,"Group",$K$24:$K$87)</f>
        <v>86.255174685999989</v>
      </c>
      <c r="L18" s="114">
        <f>SUMIF($F$24:$F$87,"Group",$L$24:$L$87)</f>
        <v>0</v>
      </c>
      <c r="M18" s="110"/>
      <c r="N18" s="114">
        <f t="shared" ref="N18:Y18" si="3">+SUMIF($F$24:$F$87,"Group",N$24:N$87)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1.765515798</v>
      </c>
      <c r="W18" s="114">
        <f t="shared" si="3"/>
        <v>84.489658887999994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+SUMIF($F$24:$F$87,"Group",AA$24:AA$87)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5:38">
      <c r="E19" s="124" t="s">
        <v>226</v>
      </c>
      <c r="F19" s="125"/>
      <c r="G19" s="125"/>
      <c r="H19" s="125"/>
      <c r="I19" s="125"/>
      <c r="J19" s="115">
        <f>SUM(J17:J18)</f>
        <v>3809.5392414370003</v>
      </c>
      <c r="K19" s="115">
        <f>SUM(K17:K18)</f>
        <v>3809.5392414370003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138</v>
      </c>
      <c r="V19" s="116">
        <f t="shared" si="5"/>
        <v>1441.009821852</v>
      </c>
      <c r="W19" s="116">
        <f t="shared" si="5"/>
        <v>1595.4181669100001</v>
      </c>
      <c r="X19" s="116">
        <f t="shared" si="5"/>
        <v>523.5246368469999</v>
      </c>
      <c r="Y19" s="116">
        <f t="shared" si="5"/>
        <v>111.58661582799999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5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5:38" ht="18">
      <c r="E21" s="17"/>
      <c r="F21" s="18"/>
      <c r="G21" s="18"/>
      <c r="H21" s="18"/>
      <c r="I21" s="18" t="s">
        <v>231</v>
      </c>
      <c r="J21" s="25" t="str">
        <f>IF(SUM(J24:J87)=J19,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5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5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5:38">
      <c r="E24" s="6" t="s">
        <v>468</v>
      </c>
      <c r="F24" s="7" t="s">
        <v>19</v>
      </c>
      <c r="G24" s="6" t="s">
        <v>239</v>
      </c>
      <c r="H24" s="6" t="s">
        <v>278</v>
      </c>
      <c r="I24" s="6" t="s">
        <v>466</v>
      </c>
      <c r="J24" s="118">
        <f t="shared" ref="J24:J83" si="7">+K24+L24</f>
        <v>6.4492737049999995</v>
      </c>
      <c r="K24" s="119">
        <f t="shared" ref="K24:K83" si="8">SUM(N24:Y24)</f>
        <v>6.4492737049999995</v>
      </c>
      <c r="L24" s="119">
        <f t="shared" ref="L24:L75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>
        <v>4.7944134859999998</v>
      </c>
      <c r="X24" s="24">
        <v>1.6548602190000001</v>
      </c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5:38" ht="15.75" customHeight="1">
      <c r="E25" s="6" t="s">
        <v>469</v>
      </c>
      <c r="F25" s="7" t="s">
        <v>19</v>
      </c>
      <c r="G25" s="6" t="s">
        <v>237</v>
      </c>
      <c r="H25" s="6" t="s">
        <v>277</v>
      </c>
      <c r="I25" s="6" t="s">
        <v>466</v>
      </c>
      <c r="J25" s="118">
        <f t="shared" si="7"/>
        <v>13.386228027</v>
      </c>
      <c r="K25" s="119">
        <f t="shared" si="8"/>
        <v>13.386228027</v>
      </c>
      <c r="L25" s="119">
        <f t="shared" si="9"/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>
        <v>13.386228027</v>
      </c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5:38">
      <c r="E26" s="6" t="s">
        <v>573</v>
      </c>
      <c r="F26" s="7" t="s">
        <v>19</v>
      </c>
      <c r="G26" s="6" t="s">
        <v>561</v>
      </c>
      <c r="H26" s="6" t="s">
        <v>559</v>
      </c>
      <c r="I26" s="6" t="s">
        <v>472</v>
      </c>
      <c r="J26" s="118">
        <f t="shared" si="7"/>
        <v>92.379652743000008</v>
      </c>
      <c r="K26" s="119">
        <f t="shared" si="8"/>
        <v>92.379652743000008</v>
      </c>
      <c r="L26" s="119">
        <f t="shared" si="9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>
        <v>92.379652743000008</v>
      </c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5:38">
      <c r="E27" s="6" t="s">
        <v>571</v>
      </c>
      <c r="F27" s="7" t="s">
        <v>19</v>
      </c>
      <c r="G27" s="6" t="s">
        <v>529</v>
      </c>
      <c r="H27" s="6" t="s">
        <v>530</v>
      </c>
      <c r="I27" s="6" t="s">
        <v>472</v>
      </c>
      <c r="J27" s="118">
        <f t="shared" si="7"/>
        <v>283.77472089999998</v>
      </c>
      <c r="K27" s="119">
        <f t="shared" si="8"/>
        <v>283.77472089999998</v>
      </c>
      <c r="L27" s="119">
        <f t="shared" si="9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283.77472089999998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5:38">
      <c r="E28" s="6" t="s">
        <v>470</v>
      </c>
      <c r="F28" s="7" t="s">
        <v>19</v>
      </c>
      <c r="G28" s="6" t="s">
        <v>279</v>
      </c>
      <c r="H28" s="6" t="s">
        <v>280</v>
      </c>
      <c r="I28" s="6" t="s">
        <v>472</v>
      </c>
      <c r="J28" s="118">
        <f t="shared" si="7"/>
        <v>190.44402513600008</v>
      </c>
      <c r="K28" s="119">
        <f t="shared" si="8"/>
        <v>190.44402513600008</v>
      </c>
      <c r="L28" s="119">
        <f t="shared" si="9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>
        <v>7.0585135609999998</v>
      </c>
      <c r="W28" s="24">
        <v>153.22080756800005</v>
      </c>
      <c r="X28" s="24">
        <v>30.164704007000001</v>
      </c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5:38">
      <c r="E29" s="6" t="s">
        <v>541</v>
      </c>
      <c r="F29" s="7" t="s">
        <v>19</v>
      </c>
      <c r="G29" s="6" t="s">
        <v>279</v>
      </c>
      <c r="H29" s="6" t="s">
        <v>280</v>
      </c>
      <c r="I29" s="6" t="s">
        <v>472</v>
      </c>
      <c r="J29" s="118">
        <f t="shared" si="7"/>
        <v>151.30458358800001</v>
      </c>
      <c r="K29" s="119">
        <f t="shared" si="8"/>
        <v>151.30458358800001</v>
      </c>
      <c r="L29" s="119">
        <f t="shared" si="9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>
        <v>151.30458358800001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5:38">
      <c r="E30" s="6" t="s">
        <v>281</v>
      </c>
      <c r="F30" s="7" t="s">
        <v>19</v>
      </c>
      <c r="G30" s="6" t="s">
        <v>282</v>
      </c>
      <c r="H30" s="6" t="s">
        <v>283</v>
      </c>
      <c r="I30" s="6" t="s">
        <v>466</v>
      </c>
      <c r="J30" s="118">
        <f t="shared" si="7"/>
        <v>14.074951203000007</v>
      </c>
      <c r="K30" s="119">
        <f t="shared" si="8"/>
        <v>14.074951203000007</v>
      </c>
      <c r="L30" s="119">
        <f t="shared" si="9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>
        <v>13.383209775000006</v>
      </c>
      <c r="W30" s="24"/>
      <c r="X30" s="24"/>
      <c r="Y30" s="24">
        <v>0.69174142800000005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5:38">
      <c r="E31" s="6" t="s">
        <v>446</v>
      </c>
      <c r="F31" s="7" t="s">
        <v>19</v>
      </c>
      <c r="G31" s="6" t="s">
        <v>493</v>
      </c>
      <c r="H31" s="6" t="s">
        <v>339</v>
      </c>
      <c r="I31" s="6" t="s">
        <v>472</v>
      </c>
      <c r="J31" s="118">
        <f t="shared" si="7"/>
        <v>0.36850208000000001</v>
      </c>
      <c r="K31" s="119">
        <f t="shared" si="8"/>
        <v>0.36850208000000001</v>
      </c>
      <c r="L31" s="119">
        <f t="shared" si="9"/>
        <v>0</v>
      </c>
      <c r="M31" s="15"/>
      <c r="N31" s="24"/>
      <c r="O31" s="24"/>
      <c r="P31" s="24"/>
      <c r="Q31" s="24"/>
      <c r="R31" s="24"/>
      <c r="S31" s="24"/>
      <c r="T31" s="24"/>
      <c r="U31" s="24"/>
      <c r="V31" s="24">
        <v>0.36850208000000001</v>
      </c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5:38">
      <c r="E32" s="6" t="s">
        <v>473</v>
      </c>
      <c r="F32" s="7" t="s">
        <v>17</v>
      </c>
      <c r="G32" s="6" t="s">
        <v>493</v>
      </c>
      <c r="H32" s="6" t="s">
        <v>339</v>
      </c>
      <c r="I32" s="6" t="s">
        <v>472</v>
      </c>
      <c r="J32" s="118">
        <f t="shared" si="7"/>
        <v>86.255174685999989</v>
      </c>
      <c r="K32" s="119">
        <f t="shared" si="8"/>
        <v>86.255174685999989</v>
      </c>
      <c r="L32" s="119">
        <f t="shared" si="9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>
        <v>1.765515798</v>
      </c>
      <c r="W32" s="24">
        <v>84.489658887999994</v>
      </c>
      <c r="X32" s="24"/>
      <c r="Y32" s="24"/>
    </row>
    <row r="33" spans="5:25">
      <c r="E33" s="6" t="s">
        <v>474</v>
      </c>
      <c r="F33" s="7" t="s">
        <v>19</v>
      </c>
      <c r="G33" s="6" t="s">
        <v>279</v>
      </c>
      <c r="H33" s="6" t="s">
        <v>280</v>
      </c>
      <c r="I33" s="6" t="s">
        <v>472</v>
      </c>
      <c r="J33" s="118">
        <f t="shared" si="7"/>
        <v>114.986673357</v>
      </c>
      <c r="K33" s="119">
        <f t="shared" si="8"/>
        <v>114.986673357</v>
      </c>
      <c r="L33" s="119">
        <f t="shared" si="9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114.986673357</v>
      </c>
      <c r="X33" s="24"/>
      <c r="Y33" s="24"/>
    </row>
    <row r="34" spans="5:25">
      <c r="E34" s="6" t="s">
        <v>475</v>
      </c>
      <c r="F34" s="7" t="s">
        <v>19</v>
      </c>
      <c r="G34" s="6" t="s">
        <v>245</v>
      </c>
      <c r="H34" s="6" t="s">
        <v>288</v>
      </c>
      <c r="I34" s="6" t="s">
        <v>466</v>
      </c>
      <c r="J34" s="118">
        <f t="shared" si="7"/>
        <v>5.0478331880000002</v>
      </c>
      <c r="K34" s="119">
        <f t="shared" si="8"/>
        <v>5.0478331880000002</v>
      </c>
      <c r="L34" s="119">
        <f t="shared" si="9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>
        <v>5.0478331880000002</v>
      </c>
      <c r="W34" s="24"/>
      <c r="X34" s="24"/>
      <c r="Y34" s="24"/>
    </row>
    <row r="35" spans="5:25">
      <c r="E35" s="6" t="s">
        <v>476</v>
      </c>
      <c r="F35" s="7" t="s">
        <v>19</v>
      </c>
      <c r="G35" s="6" t="s">
        <v>247</v>
      </c>
      <c r="H35" s="6" t="s">
        <v>289</v>
      </c>
      <c r="I35" s="6" t="s">
        <v>466</v>
      </c>
      <c r="J35" s="118">
        <f t="shared" si="7"/>
        <v>110.983724161</v>
      </c>
      <c r="K35" s="119">
        <f t="shared" si="8"/>
        <v>110.983724161</v>
      </c>
      <c r="L35" s="119">
        <f t="shared" si="9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40.474034161000006</v>
      </c>
      <c r="W35" s="24">
        <v>23.503229999999999</v>
      </c>
      <c r="X35" s="24">
        <v>18.626809999999999</v>
      </c>
      <c r="Y35" s="24">
        <v>28.379649999999998</v>
      </c>
    </row>
    <row r="36" spans="5:25">
      <c r="E36" s="6" t="s">
        <v>476</v>
      </c>
      <c r="F36" s="7" t="s">
        <v>19</v>
      </c>
      <c r="G36" s="6" t="s">
        <v>379</v>
      </c>
      <c r="H36" s="6" t="s">
        <v>291</v>
      </c>
      <c r="I36" s="6" t="s">
        <v>466</v>
      </c>
      <c r="J36" s="118">
        <f t="shared" si="7"/>
        <v>108.91328</v>
      </c>
      <c r="K36" s="119">
        <f t="shared" si="8"/>
        <v>108.91328</v>
      </c>
      <c r="L36" s="119">
        <f t="shared" si="9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77</v>
      </c>
      <c r="W36" s="24">
        <v>18.902900000000002</v>
      </c>
      <c r="X36" s="24">
        <v>13.010380000000001</v>
      </c>
      <c r="Y36" s="24"/>
    </row>
    <row r="37" spans="5:25">
      <c r="E37" s="6" t="s">
        <v>476</v>
      </c>
      <c r="F37" s="7" t="s">
        <v>19</v>
      </c>
      <c r="G37" s="6" t="s">
        <v>454</v>
      </c>
      <c r="H37" s="6" t="s">
        <v>292</v>
      </c>
      <c r="I37" s="6" t="s">
        <v>466</v>
      </c>
      <c r="J37" s="118">
        <f t="shared" si="7"/>
        <v>597.83694060000028</v>
      </c>
      <c r="K37" s="119">
        <f t="shared" si="8"/>
        <v>597.83694060000028</v>
      </c>
      <c r="L37" s="119">
        <f t="shared" si="9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>
        <v>92</v>
      </c>
      <c r="W37" s="24">
        <v>491.34610060000034</v>
      </c>
      <c r="X37" s="24">
        <v>7.2454200000000002</v>
      </c>
      <c r="Y37" s="24">
        <v>7.2454200000000002</v>
      </c>
    </row>
    <row r="38" spans="5:25">
      <c r="E38" s="6" t="s">
        <v>476</v>
      </c>
      <c r="F38" s="7" t="s">
        <v>19</v>
      </c>
      <c r="G38" s="6" t="s">
        <v>293</v>
      </c>
      <c r="H38" s="6" t="s">
        <v>294</v>
      </c>
      <c r="I38" s="6" t="s">
        <v>466</v>
      </c>
      <c r="J38" s="118">
        <f t="shared" si="7"/>
        <v>50.994423000000005</v>
      </c>
      <c r="K38" s="119">
        <f t="shared" si="8"/>
        <v>50.994423000000005</v>
      </c>
      <c r="L38" s="119">
        <f t="shared" si="9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>
        <v>16.33737</v>
      </c>
      <c r="X38" s="24">
        <v>18.319683000000001</v>
      </c>
      <c r="Y38" s="24">
        <v>16.33737</v>
      </c>
    </row>
    <row r="39" spans="5:25">
      <c r="E39" s="6" t="s">
        <v>476</v>
      </c>
      <c r="F39" s="7" t="s">
        <v>19</v>
      </c>
      <c r="G39" s="6" t="s">
        <v>447</v>
      </c>
      <c r="H39" s="6" t="s">
        <v>448</v>
      </c>
      <c r="I39" s="6" t="s">
        <v>466</v>
      </c>
      <c r="J39" s="118">
        <f t="shared" si="7"/>
        <v>121.51132199999999</v>
      </c>
      <c r="K39" s="119">
        <f t="shared" si="8"/>
        <v>121.51132199999999</v>
      </c>
      <c r="L39" s="119">
        <f t="shared" si="9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>
        <f>19.3074844+49</f>
        <v>68.307484399999993</v>
      </c>
      <c r="X39" s="24">
        <v>29.091133200000002</v>
      </c>
      <c r="Y39" s="24">
        <v>24.112704400000002</v>
      </c>
    </row>
    <row r="40" spans="5:25">
      <c r="E40" s="6" t="s">
        <v>476</v>
      </c>
      <c r="F40" s="7" t="s">
        <v>19</v>
      </c>
      <c r="G40" s="6" t="s">
        <v>252</v>
      </c>
      <c r="H40" s="6" t="s">
        <v>295</v>
      </c>
      <c r="I40" s="6" t="s">
        <v>466</v>
      </c>
      <c r="J40" s="118">
        <f t="shared" si="7"/>
        <v>5</v>
      </c>
      <c r="K40" s="119">
        <f t="shared" si="8"/>
        <v>5</v>
      </c>
      <c r="L40" s="119">
        <f t="shared" si="9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>
        <v>5</v>
      </c>
      <c r="X40" s="24"/>
      <c r="Y40" s="24"/>
    </row>
    <row r="41" spans="5:25">
      <c r="E41" s="6" t="s">
        <v>476</v>
      </c>
      <c r="F41" s="7" t="s">
        <v>19</v>
      </c>
      <c r="G41" s="6" t="s">
        <v>245</v>
      </c>
      <c r="H41" s="6" t="s">
        <v>288</v>
      </c>
      <c r="I41" s="6" t="s">
        <v>466</v>
      </c>
      <c r="J41" s="118">
        <f t="shared" si="7"/>
        <v>15</v>
      </c>
      <c r="K41" s="119">
        <f t="shared" si="8"/>
        <v>15</v>
      </c>
      <c r="L41" s="119">
        <f t="shared" si="9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>
        <v>15</v>
      </c>
      <c r="X41" s="24"/>
      <c r="Y41" s="24"/>
    </row>
    <row r="42" spans="5:25">
      <c r="E42" s="6" t="s">
        <v>476</v>
      </c>
      <c r="F42" s="7" t="s">
        <v>19</v>
      </c>
      <c r="G42" s="6" t="s">
        <v>378</v>
      </c>
      <c r="H42" s="6" t="s">
        <v>290</v>
      </c>
      <c r="I42" s="6" t="s">
        <v>466</v>
      </c>
      <c r="J42" s="118">
        <f t="shared" si="7"/>
        <v>142.41814700599997</v>
      </c>
      <c r="K42" s="119">
        <f t="shared" si="8"/>
        <v>142.41814700599997</v>
      </c>
      <c r="L42" s="119">
        <f t="shared" si="9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>
        <v>55.110722405999994</v>
      </c>
      <c r="W42" s="24">
        <f>21.4895146+14</f>
        <v>35.4895146</v>
      </c>
      <c r="X42" s="24">
        <v>16.998179999999998</v>
      </c>
      <c r="Y42" s="24">
        <v>34.819729999999993</v>
      </c>
    </row>
    <row r="43" spans="5:25">
      <c r="E43" s="6" t="s">
        <v>478</v>
      </c>
      <c r="F43" s="7" t="s">
        <v>19</v>
      </c>
      <c r="G43" s="6" t="s">
        <v>245</v>
      </c>
      <c r="H43" s="6" t="s">
        <v>288</v>
      </c>
      <c r="I43" s="6" t="s">
        <v>466</v>
      </c>
      <c r="J43" s="118">
        <f t="shared" si="7"/>
        <v>61.835956552999995</v>
      </c>
      <c r="K43" s="119">
        <f t="shared" si="8"/>
        <v>61.835956552999995</v>
      </c>
      <c r="L43" s="119">
        <f t="shared" si="9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>
        <v>61.835956552999995</v>
      </c>
      <c r="X43" s="24"/>
      <c r="Y43" s="24"/>
    </row>
    <row r="44" spans="5:25">
      <c r="E44" s="6" t="s">
        <v>414</v>
      </c>
      <c r="F44" s="7" t="s">
        <v>19</v>
      </c>
      <c r="G44" s="6" t="s">
        <v>245</v>
      </c>
      <c r="H44" s="6" t="s">
        <v>288</v>
      </c>
      <c r="I44" s="6" t="s">
        <v>466</v>
      </c>
      <c r="J44" s="118">
        <f t="shared" si="7"/>
        <v>58.404625406000008</v>
      </c>
      <c r="K44" s="119">
        <f t="shared" si="8"/>
        <v>58.404625406000008</v>
      </c>
      <c r="L44" s="119">
        <f t="shared" si="9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>
        <v>58.404625406000008</v>
      </c>
      <c r="X44" s="24"/>
      <c r="Y44" s="24"/>
    </row>
    <row r="45" spans="5:25">
      <c r="E45" s="6" t="s">
        <v>450</v>
      </c>
      <c r="F45" s="7" t="s">
        <v>19</v>
      </c>
      <c r="G45" s="6" t="s">
        <v>282</v>
      </c>
      <c r="H45" s="6" t="s">
        <v>283</v>
      </c>
      <c r="I45" s="6" t="s">
        <v>466</v>
      </c>
      <c r="J45" s="118">
        <f t="shared" si="7"/>
        <v>1.9389453999999999</v>
      </c>
      <c r="K45" s="119">
        <f t="shared" si="8"/>
        <v>1.9389453999999999</v>
      </c>
      <c r="L45" s="119">
        <f t="shared" si="9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1</v>
      </c>
      <c r="W45" s="24"/>
      <c r="X45" s="24">
        <v>0.93894539999999993</v>
      </c>
      <c r="Y45" s="24"/>
    </row>
    <row r="46" spans="5:25">
      <c r="E46" s="6" t="s">
        <v>450</v>
      </c>
      <c r="F46" s="7" t="s">
        <v>19</v>
      </c>
      <c r="G46" s="6" t="s">
        <v>500</v>
      </c>
      <c r="H46" s="6" t="s">
        <v>305</v>
      </c>
      <c r="I46" s="6" t="s">
        <v>466</v>
      </c>
      <c r="J46" s="118">
        <f t="shared" si="7"/>
        <v>3</v>
      </c>
      <c r="K46" s="119">
        <f t="shared" si="8"/>
        <v>3</v>
      </c>
      <c r="L46" s="119">
        <f t="shared" si="9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3</v>
      </c>
      <c r="W46" s="24"/>
      <c r="X46" s="24"/>
      <c r="Y46" s="24"/>
    </row>
    <row r="47" spans="5:25">
      <c r="E47" s="6" t="s">
        <v>450</v>
      </c>
      <c r="F47" s="7" t="s">
        <v>19</v>
      </c>
      <c r="G47" s="6" t="s">
        <v>500</v>
      </c>
      <c r="H47" s="6" t="s">
        <v>305</v>
      </c>
      <c r="I47" s="6" t="s">
        <v>472</v>
      </c>
      <c r="J47" s="118">
        <f t="shared" si="7"/>
        <v>120.664294008</v>
      </c>
      <c r="K47" s="119">
        <f t="shared" si="8"/>
        <v>120.664294008</v>
      </c>
      <c r="L47" s="119">
        <f t="shared" si="9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f>91.971648288-50</f>
        <v>41.971648287999997</v>
      </c>
      <c r="W47" s="24">
        <f>18+50</f>
        <v>68</v>
      </c>
      <c r="X47" s="24">
        <v>10.69264572</v>
      </c>
      <c r="Y47" s="24"/>
    </row>
    <row r="48" spans="5:25">
      <c r="E48" s="6" t="s">
        <v>450</v>
      </c>
      <c r="F48" s="7" t="s">
        <v>19</v>
      </c>
      <c r="G48" s="6" t="s">
        <v>256</v>
      </c>
      <c r="H48" s="6" t="s">
        <v>303</v>
      </c>
      <c r="I48" s="6" t="s">
        <v>466</v>
      </c>
      <c r="J48" s="118">
        <f t="shared" si="7"/>
        <v>180.41726613200001</v>
      </c>
      <c r="K48" s="119">
        <f t="shared" si="8"/>
        <v>180.41726613200001</v>
      </c>
      <c r="L48" s="119">
        <f t="shared" si="9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f>161.417266132-100</f>
        <v>61.417266132000009</v>
      </c>
      <c r="W48" s="24">
        <f>19+100</f>
        <v>119</v>
      </c>
      <c r="X48" s="24"/>
      <c r="Y48" s="24"/>
    </row>
    <row r="49" spans="5:25">
      <c r="E49" s="6" t="s">
        <v>450</v>
      </c>
      <c r="F49" s="7" t="s">
        <v>19</v>
      </c>
      <c r="G49" s="6" t="s">
        <v>237</v>
      </c>
      <c r="H49" s="6" t="s">
        <v>277</v>
      </c>
      <c r="I49" s="6" t="s">
        <v>466</v>
      </c>
      <c r="J49" s="118">
        <f t="shared" si="7"/>
        <v>21.309330714999998</v>
      </c>
      <c r="K49" s="119">
        <f t="shared" si="8"/>
        <v>21.309330714999998</v>
      </c>
      <c r="L49" s="119">
        <f t="shared" si="9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>
        <v>21.309330714999998</v>
      </c>
      <c r="W49" s="24"/>
      <c r="X49" s="24"/>
      <c r="Y49" s="24"/>
    </row>
    <row r="50" spans="5:25">
      <c r="E50" s="6" t="s">
        <v>572</v>
      </c>
      <c r="F50" s="7" t="s">
        <v>19</v>
      </c>
      <c r="G50" s="6" t="s">
        <v>441</v>
      </c>
      <c r="H50" s="6" t="s">
        <v>481</v>
      </c>
      <c r="I50" s="6" t="s">
        <v>466</v>
      </c>
      <c r="J50" s="118">
        <f t="shared" si="7"/>
        <v>220.66658805699993</v>
      </c>
      <c r="K50" s="119">
        <f t="shared" si="8"/>
        <v>220.66658805699993</v>
      </c>
      <c r="L50" s="119">
        <f t="shared" si="9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>
        <v>217.20774657699994</v>
      </c>
      <c r="W50" s="24">
        <v>3.4588414799999998</v>
      </c>
      <c r="X50" s="24"/>
      <c r="Y50" s="24"/>
    </row>
    <row r="51" spans="5:25">
      <c r="E51" s="6" t="s">
        <v>569</v>
      </c>
      <c r="F51" s="7" t="s">
        <v>19</v>
      </c>
      <c r="G51" s="6" t="s">
        <v>447</v>
      </c>
      <c r="H51" s="6" t="s">
        <v>448</v>
      </c>
      <c r="I51" s="6" t="s">
        <v>466</v>
      </c>
      <c r="J51" s="118">
        <f t="shared" si="7"/>
        <v>1.0213622</v>
      </c>
      <c r="K51" s="119">
        <f t="shared" si="8"/>
        <v>1.0213622</v>
      </c>
      <c r="L51" s="119">
        <f t="shared" si="9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>
        <v>1.0213622</v>
      </c>
      <c r="W51" s="24"/>
      <c r="X51" s="24"/>
      <c r="Y51" s="24"/>
    </row>
    <row r="52" spans="5:25">
      <c r="E52" s="6" t="s">
        <v>569</v>
      </c>
      <c r="F52" s="7" t="s">
        <v>19</v>
      </c>
      <c r="G52" s="6" t="s">
        <v>378</v>
      </c>
      <c r="H52" s="6" t="s">
        <v>290</v>
      </c>
      <c r="I52" s="6" t="s">
        <v>466</v>
      </c>
      <c r="J52" s="118">
        <f t="shared" si="7"/>
        <v>34.208617800000006</v>
      </c>
      <c r="K52" s="119">
        <f t="shared" si="8"/>
        <v>34.208617800000006</v>
      </c>
      <c r="L52" s="119">
        <f t="shared" si="9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>
        <v>34.208617800000006</v>
      </c>
      <c r="W52" s="24"/>
      <c r="X52" s="24"/>
      <c r="Y52" s="24"/>
    </row>
    <row r="53" spans="5:25">
      <c r="E53" s="6" t="s">
        <v>483</v>
      </c>
      <c r="F53" s="7" t="s">
        <v>19</v>
      </c>
      <c r="G53" s="6" t="s">
        <v>258</v>
      </c>
      <c r="H53" s="6" t="s">
        <v>306</v>
      </c>
      <c r="I53" s="6" t="s">
        <v>466</v>
      </c>
      <c r="J53" s="118">
        <f t="shared" si="7"/>
        <v>25.802893587</v>
      </c>
      <c r="K53" s="119">
        <f t="shared" si="8"/>
        <v>25.802893587</v>
      </c>
      <c r="L53" s="119">
        <f t="shared" si="9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>
        <v>14.802893586999998</v>
      </c>
      <c r="W53" s="24">
        <v>11</v>
      </c>
      <c r="X53" s="24"/>
      <c r="Y53" s="24"/>
    </row>
    <row r="54" spans="5:25">
      <c r="E54" s="6" t="s">
        <v>484</v>
      </c>
      <c r="F54" s="7" t="s">
        <v>19</v>
      </c>
      <c r="G54" s="6" t="s">
        <v>504</v>
      </c>
      <c r="H54" s="6" t="s">
        <v>307</v>
      </c>
      <c r="I54" s="6" t="s">
        <v>472</v>
      </c>
      <c r="J54" s="118">
        <f t="shared" si="7"/>
        <v>43.649042366999993</v>
      </c>
      <c r="K54" s="119">
        <f t="shared" si="8"/>
        <v>43.649042366999993</v>
      </c>
      <c r="L54" s="119">
        <f t="shared" si="9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>
        <v>43.649042366999993</v>
      </c>
      <c r="Y54" s="24"/>
    </row>
    <row r="55" spans="5:25">
      <c r="E55" s="6" t="s">
        <v>484</v>
      </c>
      <c r="F55" s="7" t="s">
        <v>19</v>
      </c>
      <c r="G55" s="6" t="s">
        <v>503</v>
      </c>
      <c r="H55" s="6" t="s">
        <v>311</v>
      </c>
      <c r="I55" s="6" t="s">
        <v>472</v>
      </c>
      <c r="J55" s="118">
        <f t="shared" si="7"/>
        <v>1.173521574</v>
      </c>
      <c r="K55" s="119">
        <f t="shared" si="8"/>
        <v>1.173521574</v>
      </c>
      <c r="L55" s="119">
        <f t="shared" si="9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>
        <v>1.173521574</v>
      </c>
      <c r="Y55" s="24"/>
    </row>
    <row r="56" spans="5:25">
      <c r="E56" s="6" t="s">
        <v>484</v>
      </c>
      <c r="F56" s="7" t="s">
        <v>19</v>
      </c>
      <c r="G56" s="6" t="s">
        <v>500</v>
      </c>
      <c r="H56" s="6" t="s">
        <v>305</v>
      </c>
      <c r="I56" s="6" t="s">
        <v>472</v>
      </c>
      <c r="J56" s="118">
        <f t="shared" si="7"/>
        <v>51.321366421999997</v>
      </c>
      <c r="K56" s="119">
        <f t="shared" si="8"/>
        <v>51.321366421999997</v>
      </c>
      <c r="L56" s="119">
        <f t="shared" si="9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>
        <v>51.321366421999997</v>
      </c>
      <c r="Y56" s="24"/>
    </row>
    <row r="57" spans="5:25">
      <c r="E57" s="6" t="s">
        <v>484</v>
      </c>
      <c r="F57" s="7" t="s">
        <v>19</v>
      </c>
      <c r="G57" s="6" t="s">
        <v>370</v>
      </c>
      <c r="H57" s="6" t="s">
        <v>308</v>
      </c>
      <c r="I57" s="6" t="s">
        <v>472</v>
      </c>
      <c r="J57" s="118">
        <f t="shared" si="7"/>
        <v>29.382537231999997</v>
      </c>
      <c r="K57" s="119">
        <f t="shared" si="8"/>
        <v>29.382537231999997</v>
      </c>
      <c r="L57" s="119">
        <f t="shared" si="9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>
        <v>29.382537231999997</v>
      </c>
      <c r="Y57" s="24"/>
    </row>
    <row r="58" spans="5:25">
      <c r="E58" s="6" t="s">
        <v>484</v>
      </c>
      <c r="F58" s="7" t="s">
        <v>19</v>
      </c>
      <c r="G58" s="6" t="s">
        <v>454</v>
      </c>
      <c r="H58" s="6" t="s">
        <v>292</v>
      </c>
      <c r="I58" s="6" t="s">
        <v>472</v>
      </c>
      <c r="J58" s="118">
        <f t="shared" si="7"/>
        <v>7.5711713750000005</v>
      </c>
      <c r="K58" s="119">
        <f t="shared" si="8"/>
        <v>7.5711713750000005</v>
      </c>
      <c r="L58" s="119">
        <f t="shared" si="9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>
        <v>7.5711713750000005</v>
      </c>
      <c r="Y58" s="24"/>
    </row>
    <row r="59" spans="5:25">
      <c r="E59" s="6" t="s">
        <v>451</v>
      </c>
      <c r="F59" s="7" t="s">
        <v>19</v>
      </c>
      <c r="G59" s="6" t="s">
        <v>504</v>
      </c>
      <c r="H59" s="6" t="s">
        <v>307</v>
      </c>
      <c r="I59" s="6" t="s">
        <v>466</v>
      </c>
      <c r="J59" s="118">
        <f t="shared" si="7"/>
        <v>13.206827364</v>
      </c>
      <c r="K59" s="119">
        <f t="shared" si="8"/>
        <v>13.206827364</v>
      </c>
      <c r="L59" s="119">
        <f t="shared" si="9"/>
        <v>0</v>
      </c>
      <c r="N59" s="24"/>
      <c r="O59" s="24"/>
      <c r="P59" s="24"/>
      <c r="Q59" s="24"/>
      <c r="R59" s="24"/>
      <c r="S59" s="24"/>
      <c r="T59" s="24"/>
      <c r="U59" s="24"/>
      <c r="V59" s="24">
        <v>11.206827364</v>
      </c>
      <c r="W59" s="24">
        <v>2</v>
      </c>
      <c r="X59" s="24"/>
      <c r="Y59" s="24"/>
    </row>
    <row r="60" spans="5:25">
      <c r="E60" s="6" t="s">
        <v>451</v>
      </c>
      <c r="F60" s="7" t="s">
        <v>19</v>
      </c>
      <c r="G60" s="6" t="s">
        <v>370</v>
      </c>
      <c r="H60" s="6" t="s">
        <v>308</v>
      </c>
      <c r="I60" s="6" t="s">
        <v>466</v>
      </c>
      <c r="J60" s="118">
        <f t="shared" si="7"/>
        <v>2.1636036089999999</v>
      </c>
      <c r="K60" s="119">
        <f t="shared" si="8"/>
        <v>2.1636036089999999</v>
      </c>
      <c r="L60" s="119">
        <f t="shared" si="9"/>
        <v>0</v>
      </c>
      <c r="N60" s="24"/>
      <c r="O60" s="24"/>
      <c r="P60" s="24"/>
      <c r="Q60" s="24"/>
      <c r="R60" s="24"/>
      <c r="S60" s="24"/>
      <c r="T60" s="24"/>
      <c r="U60" s="24"/>
      <c r="V60" s="24">
        <v>2.1636036089999999</v>
      </c>
      <c r="W60" s="24"/>
      <c r="X60" s="24"/>
      <c r="Y60" s="24"/>
    </row>
    <row r="61" spans="5:25">
      <c r="E61" s="6" t="s">
        <v>451</v>
      </c>
      <c r="F61" s="7" t="s">
        <v>19</v>
      </c>
      <c r="G61" s="6" t="s">
        <v>370</v>
      </c>
      <c r="H61" s="6" t="s">
        <v>308</v>
      </c>
      <c r="I61" s="6" t="s">
        <v>472</v>
      </c>
      <c r="J61" s="118">
        <f t="shared" si="7"/>
        <v>3.910132183</v>
      </c>
      <c r="K61" s="119">
        <f t="shared" si="8"/>
        <v>3.910132183</v>
      </c>
      <c r="L61" s="119">
        <f t="shared" si="9"/>
        <v>0</v>
      </c>
      <c r="N61" s="24"/>
      <c r="O61" s="24"/>
      <c r="P61" s="24"/>
      <c r="Q61" s="24"/>
      <c r="R61" s="24"/>
      <c r="S61" s="24"/>
      <c r="T61" s="24"/>
      <c r="U61" s="24"/>
      <c r="V61" s="24">
        <v>3.910132183</v>
      </c>
      <c r="W61" s="24"/>
      <c r="X61" s="24"/>
      <c r="Y61" s="24"/>
    </row>
    <row r="62" spans="5:25">
      <c r="E62" s="6" t="s">
        <v>577</v>
      </c>
      <c r="F62" s="7" t="s">
        <v>19</v>
      </c>
      <c r="G62" s="6" t="s">
        <v>500</v>
      </c>
      <c r="H62" s="6" t="s">
        <v>305</v>
      </c>
      <c r="I62" s="6" t="s">
        <v>472</v>
      </c>
      <c r="J62" s="118">
        <f t="shared" si="7"/>
        <v>19.768845337000002</v>
      </c>
      <c r="K62" s="119">
        <f t="shared" si="8"/>
        <v>19.768845337000002</v>
      </c>
      <c r="L62" s="119">
        <f t="shared" si="9"/>
        <v>0</v>
      </c>
      <c r="N62" s="24"/>
      <c r="O62" s="24"/>
      <c r="P62" s="24"/>
      <c r="Q62" s="24"/>
      <c r="R62" s="24"/>
      <c r="S62" s="24"/>
      <c r="T62" s="24"/>
      <c r="U62" s="24"/>
      <c r="V62" s="24">
        <v>19.768845337000002</v>
      </c>
      <c r="W62" s="24"/>
      <c r="X62" s="24"/>
      <c r="Y62" s="24"/>
    </row>
    <row r="63" spans="5:25">
      <c r="E63" s="6" t="s">
        <v>485</v>
      </c>
      <c r="F63" s="7" t="s">
        <v>19</v>
      </c>
      <c r="G63" s="6" t="s">
        <v>529</v>
      </c>
      <c r="H63" s="6" t="s">
        <v>530</v>
      </c>
      <c r="I63" s="6" t="s">
        <v>472</v>
      </c>
      <c r="J63" s="118">
        <f t="shared" si="7"/>
        <v>18.610925000000002</v>
      </c>
      <c r="K63" s="119">
        <f t="shared" si="8"/>
        <v>18.610925000000002</v>
      </c>
      <c r="L63" s="119">
        <f t="shared" si="9"/>
        <v>0</v>
      </c>
      <c r="N63" s="24"/>
      <c r="O63" s="24"/>
      <c r="P63" s="24"/>
      <c r="Q63" s="24"/>
      <c r="R63" s="24"/>
      <c r="S63" s="24"/>
      <c r="T63" s="24"/>
      <c r="U63" s="24"/>
      <c r="V63" s="24">
        <v>18.610925000000002</v>
      </c>
      <c r="W63" s="24"/>
      <c r="X63" s="24"/>
      <c r="Y63" s="24"/>
    </row>
    <row r="64" spans="5:25">
      <c r="E64" s="6" t="s">
        <v>589</v>
      </c>
      <c r="F64" s="7" t="s">
        <v>19</v>
      </c>
      <c r="G64" s="6" t="s">
        <v>282</v>
      </c>
      <c r="H64" s="6" t="s">
        <v>283</v>
      </c>
      <c r="I64" s="6" t="s">
        <v>466</v>
      </c>
      <c r="J64" s="118">
        <f t="shared" si="7"/>
        <v>1.9666872719999999</v>
      </c>
      <c r="K64" s="119">
        <f t="shared" si="8"/>
        <v>1.9666872719999999</v>
      </c>
      <c r="L64" s="119">
        <f t="shared" si="9"/>
        <v>0</v>
      </c>
      <c r="N64" s="24"/>
      <c r="O64" s="24"/>
      <c r="P64" s="24"/>
      <c r="Q64" s="24"/>
      <c r="R64" s="24"/>
      <c r="S64" s="24"/>
      <c r="T64" s="24"/>
      <c r="U64" s="24"/>
      <c r="V64" s="24"/>
      <c r="W64" s="24">
        <v>1.9666872719999999</v>
      </c>
      <c r="X64" s="24"/>
      <c r="Y64" s="24"/>
    </row>
    <row r="65" spans="5:25">
      <c r="E65" s="6" t="s">
        <v>268</v>
      </c>
      <c r="F65" s="7" t="s">
        <v>19</v>
      </c>
      <c r="G65" s="6" t="s">
        <v>374</v>
      </c>
      <c r="H65" s="6" t="s">
        <v>317</v>
      </c>
      <c r="I65" s="6" t="s">
        <v>466</v>
      </c>
      <c r="J65" s="118">
        <f t="shared" si="7"/>
        <v>4</v>
      </c>
      <c r="K65" s="119">
        <f t="shared" si="8"/>
        <v>4</v>
      </c>
      <c r="L65" s="119">
        <f t="shared" si="9"/>
        <v>0</v>
      </c>
      <c r="N65" s="24"/>
      <c r="O65" s="24"/>
      <c r="P65" s="24"/>
      <c r="Q65" s="24"/>
      <c r="R65" s="24"/>
      <c r="S65" s="24"/>
      <c r="T65" s="24"/>
      <c r="U65" s="24"/>
      <c r="V65" s="24">
        <v>4</v>
      </c>
      <c r="W65" s="24"/>
      <c r="X65" s="24"/>
      <c r="Y65" s="24"/>
    </row>
    <row r="66" spans="5:25">
      <c r="E66" s="6" t="s">
        <v>270</v>
      </c>
      <c r="F66" s="7" t="s">
        <v>19</v>
      </c>
      <c r="G66" s="6" t="s">
        <v>441</v>
      </c>
      <c r="H66" s="6" t="s">
        <v>481</v>
      </c>
      <c r="I66" s="6" t="s">
        <v>466</v>
      </c>
      <c r="J66" s="118">
        <f t="shared" si="7"/>
        <v>35.503772999999995</v>
      </c>
      <c r="K66" s="119">
        <f t="shared" si="8"/>
        <v>35.503772999999995</v>
      </c>
      <c r="L66" s="119">
        <f t="shared" si="9"/>
        <v>0</v>
      </c>
      <c r="N66" s="24"/>
      <c r="O66" s="24"/>
      <c r="P66" s="24"/>
      <c r="Q66" s="24"/>
      <c r="R66" s="24"/>
      <c r="S66" s="24"/>
      <c r="T66" s="24"/>
      <c r="U66" s="24"/>
      <c r="V66" s="24">
        <v>27</v>
      </c>
      <c r="W66" s="24">
        <v>8.5037729999999989</v>
      </c>
      <c r="X66" s="24"/>
      <c r="Y66" s="24"/>
    </row>
    <row r="67" spans="5:25">
      <c r="E67" s="6" t="s">
        <v>270</v>
      </c>
      <c r="F67" s="7" t="s">
        <v>19</v>
      </c>
      <c r="G67" s="6" t="s">
        <v>374</v>
      </c>
      <c r="H67" s="6" t="s">
        <v>317</v>
      </c>
      <c r="I67" s="6" t="s">
        <v>466</v>
      </c>
      <c r="J67" s="118">
        <f t="shared" si="7"/>
        <v>40.282819357000001</v>
      </c>
      <c r="K67" s="119">
        <f t="shared" si="8"/>
        <v>40.282819357000001</v>
      </c>
      <c r="L67" s="119">
        <f t="shared" si="9"/>
        <v>0</v>
      </c>
      <c r="N67" s="24"/>
      <c r="O67" s="24"/>
      <c r="P67" s="24"/>
      <c r="Q67" s="24"/>
      <c r="R67" s="24"/>
      <c r="S67" s="24"/>
      <c r="T67" s="24"/>
      <c r="U67" s="24"/>
      <c r="V67" s="24">
        <v>1.1826547569999999</v>
      </c>
      <c r="W67" s="24">
        <v>39.100164599999999</v>
      </c>
      <c r="X67" s="24"/>
      <c r="Y67" s="24"/>
    </row>
    <row r="68" spans="5:25">
      <c r="E68" s="6" t="s">
        <v>270</v>
      </c>
      <c r="F68" s="7" t="s">
        <v>19</v>
      </c>
      <c r="G68" s="6" t="s">
        <v>508</v>
      </c>
      <c r="H68" s="6" t="s">
        <v>319</v>
      </c>
      <c r="I68" s="6" t="s">
        <v>472</v>
      </c>
      <c r="J68" s="118">
        <f t="shared" si="7"/>
        <v>125.74596569999999</v>
      </c>
      <c r="K68" s="119">
        <f t="shared" si="8"/>
        <v>125.74596569999999</v>
      </c>
      <c r="L68" s="119">
        <f t="shared" si="9"/>
        <v>0</v>
      </c>
      <c r="N68" s="24"/>
      <c r="O68" s="24"/>
      <c r="P68" s="24"/>
      <c r="Q68" s="24"/>
      <c r="R68" s="24"/>
      <c r="S68" s="24"/>
      <c r="T68" s="24"/>
      <c r="U68" s="24"/>
      <c r="V68" s="24">
        <v>4.976</v>
      </c>
      <c r="W68" s="24">
        <v>120.76996569999999</v>
      </c>
      <c r="X68" s="24"/>
      <c r="Y68" s="24"/>
    </row>
    <row r="69" spans="5:25">
      <c r="E69" s="6" t="s">
        <v>570</v>
      </c>
      <c r="F69" s="7" t="s">
        <v>19</v>
      </c>
      <c r="G69" s="6" t="s">
        <v>237</v>
      </c>
      <c r="H69" s="6" t="s">
        <v>277</v>
      </c>
      <c r="I69" s="6" t="s">
        <v>466</v>
      </c>
      <c r="J69" s="118">
        <f t="shared" si="7"/>
        <v>18.882688407000003</v>
      </c>
      <c r="K69" s="119">
        <f t="shared" si="8"/>
        <v>18.882688407000003</v>
      </c>
      <c r="L69" s="119">
        <f t="shared" si="9"/>
        <v>0</v>
      </c>
      <c r="N69" s="24"/>
      <c r="O69" s="24"/>
      <c r="P69" s="24"/>
      <c r="Q69" s="24"/>
      <c r="R69" s="24"/>
      <c r="S69" s="24"/>
      <c r="T69" s="24"/>
      <c r="U69" s="24"/>
      <c r="V69" s="24">
        <v>18.882688407000003</v>
      </c>
      <c r="W69" s="24"/>
      <c r="X69" s="24"/>
      <c r="Y69" s="24"/>
    </row>
    <row r="70" spans="5:25">
      <c r="E70" s="6"/>
      <c r="F70" s="6"/>
      <c r="G70" s="6"/>
      <c r="H70" s="6"/>
      <c r="I70" s="6"/>
      <c r="J70" s="118">
        <f t="shared" si="7"/>
        <v>0</v>
      </c>
      <c r="K70" s="119">
        <f t="shared" si="8"/>
        <v>0</v>
      </c>
      <c r="L70" s="119">
        <f t="shared" si="9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5:25">
      <c r="E71" s="6"/>
      <c r="F71" s="6"/>
      <c r="G71" s="6"/>
      <c r="H71" s="6"/>
      <c r="I71" s="6"/>
      <c r="J71" s="118">
        <f t="shared" ref="J71:J73" si="10">+K71+L71</f>
        <v>0</v>
      </c>
      <c r="K71" s="119">
        <f t="shared" ref="K71:K73" si="11">SUM(N71:Y71)</f>
        <v>0</v>
      </c>
      <c r="L71" s="119">
        <f t="shared" ref="L71:L73" si="12">SUM(AA71:AL71)</f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5:25">
      <c r="E72" s="6"/>
      <c r="F72" s="6"/>
      <c r="G72" s="6"/>
      <c r="H72" s="6"/>
      <c r="I72" s="6"/>
      <c r="J72" s="118">
        <f t="shared" si="10"/>
        <v>0</v>
      </c>
      <c r="K72" s="119">
        <f t="shared" si="11"/>
        <v>0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5:25">
      <c r="E73" s="6"/>
      <c r="F73" s="6"/>
      <c r="G73" s="6"/>
      <c r="H73" s="6"/>
      <c r="I73" s="6"/>
      <c r="J73" s="118">
        <f t="shared" si="10"/>
        <v>0</v>
      </c>
      <c r="K73" s="119">
        <f t="shared" si="11"/>
        <v>0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5:25">
      <c r="E74" s="6"/>
      <c r="F74" s="7"/>
      <c r="G74" s="6"/>
      <c r="H74" s="11"/>
      <c r="I74" s="11"/>
      <c r="J74" s="118">
        <f t="shared" si="7"/>
        <v>0</v>
      </c>
      <c r="K74" s="119">
        <f t="shared" si="8"/>
        <v>0</v>
      </c>
      <c r="L74" s="119">
        <f t="shared" si="9"/>
        <v>0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5:25">
      <c r="E75" s="6"/>
      <c r="F75" s="305" t="s">
        <v>19</v>
      </c>
      <c r="G75" s="305" t="s">
        <v>520</v>
      </c>
      <c r="H75" s="11"/>
      <c r="I75" s="11"/>
      <c r="J75" s="118">
        <f t="shared" si="7"/>
        <v>24</v>
      </c>
      <c r="K75" s="119">
        <f t="shared" si="8"/>
        <v>24</v>
      </c>
      <c r="L75" s="119">
        <f t="shared" si="9"/>
        <v>0</v>
      </c>
      <c r="N75" s="24"/>
      <c r="O75" s="24"/>
      <c r="P75" s="24"/>
      <c r="Q75" s="24"/>
      <c r="R75" s="24"/>
      <c r="S75" s="24"/>
      <c r="T75" s="24"/>
      <c r="U75" s="306"/>
      <c r="V75" s="306">
        <v>24</v>
      </c>
      <c r="W75" s="24"/>
      <c r="X75" s="24"/>
      <c r="Y75" s="24"/>
    </row>
    <row r="76" spans="5:25">
      <c r="E76" s="6"/>
      <c r="F76" s="305" t="s">
        <v>19</v>
      </c>
      <c r="G76" s="305" t="s">
        <v>580</v>
      </c>
      <c r="H76" s="6"/>
      <c r="I76" s="6"/>
      <c r="J76" s="118">
        <f t="shared" si="7"/>
        <v>16</v>
      </c>
      <c r="K76" s="119">
        <f t="shared" si="8"/>
        <v>16</v>
      </c>
      <c r="L76" s="119">
        <f>SUM(AA66:AL66)</f>
        <v>0</v>
      </c>
      <c r="N76" s="24"/>
      <c r="O76" s="24"/>
      <c r="P76" s="24"/>
      <c r="Q76" s="24"/>
      <c r="R76" s="24"/>
      <c r="S76" s="344"/>
      <c r="T76" s="306"/>
      <c r="U76" s="306"/>
      <c r="V76" s="306">
        <v>16</v>
      </c>
      <c r="W76" s="24"/>
      <c r="X76" s="24"/>
      <c r="Y76" s="24"/>
    </row>
    <row r="77" spans="5:25">
      <c r="E77" s="6"/>
      <c r="F77" s="305" t="s">
        <v>19</v>
      </c>
      <c r="G77" s="305" t="s">
        <v>555</v>
      </c>
      <c r="H77" s="6"/>
      <c r="I77" s="6"/>
      <c r="J77" s="118">
        <f t="shared" si="7"/>
        <v>7</v>
      </c>
      <c r="K77" s="119">
        <f t="shared" si="8"/>
        <v>7</v>
      </c>
      <c r="L77" s="119">
        <f>SUM(AA67:AL67)</f>
        <v>0</v>
      </c>
      <c r="N77" s="24"/>
      <c r="O77" s="24"/>
      <c r="P77" s="24"/>
      <c r="Q77" s="24"/>
      <c r="R77" s="24"/>
      <c r="S77" s="344"/>
      <c r="T77" s="306"/>
      <c r="U77" s="344">
        <v>7</v>
      </c>
      <c r="V77" s="306"/>
      <c r="W77" s="24"/>
      <c r="X77" s="24"/>
      <c r="Y77" s="24"/>
    </row>
    <row r="78" spans="5:25">
      <c r="E78" s="6"/>
      <c r="F78" s="305" t="s">
        <v>19</v>
      </c>
      <c r="G78" s="305" t="s">
        <v>581</v>
      </c>
      <c r="H78" s="6"/>
      <c r="I78" s="6"/>
      <c r="J78" s="118">
        <f t="shared" si="7"/>
        <v>233</v>
      </c>
      <c r="K78" s="119">
        <f t="shared" si="8"/>
        <v>233</v>
      </c>
      <c r="L78" s="119">
        <f>SUM(AA68:AL68)</f>
        <v>0</v>
      </c>
      <c r="N78" s="24"/>
      <c r="O78" s="24"/>
      <c r="P78" s="24"/>
      <c r="Q78" s="24"/>
      <c r="R78" s="24"/>
      <c r="S78" s="344"/>
      <c r="T78" s="306"/>
      <c r="U78" s="306">
        <v>93</v>
      </c>
      <c r="V78" s="306">
        <v>70</v>
      </c>
      <c r="W78" s="24">
        <v>70</v>
      </c>
      <c r="X78" s="24"/>
      <c r="Y78" s="24"/>
    </row>
    <row r="79" spans="5:25">
      <c r="E79" s="6"/>
      <c r="F79" s="305" t="s">
        <v>19</v>
      </c>
      <c r="G79" s="305" t="s">
        <v>582</v>
      </c>
      <c r="H79" s="6"/>
      <c r="I79" s="6"/>
      <c r="J79" s="118">
        <f t="shared" si="7"/>
        <v>1</v>
      </c>
      <c r="K79" s="119">
        <f t="shared" si="8"/>
        <v>1</v>
      </c>
      <c r="L79" s="119">
        <f>SUM(AA69:AL69)</f>
        <v>0</v>
      </c>
      <c r="N79" s="24"/>
      <c r="O79" s="24"/>
      <c r="P79" s="24"/>
      <c r="Q79" s="24"/>
      <c r="R79" s="24"/>
      <c r="S79" s="344"/>
      <c r="T79" s="306"/>
      <c r="U79" s="306"/>
      <c r="V79" s="306">
        <v>1</v>
      </c>
      <c r="W79" s="24"/>
      <c r="X79" s="24"/>
      <c r="Y79" s="24"/>
    </row>
    <row r="80" spans="5:25">
      <c r="E80" s="6"/>
      <c r="F80" s="360" t="s">
        <v>19</v>
      </c>
      <c r="G80" s="360" t="s">
        <v>583</v>
      </c>
      <c r="H80" s="362"/>
      <c r="I80" s="362"/>
      <c r="J80" s="364">
        <f t="shared" si="7"/>
        <v>21</v>
      </c>
      <c r="K80" s="119">
        <f t="shared" si="8"/>
        <v>21</v>
      </c>
      <c r="L80" s="365">
        <f>SUM(AA70:AL70)</f>
        <v>0</v>
      </c>
      <c r="N80" s="366"/>
      <c r="O80" s="366"/>
      <c r="P80" s="366"/>
      <c r="Q80" s="366"/>
      <c r="R80" s="366"/>
      <c r="S80" s="404"/>
      <c r="T80" s="404"/>
      <c r="U80" s="404">
        <v>21</v>
      </c>
      <c r="V80" s="404"/>
      <c r="W80" s="24"/>
      <c r="X80" s="24"/>
      <c r="Y80" s="24"/>
    </row>
    <row r="81" spans="5:25">
      <c r="E81" s="6"/>
      <c r="F81" s="360" t="s">
        <v>19</v>
      </c>
      <c r="G81" s="360" t="s">
        <v>584</v>
      </c>
      <c r="H81" s="11"/>
      <c r="I81" s="11"/>
      <c r="J81" s="118">
        <f t="shared" si="7"/>
        <v>35</v>
      </c>
      <c r="K81" s="119">
        <f t="shared" si="8"/>
        <v>35</v>
      </c>
      <c r="L81" s="119">
        <f t="shared" ref="L81" si="13">SUM(AA72:AL72)</f>
        <v>0</v>
      </c>
      <c r="N81" s="24"/>
      <c r="O81" s="24"/>
      <c r="P81" s="24"/>
      <c r="Q81" s="24"/>
      <c r="R81" s="24"/>
      <c r="S81" s="24"/>
      <c r="T81" s="306"/>
      <c r="U81" s="306"/>
      <c r="V81" s="306">
        <v>35</v>
      </c>
      <c r="W81" s="24"/>
      <c r="X81" s="24"/>
      <c r="Y81" s="24"/>
    </row>
    <row r="82" spans="5:25">
      <c r="E82" s="6"/>
      <c r="F82" s="360" t="s">
        <v>19</v>
      </c>
      <c r="G82" s="360" t="s">
        <v>585</v>
      </c>
      <c r="H82" s="12"/>
      <c r="I82" s="12"/>
      <c r="J82" s="118">
        <f t="shared" si="7"/>
        <v>16</v>
      </c>
      <c r="K82" s="119">
        <f t="shared" si="8"/>
        <v>16</v>
      </c>
      <c r="L82" s="119">
        <f t="shared" ref="L82" si="14">SUM(AA75:AL75)</f>
        <v>0</v>
      </c>
      <c r="N82" s="24"/>
      <c r="O82" s="24"/>
      <c r="P82" s="24"/>
      <c r="Q82" s="24"/>
      <c r="R82" s="24"/>
      <c r="S82" s="24"/>
      <c r="T82" s="306"/>
      <c r="U82" s="306">
        <v>3</v>
      </c>
      <c r="V82" s="306">
        <v>13</v>
      </c>
      <c r="W82" s="24"/>
      <c r="X82" s="24"/>
      <c r="Y82" s="24"/>
    </row>
    <row r="83" spans="5:25">
      <c r="E83" s="6"/>
      <c r="F83" s="360" t="s">
        <v>19</v>
      </c>
      <c r="G83" s="360" t="s">
        <v>485</v>
      </c>
      <c r="H83" s="9"/>
      <c r="I83" s="9"/>
      <c r="J83" s="118">
        <f t="shared" si="7"/>
        <v>185</v>
      </c>
      <c r="K83" s="119">
        <f t="shared" si="8"/>
        <v>185</v>
      </c>
      <c r="L83" s="119">
        <f t="shared" ref="L83:L86" si="15">SUM(AA83:AL83)</f>
        <v>0</v>
      </c>
      <c r="N83" s="24"/>
      <c r="O83" s="24"/>
      <c r="P83" s="24"/>
      <c r="Q83" s="24"/>
      <c r="R83" s="24"/>
      <c r="S83" s="24"/>
      <c r="T83" s="24"/>
      <c r="U83" s="306"/>
      <c r="V83" s="306">
        <v>185</v>
      </c>
      <c r="W83" s="24"/>
      <c r="X83" s="24"/>
      <c r="Y83" s="24"/>
    </row>
    <row r="84" spans="5:25">
      <c r="E84" s="6"/>
      <c r="F84" s="360" t="s">
        <v>19</v>
      </c>
      <c r="G84" s="360" t="s">
        <v>586</v>
      </c>
      <c r="H84" s="10"/>
      <c r="I84" s="10"/>
      <c r="J84" s="118">
        <f t="shared" ref="J84:J86" si="16">+K84+L84</f>
        <v>2</v>
      </c>
      <c r="K84" s="119">
        <f t="shared" ref="K84:K86" si="17">SUM(N84:Y84)</f>
        <v>2</v>
      </c>
      <c r="L84" s="119">
        <f t="shared" si="15"/>
        <v>0</v>
      </c>
      <c r="N84" s="24"/>
      <c r="O84" s="24"/>
      <c r="P84" s="24"/>
      <c r="Q84" s="24"/>
      <c r="R84" s="24"/>
      <c r="S84" s="24"/>
      <c r="T84" s="24"/>
      <c r="U84" s="306">
        <v>2</v>
      </c>
      <c r="V84" s="306"/>
      <c r="W84" s="24"/>
      <c r="X84" s="24"/>
      <c r="Y84" s="24"/>
    </row>
    <row r="85" spans="5:25">
      <c r="E85" s="6"/>
      <c r="F85" s="360" t="s">
        <v>19</v>
      </c>
      <c r="G85" s="360" t="s">
        <v>587</v>
      </c>
      <c r="H85" s="363"/>
      <c r="I85" s="363"/>
      <c r="J85" s="118">
        <f t="shared" si="16"/>
        <v>4</v>
      </c>
      <c r="K85" s="119">
        <f t="shared" si="17"/>
        <v>4</v>
      </c>
      <c r="L85" s="119">
        <f t="shared" si="15"/>
        <v>0</v>
      </c>
      <c r="N85" s="366"/>
      <c r="O85" s="366"/>
      <c r="P85" s="366"/>
      <c r="Q85" s="366"/>
      <c r="R85" s="366"/>
      <c r="S85" s="366"/>
      <c r="T85" s="366"/>
      <c r="U85" s="404">
        <v>4</v>
      </c>
      <c r="V85" s="404"/>
      <c r="W85" s="24"/>
      <c r="X85" s="24"/>
      <c r="Y85" s="24"/>
    </row>
    <row r="86" spans="5:25">
      <c r="E86" s="6"/>
      <c r="F86" s="305" t="s">
        <v>19</v>
      </c>
      <c r="G86" s="305" t="s">
        <v>588</v>
      </c>
      <c r="H86" s="11"/>
      <c r="I86" s="11"/>
      <c r="J86" s="118">
        <f t="shared" si="16"/>
        <v>8</v>
      </c>
      <c r="K86" s="119">
        <f t="shared" si="17"/>
        <v>8</v>
      </c>
      <c r="L86" s="119">
        <f t="shared" si="15"/>
        <v>0</v>
      </c>
      <c r="M86" s="373"/>
      <c r="N86" s="24"/>
      <c r="O86" s="24"/>
      <c r="P86" s="24"/>
      <c r="Q86" s="24"/>
      <c r="R86" s="24"/>
      <c r="S86" s="24"/>
      <c r="T86" s="24"/>
      <c r="U86" s="306">
        <v>8</v>
      </c>
      <c r="V86" s="306"/>
      <c r="W86" s="24"/>
      <c r="X86" s="24"/>
      <c r="Y86" s="24"/>
    </row>
    <row r="87" spans="5:25">
      <c r="E87" s="13"/>
      <c r="F87" s="7"/>
      <c r="G87" s="6"/>
      <c r="H87" s="12"/>
      <c r="I87" s="12"/>
      <c r="J87" s="118">
        <f t="shared" ref="J87" si="18">+K87+L87</f>
        <v>0</v>
      </c>
      <c r="K87" s="119">
        <f t="shared" ref="K87" si="19">SUM(N87:Y87)</f>
        <v>0</v>
      </c>
      <c r="L87" s="119">
        <f t="shared" ref="L87" si="20">SUM(AA87:AL87)</f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9" spans="5:25">
      <c r="E89" s="191" t="s">
        <v>320</v>
      </c>
      <c r="F89" s="216">
        <v>46204</v>
      </c>
      <c r="G89" s="192">
        <v>445</v>
      </c>
      <c r="H89" s="271" t="s">
        <v>321</v>
      </c>
    </row>
    <row r="90" spans="5:25">
      <c r="E90" s="195" t="s">
        <v>578</v>
      </c>
      <c r="F90" s="217"/>
      <c r="G90" s="196">
        <v>294</v>
      </c>
      <c r="H90" s="271" t="s">
        <v>321</v>
      </c>
    </row>
    <row r="91" spans="5:25">
      <c r="E91" s="195" t="s">
        <v>579</v>
      </c>
      <c r="F91" s="217"/>
      <c r="G91" s="196">
        <v>185</v>
      </c>
      <c r="H91" s="271" t="s">
        <v>321</v>
      </c>
    </row>
    <row r="92" spans="5:25">
      <c r="E92" s="191" t="s">
        <v>320</v>
      </c>
      <c r="F92" s="216">
        <v>46234</v>
      </c>
      <c r="G92" s="192">
        <f>G89+G90-G91</f>
        <v>554</v>
      </c>
      <c r="H92" s="271" t="s">
        <v>321</v>
      </c>
    </row>
    <row r="93" spans="5:25">
      <c r="E93" s="195"/>
      <c r="F93" s="217"/>
      <c r="G93" s="196"/>
      <c r="H93" s="271"/>
    </row>
    <row r="94" spans="5:25">
      <c r="E94" s="191"/>
      <c r="F94" s="216"/>
      <c r="G94" s="192"/>
      <c r="H94" s="271"/>
    </row>
    <row r="96" spans="5:25">
      <c r="E96" s="446" t="s">
        <v>531</v>
      </c>
      <c r="F96" s="447"/>
      <c r="G96" s="447"/>
      <c r="H96" s="448"/>
    </row>
    <row r="97" spans="5:8">
      <c r="E97" s="219" t="s">
        <v>550</v>
      </c>
      <c r="F97" s="219"/>
      <c r="G97" s="202"/>
      <c r="H97" s="219" t="s">
        <v>325</v>
      </c>
    </row>
    <row r="98" spans="5:8">
      <c r="E98" s="434" t="s">
        <v>447</v>
      </c>
      <c r="F98" s="219"/>
      <c r="G98" s="202"/>
      <c r="H98" s="432">
        <f>48.2743025+3</f>
        <v>51.274302499999997</v>
      </c>
    </row>
    <row r="99" spans="5:8">
      <c r="E99" s="434" t="s">
        <v>247</v>
      </c>
      <c r="F99" s="219"/>
      <c r="G99" s="202"/>
      <c r="H99" s="432">
        <v>34.526850000000003</v>
      </c>
    </row>
    <row r="100" spans="5:8">
      <c r="E100" s="434" t="s">
        <v>493</v>
      </c>
      <c r="F100" s="219"/>
      <c r="G100" s="202"/>
      <c r="H100" s="432">
        <v>5.5758591810000002</v>
      </c>
    </row>
    <row r="101" spans="5:8">
      <c r="E101" s="434" t="s">
        <v>379</v>
      </c>
      <c r="F101" s="219"/>
      <c r="G101" s="202"/>
      <c r="H101" s="432">
        <v>12.629671800000001</v>
      </c>
    </row>
    <row r="102" spans="5:8">
      <c r="E102" s="434" t="s">
        <v>378</v>
      </c>
      <c r="F102" s="219"/>
      <c r="G102" s="202"/>
      <c r="H102" s="432">
        <f>21.4067695+2</f>
        <v>23.406769499999999</v>
      </c>
    </row>
    <row r="103" spans="5:8">
      <c r="E103" s="424" t="s">
        <v>504</v>
      </c>
      <c r="F103" s="219"/>
      <c r="G103" s="202"/>
      <c r="H103" s="432">
        <f>43.649042367+23</f>
        <v>66.649042366999993</v>
      </c>
    </row>
    <row r="104" spans="5:8">
      <c r="E104" s="424" t="s">
        <v>500</v>
      </c>
      <c r="F104" s="219"/>
      <c r="G104" s="202"/>
      <c r="H104" s="432">
        <v>75.515953699999997</v>
      </c>
    </row>
    <row r="105" spans="5:8">
      <c r="E105" s="424" t="s">
        <v>454</v>
      </c>
      <c r="F105" s="219"/>
      <c r="G105" s="202"/>
      <c r="H105" s="432">
        <f>533.7196669+8</f>
        <v>541.71966689999999</v>
      </c>
    </row>
    <row r="106" spans="5:8">
      <c r="E106" s="424" t="s">
        <v>508</v>
      </c>
      <c r="F106" s="202"/>
      <c r="G106" s="202"/>
      <c r="H106" s="433">
        <v>125.7459657</v>
      </c>
    </row>
    <row r="107" spans="5:8">
      <c r="E107" s="424" t="s">
        <v>374</v>
      </c>
      <c r="F107" s="202"/>
      <c r="G107" s="202"/>
      <c r="H107" s="433">
        <v>32.788896000000001</v>
      </c>
    </row>
    <row r="108" spans="5:8">
      <c r="E108" s="424" t="s">
        <v>237</v>
      </c>
      <c r="F108" s="202"/>
      <c r="G108" s="202"/>
      <c r="H108" s="433">
        <v>40.192019122000012</v>
      </c>
    </row>
    <row r="109" spans="5:8">
      <c r="E109" s="410" t="s">
        <v>293</v>
      </c>
      <c r="F109" s="202"/>
      <c r="G109" s="202"/>
      <c r="H109" s="433">
        <v>49.01211</v>
      </c>
    </row>
    <row r="110" spans="5:8">
      <c r="E110" s="431" t="s">
        <v>245</v>
      </c>
      <c r="F110" s="202"/>
      <c r="G110" s="202"/>
      <c r="H110" s="433">
        <f>3.2859663+2</f>
        <v>5.2859663000000001</v>
      </c>
    </row>
    <row r="111" spans="5:8">
      <c r="E111" s="410"/>
      <c r="F111" s="202"/>
      <c r="G111" s="202"/>
      <c r="H111" s="433"/>
    </row>
    <row r="112" spans="5:8">
      <c r="E112" s="356" t="s">
        <v>344</v>
      </c>
      <c r="F112" s="202"/>
      <c r="G112" s="202"/>
      <c r="H112" s="408">
        <f>SUM(H98:H111)</f>
        <v>1064.32307307</v>
      </c>
    </row>
    <row r="113" spans="5:9">
      <c r="E113" s="151"/>
      <c r="F113" s="257"/>
      <c r="G113" s="151"/>
      <c r="H113" s="280"/>
      <c r="I113" s="280"/>
    </row>
    <row r="114" spans="5:9">
      <c r="E114" s="151" t="s">
        <v>330</v>
      </c>
      <c r="F114" s="151"/>
      <c r="G114" s="283">
        <f>'W34'!J19</f>
        <v>3060.5815101070002</v>
      </c>
      <c r="H114" s="280"/>
      <c r="I114" s="280"/>
    </row>
    <row r="115" spans="5:9">
      <c r="E115" s="151" t="s">
        <v>331</v>
      </c>
      <c r="F115" s="151"/>
      <c r="G115" s="283">
        <f>H112</f>
        <v>1064.32307307</v>
      </c>
      <c r="H115" s="280"/>
      <c r="I115" s="280"/>
    </row>
    <row r="116" spans="5:9">
      <c r="E116" s="151" t="s">
        <v>332</v>
      </c>
      <c r="F116" s="151"/>
      <c r="G116" s="283">
        <f>J12-'W34'!J12</f>
        <v>311</v>
      </c>
      <c r="H116" s="280"/>
      <c r="I116" s="280"/>
    </row>
    <row r="117" spans="5:9">
      <c r="E117" s="151" t="s">
        <v>333</v>
      </c>
      <c r="F117" s="151"/>
      <c r="G117" s="283">
        <f>G114+G115-G116</f>
        <v>3813.9045831769999</v>
      </c>
      <c r="H117" s="280"/>
      <c r="I117" s="280"/>
    </row>
    <row r="118" spans="5:9">
      <c r="E118" s="151" t="s">
        <v>334</v>
      </c>
      <c r="F118" s="151"/>
      <c r="G118" s="283">
        <f>J19</f>
        <v>3809.5392414370003</v>
      </c>
      <c r="H118" s="280"/>
      <c r="I118" s="280"/>
    </row>
    <row r="119" spans="5:9">
      <c r="E119" s="151" t="s">
        <v>335</v>
      </c>
      <c r="F119" s="151"/>
      <c r="G119" s="284">
        <f>G118-G117</f>
        <v>-4.3653417399996215</v>
      </c>
      <c r="H119" s="280"/>
      <c r="I119" s="280"/>
    </row>
    <row r="120" spans="5:9">
      <c r="E120" s="151"/>
      <c r="F120" s="257"/>
      <c r="G120" s="151"/>
      <c r="H120" s="280"/>
      <c r="I120" s="280"/>
    </row>
    <row r="121" spans="5:9">
      <c r="E121" s="227"/>
      <c r="F121" s="278"/>
      <c r="G121" s="227"/>
      <c r="H121" s="280"/>
      <c r="I121" s="280"/>
    </row>
    <row r="122" spans="5:9">
      <c r="E122" s="227"/>
      <c r="F122" s="278"/>
      <c r="G122" s="227"/>
      <c r="H122" s="280"/>
      <c r="I122" s="280"/>
    </row>
    <row r="123" spans="5:9">
      <c r="E123" s="227"/>
      <c r="F123" s="278"/>
      <c r="G123" s="227"/>
      <c r="H123" s="280"/>
      <c r="I123" s="280"/>
    </row>
    <row r="124" spans="5:9">
      <c r="E124" s="227"/>
      <c r="F124" s="278"/>
      <c r="G124" s="227"/>
      <c r="H124" s="280"/>
      <c r="I124" s="280"/>
    </row>
    <row r="125" spans="5:9">
      <c r="E125" s="227"/>
      <c r="F125" s="278"/>
      <c r="G125" s="227"/>
      <c r="H125" s="280"/>
      <c r="I125" s="280"/>
    </row>
    <row r="126" spans="5:9">
      <c r="E126" s="227"/>
      <c r="F126" s="278"/>
      <c r="G126" s="227"/>
      <c r="H126" s="280"/>
      <c r="I126" s="280"/>
    </row>
  </sheetData>
  <sheetProtection formatCells="0" formatColumns="0" formatRows="0" insertRows="0" deleteRows="0" autoFilter="0"/>
  <autoFilter ref="E23:AL232" xr:uid="{00000000-0009-0000-0000-000025000000}"/>
  <mergeCells count="2">
    <mergeCell ref="I4:J4"/>
    <mergeCell ref="E96:H96"/>
  </mergeCells>
  <phoneticPr fontId="40"/>
  <dataValidations count="2">
    <dataValidation type="list" allowBlank="1" showInputMessage="1" showErrorMessage="1" sqref="G2" xr:uid="{00000000-0002-0000-2500-000000000000}">
      <formula1>SOCIETE</formula1>
    </dataValidation>
    <dataValidation type="list" allowBlank="1" showInputMessage="1" showErrorMessage="1" sqref="F97:F105 F24:F87" xr:uid="{F3D6BF7E-4574-490C-A08D-86457446A0DF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14:G119" unlockedFormula="1"/>
  </ignoredError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9">
    <tabColor theme="3" tint="0.59999389629810485"/>
    <pageSetUpPr fitToPage="1"/>
  </sheetPr>
  <dimension ref="D1:AL145"/>
  <sheetViews>
    <sheetView showGridLines="0" topLeftCell="A120" zoomScale="70" zoomScaleNormal="70" workbookViewId="0">
      <selection activeCell="E136" sqref="E136:H143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7.42578125" style="54" bestFit="1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40" width="0" style="15" hidden="1" customWidth="1"/>
    <col min="41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142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September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September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W36</v>
      </c>
      <c r="I9" s="61"/>
      <c r="J9" s="161" t="str">
        <f>+"from "&amp;G6&amp;" 1 until end of "&amp;G4</f>
        <v>from September 1 until end of W36</v>
      </c>
      <c r="K9" s="79"/>
      <c r="L9" s="167" t="str">
        <f>+G6</f>
        <v>September</v>
      </c>
      <c r="M9" s="80"/>
      <c r="N9" s="80"/>
      <c r="O9" s="172" t="str">
        <f>+G4</f>
        <v>W36</v>
      </c>
      <c r="P9" s="173" t="str">
        <f>+VLOOKUP(G4, parameters!$G$9:$I$61,3,0)</f>
        <v>W35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600+320+797+430+396+688+856+605+J10</f>
        <v>4788</v>
      </c>
      <c r="I10" s="61"/>
      <c r="J10" s="159">
        <v>96</v>
      </c>
      <c r="L10" s="159">
        <f>V17+J10</f>
        <v>1696.8211693259004</v>
      </c>
      <c r="N10" s="55"/>
      <c r="O10" s="170">
        <f>+H10+K17</f>
        <v>8568.7312452609003</v>
      </c>
      <c r="P10" s="171" cm="1">
        <f t="array" aca="1" ref="P10" ca="1">INDIRECT(ADDRESS(10,15,,,VLOOKUP($G$4,parameters!$G:$I,3,0)))</f>
        <v>8500.2840667510009</v>
      </c>
      <c r="Q10" s="183">
        <f ca="1">O10-P10</f>
        <v>68.447178509899459</v>
      </c>
      <c r="R10" s="86"/>
    </row>
    <row r="11" spans="5:38" ht="20.45" customHeight="1">
      <c r="E11" s="87" t="s">
        <v>224</v>
      </c>
      <c r="F11" s="88"/>
      <c r="G11" s="89"/>
      <c r="H11" s="430">
        <f>13+8+3+3+2+14+119+9+J11</f>
        <v>173</v>
      </c>
      <c r="I11" s="61"/>
      <c r="J11" s="16">
        <v>2</v>
      </c>
      <c r="L11" s="159">
        <f>V18+J11</f>
        <v>4.47383591</v>
      </c>
      <c r="N11" s="55"/>
      <c r="O11" s="152">
        <f>+H11+K18</f>
        <v>259.963494798</v>
      </c>
      <c r="P11" s="153" cm="1">
        <f t="array" aca="1" ref="P11" ca="1">INDIRECT(ADDRESS(11,15,,,VLOOKUP($G$4,parameters!$G:$I,3,0)))</f>
        <v>257.25517468599998</v>
      </c>
      <c r="Q11" s="184">
        <f t="shared" ref="Q11:Q12" ca="1" si="0">O11-P11</f>
        <v>2.708320112000024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4961</v>
      </c>
      <c r="I12" s="293"/>
      <c r="J12" s="126">
        <f>SUM(J10:J11)</f>
        <v>98</v>
      </c>
      <c r="K12" s="65"/>
      <c r="L12" s="126">
        <f>SUM(L10:L11)</f>
        <v>1701.2950052359004</v>
      </c>
      <c r="M12" s="65"/>
      <c r="N12" s="65"/>
      <c r="O12" s="154">
        <f>SUM(O10:O11)</f>
        <v>8828.6947400588997</v>
      </c>
      <c r="P12" s="155">
        <f ca="1">SUM(P10:P11)</f>
        <v>8757.5392414370017</v>
      </c>
      <c r="Q12" s="156">
        <f t="shared" ca="1" si="0"/>
        <v>71.155498621898005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+SUMIF($F$24:$F$115,"External",$J$24:$J$115)</f>
        <v>3780.7312452609003</v>
      </c>
      <c r="K17" s="108">
        <f>+SUMIF($F$24:$F$115,"External",$K$24:$K$115)</f>
        <v>3780.7312452609003</v>
      </c>
      <c r="L17" s="109">
        <f>+SUMIF($F$24:$F$115,"External",$L$24:$L$115)</f>
        <v>0</v>
      </c>
      <c r="M17" s="110"/>
      <c r="N17" s="111">
        <f t="shared" ref="N17:Y17" si="1">+SUMIF($F$24:$F$115,"External",N$24:N$115)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1600.8211693259004</v>
      </c>
      <c r="W17" s="111">
        <f t="shared" si="1"/>
        <v>1371.0982272670005</v>
      </c>
      <c r="X17" s="111">
        <f t="shared" si="1"/>
        <v>540.82355583999993</v>
      </c>
      <c r="Y17" s="111">
        <f t="shared" si="1"/>
        <v>267.98829282800006</v>
      </c>
      <c r="Z17" s="112"/>
      <c r="AA17" s="111">
        <f t="shared" ref="AA17:AL17" si="2">+SUMIF($F$24:$F$115,"External",AA$24:AA$115)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+SUMIF($F$24:$F$115,"Group",$J$24:$J$115)</f>
        <v>86.963494797999999</v>
      </c>
      <c r="K18" s="113">
        <f>+SUMIF($F$24:$F$115,"Group",$K$24:$K$115)</f>
        <v>86.963494797999999</v>
      </c>
      <c r="L18" s="114">
        <f>SUMIF($F$24:$F$115,"Group",$L$24:$L$115)</f>
        <v>0</v>
      </c>
      <c r="M18" s="110"/>
      <c r="N18" s="114">
        <f t="shared" ref="N18:Y18" si="3">+SUMIF($F$24:$F$115,"Group",N$24:N$115)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2.47383591</v>
      </c>
      <c r="W18" s="114">
        <f t="shared" si="3"/>
        <v>84.489658887999994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+SUMIF($F$24:$F$115,"Group",AA$24:AA$115)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3867.6947400589002</v>
      </c>
      <c r="K19" s="115">
        <f>SUM(K17:K18)</f>
        <v>3867.6947400589002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1603.2950052359004</v>
      </c>
      <c r="W19" s="116">
        <f t="shared" si="5"/>
        <v>1455.5878861550004</v>
      </c>
      <c r="X19" s="116">
        <f t="shared" si="5"/>
        <v>540.82355583999993</v>
      </c>
      <c r="Y19" s="116">
        <f t="shared" si="5"/>
        <v>267.98829282800006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IF(SUM(J24:J115)=J19,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275</v>
      </c>
      <c r="H23" s="232" t="s">
        <v>274</v>
      </c>
      <c r="I23" s="232" t="s">
        <v>603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468</v>
      </c>
      <c r="F24" s="187" t="s">
        <v>19</v>
      </c>
      <c r="G24" s="6" t="s">
        <v>278</v>
      </c>
      <c r="H24" s="187" t="s">
        <v>466</v>
      </c>
      <c r="I24" s="187"/>
      <c r="J24" s="118">
        <f t="shared" ref="J24" si="7">+K24+L24</f>
        <v>4.7944134859999998</v>
      </c>
      <c r="K24" s="119">
        <f t="shared" ref="K24" si="8">SUM(N24:Y24)</f>
        <v>4.7944134859999998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>
        <v>4.7944134859999998</v>
      </c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469</v>
      </c>
      <c r="F25" s="187" t="s">
        <v>19</v>
      </c>
      <c r="G25" s="6" t="s">
        <v>277</v>
      </c>
      <c r="H25" s="6" t="s">
        <v>466</v>
      </c>
      <c r="I25" s="6"/>
      <c r="J25" s="118">
        <f t="shared" ref="J25:J115" si="10">+K25+L25</f>
        <v>13.386228027</v>
      </c>
      <c r="K25" s="119">
        <f t="shared" ref="K25:K115" si="11">SUM(N25:Y25)</f>
        <v>13.386228027</v>
      </c>
      <c r="L25" s="119">
        <f t="shared" ref="L25:L115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>
        <v>13.386228027</v>
      </c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573</v>
      </c>
      <c r="F26" s="187" t="s">
        <v>19</v>
      </c>
      <c r="G26" s="6" t="s">
        <v>559</v>
      </c>
      <c r="H26" s="6" t="s">
        <v>472</v>
      </c>
      <c r="I26" s="6"/>
      <c r="J26" s="118">
        <f t="shared" si="10"/>
        <v>92.379652743000008</v>
      </c>
      <c r="K26" s="119">
        <f t="shared" si="11"/>
        <v>92.379652743000008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>
        <v>92.379652743000008</v>
      </c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571</v>
      </c>
      <c r="F27" s="187" t="s">
        <v>19</v>
      </c>
      <c r="G27" s="6" t="s">
        <v>530</v>
      </c>
      <c r="H27" s="6" t="s">
        <v>472</v>
      </c>
      <c r="I27" s="6"/>
      <c r="J27" s="118">
        <f t="shared" si="10"/>
        <v>222.9682909</v>
      </c>
      <c r="K27" s="119">
        <f t="shared" si="11"/>
        <v>222.9682909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222.9682909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601</v>
      </c>
      <c r="F28" s="187" t="s">
        <v>19</v>
      </c>
      <c r="G28" s="6" t="s">
        <v>280</v>
      </c>
      <c r="H28" s="6" t="s">
        <v>472</v>
      </c>
      <c r="I28" s="6"/>
      <c r="J28" s="118">
        <f t="shared" si="10"/>
        <v>164.85613716500006</v>
      </c>
      <c r="K28" s="119">
        <f t="shared" si="11"/>
        <v>164.85613716500006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>
        <v>7.0585135609999998</v>
      </c>
      <c r="W28" s="24">
        <v>153.22080756800005</v>
      </c>
      <c r="X28" s="24">
        <v>4.5768160359999994</v>
      </c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541</v>
      </c>
      <c r="F29" s="187" t="s">
        <v>19</v>
      </c>
      <c r="G29" s="6" t="s">
        <v>280</v>
      </c>
      <c r="H29" s="6" t="s">
        <v>472</v>
      </c>
      <c r="I29" s="6"/>
      <c r="J29" s="118">
        <f t="shared" si="10"/>
        <v>151.30458358799999</v>
      </c>
      <c r="K29" s="119">
        <f t="shared" si="11"/>
        <v>151.30458358799999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>
        <v>151.30458358799999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187" t="s">
        <v>19</v>
      </c>
      <c r="G30" s="6" t="s">
        <v>283</v>
      </c>
      <c r="H30" s="6" t="s">
        <v>466</v>
      </c>
      <c r="I30" s="6"/>
      <c r="J30" s="118">
        <f t="shared" si="10"/>
        <v>19.714317387000001</v>
      </c>
      <c r="K30" s="119">
        <f t="shared" si="11"/>
        <v>19.714317387000001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>
        <v>11.415137731000003</v>
      </c>
      <c r="W30" s="24">
        <v>7.6074382279999986</v>
      </c>
      <c r="X30" s="24"/>
      <c r="Y30" s="24">
        <v>0.69174142800000005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558</v>
      </c>
      <c r="F31" s="187" t="s">
        <v>17</v>
      </c>
      <c r="G31" s="6" t="s">
        <v>319</v>
      </c>
      <c r="H31" s="6" t="s">
        <v>604</v>
      </c>
      <c r="I31" s="6"/>
      <c r="J31" s="118">
        <f t="shared" si="10"/>
        <v>2.47383591</v>
      </c>
      <c r="K31" s="119">
        <f t="shared" si="11"/>
        <v>2.47383591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>
        <v>2.47383591</v>
      </c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446</v>
      </c>
      <c r="F32" s="187" t="s">
        <v>19</v>
      </c>
      <c r="G32" s="6" t="s">
        <v>339</v>
      </c>
      <c r="H32" s="6" t="s">
        <v>472</v>
      </c>
      <c r="I32" s="6"/>
      <c r="J32" s="118">
        <f t="shared" si="10"/>
        <v>1.7072246009999998</v>
      </c>
      <c r="K32" s="119">
        <f t="shared" si="11"/>
        <v>1.7072246009999998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>
        <v>1.7072246009999998</v>
      </c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473</v>
      </c>
      <c r="F33" s="187" t="s">
        <v>17</v>
      </c>
      <c r="G33" s="6" t="s">
        <v>339</v>
      </c>
      <c r="H33" s="6" t="s">
        <v>472</v>
      </c>
      <c r="I33" s="6"/>
      <c r="J33" s="118">
        <f t="shared" si="10"/>
        <v>84.489658887999994</v>
      </c>
      <c r="K33" s="119">
        <f t="shared" si="11"/>
        <v>84.489658887999994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84.489658887999994</v>
      </c>
      <c r="X33" s="24"/>
      <c r="Y33" s="24"/>
    </row>
    <row r="34" spans="5:25">
      <c r="E34" s="6" t="s">
        <v>474</v>
      </c>
      <c r="F34" s="187" t="s">
        <v>19</v>
      </c>
      <c r="G34" s="6" t="s">
        <v>280</v>
      </c>
      <c r="H34" s="6" t="s">
        <v>472</v>
      </c>
      <c r="I34" s="6"/>
      <c r="J34" s="118">
        <f t="shared" si="10"/>
        <v>114.98667335700002</v>
      </c>
      <c r="K34" s="119">
        <f t="shared" si="11"/>
        <v>114.98667335700002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>
        <v>114.98667335700002</v>
      </c>
      <c r="X34" s="24"/>
      <c r="Y34" s="24"/>
    </row>
    <row r="35" spans="5:25">
      <c r="E35" s="6" t="s">
        <v>475</v>
      </c>
      <c r="F35" s="187" t="s">
        <v>19</v>
      </c>
      <c r="G35" s="6" t="s">
        <v>288</v>
      </c>
      <c r="H35" s="6" t="s">
        <v>466</v>
      </c>
      <c r="I35" s="6"/>
      <c r="J35" s="118">
        <f t="shared" si="10"/>
        <v>5.0478237319999995</v>
      </c>
      <c r="K35" s="119">
        <f t="shared" si="11"/>
        <v>5.0478237319999995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5.0478237319999995</v>
      </c>
      <c r="W35" s="24"/>
      <c r="X35" s="24"/>
      <c r="Y35" s="24"/>
    </row>
    <row r="36" spans="5:25">
      <c r="E36" s="6" t="s">
        <v>476</v>
      </c>
      <c r="F36" s="187" t="s">
        <v>19</v>
      </c>
      <c r="G36" s="6" t="s">
        <v>289</v>
      </c>
      <c r="H36" s="6" t="s">
        <v>466</v>
      </c>
      <c r="I36" s="6"/>
      <c r="J36" s="118">
        <f t="shared" si="10"/>
        <v>114.12097012800001</v>
      </c>
      <c r="K36" s="119">
        <f t="shared" si="11"/>
        <v>114.12097012800001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0.27051922999999994</v>
      </c>
      <c r="W36" s="24">
        <v>18.473330898</v>
      </c>
      <c r="X36" s="24">
        <v>45.250350000000005</v>
      </c>
      <c r="Y36" s="24">
        <v>50.126770000000008</v>
      </c>
    </row>
    <row r="37" spans="5:25">
      <c r="E37" s="6" t="s">
        <v>476</v>
      </c>
      <c r="F37" s="187" t="s">
        <v>19</v>
      </c>
      <c r="G37" s="6" t="s">
        <v>291</v>
      </c>
      <c r="H37" s="6" t="s">
        <v>466</v>
      </c>
      <c r="I37" s="6"/>
      <c r="J37" s="118">
        <f t="shared" si="10"/>
        <v>109.354088155</v>
      </c>
      <c r="K37" s="119">
        <f t="shared" si="11"/>
        <v>109.354088155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>
        <v>7.7794569669999998</v>
      </c>
      <c r="W37" s="24">
        <v>38.395661187999998</v>
      </c>
      <c r="X37" s="24">
        <v>40.155140000000003</v>
      </c>
      <c r="Y37" s="24">
        <v>23.023830000000004</v>
      </c>
    </row>
    <row r="38" spans="5:25">
      <c r="E38" s="6" t="s">
        <v>476</v>
      </c>
      <c r="F38" s="187" t="s">
        <v>19</v>
      </c>
      <c r="G38" s="6" t="s">
        <v>292</v>
      </c>
      <c r="H38" s="6" t="s">
        <v>466</v>
      </c>
      <c r="I38" s="6"/>
      <c r="J38" s="118">
        <f t="shared" si="10"/>
        <v>624.36199805200022</v>
      </c>
      <c r="K38" s="119">
        <f t="shared" si="11"/>
        <v>624.36199805200022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>
        <v>87.64671921499999</v>
      </c>
      <c r="W38" s="24">
        <v>522.22443883700032</v>
      </c>
      <c r="X38" s="24">
        <v>7.2454200000000002</v>
      </c>
      <c r="Y38" s="24">
        <v>7.2454200000000002</v>
      </c>
    </row>
    <row r="39" spans="5:25">
      <c r="E39" s="6" t="s">
        <v>476</v>
      </c>
      <c r="F39" s="187" t="s">
        <v>19</v>
      </c>
      <c r="G39" s="6" t="s">
        <v>294</v>
      </c>
      <c r="H39" s="6" t="s">
        <v>466</v>
      </c>
      <c r="I39" s="6"/>
      <c r="J39" s="118">
        <f t="shared" si="10"/>
        <v>50.994422999999998</v>
      </c>
      <c r="K39" s="119">
        <f t="shared" si="11"/>
        <v>50.994422999999998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>
        <v>32.67474</v>
      </c>
      <c r="X39" s="24">
        <v>1.982313</v>
      </c>
      <c r="Y39" s="24">
        <v>16.33737</v>
      </c>
    </row>
    <row r="40" spans="5:25">
      <c r="E40" s="6" t="s">
        <v>476</v>
      </c>
      <c r="F40" s="187" t="s">
        <v>19</v>
      </c>
      <c r="G40" s="6" t="s">
        <v>448</v>
      </c>
      <c r="H40" s="6" t="s">
        <v>466</v>
      </c>
      <c r="I40" s="6"/>
      <c r="J40" s="118">
        <f t="shared" si="10"/>
        <v>127.73751893399998</v>
      </c>
      <c r="K40" s="119">
        <f t="shared" si="11"/>
        <v>127.73751893399998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>
        <v>0.17413015200000001</v>
      </c>
      <c r="W40" s="24">
        <v>54.792253581999987</v>
      </c>
      <c r="X40" s="24">
        <v>33.982957599999999</v>
      </c>
      <c r="Y40" s="24">
        <v>38.788177599999997</v>
      </c>
    </row>
    <row r="41" spans="5:25">
      <c r="E41" s="6" t="s">
        <v>476</v>
      </c>
      <c r="F41" s="187" t="s">
        <v>19</v>
      </c>
      <c r="G41" s="6" t="s">
        <v>295</v>
      </c>
      <c r="H41" s="6" t="s">
        <v>466</v>
      </c>
      <c r="I41" s="6"/>
      <c r="J41" s="118">
        <f t="shared" si="10"/>
        <v>9.8735004000000011</v>
      </c>
      <c r="K41" s="119">
        <f t="shared" si="11"/>
        <v>9.8735004000000011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>
        <v>0.13846159999999999</v>
      </c>
      <c r="W41" s="24">
        <v>4.7752117000000007</v>
      </c>
      <c r="X41" s="24">
        <v>4.9598271000000009</v>
      </c>
      <c r="Y41" s="24"/>
    </row>
    <row r="42" spans="5:25">
      <c r="E42" s="6" t="s">
        <v>476</v>
      </c>
      <c r="F42" s="187" t="s">
        <v>19</v>
      </c>
      <c r="G42" s="6" t="s">
        <v>288</v>
      </c>
      <c r="H42" s="6" t="s">
        <v>466</v>
      </c>
      <c r="I42" s="6"/>
      <c r="J42" s="118">
        <f t="shared" si="10"/>
        <v>18.340576638999998</v>
      </c>
      <c r="K42" s="119">
        <f t="shared" si="11"/>
        <v>18.340576638999998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>
        <v>17.010797801999999</v>
      </c>
      <c r="W42" s="24">
        <v>1.3297788370000001</v>
      </c>
      <c r="X42" s="24"/>
      <c r="Y42" s="24"/>
    </row>
    <row r="43" spans="5:25">
      <c r="E43" s="6" t="s">
        <v>476</v>
      </c>
      <c r="F43" s="187" t="s">
        <v>19</v>
      </c>
      <c r="G43" s="6" t="s">
        <v>290</v>
      </c>
      <c r="H43" s="6" t="s">
        <v>466</v>
      </c>
      <c r="I43" s="6"/>
      <c r="J43" s="118">
        <f t="shared" si="10"/>
        <v>156.084320531</v>
      </c>
      <c r="K43" s="119">
        <f t="shared" si="11"/>
        <v>156.084320531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>
        <v>34.483056577999996</v>
      </c>
      <c r="W43" s="24">
        <v>68.959983953000005</v>
      </c>
      <c r="X43" s="24">
        <v>10.69293</v>
      </c>
      <c r="Y43" s="24">
        <v>41.948349999999991</v>
      </c>
    </row>
    <row r="44" spans="5:25">
      <c r="E44" s="6" t="s">
        <v>478</v>
      </c>
      <c r="F44" s="187" t="s">
        <v>19</v>
      </c>
      <c r="G44" s="6" t="s">
        <v>288</v>
      </c>
      <c r="H44" s="6" t="s">
        <v>466</v>
      </c>
      <c r="I44" s="6"/>
      <c r="J44" s="118">
        <f t="shared" si="10"/>
        <v>61.835873154999994</v>
      </c>
      <c r="K44" s="119">
        <f t="shared" si="11"/>
        <v>61.835873154999994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61.835873154999994</v>
      </c>
      <c r="W44" s="24"/>
      <c r="X44" s="24"/>
      <c r="Y44" s="24"/>
    </row>
    <row r="45" spans="5:25">
      <c r="E45" s="6" t="s">
        <v>414</v>
      </c>
      <c r="F45" s="187" t="s">
        <v>19</v>
      </c>
      <c r="G45" s="6" t="s">
        <v>288</v>
      </c>
      <c r="H45" s="6" t="s">
        <v>466</v>
      </c>
      <c r="I45" s="6"/>
      <c r="J45" s="118">
        <f t="shared" si="10"/>
        <v>58.404625406000008</v>
      </c>
      <c r="K45" s="119">
        <f t="shared" si="11"/>
        <v>58.404625406000008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58.404625406000008</v>
      </c>
      <c r="W45" s="24"/>
      <c r="X45" s="24"/>
      <c r="Y45" s="24"/>
    </row>
    <row r="46" spans="5:25">
      <c r="E46" s="6" t="s">
        <v>450</v>
      </c>
      <c r="F46" s="187" t="s">
        <v>19</v>
      </c>
      <c r="G46" s="6" t="s">
        <v>283</v>
      </c>
      <c r="H46" s="6" t="s">
        <v>466</v>
      </c>
      <c r="I46" s="6"/>
      <c r="J46" s="118">
        <f t="shared" si="10"/>
        <v>1.8661022999999999</v>
      </c>
      <c r="K46" s="119">
        <f t="shared" si="11"/>
        <v>1.8661022999999999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0.1625413</v>
      </c>
      <c r="W46" s="24">
        <v>0.76461559999999995</v>
      </c>
      <c r="X46" s="24">
        <v>0.93894539999999993</v>
      </c>
      <c r="Y46" s="24"/>
    </row>
    <row r="47" spans="5:25">
      <c r="E47" s="6" t="s">
        <v>450</v>
      </c>
      <c r="F47" s="187" t="s">
        <v>19</v>
      </c>
      <c r="G47" s="6" t="s">
        <v>305</v>
      </c>
      <c r="H47" s="6" t="s">
        <v>466</v>
      </c>
      <c r="I47" s="6"/>
      <c r="J47" s="118">
        <f t="shared" si="10"/>
        <v>3.3595952689999997</v>
      </c>
      <c r="K47" s="119">
        <f t="shared" si="11"/>
        <v>3.3595952689999997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3.1510189199999998</v>
      </c>
      <c r="W47" s="24">
        <v>0.20857634899999999</v>
      </c>
      <c r="X47" s="24"/>
      <c r="Y47" s="24"/>
    </row>
    <row r="48" spans="5:25">
      <c r="E48" s="6" t="s">
        <v>450</v>
      </c>
      <c r="F48" s="187" t="s">
        <v>19</v>
      </c>
      <c r="G48" s="6" t="s">
        <v>303</v>
      </c>
      <c r="H48" s="6" t="s">
        <v>466</v>
      </c>
      <c r="I48" s="6"/>
      <c r="J48" s="118">
        <f t="shared" si="10"/>
        <v>153.52535688300006</v>
      </c>
      <c r="K48" s="119">
        <f t="shared" si="11"/>
        <v>153.52535688300006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v>134.43412005000005</v>
      </c>
      <c r="W48" s="24">
        <v>19.091236833000004</v>
      </c>
      <c r="X48" s="24"/>
      <c r="Y48" s="24"/>
    </row>
    <row r="49" spans="5:25">
      <c r="E49" s="6" t="s">
        <v>450</v>
      </c>
      <c r="F49" s="187" t="s">
        <v>19</v>
      </c>
      <c r="G49" s="6" t="s">
        <v>277</v>
      </c>
      <c r="H49" s="6" t="s">
        <v>466</v>
      </c>
      <c r="I49" s="6"/>
      <c r="J49" s="118">
        <f t="shared" si="10"/>
        <v>16.154960799999998</v>
      </c>
      <c r="K49" s="119">
        <f t="shared" si="11"/>
        <v>16.154960799999998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>
        <v>16.154960799999998</v>
      </c>
      <c r="W49" s="24"/>
      <c r="X49" s="24"/>
      <c r="Y49" s="24"/>
    </row>
    <row r="50" spans="5:25">
      <c r="E50" s="6" t="s">
        <v>450</v>
      </c>
      <c r="F50" s="187" t="s">
        <v>19</v>
      </c>
      <c r="G50" s="6" t="s">
        <v>283</v>
      </c>
      <c r="H50" s="6" t="s">
        <v>472</v>
      </c>
      <c r="I50" s="6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>
        <v>0</v>
      </c>
      <c r="W50" s="24"/>
      <c r="X50" s="24"/>
      <c r="Y50" s="24"/>
    </row>
    <row r="51" spans="5:25">
      <c r="E51" s="6" t="s">
        <v>450</v>
      </c>
      <c r="F51" s="187" t="s">
        <v>19</v>
      </c>
      <c r="G51" s="6" t="s">
        <v>305</v>
      </c>
      <c r="H51" s="6" t="s">
        <v>472</v>
      </c>
      <c r="I51" s="6"/>
      <c r="J51" s="118">
        <f t="shared" si="10"/>
        <v>44.346774894999996</v>
      </c>
      <c r="K51" s="119">
        <f t="shared" si="11"/>
        <v>44.346774894999996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>
        <v>17.997658227999999</v>
      </c>
      <c r="W51" s="24">
        <v>10.024539773999999</v>
      </c>
      <c r="X51" s="24">
        <v>16.324576893</v>
      </c>
      <c r="Y51" s="24"/>
    </row>
    <row r="52" spans="5:25">
      <c r="E52" s="6" t="s">
        <v>572</v>
      </c>
      <c r="F52" s="187" t="s">
        <v>19</v>
      </c>
      <c r="G52" s="6" t="s">
        <v>481</v>
      </c>
      <c r="H52" s="6" t="s">
        <v>466</v>
      </c>
      <c r="I52" s="6"/>
      <c r="J52" s="118">
        <f t="shared" si="10"/>
        <v>210.29006361699996</v>
      </c>
      <c r="K52" s="119">
        <f t="shared" si="11"/>
        <v>210.29006361699996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>
        <v>204.67326932699996</v>
      </c>
      <c r="W52" s="24">
        <v>5.6167942900000005</v>
      </c>
      <c r="X52" s="24"/>
      <c r="Y52" s="24"/>
    </row>
    <row r="53" spans="5:25">
      <c r="E53" s="6" t="s">
        <v>482</v>
      </c>
      <c r="F53" s="187" t="s">
        <v>19</v>
      </c>
      <c r="G53" s="6" t="s">
        <v>303</v>
      </c>
      <c r="H53" s="6" t="s">
        <v>466</v>
      </c>
      <c r="I53" s="6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>
        <v>0</v>
      </c>
      <c r="W53" s="24"/>
      <c r="X53" s="24"/>
      <c r="Y53" s="24"/>
    </row>
    <row r="54" spans="5:25">
      <c r="E54" s="6" t="s">
        <v>482</v>
      </c>
      <c r="F54" s="187" t="s">
        <v>19</v>
      </c>
      <c r="G54" s="6" t="s">
        <v>306</v>
      </c>
      <c r="H54" s="6" t="s">
        <v>466</v>
      </c>
      <c r="I54" s="6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>
        <v>0</v>
      </c>
      <c r="W54" s="24"/>
      <c r="X54" s="24"/>
      <c r="Y54" s="24"/>
    </row>
    <row r="55" spans="5:25">
      <c r="E55" s="6" t="s">
        <v>569</v>
      </c>
      <c r="F55" s="187" t="s">
        <v>19</v>
      </c>
      <c r="G55" s="6" t="s">
        <v>448</v>
      </c>
      <c r="H55" s="6" t="s">
        <v>466</v>
      </c>
      <c r="I55" s="6"/>
      <c r="J55" s="118">
        <f t="shared" si="10"/>
        <v>1.0213622</v>
      </c>
      <c r="K55" s="119">
        <f t="shared" si="11"/>
        <v>1.0213622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>
        <v>1.0213622</v>
      </c>
      <c r="X55" s="24"/>
      <c r="Y55" s="24"/>
    </row>
    <row r="56" spans="5:25">
      <c r="E56" s="6" t="s">
        <v>569</v>
      </c>
      <c r="F56" s="187" t="s">
        <v>19</v>
      </c>
      <c r="G56" s="6" t="s">
        <v>290</v>
      </c>
      <c r="H56" s="6" t="s">
        <v>466</v>
      </c>
      <c r="I56" s="6"/>
      <c r="J56" s="118">
        <f t="shared" si="10"/>
        <v>34.208617799999999</v>
      </c>
      <c r="K56" s="119">
        <f t="shared" si="11"/>
        <v>34.208617799999999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>
        <v>34.208617799999999</v>
      </c>
      <c r="X56" s="24"/>
      <c r="Y56" s="24"/>
    </row>
    <row r="57" spans="5:25">
      <c r="E57" s="6" t="s">
        <v>483</v>
      </c>
      <c r="F57" s="187" t="s">
        <v>19</v>
      </c>
      <c r="G57" s="6" t="s">
        <v>306</v>
      </c>
      <c r="H57" s="6" t="s">
        <v>466</v>
      </c>
      <c r="I57" s="6"/>
      <c r="J57" s="118">
        <f t="shared" si="10"/>
        <v>19.453738987999998</v>
      </c>
      <c r="K57" s="119">
        <f t="shared" si="11"/>
        <v>19.453738987999998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>
        <v>14.802893586999998</v>
      </c>
      <c r="W57" s="24">
        <v>4.6508454009999998</v>
      </c>
      <c r="X57" s="24"/>
      <c r="Y57" s="24"/>
    </row>
    <row r="58" spans="5:25">
      <c r="E58" s="6" t="s">
        <v>484</v>
      </c>
      <c r="F58" s="187" t="s">
        <v>19</v>
      </c>
      <c r="G58" s="6" t="s">
        <v>307</v>
      </c>
      <c r="H58" s="6" t="s">
        <v>472</v>
      </c>
      <c r="I58" s="6"/>
      <c r="J58" s="118">
        <f t="shared" si="10"/>
        <v>46.15663223899999</v>
      </c>
      <c r="K58" s="119">
        <f t="shared" si="11"/>
        <v>46.15663223899999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>
        <v>2.5075898719999996</v>
      </c>
      <c r="W58" s="24"/>
      <c r="X58" s="24">
        <v>43.649042366999993</v>
      </c>
      <c r="Y58" s="24"/>
    </row>
    <row r="59" spans="5:25">
      <c r="E59" s="6" t="s">
        <v>484</v>
      </c>
      <c r="F59" s="187" t="s">
        <v>19</v>
      </c>
      <c r="G59" s="6" t="s">
        <v>311</v>
      </c>
      <c r="H59" s="6" t="s">
        <v>472</v>
      </c>
      <c r="I59" s="6"/>
      <c r="J59" s="118">
        <f t="shared" si="10"/>
        <v>1.173521574</v>
      </c>
      <c r="K59" s="119">
        <f t="shared" si="11"/>
        <v>1.173521574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>
        <v>1.173521574</v>
      </c>
      <c r="Y59" s="24"/>
    </row>
    <row r="60" spans="5:25">
      <c r="E60" s="6" t="s">
        <v>484</v>
      </c>
      <c r="F60" s="187" t="s">
        <v>19</v>
      </c>
      <c r="G60" s="6" t="s">
        <v>305</v>
      </c>
      <c r="H60" s="6" t="s">
        <v>472</v>
      </c>
      <c r="I60" s="6"/>
      <c r="J60" s="118">
        <f t="shared" si="10"/>
        <v>47.636642921999986</v>
      </c>
      <c r="K60" s="119">
        <f t="shared" si="11"/>
        <v>47.636642921999986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>
        <v>47.636642921999986</v>
      </c>
      <c r="Y60" s="24"/>
    </row>
    <row r="61" spans="5:25">
      <c r="E61" s="6" t="s">
        <v>484</v>
      </c>
      <c r="F61" s="187" t="s">
        <v>19</v>
      </c>
      <c r="G61" s="6" t="s">
        <v>308</v>
      </c>
      <c r="H61" s="6" t="s">
        <v>472</v>
      </c>
      <c r="I61" s="6"/>
      <c r="J61" s="118">
        <f t="shared" si="10"/>
        <v>28.902717307000003</v>
      </c>
      <c r="K61" s="119">
        <f t="shared" si="11"/>
        <v>28.902717307000003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>
        <v>28.902717307000003</v>
      </c>
      <c r="Y61" s="24"/>
    </row>
    <row r="62" spans="5:25">
      <c r="E62" s="6" t="s">
        <v>484</v>
      </c>
      <c r="F62" s="187" t="s">
        <v>19</v>
      </c>
      <c r="G62" s="6" t="s">
        <v>310</v>
      </c>
      <c r="H62" s="6" t="s">
        <v>472</v>
      </c>
      <c r="I62" s="6"/>
      <c r="J62" s="118">
        <f t="shared" si="10"/>
        <v>0.44208771600000002</v>
      </c>
      <c r="K62" s="119">
        <f t="shared" si="11"/>
        <v>0.44208771600000002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>
        <v>0.44208771600000002</v>
      </c>
      <c r="Y62" s="24"/>
    </row>
    <row r="63" spans="5:25">
      <c r="E63" s="6" t="s">
        <v>484</v>
      </c>
      <c r="F63" s="187" t="s">
        <v>19</v>
      </c>
      <c r="G63" s="6" t="s">
        <v>292</v>
      </c>
      <c r="H63" s="6" t="s">
        <v>472</v>
      </c>
      <c r="I63" s="6"/>
      <c r="J63" s="118">
        <f t="shared" si="10"/>
        <v>7.5711713750000005</v>
      </c>
      <c r="K63" s="119">
        <f t="shared" si="11"/>
        <v>7.5711713750000005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>
        <v>7.5711713750000005</v>
      </c>
      <c r="Y63" s="24"/>
    </row>
    <row r="64" spans="5:25">
      <c r="E64" s="6" t="s">
        <v>451</v>
      </c>
      <c r="F64" s="187" t="s">
        <v>19</v>
      </c>
      <c r="G64" s="6" t="s">
        <v>307</v>
      </c>
      <c r="H64" s="6" t="s">
        <v>466</v>
      </c>
      <c r="I64" s="6"/>
      <c r="J64" s="118">
        <f t="shared" si="10"/>
        <v>12.803981364</v>
      </c>
      <c r="K64" s="119">
        <f t="shared" si="11"/>
        <v>12.803981364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>
        <v>12.803981364</v>
      </c>
      <c r="W64" s="24"/>
      <c r="X64" s="24"/>
      <c r="Y64" s="24"/>
    </row>
    <row r="65" spans="5:25">
      <c r="E65" s="6" t="s">
        <v>451</v>
      </c>
      <c r="F65" s="187" t="s">
        <v>19</v>
      </c>
      <c r="G65" s="6" t="s">
        <v>308</v>
      </c>
      <c r="H65" s="6" t="s">
        <v>466</v>
      </c>
      <c r="I65" s="6"/>
      <c r="J65" s="118">
        <f t="shared" si="10"/>
        <v>2.1636036089999999</v>
      </c>
      <c r="K65" s="119">
        <f t="shared" si="11"/>
        <v>2.1636036089999999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>
        <v>2.1636036089999999</v>
      </c>
      <c r="W65" s="24"/>
      <c r="X65" s="24"/>
      <c r="Y65" s="24"/>
    </row>
    <row r="66" spans="5:25">
      <c r="E66" s="6" t="s">
        <v>451</v>
      </c>
      <c r="F66" s="187" t="s">
        <v>19</v>
      </c>
      <c r="G66" s="6" t="s">
        <v>308</v>
      </c>
      <c r="H66" s="6" t="s">
        <v>472</v>
      </c>
      <c r="I66" s="6"/>
      <c r="J66" s="118">
        <f t="shared" si="10"/>
        <v>0.36594871600000001</v>
      </c>
      <c r="K66" s="119">
        <f t="shared" si="11"/>
        <v>0.36594871600000001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>
        <v>0.36594871600000001</v>
      </c>
      <c r="W66" s="24"/>
      <c r="X66" s="24"/>
      <c r="Y66" s="24"/>
    </row>
    <row r="67" spans="5:25">
      <c r="E67" s="6" t="s">
        <v>577</v>
      </c>
      <c r="F67" s="187" t="s">
        <v>19</v>
      </c>
      <c r="G67" s="6" t="s">
        <v>305</v>
      </c>
      <c r="H67" s="6" t="s">
        <v>472</v>
      </c>
      <c r="I67" s="6"/>
      <c r="J67" s="118">
        <f t="shared" si="10"/>
        <v>19.768845337000002</v>
      </c>
      <c r="K67" s="119">
        <f t="shared" si="11"/>
        <v>19.768845337000002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>
        <v>19.768845337000002</v>
      </c>
      <c r="X67" s="24"/>
      <c r="Y67" s="24"/>
    </row>
    <row r="68" spans="5:25">
      <c r="E68" s="6" t="s">
        <v>485</v>
      </c>
      <c r="F68" s="187" t="s">
        <v>19</v>
      </c>
      <c r="G68" s="6" t="s">
        <v>530</v>
      </c>
      <c r="H68" s="6" t="s">
        <v>472</v>
      </c>
      <c r="I68" s="6"/>
      <c r="J68" s="118">
        <f t="shared" si="10"/>
        <v>18.610925000000002</v>
      </c>
      <c r="K68" s="119">
        <f t="shared" si="11"/>
        <v>18.610925000000002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>
        <v>18.610925000000002</v>
      </c>
      <c r="W68" s="24"/>
      <c r="X68" s="24"/>
      <c r="Y68" s="24"/>
    </row>
    <row r="69" spans="5:25">
      <c r="E69" s="6" t="s">
        <v>589</v>
      </c>
      <c r="F69" s="187" t="s">
        <v>19</v>
      </c>
      <c r="G69" s="6" t="s">
        <v>283</v>
      </c>
      <c r="H69" s="6" t="s">
        <v>466</v>
      </c>
      <c r="I69" s="6"/>
      <c r="J69" s="118">
        <f t="shared" si="10"/>
        <v>1.9666872719999999</v>
      </c>
      <c r="K69" s="119">
        <f t="shared" si="11"/>
        <v>1.9666872719999999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>
        <v>1.9666872719999999</v>
      </c>
      <c r="X69" s="24"/>
      <c r="Y69" s="24"/>
    </row>
    <row r="70" spans="5:25">
      <c r="E70" s="6" t="s">
        <v>589</v>
      </c>
      <c r="F70" s="187" t="s">
        <v>19</v>
      </c>
      <c r="G70" s="6" t="s">
        <v>291</v>
      </c>
      <c r="H70" s="6" t="s">
        <v>466</v>
      </c>
      <c r="I70" s="6"/>
      <c r="J70" s="118">
        <f t="shared" si="10"/>
        <v>1.5587086999999999E-2</v>
      </c>
      <c r="K70" s="119">
        <f t="shared" si="11"/>
        <v>1.5587086999999999E-2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>
        <v>1.5587086999999999E-2</v>
      </c>
      <c r="X70" s="24"/>
      <c r="Y70" s="24"/>
    </row>
    <row r="71" spans="5:25">
      <c r="E71" s="6" t="s">
        <v>270</v>
      </c>
      <c r="F71" s="187" t="s">
        <v>19</v>
      </c>
      <c r="G71" s="6" t="s">
        <v>481</v>
      </c>
      <c r="H71" s="6" t="s">
        <v>466</v>
      </c>
      <c r="I71" s="6"/>
      <c r="J71" s="118">
        <f t="shared" si="10"/>
        <v>8.5037729999999989</v>
      </c>
      <c r="K71" s="119">
        <f t="shared" si="11"/>
        <v>8.5037729999999989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>
        <v>8.5037729999999989</v>
      </c>
      <c r="W71" s="24"/>
      <c r="X71" s="24"/>
      <c r="Y71" s="24"/>
    </row>
    <row r="72" spans="5:25">
      <c r="E72" s="6" t="s">
        <v>570</v>
      </c>
      <c r="F72" s="187" t="s">
        <v>19</v>
      </c>
      <c r="G72" s="6" t="s">
        <v>277</v>
      </c>
      <c r="H72" s="6" t="s">
        <v>466</v>
      </c>
      <c r="I72" s="6"/>
      <c r="J72" s="118">
        <f t="shared" si="10"/>
        <v>18.882688407000003</v>
      </c>
      <c r="K72" s="119">
        <f t="shared" si="11"/>
        <v>18.882688407000003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>
        <v>18.882688407000003</v>
      </c>
      <c r="W72" s="24"/>
      <c r="X72" s="24"/>
      <c r="Y72" s="24"/>
    </row>
    <row r="73" spans="5:25">
      <c r="E73" s="6" t="s">
        <v>489</v>
      </c>
      <c r="F73" s="187" t="s">
        <v>19</v>
      </c>
      <c r="G73" s="6" t="s">
        <v>291</v>
      </c>
      <c r="H73" s="6" t="s">
        <v>466</v>
      </c>
      <c r="I73" s="6"/>
      <c r="J73" s="118">
        <f t="shared" si="10"/>
        <v>9.5997403999999995E-2</v>
      </c>
      <c r="K73" s="119">
        <f t="shared" si="11"/>
        <v>9.5997403999999995E-2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>
        <v>9.5997403999999995E-2</v>
      </c>
      <c r="W73" s="24"/>
      <c r="X73" s="24"/>
      <c r="Y73" s="24"/>
    </row>
    <row r="74" spans="5:25">
      <c r="E74" s="6" t="s">
        <v>491</v>
      </c>
      <c r="F74" s="187" t="s">
        <v>19</v>
      </c>
      <c r="G74" s="6" t="s">
        <v>278</v>
      </c>
      <c r="H74" s="6" t="s">
        <v>466</v>
      </c>
      <c r="I74" s="6"/>
      <c r="J74" s="118">
        <f t="shared" si="10"/>
        <v>1.6548602190000001</v>
      </c>
      <c r="K74" s="119">
        <f t="shared" si="11"/>
        <v>1.6548602190000001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>
        <v>1.6548602190000001</v>
      </c>
      <c r="Y74" s="24"/>
    </row>
    <row r="75" spans="5:25">
      <c r="E75" s="6" t="s">
        <v>602</v>
      </c>
      <c r="F75" s="187" t="s">
        <v>19</v>
      </c>
      <c r="G75" s="6" t="s">
        <v>303</v>
      </c>
      <c r="H75" s="6" t="s">
        <v>466</v>
      </c>
      <c r="I75" s="6"/>
      <c r="J75" s="118">
        <f t="shared" si="10"/>
        <v>8.2619550000000004</v>
      </c>
      <c r="K75" s="119">
        <f t="shared" si="11"/>
        <v>8.2619550000000004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>
        <v>8.2619550000000004</v>
      </c>
      <c r="W75" s="24"/>
      <c r="X75" s="24"/>
      <c r="Y75" s="24"/>
    </row>
    <row r="76" spans="5:25">
      <c r="E76" s="6" t="s">
        <v>602</v>
      </c>
      <c r="F76" s="187" t="s">
        <v>19</v>
      </c>
      <c r="G76" s="6" t="s">
        <v>305</v>
      </c>
      <c r="H76" s="6" t="s">
        <v>472</v>
      </c>
      <c r="I76" s="6"/>
      <c r="J76" s="118">
        <f t="shared" si="10"/>
        <v>68.931838999999982</v>
      </c>
      <c r="K76" s="119">
        <f t="shared" si="11"/>
        <v>68.931838999999982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24">
        <v>68.931838999999982</v>
      </c>
      <c r="W76" s="24"/>
      <c r="X76" s="24"/>
      <c r="Y76" s="24"/>
    </row>
    <row r="77" spans="5:25">
      <c r="E77" s="6" t="s">
        <v>545</v>
      </c>
      <c r="F77" s="187" t="s">
        <v>19</v>
      </c>
      <c r="G77" s="6" t="s">
        <v>303</v>
      </c>
      <c r="H77" s="6" t="s">
        <v>466</v>
      </c>
      <c r="I77" s="6"/>
      <c r="J77" s="118">
        <f t="shared" ref="J77:J78" si="13">+K77+L77</f>
        <v>7.9915460000000005</v>
      </c>
      <c r="K77" s="119">
        <f t="shared" ref="K77:K78" si="14">SUM(N77:Y77)</f>
        <v>7.9915460000000005</v>
      </c>
      <c r="L77" s="119">
        <f t="shared" ref="L77:L78" si="15">SUM(AA77:AL77)</f>
        <v>0</v>
      </c>
      <c r="N77" s="24"/>
      <c r="O77" s="24"/>
      <c r="P77" s="24"/>
      <c r="Q77" s="24"/>
      <c r="R77" s="24"/>
      <c r="S77" s="24"/>
      <c r="T77" s="24"/>
      <c r="U77" s="24"/>
      <c r="V77" s="24">
        <v>7.9915460000000005</v>
      </c>
      <c r="W77" s="24"/>
      <c r="X77" s="24"/>
      <c r="Y77" s="24"/>
    </row>
    <row r="78" spans="5:25">
      <c r="E78" s="6" t="s">
        <v>496</v>
      </c>
      <c r="F78" s="187" t="s">
        <v>19</v>
      </c>
      <c r="G78" s="6" t="s">
        <v>303</v>
      </c>
      <c r="H78" s="6" t="s">
        <v>466</v>
      </c>
      <c r="I78" s="6"/>
      <c r="J78" s="118">
        <f t="shared" si="13"/>
        <v>8.000408199999999</v>
      </c>
      <c r="K78" s="119">
        <f t="shared" si="14"/>
        <v>8.000408199999999</v>
      </c>
      <c r="L78" s="119">
        <f t="shared" si="15"/>
        <v>0</v>
      </c>
      <c r="N78" s="24"/>
      <c r="O78" s="24"/>
      <c r="P78" s="24"/>
      <c r="Q78" s="24"/>
      <c r="R78" s="24"/>
      <c r="S78" s="24"/>
      <c r="T78" s="24"/>
      <c r="U78" s="24"/>
      <c r="V78" s="24">
        <v>8.000408199999999</v>
      </c>
      <c r="W78" s="24"/>
      <c r="X78" s="24"/>
      <c r="Y78" s="24"/>
    </row>
    <row r="79" spans="5:25">
      <c r="E79" s="6" t="s">
        <v>487</v>
      </c>
      <c r="F79" s="187" t="s">
        <v>19</v>
      </c>
      <c r="G79" s="6" t="s">
        <v>481</v>
      </c>
      <c r="H79" s="6" t="s">
        <v>466</v>
      </c>
      <c r="I79" s="6"/>
      <c r="J79" s="118">
        <f t="shared" ref="J79:J85" si="16">+K79+L79</f>
        <v>1.4039999999999999</v>
      </c>
      <c r="K79" s="119">
        <f t="shared" ref="K79:K85" si="17">SUM(N79:Y79)</f>
        <v>1.4039999999999999</v>
      </c>
      <c r="L79" s="119">
        <f t="shared" ref="L79:L85" si="18">SUM(AA79:AL79)</f>
        <v>0</v>
      </c>
      <c r="N79" s="24"/>
      <c r="O79" s="24"/>
      <c r="P79" s="24"/>
      <c r="Q79" s="24"/>
      <c r="R79" s="24"/>
      <c r="S79" s="24"/>
      <c r="T79" s="24"/>
      <c r="U79" s="24"/>
      <c r="V79" s="24">
        <v>1.4039999999999999</v>
      </c>
      <c r="W79" s="24"/>
      <c r="X79" s="24"/>
      <c r="Y79" s="24"/>
    </row>
    <row r="80" spans="5:25">
      <c r="E80" s="6" t="s">
        <v>487</v>
      </c>
      <c r="F80" s="187" t="s">
        <v>19</v>
      </c>
      <c r="G80" s="6" t="s">
        <v>317</v>
      </c>
      <c r="H80" s="6" t="s">
        <v>466</v>
      </c>
      <c r="I80" s="6"/>
      <c r="J80" s="118">
        <f t="shared" si="16"/>
        <v>1.1826547569999999</v>
      </c>
      <c r="K80" s="119">
        <f t="shared" si="17"/>
        <v>1.1826547569999999</v>
      </c>
      <c r="L80" s="119">
        <f t="shared" si="18"/>
        <v>0</v>
      </c>
      <c r="N80" s="24"/>
      <c r="O80" s="24"/>
      <c r="P80" s="24"/>
      <c r="Q80" s="24"/>
      <c r="R80" s="24"/>
      <c r="S80" s="24"/>
      <c r="T80" s="24"/>
      <c r="U80" s="24"/>
      <c r="V80" s="24">
        <v>1.1826547569999999</v>
      </c>
      <c r="W80" s="24"/>
      <c r="X80" s="24"/>
      <c r="Y80" s="24"/>
    </row>
    <row r="81" spans="5:25">
      <c r="E81" s="6" t="s">
        <v>487</v>
      </c>
      <c r="F81" s="187" t="s">
        <v>19</v>
      </c>
      <c r="G81" s="6" t="s">
        <v>319</v>
      </c>
      <c r="H81" s="6" t="s">
        <v>472</v>
      </c>
      <c r="I81" s="6"/>
      <c r="J81" s="118">
        <f t="shared" si="16"/>
        <v>120.76996569999999</v>
      </c>
      <c r="K81" s="119">
        <f t="shared" si="17"/>
        <v>120.76996569999999</v>
      </c>
      <c r="L81" s="119">
        <f t="shared" si="18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>
        <v>120.76996569999999</v>
      </c>
      <c r="X81" s="24"/>
      <c r="Y81" s="24"/>
    </row>
    <row r="82" spans="5:25">
      <c r="E82" s="6" t="s">
        <v>517</v>
      </c>
      <c r="F82" s="187" t="s">
        <v>19</v>
      </c>
      <c r="G82" s="6" t="s">
        <v>481</v>
      </c>
      <c r="H82" s="6" t="s">
        <v>466</v>
      </c>
      <c r="I82" s="6"/>
      <c r="J82" s="118">
        <f t="shared" si="16"/>
        <v>4.2518864999999995</v>
      </c>
      <c r="K82" s="119">
        <f t="shared" si="17"/>
        <v>4.2518864999999995</v>
      </c>
      <c r="L82" s="119">
        <f t="shared" si="18"/>
        <v>0</v>
      </c>
      <c r="N82" s="24"/>
      <c r="O82" s="24"/>
      <c r="P82" s="24"/>
      <c r="Q82" s="24"/>
      <c r="R82" s="24"/>
      <c r="S82" s="24"/>
      <c r="T82" s="24"/>
      <c r="U82" s="24"/>
      <c r="V82" s="24">
        <v>4.2518864999999995</v>
      </c>
      <c r="W82" s="24"/>
      <c r="X82" s="24"/>
      <c r="Y82" s="24"/>
    </row>
    <row r="83" spans="5:25">
      <c r="E83" s="6" t="s">
        <v>517</v>
      </c>
      <c r="F83" s="187" t="s">
        <v>19</v>
      </c>
      <c r="G83" s="6" t="s">
        <v>317</v>
      </c>
      <c r="H83" s="6" t="s">
        <v>466</v>
      </c>
      <c r="I83" s="6"/>
      <c r="J83" s="118">
        <f t="shared" si="16"/>
        <v>32.788895999999994</v>
      </c>
      <c r="K83" s="119">
        <f t="shared" si="17"/>
        <v>32.788895999999994</v>
      </c>
      <c r="L83" s="119">
        <f t="shared" si="18"/>
        <v>0</v>
      </c>
      <c r="N83" s="24"/>
      <c r="O83" s="24"/>
      <c r="P83" s="24"/>
      <c r="Q83" s="24"/>
      <c r="R83" s="24"/>
      <c r="S83" s="24"/>
      <c r="T83" s="24"/>
      <c r="U83" s="24"/>
      <c r="V83" s="24"/>
      <c r="W83" s="24">
        <v>32.788895999999994</v>
      </c>
      <c r="X83" s="24"/>
      <c r="Y83" s="24"/>
    </row>
    <row r="84" spans="5:25">
      <c r="E84" s="6" t="s">
        <v>514</v>
      </c>
      <c r="F84" s="187" t="s">
        <v>19</v>
      </c>
      <c r="G84" s="6" t="s">
        <v>481</v>
      </c>
      <c r="H84" s="6" t="s">
        <v>466</v>
      </c>
      <c r="I84" s="6"/>
      <c r="J84" s="118">
        <f t="shared" si="16"/>
        <v>4.2518864999999995</v>
      </c>
      <c r="K84" s="119">
        <f t="shared" si="17"/>
        <v>4.2518864999999995</v>
      </c>
      <c r="L84" s="119">
        <f t="shared" si="18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24">
        <v>4.2518864999999995</v>
      </c>
      <c r="X84" s="24"/>
      <c r="Y84" s="24"/>
    </row>
    <row r="85" spans="5:25">
      <c r="E85" s="6" t="s">
        <v>516</v>
      </c>
      <c r="F85" s="187" t="s">
        <v>19</v>
      </c>
      <c r="G85" s="6" t="s">
        <v>317</v>
      </c>
      <c r="H85" s="6" t="s">
        <v>466</v>
      </c>
      <c r="I85" s="6"/>
      <c r="J85" s="118">
        <f t="shared" si="16"/>
        <v>6.3112686</v>
      </c>
      <c r="K85" s="119">
        <f t="shared" si="17"/>
        <v>6.3112686</v>
      </c>
      <c r="L85" s="119">
        <f t="shared" si="18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24">
        <v>6.3112686</v>
      </c>
      <c r="X85" s="24"/>
      <c r="Y85" s="24"/>
    </row>
    <row r="86" spans="5:25">
      <c r="E86" s="6"/>
      <c r="F86" s="6"/>
      <c r="G86" s="6"/>
      <c r="H86" s="6"/>
      <c r="I86" s="6"/>
      <c r="J86" s="118"/>
      <c r="K86" s="119"/>
      <c r="L86" s="119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5:25">
      <c r="E87" s="6"/>
      <c r="F87" s="6"/>
      <c r="G87" s="6"/>
      <c r="H87" s="6"/>
      <c r="I87" s="6"/>
      <c r="J87" s="118"/>
      <c r="K87" s="119"/>
      <c r="L87" s="119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5:25" s="340" customFormat="1">
      <c r="E88" s="305" t="s">
        <v>596</v>
      </c>
      <c r="F88" s="437" t="s">
        <v>19</v>
      </c>
      <c r="G88" s="305" t="s">
        <v>605</v>
      </c>
      <c r="H88" s="305" t="s">
        <v>472</v>
      </c>
      <c r="I88" s="305"/>
      <c r="J88" s="343">
        <f t="shared" ref="J88:J114" si="19">+K88+L88</f>
        <v>23.960324400000001</v>
      </c>
      <c r="K88" s="339">
        <f t="shared" ref="K88:K114" si="20">SUM(N88:Y88)</f>
        <v>23.960324400000001</v>
      </c>
      <c r="L88" s="339">
        <f t="shared" ref="L88:L114" si="21">SUM(AA88:AL88)</f>
        <v>0</v>
      </c>
      <c r="M88" s="281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>
        <v>23.960324400000001</v>
      </c>
    </row>
    <row r="89" spans="5:25" s="340" customFormat="1">
      <c r="E89" s="305" t="s">
        <v>580</v>
      </c>
      <c r="F89" s="437" t="s">
        <v>19</v>
      </c>
      <c r="G89" s="305" t="s">
        <v>530</v>
      </c>
      <c r="H89" s="305" t="s">
        <v>472</v>
      </c>
      <c r="I89" s="305"/>
      <c r="J89" s="343">
        <f t="shared" si="19"/>
        <v>15.55437</v>
      </c>
      <c r="K89" s="339">
        <f t="shared" si="20"/>
        <v>15.55437</v>
      </c>
      <c r="L89" s="339">
        <f t="shared" si="21"/>
        <v>0</v>
      </c>
      <c r="M89" s="281"/>
      <c r="N89" s="344"/>
      <c r="O89" s="344"/>
      <c r="P89" s="344"/>
      <c r="Q89" s="344"/>
      <c r="R89" s="344"/>
      <c r="S89" s="344"/>
      <c r="T89" s="344"/>
      <c r="U89" s="344"/>
      <c r="V89" s="344">
        <v>15.55437</v>
      </c>
      <c r="W89" s="344"/>
      <c r="X89" s="344"/>
      <c r="Y89" s="344"/>
    </row>
    <row r="90" spans="5:25" s="340" customFormat="1">
      <c r="E90" s="305" t="s">
        <v>580</v>
      </c>
      <c r="F90" s="437" t="s">
        <v>19</v>
      </c>
      <c r="G90" s="305" t="s">
        <v>530</v>
      </c>
      <c r="H90" s="305" t="s">
        <v>472</v>
      </c>
      <c r="I90" s="305"/>
      <c r="J90" s="343">
        <f t="shared" si="19"/>
        <v>68.666609999999991</v>
      </c>
      <c r="K90" s="339">
        <f t="shared" si="20"/>
        <v>68.666609999999991</v>
      </c>
      <c r="L90" s="339">
        <f t="shared" si="21"/>
        <v>0</v>
      </c>
      <c r="M90" s="281"/>
      <c r="N90" s="344"/>
      <c r="O90" s="344"/>
      <c r="P90" s="344"/>
      <c r="Q90" s="344"/>
      <c r="R90" s="344"/>
      <c r="S90" s="344"/>
      <c r="T90" s="344"/>
      <c r="U90" s="344"/>
      <c r="V90" s="344">
        <v>68.666609999999991</v>
      </c>
      <c r="W90" s="344"/>
      <c r="X90" s="344"/>
      <c r="Y90" s="344"/>
    </row>
    <row r="91" spans="5:25" s="340" customFormat="1">
      <c r="E91" s="305" t="s">
        <v>597</v>
      </c>
      <c r="F91" s="437" t="s">
        <v>19</v>
      </c>
      <c r="G91" s="305" t="s">
        <v>283</v>
      </c>
      <c r="H91" s="305" t="s">
        <v>466</v>
      </c>
      <c r="I91" s="305"/>
      <c r="J91" s="343">
        <f t="shared" si="19"/>
        <v>0.3574638504</v>
      </c>
      <c r="K91" s="339">
        <f t="shared" si="20"/>
        <v>0.3574638504</v>
      </c>
      <c r="L91" s="339">
        <f t="shared" si="21"/>
        <v>0</v>
      </c>
      <c r="M91" s="281"/>
      <c r="N91" s="344"/>
      <c r="O91" s="344"/>
      <c r="P91" s="344"/>
      <c r="Q91" s="344"/>
      <c r="R91" s="344"/>
      <c r="S91" s="344"/>
      <c r="T91" s="344"/>
      <c r="U91" s="344"/>
      <c r="V91" s="344">
        <v>0.3574638504</v>
      </c>
      <c r="W91" s="344"/>
      <c r="X91" s="344"/>
      <c r="Y91" s="344"/>
    </row>
    <row r="92" spans="5:25" s="340" customFormat="1">
      <c r="E92" s="305" t="s">
        <v>597</v>
      </c>
      <c r="F92" s="437" t="s">
        <v>19</v>
      </c>
      <c r="G92" s="305" t="s">
        <v>283</v>
      </c>
      <c r="H92" s="305" t="s">
        <v>472</v>
      </c>
      <c r="I92" s="305"/>
      <c r="J92" s="343">
        <f t="shared" si="19"/>
        <v>15.970591979999998</v>
      </c>
      <c r="K92" s="339">
        <f t="shared" si="20"/>
        <v>15.970591979999998</v>
      </c>
      <c r="L92" s="339">
        <f t="shared" si="21"/>
        <v>0</v>
      </c>
      <c r="M92" s="281"/>
      <c r="N92" s="344"/>
      <c r="O92" s="344"/>
      <c r="P92" s="344"/>
      <c r="Q92" s="344"/>
      <c r="R92" s="344"/>
      <c r="S92" s="344"/>
      <c r="T92" s="344"/>
      <c r="U92" s="344"/>
      <c r="V92" s="344">
        <v>15.970591979999998</v>
      </c>
      <c r="W92" s="344"/>
      <c r="X92" s="344"/>
      <c r="Y92" s="344"/>
    </row>
    <row r="93" spans="5:25" s="340" customFormat="1">
      <c r="E93" s="305" t="s">
        <v>581</v>
      </c>
      <c r="F93" s="437" t="s">
        <v>19</v>
      </c>
      <c r="G93" s="305" t="s">
        <v>289</v>
      </c>
      <c r="H93" s="305" t="s">
        <v>466</v>
      </c>
      <c r="I93" s="305"/>
      <c r="J93" s="343">
        <f t="shared" si="19"/>
        <v>41.204236289999997</v>
      </c>
      <c r="K93" s="339">
        <f t="shared" si="20"/>
        <v>41.204236289999997</v>
      </c>
      <c r="L93" s="339">
        <f t="shared" si="21"/>
        <v>0</v>
      </c>
      <c r="M93" s="281"/>
      <c r="N93" s="344"/>
      <c r="O93" s="344"/>
      <c r="P93" s="344"/>
      <c r="Q93" s="344"/>
      <c r="R93" s="344"/>
      <c r="S93" s="344"/>
      <c r="T93" s="344"/>
      <c r="U93" s="344"/>
      <c r="V93" s="344">
        <v>12.1962908</v>
      </c>
      <c r="W93" s="344">
        <v>18.56791479</v>
      </c>
      <c r="X93" s="344"/>
      <c r="Y93" s="344">
        <v>10.440030700000001</v>
      </c>
    </row>
    <row r="94" spans="5:25" s="340" customFormat="1">
      <c r="E94" s="305" t="s">
        <v>581</v>
      </c>
      <c r="F94" s="437" t="s">
        <v>19</v>
      </c>
      <c r="G94" s="305" t="s">
        <v>291</v>
      </c>
      <c r="H94" s="305" t="s">
        <v>466</v>
      </c>
      <c r="I94" s="305"/>
      <c r="J94" s="343">
        <f t="shared" si="19"/>
        <v>45.461899000000003</v>
      </c>
      <c r="K94" s="339">
        <f t="shared" si="20"/>
        <v>45.461899000000003</v>
      </c>
      <c r="L94" s="339">
        <f t="shared" si="21"/>
        <v>0</v>
      </c>
      <c r="M94" s="281"/>
      <c r="N94" s="344"/>
      <c r="O94" s="344"/>
      <c r="P94" s="344"/>
      <c r="Q94" s="344"/>
      <c r="R94" s="344"/>
      <c r="S94" s="344"/>
      <c r="T94" s="344"/>
      <c r="U94" s="344"/>
      <c r="V94" s="344">
        <v>18.826652600000003</v>
      </c>
      <c r="W94" s="344">
        <v>4.6389241999999999</v>
      </c>
      <c r="X94" s="344"/>
      <c r="Y94" s="344">
        <v>21.996322200000002</v>
      </c>
    </row>
    <row r="95" spans="5:25" s="340" customFormat="1">
      <c r="E95" s="305" t="s">
        <v>581</v>
      </c>
      <c r="F95" s="437" t="s">
        <v>19</v>
      </c>
      <c r="G95" s="305" t="s">
        <v>292</v>
      </c>
      <c r="H95" s="305" t="s">
        <v>466</v>
      </c>
      <c r="I95" s="305"/>
      <c r="J95" s="343">
        <f t="shared" si="19"/>
        <v>46.011112999999995</v>
      </c>
      <c r="K95" s="339">
        <f t="shared" si="20"/>
        <v>46.011112999999995</v>
      </c>
      <c r="L95" s="339">
        <f t="shared" si="21"/>
        <v>0</v>
      </c>
      <c r="M95" s="281"/>
      <c r="N95" s="344"/>
      <c r="O95" s="344"/>
      <c r="P95" s="344"/>
      <c r="Q95" s="344"/>
      <c r="R95" s="344"/>
      <c r="S95" s="344"/>
      <c r="T95" s="344"/>
      <c r="U95" s="344"/>
      <c r="V95" s="344">
        <v>37.052396999999999</v>
      </c>
      <c r="W95" s="344">
        <v>8.958715999999999</v>
      </c>
      <c r="X95" s="344"/>
      <c r="Y95" s="344"/>
    </row>
    <row r="96" spans="5:25" s="340" customFormat="1">
      <c r="E96" s="305" t="s">
        <v>581</v>
      </c>
      <c r="F96" s="437" t="s">
        <v>19</v>
      </c>
      <c r="G96" s="305" t="s">
        <v>294</v>
      </c>
      <c r="H96" s="305" t="s">
        <v>466</v>
      </c>
      <c r="I96" s="305"/>
      <c r="J96" s="343">
        <f t="shared" si="19"/>
        <v>0.15601509999999999</v>
      </c>
      <c r="K96" s="339">
        <f t="shared" si="20"/>
        <v>0.15601509999999999</v>
      </c>
      <c r="L96" s="339">
        <f t="shared" si="21"/>
        <v>0</v>
      </c>
      <c r="M96" s="281"/>
      <c r="N96" s="344"/>
      <c r="O96" s="344"/>
      <c r="P96" s="344"/>
      <c r="Q96" s="344"/>
      <c r="R96" s="344"/>
      <c r="S96" s="344"/>
      <c r="T96" s="344"/>
      <c r="U96" s="344"/>
      <c r="V96" s="344">
        <v>0.15601509999999999</v>
      </c>
      <c r="W96" s="344"/>
      <c r="X96" s="344"/>
      <c r="Y96" s="344"/>
    </row>
    <row r="97" spans="5:25" s="340" customFormat="1">
      <c r="E97" s="305" t="s">
        <v>581</v>
      </c>
      <c r="F97" s="437" t="s">
        <v>19</v>
      </c>
      <c r="G97" s="305" t="s">
        <v>448</v>
      </c>
      <c r="H97" s="305" t="s">
        <v>466</v>
      </c>
      <c r="I97" s="305"/>
      <c r="J97" s="343">
        <f t="shared" si="19"/>
        <v>50.615942800000006</v>
      </c>
      <c r="K97" s="339">
        <f t="shared" si="20"/>
        <v>50.615942800000006</v>
      </c>
      <c r="L97" s="339">
        <f t="shared" si="21"/>
        <v>0</v>
      </c>
      <c r="M97" s="281"/>
      <c r="N97" s="344"/>
      <c r="O97" s="344"/>
      <c r="P97" s="344"/>
      <c r="Q97" s="344"/>
      <c r="R97" s="344"/>
      <c r="S97" s="344"/>
      <c r="T97" s="344"/>
      <c r="U97" s="344"/>
      <c r="V97" s="344">
        <v>27.561345600000003</v>
      </c>
      <c r="W97" s="344">
        <v>18.075521699999999</v>
      </c>
      <c r="X97" s="344"/>
      <c r="Y97" s="344">
        <v>4.9790754999999995</v>
      </c>
    </row>
    <row r="98" spans="5:25" s="340" customFormat="1">
      <c r="E98" s="305" t="s">
        <v>581</v>
      </c>
      <c r="F98" s="437" t="s">
        <v>19</v>
      </c>
      <c r="G98" s="305" t="s">
        <v>295</v>
      </c>
      <c r="H98" s="305" t="s">
        <v>466</v>
      </c>
      <c r="I98" s="305"/>
      <c r="J98" s="343">
        <f t="shared" si="19"/>
        <v>22.062409399999996</v>
      </c>
      <c r="K98" s="339">
        <f t="shared" si="20"/>
        <v>22.062409399999996</v>
      </c>
      <c r="L98" s="339">
        <f t="shared" si="21"/>
        <v>0</v>
      </c>
      <c r="M98" s="281"/>
      <c r="N98" s="344"/>
      <c r="O98" s="344"/>
      <c r="P98" s="344"/>
      <c r="Q98" s="344"/>
      <c r="R98" s="344"/>
      <c r="S98" s="344"/>
      <c r="T98" s="344"/>
      <c r="U98" s="344"/>
      <c r="V98" s="344">
        <v>1.4584739999999998</v>
      </c>
      <c r="W98" s="344"/>
      <c r="X98" s="344"/>
      <c r="Y98" s="344">
        <v>20.603935399999997</v>
      </c>
    </row>
    <row r="99" spans="5:25" s="340" customFormat="1">
      <c r="E99" s="305" t="s">
        <v>581</v>
      </c>
      <c r="F99" s="437" t="s">
        <v>19</v>
      </c>
      <c r="G99" s="305" t="s">
        <v>288</v>
      </c>
      <c r="H99" s="305" t="s">
        <v>466</v>
      </c>
      <c r="I99" s="305"/>
      <c r="J99" s="343">
        <f t="shared" si="19"/>
        <v>17.952419299999999</v>
      </c>
      <c r="K99" s="339">
        <f t="shared" si="20"/>
        <v>17.952419299999999</v>
      </c>
      <c r="L99" s="339">
        <f t="shared" si="21"/>
        <v>0</v>
      </c>
      <c r="M99" s="281"/>
      <c r="N99" s="344"/>
      <c r="O99" s="344"/>
      <c r="P99" s="344"/>
      <c r="Q99" s="344"/>
      <c r="R99" s="344"/>
      <c r="S99" s="344"/>
      <c r="T99" s="344"/>
      <c r="U99" s="344"/>
      <c r="V99" s="344">
        <v>17.952419299999999</v>
      </c>
      <c r="W99" s="344"/>
      <c r="X99" s="344"/>
      <c r="Y99" s="344"/>
    </row>
    <row r="100" spans="5:25" s="340" customFormat="1">
      <c r="E100" s="305" t="s">
        <v>581</v>
      </c>
      <c r="F100" s="437" t="s">
        <v>19</v>
      </c>
      <c r="G100" s="305" t="s">
        <v>290</v>
      </c>
      <c r="H100" s="305" t="s">
        <v>466</v>
      </c>
      <c r="I100" s="305"/>
      <c r="J100" s="343">
        <f t="shared" si="19"/>
        <v>25.626392600000003</v>
      </c>
      <c r="K100" s="339">
        <f t="shared" si="20"/>
        <v>25.626392600000003</v>
      </c>
      <c r="L100" s="339">
        <f t="shared" si="21"/>
        <v>0</v>
      </c>
      <c r="M100" s="281"/>
      <c r="N100" s="344"/>
      <c r="O100" s="344"/>
      <c r="P100" s="344"/>
      <c r="Q100" s="344"/>
      <c r="R100" s="344"/>
      <c r="S100" s="344"/>
      <c r="T100" s="344"/>
      <c r="U100" s="344"/>
      <c r="V100" s="344">
        <v>15.8467328</v>
      </c>
      <c r="W100" s="344">
        <v>1.9327142000000002</v>
      </c>
      <c r="X100" s="344"/>
      <c r="Y100" s="344">
        <v>7.8469455999999997</v>
      </c>
    </row>
    <row r="101" spans="5:25" s="340" customFormat="1">
      <c r="E101" s="305" t="s">
        <v>598</v>
      </c>
      <c r="F101" s="437" t="s">
        <v>19</v>
      </c>
      <c r="G101" s="305" t="s">
        <v>305</v>
      </c>
      <c r="H101" s="305" t="s">
        <v>472</v>
      </c>
      <c r="I101" s="305"/>
      <c r="J101" s="343">
        <f t="shared" si="19"/>
        <v>6.0859211000000002</v>
      </c>
      <c r="K101" s="339">
        <f t="shared" si="20"/>
        <v>6.0859211000000002</v>
      </c>
      <c r="L101" s="339">
        <f t="shared" si="21"/>
        <v>0</v>
      </c>
      <c r="M101" s="281"/>
      <c r="N101" s="344"/>
      <c r="O101" s="344"/>
      <c r="P101" s="344"/>
      <c r="Q101" s="344"/>
      <c r="R101" s="344"/>
      <c r="S101" s="344"/>
      <c r="T101" s="344"/>
      <c r="U101" s="344"/>
      <c r="V101" s="344">
        <v>6.0859211000000002</v>
      </c>
      <c r="W101" s="344"/>
      <c r="X101" s="344"/>
      <c r="Y101" s="344"/>
    </row>
    <row r="102" spans="5:25" s="340" customFormat="1">
      <c r="E102" s="305" t="s">
        <v>598</v>
      </c>
      <c r="F102" s="437" t="s">
        <v>19</v>
      </c>
      <c r="G102" s="305" t="s">
        <v>277</v>
      </c>
      <c r="H102" s="305" t="s">
        <v>466</v>
      </c>
      <c r="I102" s="305"/>
      <c r="J102" s="343">
        <f t="shared" si="19"/>
        <v>10.563825400000001</v>
      </c>
      <c r="K102" s="339">
        <f t="shared" si="20"/>
        <v>10.563825400000001</v>
      </c>
      <c r="L102" s="339">
        <f t="shared" si="21"/>
        <v>0</v>
      </c>
      <c r="M102" s="281"/>
      <c r="N102" s="344"/>
      <c r="O102" s="344"/>
      <c r="P102" s="344"/>
      <c r="Q102" s="344"/>
      <c r="R102" s="344"/>
      <c r="S102" s="344"/>
      <c r="T102" s="344"/>
      <c r="U102" s="344"/>
      <c r="V102" s="344">
        <v>10.563825400000001</v>
      </c>
      <c r="W102" s="344"/>
      <c r="X102" s="344"/>
      <c r="Y102" s="344"/>
    </row>
    <row r="103" spans="5:25" s="340" customFormat="1">
      <c r="E103" s="305" t="s">
        <v>583</v>
      </c>
      <c r="F103" s="437" t="s">
        <v>19</v>
      </c>
      <c r="G103" s="305" t="s">
        <v>481</v>
      </c>
      <c r="H103" s="305" t="s">
        <v>466</v>
      </c>
      <c r="I103" s="305"/>
      <c r="J103" s="343">
        <f t="shared" si="19"/>
        <v>25.312194200000004</v>
      </c>
      <c r="K103" s="339">
        <f t="shared" si="20"/>
        <v>25.312194200000004</v>
      </c>
      <c r="L103" s="339">
        <f t="shared" si="21"/>
        <v>0</v>
      </c>
      <c r="M103" s="281"/>
      <c r="N103" s="344"/>
      <c r="O103" s="344"/>
      <c r="P103" s="344"/>
      <c r="Q103" s="344"/>
      <c r="R103" s="344"/>
      <c r="S103" s="344"/>
      <c r="T103" s="344"/>
      <c r="U103" s="344"/>
      <c r="V103" s="344">
        <v>25.312194200000004</v>
      </c>
      <c r="W103" s="344"/>
      <c r="X103" s="344"/>
      <c r="Y103" s="344"/>
    </row>
    <row r="104" spans="5:25" s="340" customFormat="1">
      <c r="E104" s="305" t="s">
        <v>595</v>
      </c>
      <c r="F104" s="437" t="s">
        <v>19</v>
      </c>
      <c r="G104" s="305" t="s">
        <v>289</v>
      </c>
      <c r="H104" s="305" t="s">
        <v>466</v>
      </c>
      <c r="I104" s="305"/>
      <c r="J104" s="343">
        <f t="shared" si="19"/>
        <v>6.4022005799999997</v>
      </c>
      <c r="K104" s="339">
        <f t="shared" si="20"/>
        <v>6.4022005799999997</v>
      </c>
      <c r="L104" s="339">
        <f t="shared" si="21"/>
        <v>0</v>
      </c>
      <c r="M104" s="281"/>
      <c r="N104" s="344"/>
      <c r="O104" s="344"/>
      <c r="P104" s="344"/>
      <c r="Q104" s="344"/>
      <c r="R104" s="344"/>
      <c r="S104" s="344"/>
      <c r="T104" s="344"/>
      <c r="U104" s="344"/>
      <c r="V104" s="344">
        <v>6.4022005799999997</v>
      </c>
      <c r="W104" s="344"/>
      <c r="X104" s="344"/>
      <c r="Y104" s="344"/>
    </row>
    <row r="105" spans="5:25" s="340" customFormat="1">
      <c r="E105" s="305" t="s">
        <v>595</v>
      </c>
      <c r="F105" s="437" t="s">
        <v>19</v>
      </c>
      <c r="G105" s="305" t="s">
        <v>291</v>
      </c>
      <c r="H105" s="305" t="s">
        <v>466</v>
      </c>
      <c r="I105" s="305"/>
      <c r="J105" s="343">
        <f t="shared" si="19"/>
        <v>9.7735672299999994</v>
      </c>
      <c r="K105" s="339">
        <f t="shared" si="20"/>
        <v>9.7735672299999994</v>
      </c>
      <c r="L105" s="339">
        <f t="shared" si="21"/>
        <v>0</v>
      </c>
      <c r="M105" s="281"/>
      <c r="N105" s="344"/>
      <c r="O105" s="344"/>
      <c r="P105" s="344"/>
      <c r="Q105" s="344"/>
      <c r="R105" s="344"/>
      <c r="S105" s="344"/>
      <c r="T105" s="344"/>
      <c r="U105" s="344"/>
      <c r="V105" s="344">
        <v>9.7735672299999994</v>
      </c>
      <c r="W105" s="344"/>
      <c r="X105" s="344"/>
      <c r="Y105" s="344"/>
    </row>
    <row r="106" spans="5:25" s="340" customFormat="1">
      <c r="E106" s="305" t="s">
        <v>595</v>
      </c>
      <c r="F106" s="437" t="s">
        <v>19</v>
      </c>
      <c r="G106" s="305" t="s">
        <v>292</v>
      </c>
      <c r="H106" s="305" t="s">
        <v>466</v>
      </c>
      <c r="I106" s="305"/>
      <c r="J106" s="343">
        <f t="shared" si="19"/>
        <v>9.1080971799999997</v>
      </c>
      <c r="K106" s="339">
        <f t="shared" si="20"/>
        <v>9.1080971799999997</v>
      </c>
      <c r="L106" s="339">
        <f t="shared" si="21"/>
        <v>0</v>
      </c>
      <c r="M106" s="281"/>
      <c r="N106" s="344"/>
      <c r="O106" s="344"/>
      <c r="P106" s="344"/>
      <c r="Q106" s="344"/>
      <c r="R106" s="344"/>
      <c r="S106" s="344"/>
      <c r="T106" s="344"/>
      <c r="U106" s="344"/>
      <c r="V106" s="344">
        <v>9.1080971799999997</v>
      </c>
      <c r="W106" s="344"/>
      <c r="X106" s="344"/>
      <c r="Y106" s="344"/>
    </row>
    <row r="107" spans="5:25" s="340" customFormat="1">
      <c r="E107" s="305" t="s">
        <v>595</v>
      </c>
      <c r="F107" s="437" t="s">
        <v>19</v>
      </c>
      <c r="G107" s="305" t="s">
        <v>448</v>
      </c>
      <c r="H107" s="305" t="s">
        <v>466</v>
      </c>
      <c r="I107" s="305"/>
      <c r="J107" s="343">
        <f t="shared" si="19"/>
        <v>1.3839165</v>
      </c>
      <c r="K107" s="339">
        <f t="shared" si="20"/>
        <v>1.3839165</v>
      </c>
      <c r="L107" s="339">
        <f t="shared" si="21"/>
        <v>0</v>
      </c>
      <c r="M107" s="281"/>
      <c r="N107" s="344"/>
      <c r="O107" s="344"/>
      <c r="P107" s="344"/>
      <c r="Q107" s="344"/>
      <c r="R107" s="344"/>
      <c r="S107" s="344"/>
      <c r="T107" s="344"/>
      <c r="U107" s="344"/>
      <c r="V107" s="344">
        <v>1.3839165</v>
      </c>
      <c r="W107" s="344"/>
      <c r="X107" s="344"/>
      <c r="Y107" s="344"/>
    </row>
    <row r="108" spans="5:25" s="340" customFormat="1">
      <c r="E108" s="305" t="s">
        <v>595</v>
      </c>
      <c r="F108" s="437" t="s">
        <v>19</v>
      </c>
      <c r="G108" s="305" t="s">
        <v>448</v>
      </c>
      <c r="H108" s="305" t="s">
        <v>472</v>
      </c>
      <c r="I108" s="305"/>
      <c r="J108" s="343">
        <f t="shared" si="19"/>
        <v>8.6791255100000004</v>
      </c>
      <c r="K108" s="339">
        <f t="shared" si="20"/>
        <v>8.6791255100000004</v>
      </c>
      <c r="L108" s="339">
        <f t="shared" si="21"/>
        <v>0</v>
      </c>
      <c r="M108" s="281"/>
      <c r="N108" s="344"/>
      <c r="O108" s="344"/>
      <c r="P108" s="344"/>
      <c r="Q108" s="344"/>
      <c r="R108" s="344"/>
      <c r="S108" s="344"/>
      <c r="T108" s="344"/>
      <c r="U108" s="344"/>
      <c r="V108" s="344">
        <v>8.6791255100000004</v>
      </c>
      <c r="W108" s="344"/>
      <c r="X108" s="344"/>
      <c r="Y108" s="344"/>
    </row>
    <row r="109" spans="5:25" s="340" customFormat="1">
      <c r="E109" s="305" t="s">
        <v>584</v>
      </c>
      <c r="F109" s="437" t="s">
        <v>19</v>
      </c>
      <c r="G109" s="305" t="s">
        <v>290</v>
      </c>
      <c r="H109" s="305" t="s">
        <v>466</v>
      </c>
      <c r="I109" s="305"/>
      <c r="J109" s="343">
        <f t="shared" si="19"/>
        <v>35.229979999999998</v>
      </c>
      <c r="K109" s="339">
        <f t="shared" si="20"/>
        <v>35.229979999999998</v>
      </c>
      <c r="L109" s="339">
        <f t="shared" si="21"/>
        <v>0</v>
      </c>
      <c r="M109" s="281"/>
      <c r="N109" s="344"/>
      <c r="O109" s="344"/>
      <c r="P109" s="344"/>
      <c r="Q109" s="344"/>
      <c r="R109" s="344"/>
      <c r="S109" s="344"/>
      <c r="T109" s="344"/>
      <c r="U109" s="344"/>
      <c r="V109" s="344"/>
      <c r="W109" s="344">
        <v>35.229979999999998</v>
      </c>
      <c r="X109" s="344"/>
      <c r="Y109" s="344"/>
    </row>
    <row r="110" spans="5:25" s="340" customFormat="1">
      <c r="E110" s="305" t="s">
        <v>585</v>
      </c>
      <c r="F110" s="437" t="s">
        <v>19</v>
      </c>
      <c r="G110" s="305" t="s">
        <v>307</v>
      </c>
      <c r="H110" s="305" t="s">
        <v>466</v>
      </c>
      <c r="I110" s="305"/>
      <c r="J110" s="343">
        <f t="shared" si="19"/>
        <v>6.8015437500000004</v>
      </c>
      <c r="K110" s="339">
        <f t="shared" si="20"/>
        <v>6.8015437500000004</v>
      </c>
      <c r="L110" s="339">
        <f t="shared" si="21"/>
        <v>0</v>
      </c>
      <c r="M110" s="281"/>
      <c r="N110" s="344"/>
      <c r="O110" s="344"/>
      <c r="P110" s="344"/>
      <c r="Q110" s="344"/>
      <c r="R110" s="344"/>
      <c r="S110" s="344"/>
      <c r="T110" s="344"/>
      <c r="U110" s="344"/>
      <c r="V110" s="344">
        <v>6.8015437500000004</v>
      </c>
      <c r="W110" s="344"/>
      <c r="X110" s="344"/>
      <c r="Y110" s="344"/>
    </row>
    <row r="111" spans="5:25" s="340" customFormat="1">
      <c r="E111" s="305" t="s">
        <v>585</v>
      </c>
      <c r="F111" s="437" t="s">
        <v>19</v>
      </c>
      <c r="G111" s="305" t="s">
        <v>307</v>
      </c>
      <c r="H111" s="305" t="s">
        <v>472</v>
      </c>
      <c r="I111" s="305"/>
      <c r="J111" s="343">
        <f t="shared" si="19"/>
        <v>12.6068411</v>
      </c>
      <c r="K111" s="339">
        <f t="shared" si="20"/>
        <v>12.6068411</v>
      </c>
      <c r="L111" s="339">
        <f t="shared" si="21"/>
        <v>0</v>
      </c>
      <c r="M111" s="281"/>
      <c r="N111" s="344"/>
      <c r="O111" s="344"/>
      <c r="P111" s="344"/>
      <c r="Q111" s="344"/>
      <c r="R111" s="344"/>
      <c r="S111" s="344"/>
      <c r="T111" s="344"/>
      <c r="U111" s="344"/>
      <c r="V111" s="344">
        <v>12.6068411</v>
      </c>
      <c r="W111" s="344"/>
      <c r="X111" s="344"/>
      <c r="Y111" s="344"/>
    </row>
    <row r="112" spans="5:25" s="340" customFormat="1">
      <c r="E112" s="305" t="s">
        <v>594</v>
      </c>
      <c r="F112" s="437" t="s">
        <v>19</v>
      </c>
      <c r="G112" s="305" t="s">
        <v>530</v>
      </c>
      <c r="H112" s="305" t="s">
        <v>472</v>
      </c>
      <c r="I112" s="305"/>
      <c r="J112" s="343">
        <f t="shared" si="19"/>
        <v>185.48092439999996</v>
      </c>
      <c r="K112" s="339">
        <f t="shared" si="20"/>
        <v>185.48092439999996</v>
      </c>
      <c r="L112" s="339">
        <f t="shared" si="21"/>
        <v>0</v>
      </c>
      <c r="M112" s="281"/>
      <c r="N112" s="344"/>
      <c r="O112" s="344"/>
      <c r="P112" s="344"/>
      <c r="Q112" s="344"/>
      <c r="R112" s="344"/>
      <c r="S112" s="344"/>
      <c r="T112" s="344"/>
      <c r="U112" s="344"/>
      <c r="V112" s="344">
        <v>185.48092439999996</v>
      </c>
      <c r="W112" s="344"/>
      <c r="X112" s="344"/>
      <c r="Y112" s="344"/>
    </row>
    <row r="113" spans="5:25" s="340" customFormat="1">
      <c r="E113" s="305" t="s">
        <v>586</v>
      </c>
      <c r="F113" s="437" t="s">
        <v>19</v>
      </c>
      <c r="G113" s="305" t="s">
        <v>317</v>
      </c>
      <c r="H113" s="305" t="s">
        <v>466</v>
      </c>
      <c r="I113" s="305"/>
      <c r="J113" s="343">
        <f t="shared" si="19"/>
        <v>5.29616475E-2</v>
      </c>
      <c r="K113" s="339">
        <f t="shared" si="20"/>
        <v>5.29616475E-2</v>
      </c>
      <c r="L113" s="339">
        <f t="shared" si="21"/>
        <v>0</v>
      </c>
      <c r="M113" s="281"/>
      <c r="N113" s="344"/>
      <c r="O113" s="344"/>
      <c r="P113" s="344"/>
      <c r="Q113" s="344"/>
      <c r="R113" s="344"/>
      <c r="S113" s="344"/>
      <c r="T113" s="344"/>
      <c r="U113" s="344"/>
      <c r="V113" s="344">
        <v>5.29616475E-2</v>
      </c>
      <c r="W113" s="344"/>
      <c r="X113" s="344"/>
      <c r="Y113" s="344"/>
    </row>
    <row r="114" spans="5:25" s="340" customFormat="1">
      <c r="E114" s="305" t="s">
        <v>587</v>
      </c>
      <c r="F114" s="437" t="s">
        <v>19</v>
      </c>
      <c r="G114" s="305" t="s">
        <v>317</v>
      </c>
      <c r="H114" s="305" t="s">
        <v>466</v>
      </c>
      <c r="I114" s="305"/>
      <c r="J114" s="343">
        <f t="shared" si="19"/>
        <v>2.30857</v>
      </c>
      <c r="K114" s="339">
        <f t="shared" si="20"/>
        <v>2.30857</v>
      </c>
      <c r="L114" s="339">
        <f t="shared" si="21"/>
        <v>0</v>
      </c>
      <c r="M114" s="281"/>
      <c r="N114" s="344"/>
      <c r="O114" s="344"/>
      <c r="P114" s="344"/>
      <c r="Q114" s="344"/>
      <c r="R114" s="344"/>
      <c r="S114" s="344"/>
      <c r="T114" s="344"/>
      <c r="U114" s="344"/>
      <c r="V114" s="344">
        <v>2.30857</v>
      </c>
      <c r="W114" s="344"/>
      <c r="X114" s="344"/>
      <c r="Y114" s="344"/>
    </row>
    <row r="115" spans="5:25">
      <c r="E115" s="6"/>
      <c r="F115" s="7"/>
      <c r="G115" s="6"/>
      <c r="H115" s="11"/>
      <c r="I115" s="11"/>
      <c r="J115" s="118">
        <f t="shared" si="10"/>
        <v>0</v>
      </c>
      <c r="K115" s="119">
        <f t="shared" si="11"/>
        <v>0</v>
      </c>
      <c r="L115" s="119">
        <f t="shared" si="12"/>
        <v>0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7" spans="5:25">
      <c r="E117" s="191" t="s">
        <v>320</v>
      </c>
      <c r="F117" s="216">
        <v>46235</v>
      </c>
      <c r="G117" s="192">
        <v>554</v>
      </c>
      <c r="H117" s="271" t="s">
        <v>321</v>
      </c>
    </row>
    <row r="118" spans="5:25">
      <c r="E118" s="195" t="s">
        <v>592</v>
      </c>
      <c r="F118" s="217"/>
      <c r="G118" s="196">
        <v>200</v>
      </c>
      <c r="H118" s="271" t="s">
        <v>321</v>
      </c>
    </row>
    <row r="119" spans="5:25">
      <c r="E119" s="195" t="s">
        <v>593</v>
      </c>
      <c r="F119" s="217"/>
      <c r="G119" s="196">
        <v>61</v>
      </c>
      <c r="H119" s="271" t="s">
        <v>321</v>
      </c>
    </row>
    <row r="120" spans="5:25">
      <c r="E120" s="191" t="s">
        <v>320</v>
      </c>
      <c r="F120" s="216">
        <v>46265</v>
      </c>
      <c r="G120" s="192">
        <f>G117+G118-G119</f>
        <v>693</v>
      </c>
      <c r="H120" s="271" t="s">
        <v>321</v>
      </c>
      <c r="I120" s="299"/>
    </row>
    <row r="121" spans="5:25">
      <c r="E121" s="195"/>
      <c r="F121" s="217"/>
      <c r="G121" s="196"/>
      <c r="H121" s="271"/>
    </row>
    <row r="122" spans="5:25">
      <c r="E122" s="191"/>
      <c r="F122" s="216"/>
      <c r="G122" s="192"/>
      <c r="H122" s="271"/>
    </row>
    <row r="124" spans="5:25">
      <c r="E124" s="446" t="s">
        <v>531</v>
      </c>
      <c r="F124" s="447"/>
      <c r="G124" s="447"/>
      <c r="H124" s="448"/>
    </row>
    <row r="125" spans="5:25">
      <c r="E125" s="219" t="s">
        <v>550</v>
      </c>
      <c r="F125" s="219"/>
      <c r="G125" s="202"/>
      <c r="H125" s="219" t="s">
        <v>325</v>
      </c>
    </row>
    <row r="126" spans="5:25">
      <c r="E126" s="434" t="s">
        <v>289</v>
      </c>
      <c r="F126" s="219"/>
      <c r="G126" s="202"/>
      <c r="H126" s="432">
        <v>3.102020467</v>
      </c>
    </row>
    <row r="127" spans="5:25">
      <c r="E127" s="434" t="s">
        <v>291</v>
      </c>
      <c r="F127" s="219"/>
      <c r="G127" s="202"/>
      <c r="H127" s="432">
        <v>4.1052843530000001</v>
      </c>
    </row>
    <row r="128" spans="5:25">
      <c r="E128" s="434" t="s">
        <v>307</v>
      </c>
      <c r="F128" s="219"/>
      <c r="G128" s="202"/>
      <c r="H128" s="432">
        <v>2.5075898719999996</v>
      </c>
    </row>
    <row r="129" spans="5:25">
      <c r="E129" s="431" t="s">
        <v>292</v>
      </c>
      <c r="F129" s="202"/>
      <c r="G129" s="202"/>
      <c r="H129" s="433">
        <v>27.004931513000002</v>
      </c>
    </row>
    <row r="130" spans="5:25">
      <c r="E130" s="436" t="s">
        <v>448</v>
      </c>
      <c r="F130" s="202"/>
      <c r="G130" s="202"/>
      <c r="H130" s="433">
        <v>5.6065531819999999</v>
      </c>
      <c r="J130" s="435"/>
    </row>
    <row r="131" spans="5:25">
      <c r="E131" s="436" t="s">
        <v>288</v>
      </c>
      <c r="F131" s="202"/>
      <c r="G131" s="202"/>
      <c r="H131" s="433">
        <v>1.3297788370000001</v>
      </c>
      <c r="J131" s="435"/>
    </row>
    <row r="132" spans="5:25">
      <c r="E132" s="436" t="s">
        <v>290</v>
      </c>
      <c r="F132" s="202"/>
      <c r="G132" s="202"/>
      <c r="H132" s="433">
        <v>15.049819724999999</v>
      </c>
      <c r="J132" s="435"/>
    </row>
    <row r="133" spans="5:25">
      <c r="E133" s="436" t="s">
        <v>319</v>
      </c>
      <c r="F133" s="202"/>
      <c r="G133" s="202"/>
      <c r="H133" s="433">
        <v>2.47383591</v>
      </c>
      <c r="J133" s="435"/>
    </row>
    <row r="134" spans="5:25">
      <c r="E134" s="219" t="s">
        <v>344</v>
      </c>
      <c r="F134" s="202"/>
      <c r="G134" s="202"/>
      <c r="H134" s="405">
        <f>SUM(H126:H133)</f>
        <v>61.179813858999999</v>
      </c>
    </row>
    <row r="135" spans="5:25">
      <c r="E135" s="227"/>
      <c r="F135" s="278"/>
      <c r="G135" s="227"/>
      <c r="H135" s="280"/>
    </row>
    <row r="136" spans="5:25" s="151" customFormat="1">
      <c r="E136" s="151" t="s">
        <v>330</v>
      </c>
      <c r="G136" s="283">
        <f>'W35'!J19</f>
        <v>3809.5392414370003</v>
      </c>
      <c r="H136" s="258"/>
      <c r="I136" s="258"/>
      <c r="J136" s="258"/>
      <c r="K136" s="260"/>
      <c r="L136" s="260"/>
      <c r="M136" s="260"/>
      <c r="N136" s="261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2"/>
    </row>
    <row r="137" spans="5:25" s="151" customFormat="1">
      <c r="E137" s="151" t="s">
        <v>331</v>
      </c>
      <c r="G137" s="283">
        <f>H134</f>
        <v>61.179813858999999</v>
      </c>
      <c r="H137" s="258"/>
      <c r="I137" s="258"/>
      <c r="J137" s="258"/>
      <c r="K137" s="260"/>
      <c r="L137" s="260"/>
      <c r="M137" s="260"/>
      <c r="N137" s="261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2"/>
    </row>
    <row r="138" spans="5:25" s="151" customFormat="1">
      <c r="E138" s="151" t="s">
        <v>332</v>
      </c>
      <c r="G138" s="283">
        <f>J12</f>
        <v>98</v>
      </c>
      <c r="H138" s="258"/>
      <c r="I138" s="258"/>
      <c r="J138" s="258"/>
      <c r="K138" s="260"/>
      <c r="L138" s="260"/>
      <c r="M138" s="260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2"/>
    </row>
    <row r="139" spans="5:25" s="151" customFormat="1">
      <c r="E139" s="151" t="s">
        <v>333</v>
      </c>
      <c r="G139" s="283">
        <f>G136+G137-G138</f>
        <v>3772.7190552960005</v>
      </c>
      <c r="H139" s="258"/>
      <c r="I139" s="258"/>
      <c r="J139" s="258"/>
      <c r="K139" s="260"/>
      <c r="L139" s="260"/>
      <c r="M139" s="260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2"/>
    </row>
    <row r="140" spans="5:25" s="151" customFormat="1">
      <c r="E140" s="151" t="s">
        <v>334</v>
      </c>
      <c r="G140" s="283">
        <f>J19</f>
        <v>3867.6947400589002</v>
      </c>
      <c r="H140" s="310">
        <f>G140-G142</f>
        <v>3728.6947400589002</v>
      </c>
      <c r="I140" s="258"/>
      <c r="J140" s="258"/>
      <c r="K140" s="260"/>
      <c r="L140" s="260"/>
      <c r="M140" s="260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2"/>
    </row>
    <row r="141" spans="5:25" s="151" customFormat="1">
      <c r="E141" s="151" t="s">
        <v>335</v>
      </c>
      <c r="G141" s="284">
        <f>G140-G139</f>
        <v>94.975684762899618</v>
      </c>
      <c r="H141" s="310">
        <f>H140-G139</f>
        <v>-44.024315237100382</v>
      </c>
      <c r="I141" s="258"/>
      <c r="J141" s="258"/>
      <c r="K141" s="260"/>
      <c r="L141" s="260"/>
      <c r="M141" s="260"/>
      <c r="N141" s="261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2"/>
    </row>
    <row r="142" spans="5:25" s="151" customFormat="1">
      <c r="E142" s="151" t="s">
        <v>599</v>
      </c>
      <c r="F142" s="257"/>
      <c r="G142" s="441">
        <f>G120-G117</f>
        <v>139</v>
      </c>
      <c r="H142" s="258"/>
      <c r="I142" s="258"/>
      <c r="J142" s="258"/>
      <c r="K142" s="260"/>
      <c r="L142" s="260"/>
      <c r="M142" s="260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2"/>
    </row>
    <row r="143" spans="5:25" s="151" customFormat="1">
      <c r="E143" s="151" t="s">
        <v>600</v>
      </c>
      <c r="F143" s="257"/>
      <c r="G143" s="441">
        <f>G141-G142</f>
        <v>-44.024315237100382</v>
      </c>
      <c r="H143" s="258"/>
      <c r="I143" s="258"/>
      <c r="J143" s="258"/>
      <c r="K143" s="260"/>
      <c r="L143" s="260"/>
      <c r="M143" s="260"/>
      <c r="N143" s="261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2"/>
    </row>
    <row r="144" spans="5:25" s="151" customFormat="1">
      <c r="E144" s="227"/>
      <c r="F144" s="278"/>
      <c r="G144" s="227"/>
      <c r="H144" s="280"/>
      <c r="I144" s="258"/>
      <c r="J144" s="258"/>
      <c r="K144" s="260"/>
      <c r="L144" s="260"/>
      <c r="M144" s="260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2"/>
    </row>
    <row r="145" spans="5:8">
      <c r="E145" s="227"/>
      <c r="F145" s="278"/>
      <c r="G145" s="227"/>
      <c r="H145" s="280"/>
    </row>
  </sheetData>
  <sheetProtection formatCells="0" formatColumns="0" formatRows="0" insertRows="0" deleteRows="0" autoFilter="0"/>
  <autoFilter ref="E23:AL254" xr:uid="{00000000-0009-0000-0000-000026000000}"/>
  <mergeCells count="2">
    <mergeCell ref="I4:J4"/>
    <mergeCell ref="E124:H124"/>
  </mergeCells>
  <phoneticPr fontId="40"/>
  <dataValidations count="2">
    <dataValidation type="list" allowBlank="1" showInputMessage="1" showErrorMessage="1" sqref="G2" xr:uid="{00000000-0002-0000-2600-000000000000}">
      <formula1>SOCIETE</formula1>
    </dataValidation>
    <dataValidation type="list" allowBlank="1" showInputMessage="1" showErrorMessage="1" sqref="F24:F115 F125:F128" xr:uid="{CF243CBB-9186-4155-9196-1B69B0E10739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36:G144 H140:H141" unlockedFormula="1"/>
  </ignoredErrors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40">
    <tabColor theme="3" tint="0.59999389629810485"/>
    <pageSetUpPr fitToPage="1"/>
  </sheetPr>
  <dimension ref="D1:AL140"/>
  <sheetViews>
    <sheetView showGridLines="0" topLeftCell="A120" zoomScale="70" zoomScaleNormal="70" workbookViewId="0">
      <selection activeCell="E129" sqref="E129:H134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8.14062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145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September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47.1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September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W37</v>
      </c>
      <c r="I9" s="61"/>
      <c r="J9" s="161" t="str">
        <f>+"from "&amp;G6&amp;" 1 until end of "&amp;G4</f>
        <v>from September 1 until end of W37</v>
      </c>
      <c r="K9" s="79"/>
      <c r="L9" s="167" t="str">
        <f>+G6</f>
        <v>September</v>
      </c>
      <c r="M9" s="80"/>
      <c r="N9" s="80"/>
      <c r="O9" s="172" t="str">
        <f>+G4</f>
        <v>W37</v>
      </c>
      <c r="P9" s="173" t="str">
        <f>+VLOOKUP(G4, parameters!$G$9:$I$61,3,0)</f>
        <v>W36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600+320+797+430+396+688+856+605+J10</f>
        <v>5026</v>
      </c>
      <c r="I10" s="293"/>
      <c r="J10" s="159">
        <v>334</v>
      </c>
      <c r="L10" s="159">
        <f>V17+J10</f>
        <v>1518.1068039569002</v>
      </c>
      <c r="N10" s="55"/>
      <c r="O10" s="170">
        <f>+H10+K17</f>
        <v>8635.7032391899011</v>
      </c>
      <c r="P10" s="171" cm="1">
        <f t="array" aca="1" ref="P10" ca="1">INDIRECT(ADDRESS(10,15,,,VLOOKUP($G$4,parameters!$G:$I,3,0)))</f>
        <v>8568.7312452609003</v>
      </c>
      <c r="Q10" s="183">
        <f ca="1">O10-P10</f>
        <v>66.971993929000746</v>
      </c>
      <c r="R10" s="86"/>
    </row>
    <row r="11" spans="5:38" ht="20.45" customHeight="1">
      <c r="E11" s="87" t="s">
        <v>224</v>
      </c>
      <c r="F11" s="88"/>
      <c r="G11" s="89"/>
      <c r="H11" s="430">
        <f>13+8+3+3+2+14+119+9+J11</f>
        <v>175</v>
      </c>
      <c r="I11" s="61"/>
      <c r="J11" s="16">
        <v>4</v>
      </c>
      <c r="L11" s="159">
        <f>V18+J11</f>
        <v>4</v>
      </c>
      <c r="N11" s="55"/>
      <c r="O11" s="152">
        <f>+H11+K18</f>
        <v>259.48965888800001</v>
      </c>
      <c r="P11" s="153" cm="1">
        <f t="array" aca="1" ref="P11" ca="1">INDIRECT(ADDRESS(11,15,,,VLOOKUP($G$4,parameters!$G:$I,3,0)))</f>
        <v>259.963494798</v>
      </c>
      <c r="Q11" s="184">
        <f t="shared" ref="Q11:Q12" ca="1" si="0">O11-P11</f>
        <v>-0.47383590999999115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5201</v>
      </c>
      <c r="I12" s="293"/>
      <c r="J12" s="126">
        <f>SUM(J10:J11)</f>
        <v>338</v>
      </c>
      <c r="K12" s="65"/>
      <c r="L12" s="126">
        <f>SUM(L10:L11)</f>
        <v>1522.1068039569002</v>
      </c>
      <c r="M12" s="65"/>
      <c r="N12" s="65"/>
      <c r="O12" s="154">
        <f>SUM(O10:O11)</f>
        <v>8895.1928980779012</v>
      </c>
      <c r="P12" s="155">
        <f ca="1">SUM(P10:P11)</f>
        <v>8828.6947400588997</v>
      </c>
      <c r="Q12" s="156">
        <f t="shared" ca="1" si="0"/>
        <v>66.498158019001494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+SUMIF($F$24:$F$107,"External",$J$24:$J$107)</f>
        <v>3609.7032391899011</v>
      </c>
      <c r="K17" s="108">
        <f>+SUMIF($F$24:$F$107,"External",$K$24:$K$107)</f>
        <v>3609.7032391899011</v>
      </c>
      <c r="L17" s="109">
        <f>+SUMIF($F$24:$F$107,"External",$L$24:$L$107)</f>
        <v>0</v>
      </c>
      <c r="M17" s="110"/>
      <c r="N17" s="111">
        <f t="shared" ref="N17:Y17" si="1">+SUMIF($F$24:$F$107,"External",N$24:N$107)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1184.1068039569002</v>
      </c>
      <c r="W17" s="111">
        <f t="shared" si="1"/>
        <v>1482.3436730650008</v>
      </c>
      <c r="X17" s="111">
        <f t="shared" si="1"/>
        <v>675.26446934000001</v>
      </c>
      <c r="Y17" s="111">
        <f t="shared" si="1"/>
        <v>267.988292828</v>
      </c>
      <c r="Z17" s="112"/>
      <c r="AA17" s="111">
        <f t="shared" ref="AA17:AL17" si="2">+SUMIF($F$24:$F$107,"External",AA$24:AA$107)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+SUMIF($F$24:$F$107,"Group",$J$24:$J$107)</f>
        <v>84.489658887999994</v>
      </c>
      <c r="K18" s="113">
        <f>+SUMIF($F$24:$F$107,"Group",$K$24:$K$107)</f>
        <v>84.489658887999994</v>
      </c>
      <c r="L18" s="114">
        <f>SUMIF($F$24:$F$107,"Group",$L$24:$L$107)</f>
        <v>0</v>
      </c>
      <c r="M18" s="110"/>
      <c r="N18" s="114">
        <f t="shared" ref="N18:Y18" si="3">+SUMIF($F$24:$F$107,"Group",N$24:N$107)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84.489658887999994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+SUMIF($F$24:$F$107,"Group",AA$24:AA$107)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3694.1928980779012</v>
      </c>
      <c r="K19" s="115">
        <f>SUM(K17:K18)</f>
        <v>3694.1928980779012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1184.1068039569002</v>
      </c>
      <c r="W19" s="116">
        <f t="shared" si="5"/>
        <v>1566.8333319530007</v>
      </c>
      <c r="X19" s="116">
        <f t="shared" si="5"/>
        <v>675.26446934000001</v>
      </c>
      <c r="Y19" s="116">
        <f t="shared" si="5"/>
        <v>267.988292828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IF(SUM(J24:J107)=J19,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468</v>
      </c>
      <c r="F24" s="7" t="s">
        <v>19</v>
      </c>
      <c r="G24" s="6" t="s">
        <v>239</v>
      </c>
      <c r="H24" s="8" t="s">
        <v>278</v>
      </c>
      <c r="I24" s="8" t="s">
        <v>466</v>
      </c>
      <c r="J24" s="118">
        <f t="shared" ref="J24" si="7">+K24+L24</f>
        <v>6.4492737049999995</v>
      </c>
      <c r="K24" s="119">
        <f t="shared" ref="K24" si="8">SUM(N24:Y24)</f>
        <v>6.4492737049999995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>
        <v>4.7944134859999998</v>
      </c>
      <c r="X24" s="24">
        <v>1.6548602190000001</v>
      </c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469</v>
      </c>
      <c r="F25" s="7" t="s">
        <v>19</v>
      </c>
      <c r="G25" s="6" t="s">
        <v>237</v>
      </c>
      <c r="H25" s="6" t="s">
        <v>277</v>
      </c>
      <c r="I25" s="6" t="s">
        <v>466</v>
      </c>
      <c r="J25" s="118">
        <f t="shared" ref="J25:J88" si="10">+K25+L25</f>
        <v>13.386228027</v>
      </c>
      <c r="K25" s="119">
        <f t="shared" ref="K25:K88" si="11">SUM(N25:Y25)</f>
        <v>13.386228027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>
        <v>13.386228027</v>
      </c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573</v>
      </c>
      <c r="F26" s="7" t="s">
        <v>19</v>
      </c>
      <c r="G26" s="6" t="s">
        <v>561</v>
      </c>
      <c r="H26" s="6" t="s">
        <v>559</v>
      </c>
      <c r="I26" s="6" t="s">
        <v>472</v>
      </c>
      <c r="J26" s="118">
        <f t="shared" si="10"/>
        <v>92.379652743000008</v>
      </c>
      <c r="K26" s="119">
        <f t="shared" si="11"/>
        <v>92.379652743000008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>
        <v>92.379652743000008</v>
      </c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571</v>
      </c>
      <c r="F27" s="7" t="s">
        <v>19</v>
      </c>
      <c r="G27" s="6" t="s">
        <v>529</v>
      </c>
      <c r="H27" s="6" t="s">
        <v>530</v>
      </c>
      <c r="I27" s="6" t="s">
        <v>472</v>
      </c>
      <c r="J27" s="118">
        <f t="shared" si="10"/>
        <v>107.86331089999999</v>
      </c>
      <c r="K27" s="119">
        <f t="shared" si="11"/>
        <v>107.86331089999999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>
        <v>107.86331089999999</v>
      </c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601</v>
      </c>
      <c r="F28" s="7" t="s">
        <v>19</v>
      </c>
      <c r="G28" s="6" t="s">
        <v>279</v>
      </c>
      <c r="H28" s="6" t="s">
        <v>280</v>
      </c>
      <c r="I28" s="6" t="s">
        <v>472</v>
      </c>
      <c r="J28" s="118">
        <f t="shared" si="10"/>
        <v>164.85613716500006</v>
      </c>
      <c r="K28" s="119">
        <f t="shared" si="11"/>
        <v>164.85613716500006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>
        <v>7.0585135609999998</v>
      </c>
      <c r="W28" s="24">
        <v>153.22080756800005</v>
      </c>
      <c r="X28" s="24">
        <v>4.5768160359999994</v>
      </c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541</v>
      </c>
      <c r="F29" s="7" t="s">
        <v>19</v>
      </c>
      <c r="G29" s="6" t="s">
        <v>279</v>
      </c>
      <c r="H29" s="6" t="s">
        <v>280</v>
      </c>
      <c r="I29" s="6" t="s">
        <v>472</v>
      </c>
      <c r="J29" s="118">
        <f t="shared" si="10"/>
        <v>151.30458358799999</v>
      </c>
      <c r="K29" s="119">
        <f t="shared" si="11"/>
        <v>151.30458358799999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>
        <v>151.30458358799999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281</v>
      </c>
      <c r="F30" s="7" t="s">
        <v>19</v>
      </c>
      <c r="G30" s="6" t="s">
        <v>282</v>
      </c>
      <c r="H30" s="6" t="s">
        <v>283</v>
      </c>
      <c r="I30" s="6" t="s">
        <v>466</v>
      </c>
      <c r="J30" s="118">
        <f t="shared" si="10"/>
        <v>7.1427494950000003</v>
      </c>
      <c r="K30" s="119">
        <f t="shared" si="11"/>
        <v>7.1427494950000003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>
        <v>4.034867566</v>
      </c>
      <c r="W30" s="24">
        <v>2.4161405010000001</v>
      </c>
      <c r="X30" s="24"/>
      <c r="Y30" s="24">
        <v>0.69174142800000005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606</v>
      </c>
      <c r="F31" s="7" t="s">
        <v>19</v>
      </c>
      <c r="G31" s="6" t="s">
        <v>237</v>
      </c>
      <c r="H31" s="6" t="s">
        <v>277</v>
      </c>
      <c r="I31" s="6" t="s">
        <v>466</v>
      </c>
      <c r="J31" s="118">
        <f t="shared" si="10"/>
        <v>0.52895629700000002</v>
      </c>
      <c r="K31" s="119">
        <f t="shared" si="11"/>
        <v>0.52895629700000002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>
        <v>0.52895629700000002</v>
      </c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446</v>
      </c>
      <c r="F32" s="7" t="s">
        <v>19</v>
      </c>
      <c r="G32" s="6" t="s">
        <v>493</v>
      </c>
      <c r="H32" s="6" t="s">
        <v>339</v>
      </c>
      <c r="I32" s="6" t="s">
        <v>472</v>
      </c>
      <c r="J32" s="118">
        <f t="shared" si="10"/>
        <v>1.7072246009999998</v>
      </c>
      <c r="K32" s="119">
        <f t="shared" si="11"/>
        <v>1.7072246009999998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>
        <v>1.7072246009999998</v>
      </c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473</v>
      </c>
      <c r="F33" s="7" t="s">
        <v>17</v>
      </c>
      <c r="G33" s="6" t="s">
        <v>493</v>
      </c>
      <c r="H33" s="6" t="s">
        <v>339</v>
      </c>
      <c r="I33" s="6" t="s">
        <v>472</v>
      </c>
      <c r="J33" s="118">
        <f t="shared" si="10"/>
        <v>84.489658887999994</v>
      </c>
      <c r="K33" s="119">
        <f t="shared" si="11"/>
        <v>84.489658887999994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84.489658887999994</v>
      </c>
      <c r="X33" s="24"/>
      <c r="Y33" s="24"/>
    </row>
    <row r="34" spans="5:25">
      <c r="E34" s="6" t="s">
        <v>474</v>
      </c>
      <c r="F34" s="7" t="s">
        <v>19</v>
      </c>
      <c r="G34" s="6" t="s">
        <v>279</v>
      </c>
      <c r="H34" s="6" t="s">
        <v>280</v>
      </c>
      <c r="I34" s="6" t="s">
        <v>472</v>
      </c>
      <c r="J34" s="118">
        <f t="shared" si="10"/>
        <v>114.98667335700002</v>
      </c>
      <c r="K34" s="119">
        <f t="shared" si="11"/>
        <v>114.98667335700002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>
        <v>114.98667335700002</v>
      </c>
      <c r="X34" s="24"/>
      <c r="Y34" s="24"/>
    </row>
    <row r="35" spans="5:25">
      <c r="E35" s="6" t="s">
        <v>475</v>
      </c>
      <c r="F35" s="7" t="s">
        <v>19</v>
      </c>
      <c r="G35" s="6" t="s">
        <v>245</v>
      </c>
      <c r="H35" s="6" t="s">
        <v>288</v>
      </c>
      <c r="I35" s="6" t="s">
        <v>466</v>
      </c>
      <c r="J35" s="118">
        <f t="shared" si="10"/>
        <v>5.0478237319999995</v>
      </c>
      <c r="K35" s="119">
        <f t="shared" si="11"/>
        <v>5.0478237319999995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5.0478237319999995</v>
      </c>
      <c r="W35" s="24"/>
      <c r="X35" s="24"/>
      <c r="Y35" s="24"/>
    </row>
    <row r="36" spans="5:25">
      <c r="E36" s="6" t="s">
        <v>476</v>
      </c>
      <c r="F36" s="7" t="s">
        <v>19</v>
      </c>
      <c r="G36" s="6" t="s">
        <v>447</v>
      </c>
      <c r="H36" s="6" t="s">
        <v>448</v>
      </c>
      <c r="I36" s="6" t="s">
        <v>466</v>
      </c>
      <c r="J36" s="118">
        <f t="shared" si="10"/>
        <v>127.83110867699999</v>
      </c>
      <c r="K36" s="119">
        <f t="shared" si="11"/>
        <v>127.83110867699999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0.26771989499999999</v>
      </c>
      <c r="W36" s="24">
        <v>54.792253581999987</v>
      </c>
      <c r="X36" s="24">
        <v>33.982957599999999</v>
      </c>
      <c r="Y36" s="24">
        <v>38.788177599999997</v>
      </c>
    </row>
    <row r="37" spans="5:25">
      <c r="E37" s="6" t="s">
        <v>476</v>
      </c>
      <c r="F37" s="7" t="s">
        <v>19</v>
      </c>
      <c r="G37" s="6" t="s">
        <v>247</v>
      </c>
      <c r="H37" s="6" t="s">
        <v>289</v>
      </c>
      <c r="I37" s="6" t="s">
        <v>466</v>
      </c>
      <c r="J37" s="118">
        <f t="shared" si="10"/>
        <v>116.88181050200001</v>
      </c>
      <c r="K37" s="119">
        <f t="shared" si="11"/>
        <v>116.88181050200001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>
        <v>3.0313596039999968</v>
      </c>
      <c r="W37" s="24">
        <v>18.473330898</v>
      </c>
      <c r="X37" s="24">
        <v>45.250350000000005</v>
      </c>
      <c r="Y37" s="24">
        <v>50.126770000000008</v>
      </c>
    </row>
    <row r="38" spans="5:25">
      <c r="E38" s="6" t="s">
        <v>476</v>
      </c>
      <c r="F38" s="7" t="s">
        <v>19</v>
      </c>
      <c r="G38" s="6" t="s">
        <v>379</v>
      </c>
      <c r="H38" s="6" t="s">
        <v>291</v>
      </c>
      <c r="I38" s="6" t="s">
        <v>466</v>
      </c>
      <c r="J38" s="118">
        <f t="shared" si="10"/>
        <v>116.40558080199997</v>
      </c>
      <c r="K38" s="119">
        <f t="shared" si="11"/>
        <v>116.40558080199997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>
        <v>14.830949613999969</v>
      </c>
      <c r="W38" s="24">
        <v>38.395661187999998</v>
      </c>
      <c r="X38" s="24">
        <v>40.155140000000003</v>
      </c>
      <c r="Y38" s="24">
        <v>23.023830000000004</v>
      </c>
    </row>
    <row r="39" spans="5:25">
      <c r="E39" s="6" t="s">
        <v>476</v>
      </c>
      <c r="F39" s="7" t="s">
        <v>19</v>
      </c>
      <c r="G39" s="6" t="s">
        <v>378</v>
      </c>
      <c r="H39" s="6" t="s">
        <v>290</v>
      </c>
      <c r="I39" s="6" t="s">
        <v>466</v>
      </c>
      <c r="J39" s="118">
        <f t="shared" si="10"/>
        <v>152.72247621700001</v>
      </c>
      <c r="K39" s="119">
        <f t="shared" si="11"/>
        <v>152.72247621700001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>
        <v>31.121212263999993</v>
      </c>
      <c r="W39" s="24">
        <v>68.959983953000005</v>
      </c>
      <c r="X39" s="24">
        <v>10.69293</v>
      </c>
      <c r="Y39" s="24">
        <v>41.948349999999991</v>
      </c>
    </row>
    <row r="40" spans="5:25">
      <c r="E40" s="6" t="s">
        <v>476</v>
      </c>
      <c r="F40" s="7" t="s">
        <v>19</v>
      </c>
      <c r="G40" s="6" t="s">
        <v>454</v>
      </c>
      <c r="H40" s="6" t="s">
        <v>292</v>
      </c>
      <c r="I40" s="6" t="s">
        <v>466</v>
      </c>
      <c r="J40" s="118">
        <f t="shared" si="10"/>
        <v>602.25325199500026</v>
      </c>
      <c r="K40" s="119">
        <f t="shared" si="11"/>
        <v>602.25325199500026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>
        <v>65.537973158</v>
      </c>
      <c r="W40" s="24">
        <v>522.22443883700032</v>
      </c>
      <c r="X40" s="24">
        <v>7.2454200000000002</v>
      </c>
      <c r="Y40" s="24">
        <v>7.2454200000000002</v>
      </c>
    </row>
    <row r="41" spans="5:25">
      <c r="E41" s="6" t="s">
        <v>476</v>
      </c>
      <c r="F41" s="7" t="s">
        <v>19</v>
      </c>
      <c r="G41" s="6" t="s">
        <v>293</v>
      </c>
      <c r="H41" s="6" t="s">
        <v>294</v>
      </c>
      <c r="I41" s="6" t="s">
        <v>466</v>
      </c>
      <c r="J41" s="118">
        <f t="shared" si="10"/>
        <v>50.994422999999998</v>
      </c>
      <c r="K41" s="119">
        <f t="shared" si="11"/>
        <v>50.994422999999998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>
        <v>32.67474</v>
      </c>
      <c r="X41" s="24">
        <v>1.982313</v>
      </c>
      <c r="Y41" s="24">
        <v>16.33737</v>
      </c>
    </row>
    <row r="42" spans="5:25">
      <c r="E42" s="6" t="s">
        <v>476</v>
      </c>
      <c r="F42" s="7" t="s">
        <v>19</v>
      </c>
      <c r="G42" s="6" t="s">
        <v>252</v>
      </c>
      <c r="H42" s="6" t="s">
        <v>295</v>
      </c>
      <c r="I42" s="6" t="s">
        <v>466</v>
      </c>
      <c r="J42" s="118">
        <f t="shared" si="10"/>
        <v>4.913673300000001</v>
      </c>
      <c r="K42" s="119">
        <f t="shared" si="11"/>
        <v>4.913673300000001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>
        <v>0.13846159999999999</v>
      </c>
      <c r="W42" s="24">
        <v>4.7752117000000007</v>
      </c>
      <c r="X42" s="24"/>
      <c r="Y42" s="24"/>
    </row>
    <row r="43" spans="5:25">
      <c r="E43" s="6" t="s">
        <v>476</v>
      </c>
      <c r="F43" s="7" t="s">
        <v>19</v>
      </c>
      <c r="G43" s="6" t="s">
        <v>245</v>
      </c>
      <c r="H43" s="6" t="s">
        <v>288</v>
      </c>
      <c r="I43" s="6" t="s">
        <v>466</v>
      </c>
      <c r="J43" s="118">
        <f t="shared" si="10"/>
        <v>18.340576638999998</v>
      </c>
      <c r="K43" s="119">
        <f t="shared" si="11"/>
        <v>18.340576638999998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>
        <v>17.010797801999999</v>
      </c>
      <c r="W43" s="24">
        <v>1.3297788370000001</v>
      </c>
      <c r="X43" s="24"/>
      <c r="Y43" s="24"/>
    </row>
    <row r="44" spans="5:25">
      <c r="E44" s="6" t="s">
        <v>478</v>
      </c>
      <c r="F44" s="7" t="s">
        <v>19</v>
      </c>
      <c r="G44" s="6" t="s">
        <v>245</v>
      </c>
      <c r="H44" s="6" t="s">
        <v>288</v>
      </c>
      <c r="I44" s="6" t="s">
        <v>466</v>
      </c>
      <c r="J44" s="118">
        <f t="shared" si="10"/>
        <v>61.835873154999994</v>
      </c>
      <c r="K44" s="119">
        <f t="shared" si="11"/>
        <v>61.835873154999994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61.835873154999994</v>
      </c>
      <c r="W44" s="24"/>
      <c r="X44" s="24"/>
      <c r="Y44" s="24"/>
    </row>
    <row r="45" spans="5:25">
      <c r="E45" s="6" t="s">
        <v>414</v>
      </c>
      <c r="F45" s="7" t="s">
        <v>19</v>
      </c>
      <c r="G45" s="6" t="s">
        <v>245</v>
      </c>
      <c r="H45" s="6" t="s">
        <v>288</v>
      </c>
      <c r="I45" s="6" t="s">
        <v>466</v>
      </c>
      <c r="J45" s="118">
        <f t="shared" si="10"/>
        <v>58.404625406000008</v>
      </c>
      <c r="K45" s="119">
        <f t="shared" si="11"/>
        <v>58.404625406000008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58.404625406000008</v>
      </c>
      <c r="W45" s="24"/>
      <c r="X45" s="24"/>
      <c r="Y45" s="24"/>
    </row>
    <row r="46" spans="5:25">
      <c r="E46" s="6" t="s">
        <v>450</v>
      </c>
      <c r="F46" s="7" t="s">
        <v>19</v>
      </c>
      <c r="G46" s="6" t="s">
        <v>282</v>
      </c>
      <c r="H46" s="6" t="s">
        <v>283</v>
      </c>
      <c r="I46" s="6" t="s">
        <v>466</v>
      </c>
      <c r="J46" s="118">
        <f t="shared" si="10"/>
        <v>1.8661022999999999</v>
      </c>
      <c r="K46" s="119">
        <f t="shared" si="11"/>
        <v>1.8661022999999999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0.1625413</v>
      </c>
      <c r="W46" s="24">
        <v>0.76461559999999995</v>
      </c>
      <c r="X46" s="24">
        <v>0.93894539999999993</v>
      </c>
      <c r="Y46" s="24"/>
    </row>
    <row r="47" spans="5:25">
      <c r="E47" s="6" t="s">
        <v>450</v>
      </c>
      <c r="F47" s="7" t="s">
        <v>19</v>
      </c>
      <c r="G47" s="6" t="s">
        <v>282</v>
      </c>
      <c r="H47" s="6" t="s">
        <v>283</v>
      </c>
      <c r="I47" s="6" t="s">
        <v>472</v>
      </c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0</v>
      </c>
      <c r="W47" s="24"/>
      <c r="X47" s="24"/>
      <c r="Y47" s="24"/>
    </row>
    <row r="48" spans="5:25">
      <c r="E48" s="6" t="s">
        <v>450</v>
      </c>
      <c r="F48" s="7" t="s">
        <v>19</v>
      </c>
      <c r="G48" s="6" t="s">
        <v>500</v>
      </c>
      <c r="H48" s="6" t="s">
        <v>305</v>
      </c>
      <c r="I48" s="6" t="s">
        <v>466</v>
      </c>
      <c r="J48" s="118">
        <f t="shared" si="10"/>
        <v>3.3595952689999997</v>
      </c>
      <c r="K48" s="119">
        <f t="shared" si="11"/>
        <v>3.3595952689999997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v>3.1510189199999998</v>
      </c>
      <c r="W48" s="24">
        <v>0.20857634899999999</v>
      </c>
      <c r="X48" s="24"/>
      <c r="Y48" s="24"/>
    </row>
    <row r="49" spans="5:25">
      <c r="E49" s="6" t="s">
        <v>450</v>
      </c>
      <c r="F49" s="7" t="s">
        <v>19</v>
      </c>
      <c r="G49" s="6" t="s">
        <v>500</v>
      </c>
      <c r="H49" s="6" t="s">
        <v>305</v>
      </c>
      <c r="I49" s="6" t="s">
        <v>472</v>
      </c>
      <c r="J49" s="118">
        <f t="shared" si="10"/>
        <v>97.827308088999985</v>
      </c>
      <c r="K49" s="119">
        <f t="shared" si="11"/>
        <v>97.827308088999985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>
        <v>71.478191421999981</v>
      </c>
      <c r="W49" s="24">
        <v>10.024539774000001</v>
      </c>
      <c r="X49" s="24">
        <v>16.324576893</v>
      </c>
      <c r="Y49" s="24"/>
    </row>
    <row r="50" spans="5:25">
      <c r="E50" s="6" t="s">
        <v>450</v>
      </c>
      <c r="F50" s="7" t="s">
        <v>19</v>
      </c>
      <c r="G50" s="6" t="s">
        <v>256</v>
      </c>
      <c r="H50" s="6" t="s">
        <v>303</v>
      </c>
      <c r="I50" s="6" t="s">
        <v>466</v>
      </c>
      <c r="J50" s="118">
        <f t="shared" si="10"/>
        <v>169.35567812100004</v>
      </c>
      <c r="K50" s="119">
        <f t="shared" si="11"/>
        <v>169.35567812100004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>
        <v>51.29111625200003</v>
      </c>
      <c r="W50" s="24">
        <v>70.115285869000019</v>
      </c>
      <c r="X50" s="24">
        <v>47.949276000000012</v>
      </c>
      <c r="Y50" s="24"/>
    </row>
    <row r="51" spans="5:25">
      <c r="E51" s="6" t="s">
        <v>450</v>
      </c>
      <c r="F51" s="7" t="s">
        <v>19</v>
      </c>
      <c r="G51" s="6" t="s">
        <v>237</v>
      </c>
      <c r="H51" s="6" t="s">
        <v>277</v>
      </c>
      <c r="I51" s="6" t="s">
        <v>466</v>
      </c>
      <c r="J51" s="118">
        <f t="shared" si="10"/>
        <v>16.154960799999998</v>
      </c>
      <c r="K51" s="119">
        <f t="shared" si="11"/>
        <v>16.154960799999998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>
        <v>16.154960799999998</v>
      </c>
      <c r="W51" s="24"/>
      <c r="X51" s="24"/>
      <c r="Y51" s="24"/>
    </row>
    <row r="52" spans="5:25">
      <c r="E52" s="6" t="s">
        <v>572</v>
      </c>
      <c r="F52" s="7" t="s">
        <v>19</v>
      </c>
      <c r="G52" s="6" t="s">
        <v>441</v>
      </c>
      <c r="H52" s="6" t="s">
        <v>481</v>
      </c>
      <c r="I52" s="6" t="s">
        <v>466</v>
      </c>
      <c r="J52" s="118">
        <f t="shared" si="10"/>
        <v>210.29006361700004</v>
      </c>
      <c r="K52" s="119">
        <f t="shared" si="11"/>
        <v>210.29006361700004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>
        <v>48.748042797000053</v>
      </c>
      <c r="W52" s="24">
        <v>161.54202081999998</v>
      </c>
      <c r="X52" s="24"/>
      <c r="Y52" s="24"/>
    </row>
    <row r="53" spans="5:25">
      <c r="E53" s="6" t="s">
        <v>482</v>
      </c>
      <c r="F53" s="7" t="s">
        <v>19</v>
      </c>
      <c r="G53" s="6" t="s">
        <v>258</v>
      </c>
      <c r="H53" s="6" t="s">
        <v>306</v>
      </c>
      <c r="I53" s="6" t="s">
        <v>466</v>
      </c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>
        <v>0</v>
      </c>
      <c r="W53" s="24"/>
      <c r="X53" s="24"/>
      <c r="Y53" s="24"/>
    </row>
    <row r="54" spans="5:25">
      <c r="E54" s="6" t="s">
        <v>482</v>
      </c>
      <c r="F54" s="7" t="s">
        <v>19</v>
      </c>
      <c r="G54" s="6" t="s">
        <v>494</v>
      </c>
      <c r="H54" s="6" t="s">
        <v>299</v>
      </c>
      <c r="I54" s="6" t="s">
        <v>466</v>
      </c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>
        <v>0</v>
      </c>
      <c r="W54" s="24"/>
      <c r="X54" s="24"/>
      <c r="Y54" s="24"/>
    </row>
    <row r="55" spans="5:25">
      <c r="E55" s="6" t="s">
        <v>482</v>
      </c>
      <c r="F55" s="7" t="s">
        <v>19</v>
      </c>
      <c r="G55" s="6" t="s">
        <v>256</v>
      </c>
      <c r="H55" s="6" t="s">
        <v>303</v>
      </c>
      <c r="I55" s="6" t="s">
        <v>466</v>
      </c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>
        <v>0</v>
      </c>
      <c r="W55" s="24"/>
      <c r="X55" s="24"/>
      <c r="Y55" s="24"/>
    </row>
    <row r="56" spans="5:25">
      <c r="E56" s="6" t="s">
        <v>569</v>
      </c>
      <c r="F56" s="7" t="s">
        <v>19</v>
      </c>
      <c r="G56" s="6" t="s">
        <v>447</v>
      </c>
      <c r="H56" s="6" t="s">
        <v>448</v>
      </c>
      <c r="I56" s="6" t="s">
        <v>466</v>
      </c>
      <c r="J56" s="118">
        <f t="shared" si="10"/>
        <v>1.0213622</v>
      </c>
      <c r="K56" s="119">
        <f t="shared" si="11"/>
        <v>1.0213622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>
        <v>1.0213622</v>
      </c>
      <c r="X56" s="24"/>
      <c r="Y56" s="24"/>
    </row>
    <row r="57" spans="5:25">
      <c r="E57" s="6" t="s">
        <v>569</v>
      </c>
      <c r="F57" s="7" t="s">
        <v>19</v>
      </c>
      <c r="G57" s="6" t="s">
        <v>378</v>
      </c>
      <c r="H57" s="6" t="s">
        <v>290</v>
      </c>
      <c r="I57" s="6" t="s">
        <v>466</v>
      </c>
      <c r="J57" s="118">
        <f t="shared" si="10"/>
        <v>34.208617799999999</v>
      </c>
      <c r="K57" s="119">
        <f t="shared" si="11"/>
        <v>34.208617799999999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>
        <v>34.208617799999999</v>
      </c>
      <c r="X57" s="24"/>
      <c r="Y57" s="24"/>
    </row>
    <row r="58" spans="5:25">
      <c r="E58" s="6" t="s">
        <v>483</v>
      </c>
      <c r="F58" s="7" t="s">
        <v>19</v>
      </c>
      <c r="G58" s="6" t="s">
        <v>258</v>
      </c>
      <c r="H58" s="6" t="s">
        <v>306</v>
      </c>
      <c r="I58" s="6" t="s">
        <v>466</v>
      </c>
      <c r="J58" s="118">
        <f t="shared" si="10"/>
        <v>19.453738987999998</v>
      </c>
      <c r="K58" s="119">
        <f t="shared" si="11"/>
        <v>19.453738987999998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>
        <v>10.141030824999998</v>
      </c>
      <c r="W58" s="24">
        <v>9.3127081629999982</v>
      </c>
      <c r="X58" s="24"/>
      <c r="Y58" s="24"/>
    </row>
    <row r="59" spans="5:25">
      <c r="E59" s="6" t="s">
        <v>484</v>
      </c>
      <c r="F59" s="7" t="s">
        <v>19</v>
      </c>
      <c r="G59" s="6" t="s">
        <v>264</v>
      </c>
      <c r="H59" s="6" t="s">
        <v>310</v>
      </c>
      <c r="I59" s="6" t="s">
        <v>472</v>
      </c>
      <c r="J59" s="118">
        <f t="shared" si="10"/>
        <v>0.44208771600000002</v>
      </c>
      <c r="K59" s="119">
        <f t="shared" si="11"/>
        <v>0.44208771600000002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>
        <v>0.44208771600000002</v>
      </c>
      <c r="Y59" s="24"/>
    </row>
    <row r="60" spans="5:25">
      <c r="E60" s="6" t="s">
        <v>484</v>
      </c>
      <c r="F60" s="7" t="s">
        <v>19</v>
      </c>
      <c r="G60" s="6" t="s">
        <v>504</v>
      </c>
      <c r="H60" s="6" t="s">
        <v>307</v>
      </c>
      <c r="I60" s="6" t="s">
        <v>472</v>
      </c>
      <c r="J60" s="118">
        <f t="shared" si="10"/>
        <v>46.15663223899999</v>
      </c>
      <c r="K60" s="119">
        <f t="shared" si="11"/>
        <v>46.15663223899999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>
        <v>2.5075898719999996</v>
      </c>
      <c r="W60" s="24"/>
      <c r="X60" s="24">
        <v>43.649042366999993</v>
      </c>
      <c r="Y60" s="24"/>
    </row>
    <row r="61" spans="5:25">
      <c r="E61" s="6" t="s">
        <v>484</v>
      </c>
      <c r="F61" s="7" t="s">
        <v>19</v>
      </c>
      <c r="G61" s="6" t="s">
        <v>500</v>
      </c>
      <c r="H61" s="6" t="s">
        <v>305</v>
      </c>
      <c r="I61" s="6" t="s">
        <v>472</v>
      </c>
      <c r="J61" s="118">
        <f t="shared" si="10"/>
        <v>47.636642921999986</v>
      </c>
      <c r="K61" s="119">
        <f t="shared" si="11"/>
        <v>47.636642921999986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>
        <v>47.636642921999986</v>
      </c>
      <c r="Y61" s="24"/>
    </row>
    <row r="62" spans="5:25">
      <c r="E62" s="6" t="s">
        <v>484</v>
      </c>
      <c r="F62" s="7" t="s">
        <v>19</v>
      </c>
      <c r="G62" s="6" t="s">
        <v>503</v>
      </c>
      <c r="H62" s="6" t="s">
        <v>311</v>
      </c>
      <c r="I62" s="6" t="s">
        <v>472</v>
      </c>
      <c r="J62" s="118">
        <f t="shared" si="10"/>
        <v>1.173521574</v>
      </c>
      <c r="K62" s="119">
        <f t="shared" si="11"/>
        <v>1.173521574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>
        <v>1.173521574</v>
      </c>
      <c r="Y62" s="24"/>
    </row>
    <row r="63" spans="5:25">
      <c r="E63" s="6" t="s">
        <v>484</v>
      </c>
      <c r="F63" s="7" t="s">
        <v>19</v>
      </c>
      <c r="G63" s="6" t="s">
        <v>454</v>
      </c>
      <c r="H63" s="6" t="s">
        <v>292</v>
      </c>
      <c r="I63" s="6" t="s">
        <v>472</v>
      </c>
      <c r="J63" s="118">
        <f t="shared" si="10"/>
        <v>7.5711713750000005</v>
      </c>
      <c r="K63" s="119">
        <f t="shared" si="11"/>
        <v>7.5711713750000005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>
        <v>7.5711713750000005</v>
      </c>
      <c r="Y63" s="24"/>
    </row>
    <row r="64" spans="5:25">
      <c r="E64" s="6" t="s">
        <v>484</v>
      </c>
      <c r="F64" s="7" t="s">
        <v>19</v>
      </c>
      <c r="G64" s="6" t="s">
        <v>370</v>
      </c>
      <c r="H64" s="6" t="s">
        <v>308</v>
      </c>
      <c r="I64" s="6" t="s">
        <v>472</v>
      </c>
      <c r="J64" s="118">
        <f t="shared" si="10"/>
        <v>28.902717307000003</v>
      </c>
      <c r="K64" s="119">
        <f t="shared" si="11"/>
        <v>28.902717307000003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>
        <v>28.902717307000003</v>
      </c>
      <c r="Y64" s="24"/>
    </row>
    <row r="65" spans="5:25">
      <c r="E65" s="6" t="s">
        <v>451</v>
      </c>
      <c r="F65" s="7" t="s">
        <v>19</v>
      </c>
      <c r="G65" s="6" t="s">
        <v>504</v>
      </c>
      <c r="H65" s="6" t="s">
        <v>307</v>
      </c>
      <c r="I65" s="6" t="s">
        <v>466</v>
      </c>
      <c r="J65" s="118">
        <f t="shared" si="10"/>
        <v>12.803981364</v>
      </c>
      <c r="K65" s="119">
        <f t="shared" si="11"/>
        <v>12.803981364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>
        <v>12.803981364</v>
      </c>
      <c r="W65" s="24"/>
      <c r="X65" s="24"/>
      <c r="Y65" s="24"/>
    </row>
    <row r="66" spans="5:25">
      <c r="E66" s="6" t="s">
        <v>451</v>
      </c>
      <c r="F66" s="7" t="s">
        <v>19</v>
      </c>
      <c r="G66" s="6" t="s">
        <v>370</v>
      </c>
      <c r="H66" s="6" t="s">
        <v>308</v>
      </c>
      <c r="I66" s="6" t="s">
        <v>466</v>
      </c>
      <c r="J66" s="118">
        <f t="shared" si="10"/>
        <v>2.1636036089999999</v>
      </c>
      <c r="K66" s="119">
        <f t="shared" si="11"/>
        <v>2.1636036089999999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>
        <v>2.1636036089999999</v>
      </c>
      <c r="W66" s="24"/>
      <c r="X66" s="24"/>
      <c r="Y66" s="24"/>
    </row>
    <row r="67" spans="5:25">
      <c r="E67" s="6" t="s">
        <v>577</v>
      </c>
      <c r="F67" s="7" t="s">
        <v>19</v>
      </c>
      <c r="G67" s="6" t="s">
        <v>500</v>
      </c>
      <c r="H67" s="6" t="s">
        <v>305</v>
      </c>
      <c r="I67" s="6" t="s">
        <v>472</v>
      </c>
      <c r="J67" s="118">
        <f t="shared" si="10"/>
        <v>19.768845337000002</v>
      </c>
      <c r="K67" s="119">
        <f t="shared" si="11"/>
        <v>19.768845337000002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>
        <v>19.768845337000002</v>
      </c>
      <c r="X67" s="24"/>
      <c r="Y67" s="24"/>
    </row>
    <row r="68" spans="5:25">
      <c r="E68" s="6" t="s">
        <v>485</v>
      </c>
      <c r="F68" s="7" t="s">
        <v>19</v>
      </c>
      <c r="G68" s="6" t="s">
        <v>529</v>
      </c>
      <c r="H68" s="6" t="s">
        <v>530</v>
      </c>
      <c r="I68" s="6" t="s">
        <v>472</v>
      </c>
      <c r="J68" s="118">
        <f t="shared" si="10"/>
        <v>23.747734215000001</v>
      </c>
      <c r="K68" s="119">
        <f t="shared" si="11"/>
        <v>23.747734215000001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>
        <v>23.747734215000001</v>
      </c>
      <c r="W68" s="24"/>
      <c r="X68" s="24"/>
      <c r="Y68" s="24"/>
    </row>
    <row r="69" spans="5:25">
      <c r="E69" s="6" t="s">
        <v>589</v>
      </c>
      <c r="F69" s="7" t="s">
        <v>19</v>
      </c>
      <c r="G69" s="6" t="s">
        <v>282</v>
      </c>
      <c r="H69" s="6" t="s">
        <v>283</v>
      </c>
      <c r="I69" s="6" t="s">
        <v>466</v>
      </c>
      <c r="J69" s="118">
        <f t="shared" si="10"/>
        <v>1.9666872719999999</v>
      </c>
      <c r="K69" s="119">
        <f t="shared" si="11"/>
        <v>1.9666872719999999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>
        <v>1.9666872719999999</v>
      </c>
      <c r="X69" s="24"/>
      <c r="Y69" s="24"/>
    </row>
    <row r="70" spans="5:25">
      <c r="E70" s="6" t="s">
        <v>589</v>
      </c>
      <c r="F70" s="7" t="s">
        <v>19</v>
      </c>
      <c r="G70" s="6" t="s">
        <v>379</v>
      </c>
      <c r="H70" s="6" t="s">
        <v>291</v>
      </c>
      <c r="I70" s="6" t="s">
        <v>466</v>
      </c>
      <c r="J70" s="118">
        <f t="shared" si="10"/>
        <v>1.5587086999999999E-2</v>
      </c>
      <c r="K70" s="119">
        <f t="shared" si="11"/>
        <v>1.5587086999999999E-2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>
        <v>1.5587086999999999E-2</v>
      </c>
      <c r="X70" s="24"/>
      <c r="Y70" s="24"/>
    </row>
    <row r="71" spans="5:25">
      <c r="E71" s="6" t="s">
        <v>607</v>
      </c>
      <c r="F71" s="7" t="s">
        <v>19</v>
      </c>
      <c r="G71" s="6" t="s">
        <v>237</v>
      </c>
      <c r="H71" s="6" t="s">
        <v>277</v>
      </c>
      <c r="I71" s="6" t="s">
        <v>466</v>
      </c>
      <c r="J71" s="118">
        <f t="shared" si="10"/>
        <v>18.165739839</v>
      </c>
      <c r="K71" s="119">
        <f t="shared" si="11"/>
        <v>18.165739839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>
        <v>18.165739839</v>
      </c>
      <c r="W71" s="24"/>
      <c r="X71" s="24"/>
      <c r="Y71" s="24"/>
    </row>
    <row r="72" spans="5:25">
      <c r="E72" s="6" t="s">
        <v>270</v>
      </c>
      <c r="F72" s="7" t="s">
        <v>19</v>
      </c>
      <c r="G72" s="6" t="s">
        <v>441</v>
      </c>
      <c r="H72" s="6" t="s">
        <v>481</v>
      </c>
      <c r="I72" s="6" t="s">
        <v>466</v>
      </c>
      <c r="J72" s="118">
        <f t="shared" si="10"/>
        <v>14.159659499999998</v>
      </c>
      <c r="K72" s="119">
        <f t="shared" si="11"/>
        <v>14.159659499999998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>
        <v>14.159659499999998</v>
      </c>
      <c r="W72" s="24"/>
      <c r="X72" s="24"/>
      <c r="Y72" s="24"/>
    </row>
    <row r="73" spans="5:25">
      <c r="E73" s="6" t="s">
        <v>270</v>
      </c>
      <c r="F73" s="7" t="s">
        <v>19</v>
      </c>
      <c r="G73" s="6" t="s">
        <v>508</v>
      </c>
      <c r="H73" s="6" t="s">
        <v>319</v>
      </c>
      <c r="I73" s="6" t="s">
        <v>466</v>
      </c>
      <c r="J73" s="118">
        <f t="shared" si="10"/>
        <v>120.7699657</v>
      </c>
      <c r="K73" s="119">
        <f t="shared" si="11"/>
        <v>120.7699657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>
        <v>29.318501099999999</v>
      </c>
      <c r="X73" s="24">
        <v>91.451464599999994</v>
      </c>
      <c r="Y73" s="24"/>
    </row>
    <row r="74" spans="5:25">
      <c r="E74" s="6" t="s">
        <v>270</v>
      </c>
      <c r="F74" s="7" t="s">
        <v>19</v>
      </c>
      <c r="G74" s="6" t="s">
        <v>374</v>
      </c>
      <c r="H74" s="6" t="s">
        <v>317</v>
      </c>
      <c r="I74" s="6" t="s">
        <v>466</v>
      </c>
      <c r="J74" s="118">
        <f t="shared" si="10"/>
        <v>40.282819357000001</v>
      </c>
      <c r="K74" s="119">
        <f t="shared" si="11"/>
        <v>40.282819357000001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>
        <v>1.1826547569999999</v>
      </c>
      <c r="W74" s="24">
        <v>39.100164599999999</v>
      </c>
      <c r="X74" s="24"/>
      <c r="Y74" s="24"/>
    </row>
    <row r="75" spans="5:25">
      <c r="E75" s="6" t="s">
        <v>570</v>
      </c>
      <c r="F75" s="7" t="s">
        <v>19</v>
      </c>
      <c r="G75" s="6" t="s">
        <v>237</v>
      </c>
      <c r="H75" s="6" t="s">
        <v>277</v>
      </c>
      <c r="I75" s="6" t="s">
        <v>466</v>
      </c>
      <c r="J75" s="118">
        <f t="shared" si="10"/>
        <v>0.71694856799999995</v>
      </c>
      <c r="K75" s="119">
        <f t="shared" si="11"/>
        <v>0.71694856799999995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>
        <v>0.71694856799999995</v>
      </c>
      <c r="W75" s="24"/>
      <c r="X75" s="24"/>
      <c r="Y75" s="24"/>
    </row>
    <row r="76" spans="5:25">
      <c r="E76" s="6" t="s">
        <v>489</v>
      </c>
      <c r="F76" s="7" t="s">
        <v>19</v>
      </c>
      <c r="G76" s="6" t="s">
        <v>379</v>
      </c>
      <c r="H76" s="6" t="s">
        <v>291</v>
      </c>
      <c r="I76" s="6" t="s">
        <v>466</v>
      </c>
      <c r="J76" s="118">
        <f t="shared" si="10"/>
        <v>9.5997403999999995E-2</v>
      </c>
      <c r="K76" s="119">
        <f t="shared" si="11"/>
        <v>9.5997403999999995E-2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24">
        <v>9.5997403999999995E-2</v>
      </c>
      <c r="W76" s="24"/>
      <c r="X76" s="24"/>
      <c r="Y76" s="24"/>
    </row>
    <row r="77" spans="5:25">
      <c r="E77" s="6"/>
      <c r="F77" s="7"/>
      <c r="G77" s="6"/>
      <c r="H77" s="6"/>
      <c r="I77" s="6"/>
      <c r="J77" s="118">
        <f t="shared" si="10"/>
        <v>0</v>
      </c>
      <c r="K77" s="119">
        <f t="shared" si="11"/>
        <v>0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5:25">
      <c r="E78" s="6"/>
      <c r="F78" s="6"/>
      <c r="G78" s="6"/>
      <c r="H78" s="6"/>
      <c r="I78" s="6"/>
      <c r="J78" s="118">
        <f t="shared" si="10"/>
        <v>0</v>
      </c>
      <c r="K78" s="119">
        <f t="shared" si="11"/>
        <v>0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5:25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5:25">
      <c r="E80" s="305" t="s">
        <v>596</v>
      </c>
      <c r="F80" s="437" t="s">
        <v>19</v>
      </c>
      <c r="G80" s="305" t="s">
        <v>605</v>
      </c>
      <c r="H80" s="305" t="s">
        <v>472</v>
      </c>
      <c r="I80" s="11"/>
      <c r="J80" s="118">
        <f t="shared" si="10"/>
        <v>23.960324400000001</v>
      </c>
      <c r="K80" s="119">
        <f t="shared" si="11"/>
        <v>23.960324400000001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306"/>
      <c r="W80" s="306"/>
      <c r="X80" s="306"/>
      <c r="Y80" s="306">
        <v>23.960324400000001</v>
      </c>
    </row>
    <row r="81" spans="5:25">
      <c r="E81" s="305" t="s">
        <v>580</v>
      </c>
      <c r="F81" s="437" t="s">
        <v>19</v>
      </c>
      <c r="G81" s="305" t="s">
        <v>530</v>
      </c>
      <c r="H81" s="305" t="s">
        <v>472</v>
      </c>
      <c r="I81" s="11"/>
      <c r="J81" s="118">
        <f t="shared" si="10"/>
        <v>15.55437</v>
      </c>
      <c r="K81" s="119">
        <f t="shared" si="11"/>
        <v>15.55437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306">
        <v>15.55437</v>
      </c>
      <c r="W81" s="306"/>
      <c r="X81" s="306"/>
      <c r="Y81" s="306"/>
    </row>
    <row r="82" spans="5:25">
      <c r="E82" s="305" t="s">
        <v>580</v>
      </c>
      <c r="F82" s="437" t="s">
        <v>19</v>
      </c>
      <c r="G82" s="305" t="s">
        <v>530</v>
      </c>
      <c r="H82" s="305" t="s">
        <v>472</v>
      </c>
      <c r="I82" s="11"/>
      <c r="J82" s="118">
        <f t="shared" si="10"/>
        <v>68.666609999999991</v>
      </c>
      <c r="K82" s="119">
        <f t="shared" si="11"/>
        <v>68.666609999999991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306">
        <v>68.666609999999991</v>
      </c>
      <c r="W82" s="306"/>
      <c r="X82" s="306"/>
      <c r="Y82" s="306"/>
    </row>
    <row r="83" spans="5:25">
      <c r="E83" s="305" t="s">
        <v>597</v>
      </c>
      <c r="F83" s="437" t="s">
        <v>19</v>
      </c>
      <c r="G83" s="305" t="s">
        <v>283</v>
      </c>
      <c r="H83" s="305" t="s">
        <v>466</v>
      </c>
      <c r="I83" s="11"/>
      <c r="J83" s="118">
        <f t="shared" si="10"/>
        <v>0.3574638504</v>
      </c>
      <c r="K83" s="119">
        <f t="shared" si="11"/>
        <v>0.3574638504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/>
      <c r="V83" s="306">
        <v>0.3574638504</v>
      </c>
      <c r="W83" s="306"/>
      <c r="X83" s="306"/>
      <c r="Y83" s="306"/>
    </row>
    <row r="84" spans="5:25">
      <c r="E84" s="305" t="s">
        <v>597</v>
      </c>
      <c r="F84" s="437" t="s">
        <v>19</v>
      </c>
      <c r="G84" s="305" t="s">
        <v>283</v>
      </c>
      <c r="H84" s="305" t="s">
        <v>472</v>
      </c>
      <c r="I84" s="11"/>
      <c r="J84" s="118">
        <f t="shared" si="10"/>
        <v>15.970591979999998</v>
      </c>
      <c r="K84" s="119">
        <f t="shared" si="11"/>
        <v>15.970591979999998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306">
        <v>15.970591979999998</v>
      </c>
      <c r="W84" s="306"/>
      <c r="X84" s="306"/>
      <c r="Y84" s="306"/>
    </row>
    <row r="85" spans="5:25">
      <c r="E85" s="305" t="s">
        <v>581</v>
      </c>
      <c r="F85" s="437" t="s">
        <v>19</v>
      </c>
      <c r="G85" s="305" t="s">
        <v>289</v>
      </c>
      <c r="H85" s="305" t="s">
        <v>466</v>
      </c>
      <c r="I85" s="11"/>
      <c r="J85" s="118">
        <f t="shared" si="10"/>
        <v>41.204236289999997</v>
      </c>
      <c r="K85" s="119">
        <f t="shared" si="11"/>
        <v>41.204236289999997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306">
        <v>12.1962908</v>
      </c>
      <c r="W85" s="306">
        <v>18.56791479</v>
      </c>
      <c r="X85" s="306"/>
      <c r="Y85" s="306">
        <v>10.440030700000001</v>
      </c>
    </row>
    <row r="86" spans="5:25">
      <c r="E86" s="305" t="s">
        <v>581</v>
      </c>
      <c r="F86" s="437" t="s">
        <v>19</v>
      </c>
      <c r="G86" s="305" t="s">
        <v>291</v>
      </c>
      <c r="H86" s="305" t="s">
        <v>466</v>
      </c>
      <c r="I86" s="11"/>
      <c r="J86" s="118">
        <f t="shared" si="10"/>
        <v>45.461899000000003</v>
      </c>
      <c r="K86" s="119">
        <f t="shared" si="11"/>
        <v>45.461899000000003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306">
        <v>18.826652600000003</v>
      </c>
      <c r="W86" s="306">
        <v>4.6389241999999999</v>
      </c>
      <c r="X86" s="306"/>
      <c r="Y86" s="306">
        <v>21.996322200000002</v>
      </c>
    </row>
    <row r="87" spans="5:25">
      <c r="E87" s="305" t="s">
        <v>581</v>
      </c>
      <c r="F87" s="437" t="s">
        <v>19</v>
      </c>
      <c r="G87" s="305" t="s">
        <v>292</v>
      </c>
      <c r="H87" s="305" t="s">
        <v>466</v>
      </c>
      <c r="I87" s="11"/>
      <c r="J87" s="118">
        <f t="shared" si="10"/>
        <v>46.011112999999995</v>
      </c>
      <c r="K87" s="119">
        <f t="shared" si="11"/>
        <v>46.011112999999995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306">
        <v>37.052396999999999</v>
      </c>
      <c r="W87" s="306">
        <v>8.958715999999999</v>
      </c>
      <c r="X87" s="306"/>
      <c r="Y87" s="306"/>
    </row>
    <row r="88" spans="5:25">
      <c r="E88" s="305" t="s">
        <v>581</v>
      </c>
      <c r="F88" s="437" t="s">
        <v>19</v>
      </c>
      <c r="G88" s="305" t="s">
        <v>294</v>
      </c>
      <c r="H88" s="305" t="s">
        <v>466</v>
      </c>
      <c r="I88" s="11"/>
      <c r="J88" s="118">
        <f t="shared" si="10"/>
        <v>0.15601509999999999</v>
      </c>
      <c r="K88" s="119">
        <f t="shared" si="11"/>
        <v>0.15601509999999999</v>
      </c>
      <c r="L88" s="119">
        <f t="shared" si="12"/>
        <v>0</v>
      </c>
      <c r="N88" s="24"/>
      <c r="O88" s="24"/>
      <c r="P88" s="24"/>
      <c r="Q88" s="24"/>
      <c r="R88" s="24"/>
      <c r="S88" s="24"/>
      <c r="T88" s="24"/>
      <c r="U88" s="24"/>
      <c r="V88" s="306">
        <v>0.15601509999999999</v>
      </c>
      <c r="W88" s="306"/>
      <c r="X88" s="306"/>
      <c r="Y88" s="306"/>
    </row>
    <row r="89" spans="5:25">
      <c r="E89" s="305" t="s">
        <v>581</v>
      </c>
      <c r="F89" s="437" t="s">
        <v>19</v>
      </c>
      <c r="G89" s="305" t="s">
        <v>448</v>
      </c>
      <c r="H89" s="305" t="s">
        <v>466</v>
      </c>
      <c r="I89" s="11"/>
      <c r="J89" s="118">
        <f t="shared" ref="J89:J107" si="13">+K89+L89</f>
        <v>50.615942800000006</v>
      </c>
      <c r="K89" s="119">
        <f t="shared" ref="K89:K107" si="14">SUM(N89:Y89)</f>
        <v>50.615942800000006</v>
      </c>
      <c r="L89" s="119">
        <f t="shared" ref="L89:L107" si="15">SUM(AA89:AL89)</f>
        <v>0</v>
      </c>
      <c r="N89" s="24"/>
      <c r="O89" s="24"/>
      <c r="P89" s="24"/>
      <c r="Q89" s="24"/>
      <c r="R89" s="24"/>
      <c r="S89" s="24"/>
      <c r="T89" s="24"/>
      <c r="U89" s="24"/>
      <c r="V89" s="306">
        <v>27.561345600000003</v>
      </c>
      <c r="W89" s="306">
        <v>18.075521699999999</v>
      </c>
      <c r="X89" s="306"/>
      <c r="Y89" s="306">
        <v>4.9790754999999995</v>
      </c>
    </row>
    <row r="90" spans="5:25">
      <c r="E90" s="305" t="s">
        <v>581</v>
      </c>
      <c r="F90" s="437" t="s">
        <v>19</v>
      </c>
      <c r="G90" s="305" t="s">
        <v>295</v>
      </c>
      <c r="H90" s="305" t="s">
        <v>466</v>
      </c>
      <c r="I90" s="12"/>
      <c r="J90" s="118">
        <f t="shared" si="13"/>
        <v>22.062409399999996</v>
      </c>
      <c r="K90" s="119">
        <f t="shared" si="14"/>
        <v>22.062409399999996</v>
      </c>
      <c r="L90" s="119">
        <f t="shared" si="15"/>
        <v>0</v>
      </c>
      <c r="N90" s="24"/>
      <c r="O90" s="24"/>
      <c r="P90" s="24"/>
      <c r="Q90" s="24"/>
      <c r="R90" s="24"/>
      <c r="S90" s="24"/>
      <c r="T90" s="24"/>
      <c r="U90" s="24"/>
      <c r="V90" s="306">
        <v>1.4584739999999998</v>
      </c>
      <c r="W90" s="306"/>
      <c r="X90" s="306"/>
      <c r="Y90" s="306">
        <v>20.603935399999997</v>
      </c>
    </row>
    <row r="91" spans="5:25">
      <c r="E91" s="305" t="s">
        <v>581</v>
      </c>
      <c r="F91" s="437" t="s">
        <v>19</v>
      </c>
      <c r="G91" s="305" t="s">
        <v>288</v>
      </c>
      <c r="H91" s="305" t="s">
        <v>466</v>
      </c>
      <c r="I91" s="12"/>
      <c r="J91" s="118">
        <f t="shared" si="13"/>
        <v>17.952419299999999</v>
      </c>
      <c r="K91" s="119">
        <f t="shared" si="14"/>
        <v>17.952419299999999</v>
      </c>
      <c r="L91" s="119">
        <f t="shared" si="15"/>
        <v>0</v>
      </c>
      <c r="N91" s="24"/>
      <c r="O91" s="24"/>
      <c r="P91" s="24"/>
      <c r="Q91" s="24"/>
      <c r="R91" s="24"/>
      <c r="S91" s="24"/>
      <c r="T91" s="24"/>
      <c r="U91" s="24"/>
      <c r="V91" s="306">
        <v>17.952419299999999</v>
      </c>
      <c r="W91" s="306"/>
      <c r="X91" s="306"/>
      <c r="Y91" s="306"/>
    </row>
    <row r="92" spans="5:25">
      <c r="E92" s="305" t="s">
        <v>581</v>
      </c>
      <c r="F92" s="437" t="s">
        <v>19</v>
      </c>
      <c r="G92" s="305" t="s">
        <v>290</v>
      </c>
      <c r="H92" s="305" t="s">
        <v>466</v>
      </c>
      <c r="I92" s="12"/>
      <c r="J92" s="118">
        <f t="shared" si="13"/>
        <v>25.626392600000003</v>
      </c>
      <c r="K92" s="119">
        <f t="shared" si="14"/>
        <v>25.626392600000003</v>
      </c>
      <c r="L92" s="119">
        <f t="shared" si="15"/>
        <v>0</v>
      </c>
      <c r="N92" s="24"/>
      <c r="O92" s="24"/>
      <c r="P92" s="24"/>
      <c r="Q92" s="24"/>
      <c r="R92" s="24"/>
      <c r="S92" s="24"/>
      <c r="T92" s="24"/>
      <c r="U92" s="24"/>
      <c r="V92" s="306">
        <v>15.8467328</v>
      </c>
      <c r="W92" s="306">
        <v>1.9327142000000002</v>
      </c>
      <c r="X92" s="306"/>
      <c r="Y92" s="306">
        <v>7.8469455999999997</v>
      </c>
    </row>
    <row r="93" spans="5:25">
      <c r="E93" s="305" t="s">
        <v>598</v>
      </c>
      <c r="F93" s="437" t="s">
        <v>19</v>
      </c>
      <c r="G93" s="305" t="s">
        <v>305</v>
      </c>
      <c r="H93" s="305" t="s">
        <v>472</v>
      </c>
      <c r="I93" s="9"/>
      <c r="J93" s="118">
        <f t="shared" si="13"/>
        <v>6.0859211000000002</v>
      </c>
      <c r="K93" s="119">
        <f t="shared" si="14"/>
        <v>6.0859211000000002</v>
      </c>
      <c r="L93" s="119">
        <f t="shared" si="15"/>
        <v>0</v>
      </c>
      <c r="N93" s="24"/>
      <c r="O93" s="24"/>
      <c r="P93" s="24"/>
      <c r="Q93" s="24"/>
      <c r="R93" s="24"/>
      <c r="S93" s="24"/>
      <c r="T93" s="24"/>
      <c r="U93" s="24"/>
      <c r="V93" s="306">
        <v>6.0859211000000002</v>
      </c>
      <c r="W93" s="306"/>
      <c r="X93" s="306"/>
      <c r="Y93" s="306"/>
    </row>
    <row r="94" spans="5:25">
      <c r="E94" s="305" t="s">
        <v>598</v>
      </c>
      <c r="F94" s="437" t="s">
        <v>19</v>
      </c>
      <c r="G94" s="305" t="s">
        <v>277</v>
      </c>
      <c r="H94" s="305" t="s">
        <v>466</v>
      </c>
      <c r="I94" s="9"/>
      <c r="J94" s="118">
        <f t="shared" si="13"/>
        <v>10.563825400000001</v>
      </c>
      <c r="K94" s="119">
        <f t="shared" si="14"/>
        <v>10.563825400000001</v>
      </c>
      <c r="L94" s="119">
        <f t="shared" si="15"/>
        <v>0</v>
      </c>
      <c r="N94" s="24"/>
      <c r="O94" s="24"/>
      <c r="P94" s="24"/>
      <c r="Q94" s="24"/>
      <c r="R94" s="24"/>
      <c r="S94" s="24"/>
      <c r="T94" s="24"/>
      <c r="U94" s="24"/>
      <c r="V94" s="306">
        <v>10.563825400000001</v>
      </c>
      <c r="W94" s="306"/>
      <c r="X94" s="306"/>
      <c r="Y94" s="306"/>
    </row>
    <row r="95" spans="5:25">
      <c r="E95" s="305" t="s">
        <v>583</v>
      </c>
      <c r="F95" s="437" t="s">
        <v>19</v>
      </c>
      <c r="G95" s="305" t="s">
        <v>481</v>
      </c>
      <c r="H95" s="305" t="s">
        <v>466</v>
      </c>
      <c r="I95" s="10"/>
      <c r="J95" s="118">
        <f t="shared" si="13"/>
        <v>25.312194200000004</v>
      </c>
      <c r="K95" s="119">
        <f t="shared" si="14"/>
        <v>25.312194200000004</v>
      </c>
      <c r="L95" s="119">
        <f t="shared" si="15"/>
        <v>0</v>
      </c>
      <c r="N95" s="24"/>
      <c r="O95" s="24"/>
      <c r="P95" s="24"/>
      <c r="Q95" s="24"/>
      <c r="R95" s="24"/>
      <c r="S95" s="24"/>
      <c r="T95" s="24"/>
      <c r="U95" s="24"/>
      <c r="V95" s="306">
        <v>25.312194200000004</v>
      </c>
      <c r="W95" s="306"/>
      <c r="X95" s="306"/>
      <c r="Y95" s="306"/>
    </row>
    <row r="96" spans="5:25">
      <c r="E96" s="305" t="s">
        <v>595</v>
      </c>
      <c r="F96" s="437" t="s">
        <v>19</v>
      </c>
      <c r="G96" s="305" t="s">
        <v>289</v>
      </c>
      <c r="H96" s="305" t="s">
        <v>466</v>
      </c>
      <c r="I96" s="11"/>
      <c r="J96" s="118">
        <f t="shared" si="13"/>
        <v>6.4022005799999997</v>
      </c>
      <c r="K96" s="119">
        <f t="shared" si="14"/>
        <v>6.4022005799999997</v>
      </c>
      <c r="L96" s="119">
        <f t="shared" si="15"/>
        <v>0</v>
      </c>
      <c r="N96" s="24"/>
      <c r="O96" s="24"/>
      <c r="P96" s="24"/>
      <c r="Q96" s="24"/>
      <c r="R96" s="24"/>
      <c r="S96" s="24"/>
      <c r="T96" s="24"/>
      <c r="U96" s="24"/>
      <c r="V96" s="306">
        <v>6.4022005799999997</v>
      </c>
      <c r="W96" s="306"/>
      <c r="X96" s="306"/>
      <c r="Y96" s="306"/>
    </row>
    <row r="97" spans="5:25">
      <c r="E97" s="305" t="s">
        <v>595</v>
      </c>
      <c r="F97" s="437" t="s">
        <v>19</v>
      </c>
      <c r="G97" s="305" t="s">
        <v>291</v>
      </c>
      <c r="H97" s="305" t="s">
        <v>466</v>
      </c>
      <c r="I97" s="11"/>
      <c r="J97" s="118">
        <f t="shared" si="13"/>
        <v>9.7735672299999994</v>
      </c>
      <c r="K97" s="119">
        <f t="shared" si="14"/>
        <v>9.7735672299999994</v>
      </c>
      <c r="L97" s="119">
        <f t="shared" si="15"/>
        <v>0</v>
      </c>
      <c r="N97" s="24"/>
      <c r="O97" s="24"/>
      <c r="P97" s="24"/>
      <c r="Q97" s="24"/>
      <c r="R97" s="24"/>
      <c r="S97" s="24"/>
      <c r="T97" s="24"/>
      <c r="U97" s="24"/>
      <c r="V97" s="306">
        <v>9.7735672299999994</v>
      </c>
      <c r="W97" s="306"/>
      <c r="X97" s="306"/>
      <c r="Y97" s="306"/>
    </row>
    <row r="98" spans="5:25">
      <c r="E98" s="305" t="s">
        <v>595</v>
      </c>
      <c r="F98" s="437" t="s">
        <v>19</v>
      </c>
      <c r="G98" s="305" t="s">
        <v>292</v>
      </c>
      <c r="H98" s="305" t="s">
        <v>466</v>
      </c>
      <c r="I98" s="11"/>
      <c r="J98" s="118">
        <f t="shared" si="13"/>
        <v>9.1080971799999997</v>
      </c>
      <c r="K98" s="119">
        <f t="shared" si="14"/>
        <v>9.1080971799999997</v>
      </c>
      <c r="L98" s="119">
        <f t="shared" si="15"/>
        <v>0</v>
      </c>
      <c r="N98" s="24"/>
      <c r="O98" s="24"/>
      <c r="P98" s="24"/>
      <c r="Q98" s="24"/>
      <c r="R98" s="24"/>
      <c r="S98" s="24"/>
      <c r="T98" s="24"/>
      <c r="U98" s="24"/>
      <c r="V98" s="306">
        <v>9.1080971799999997</v>
      </c>
      <c r="W98" s="306"/>
      <c r="X98" s="306"/>
      <c r="Y98" s="306"/>
    </row>
    <row r="99" spans="5:25">
      <c r="E99" s="305" t="s">
        <v>595</v>
      </c>
      <c r="F99" s="437" t="s">
        <v>19</v>
      </c>
      <c r="G99" s="305" t="s">
        <v>448</v>
      </c>
      <c r="H99" s="305" t="s">
        <v>466</v>
      </c>
      <c r="I99" s="11"/>
      <c r="J99" s="118">
        <f t="shared" si="13"/>
        <v>1.3839165</v>
      </c>
      <c r="K99" s="119">
        <f t="shared" si="14"/>
        <v>1.3839165</v>
      </c>
      <c r="L99" s="119">
        <f t="shared" si="15"/>
        <v>0</v>
      </c>
      <c r="N99" s="24"/>
      <c r="O99" s="24"/>
      <c r="P99" s="24"/>
      <c r="Q99" s="24"/>
      <c r="R99" s="24"/>
      <c r="S99" s="24"/>
      <c r="T99" s="24"/>
      <c r="U99" s="24"/>
      <c r="V99" s="306">
        <v>1.3839165</v>
      </c>
      <c r="W99" s="306"/>
      <c r="X99" s="306"/>
      <c r="Y99" s="306"/>
    </row>
    <row r="100" spans="5:25">
      <c r="E100" s="305" t="s">
        <v>595</v>
      </c>
      <c r="F100" s="437" t="s">
        <v>19</v>
      </c>
      <c r="G100" s="305" t="s">
        <v>448</v>
      </c>
      <c r="H100" s="305" t="s">
        <v>472</v>
      </c>
      <c r="I100" s="11"/>
      <c r="J100" s="118">
        <f t="shared" si="13"/>
        <v>8.6791255100000004</v>
      </c>
      <c r="K100" s="119">
        <f t="shared" si="14"/>
        <v>8.6791255100000004</v>
      </c>
      <c r="L100" s="119">
        <f t="shared" si="15"/>
        <v>0</v>
      </c>
      <c r="N100" s="24"/>
      <c r="O100" s="24"/>
      <c r="P100" s="24"/>
      <c r="Q100" s="24"/>
      <c r="R100" s="24"/>
      <c r="S100" s="24"/>
      <c r="T100" s="24"/>
      <c r="U100" s="24"/>
      <c r="V100" s="306">
        <v>8.6791255100000004</v>
      </c>
      <c r="W100" s="306"/>
      <c r="X100" s="306"/>
      <c r="Y100" s="306"/>
    </row>
    <row r="101" spans="5:25">
      <c r="E101" s="305" t="s">
        <v>584</v>
      </c>
      <c r="F101" s="437" t="s">
        <v>19</v>
      </c>
      <c r="G101" s="305" t="s">
        <v>290</v>
      </c>
      <c r="H101" s="305" t="s">
        <v>466</v>
      </c>
      <c r="I101" s="11"/>
      <c r="J101" s="118">
        <f t="shared" si="13"/>
        <v>35.229979999999998</v>
      </c>
      <c r="K101" s="119">
        <f t="shared" si="14"/>
        <v>35.229979999999998</v>
      </c>
      <c r="L101" s="119">
        <f t="shared" si="15"/>
        <v>0</v>
      </c>
      <c r="N101" s="24"/>
      <c r="O101" s="24"/>
      <c r="P101" s="24"/>
      <c r="Q101" s="24"/>
      <c r="R101" s="24"/>
      <c r="S101" s="24"/>
      <c r="T101" s="24"/>
      <c r="U101" s="24"/>
      <c r="V101" s="306"/>
      <c r="W101" s="306">
        <v>35.229979999999998</v>
      </c>
      <c r="X101" s="306"/>
      <c r="Y101" s="306"/>
    </row>
    <row r="102" spans="5:25">
      <c r="E102" s="305" t="s">
        <v>585</v>
      </c>
      <c r="F102" s="437" t="s">
        <v>19</v>
      </c>
      <c r="G102" s="305" t="s">
        <v>307</v>
      </c>
      <c r="H102" s="305" t="s">
        <v>466</v>
      </c>
      <c r="I102" s="11"/>
      <c r="J102" s="118">
        <f t="shared" si="13"/>
        <v>6.8015437500000004</v>
      </c>
      <c r="K102" s="119">
        <f t="shared" si="14"/>
        <v>6.8015437500000004</v>
      </c>
      <c r="L102" s="119">
        <f t="shared" si="15"/>
        <v>0</v>
      </c>
      <c r="N102" s="24"/>
      <c r="O102" s="24"/>
      <c r="P102" s="24"/>
      <c r="Q102" s="24"/>
      <c r="R102" s="24"/>
      <c r="S102" s="24"/>
      <c r="T102" s="24"/>
      <c r="U102" s="24"/>
      <c r="V102" s="306">
        <v>6.8015437500000004</v>
      </c>
      <c r="W102" s="306"/>
      <c r="X102" s="306"/>
      <c r="Y102" s="306"/>
    </row>
    <row r="103" spans="5:25">
      <c r="E103" s="305" t="s">
        <v>585</v>
      </c>
      <c r="F103" s="437" t="s">
        <v>19</v>
      </c>
      <c r="G103" s="305" t="s">
        <v>307</v>
      </c>
      <c r="H103" s="305" t="s">
        <v>472</v>
      </c>
      <c r="I103" s="11"/>
      <c r="J103" s="118">
        <f t="shared" si="13"/>
        <v>12.6068411</v>
      </c>
      <c r="K103" s="119">
        <f t="shared" si="14"/>
        <v>12.6068411</v>
      </c>
      <c r="L103" s="119">
        <f t="shared" si="15"/>
        <v>0</v>
      </c>
      <c r="N103" s="24"/>
      <c r="O103" s="24"/>
      <c r="P103" s="24"/>
      <c r="Q103" s="24"/>
      <c r="R103" s="24"/>
      <c r="S103" s="24"/>
      <c r="T103" s="24"/>
      <c r="U103" s="24"/>
      <c r="V103" s="306">
        <v>12.6068411</v>
      </c>
      <c r="W103" s="306"/>
      <c r="X103" s="306"/>
      <c r="Y103" s="306"/>
    </row>
    <row r="104" spans="5:25">
      <c r="E104" s="305" t="s">
        <v>594</v>
      </c>
      <c r="F104" s="437" t="s">
        <v>19</v>
      </c>
      <c r="G104" s="305" t="s">
        <v>530</v>
      </c>
      <c r="H104" s="305" t="s">
        <v>472</v>
      </c>
      <c r="I104" s="11"/>
      <c r="J104" s="118">
        <f t="shared" si="13"/>
        <v>185.48092439999996</v>
      </c>
      <c r="K104" s="119">
        <f t="shared" si="14"/>
        <v>185.48092439999996</v>
      </c>
      <c r="L104" s="119">
        <f t="shared" si="15"/>
        <v>0</v>
      </c>
      <c r="N104" s="24"/>
      <c r="O104" s="24"/>
      <c r="P104" s="24"/>
      <c r="Q104" s="24"/>
      <c r="R104" s="24"/>
      <c r="S104" s="24"/>
      <c r="T104" s="24"/>
      <c r="U104" s="24"/>
      <c r="V104" s="306">
        <v>185.48092439999996</v>
      </c>
      <c r="W104" s="306"/>
      <c r="X104" s="306"/>
      <c r="Y104" s="306"/>
    </row>
    <row r="105" spans="5:25">
      <c r="E105" s="305" t="s">
        <v>586</v>
      </c>
      <c r="F105" s="437" t="s">
        <v>19</v>
      </c>
      <c r="G105" s="305" t="s">
        <v>317</v>
      </c>
      <c r="H105" s="305" t="s">
        <v>466</v>
      </c>
      <c r="I105" s="11"/>
      <c r="J105" s="118">
        <f t="shared" si="13"/>
        <v>5.29616475E-2</v>
      </c>
      <c r="K105" s="119">
        <f t="shared" si="14"/>
        <v>5.29616475E-2</v>
      </c>
      <c r="L105" s="119">
        <f t="shared" si="15"/>
        <v>0</v>
      </c>
      <c r="N105" s="24"/>
      <c r="O105" s="24"/>
      <c r="P105" s="24"/>
      <c r="Q105" s="24"/>
      <c r="R105" s="24"/>
      <c r="S105" s="24"/>
      <c r="T105" s="24"/>
      <c r="U105" s="24"/>
      <c r="V105" s="306">
        <v>5.29616475E-2</v>
      </c>
      <c r="W105" s="306"/>
      <c r="X105" s="306"/>
      <c r="Y105" s="306"/>
    </row>
    <row r="106" spans="5:25">
      <c r="E106" s="305" t="s">
        <v>587</v>
      </c>
      <c r="F106" s="437" t="s">
        <v>19</v>
      </c>
      <c r="G106" s="305" t="s">
        <v>317</v>
      </c>
      <c r="H106" s="305" t="s">
        <v>466</v>
      </c>
      <c r="I106" s="11"/>
      <c r="J106" s="118">
        <f t="shared" si="13"/>
        <v>2.30857</v>
      </c>
      <c r="K106" s="119">
        <f t="shared" si="14"/>
        <v>2.30857</v>
      </c>
      <c r="L106" s="119">
        <f t="shared" si="15"/>
        <v>0</v>
      </c>
      <c r="N106" s="24"/>
      <c r="O106" s="24"/>
      <c r="P106" s="24"/>
      <c r="Q106" s="24"/>
      <c r="R106" s="24"/>
      <c r="S106" s="24"/>
      <c r="T106" s="24"/>
      <c r="U106" s="24"/>
      <c r="V106" s="306">
        <v>2.30857</v>
      </c>
      <c r="W106" s="306"/>
      <c r="X106" s="306"/>
      <c r="Y106" s="306"/>
    </row>
    <row r="107" spans="5:25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9" spans="5:25">
      <c r="E109" s="191" t="s">
        <v>320</v>
      </c>
      <c r="F109" s="216">
        <v>46235</v>
      </c>
      <c r="G109" s="192">
        <v>554</v>
      </c>
      <c r="H109" s="271" t="s">
        <v>321</v>
      </c>
    </row>
    <row r="110" spans="5:25">
      <c r="E110" s="195" t="s">
        <v>592</v>
      </c>
      <c r="F110" s="217"/>
      <c r="G110" s="196">
        <v>200</v>
      </c>
      <c r="H110" s="271" t="s">
        <v>321</v>
      </c>
    </row>
    <row r="111" spans="5:25">
      <c r="E111" s="195" t="s">
        <v>593</v>
      </c>
      <c r="F111" s="217"/>
      <c r="G111" s="196">
        <v>61</v>
      </c>
      <c r="H111" s="271" t="s">
        <v>321</v>
      </c>
    </row>
    <row r="112" spans="5:25">
      <c r="E112" s="191" t="s">
        <v>320</v>
      </c>
      <c r="F112" s="216">
        <v>46265</v>
      </c>
      <c r="G112" s="192">
        <f>G109+G110-G111</f>
        <v>693</v>
      </c>
      <c r="H112" s="271" t="s">
        <v>321</v>
      </c>
    </row>
    <row r="113" spans="5:9">
      <c r="E113" s="195"/>
      <c r="F113" s="217"/>
      <c r="G113" s="196"/>
      <c r="H113" s="271"/>
    </row>
    <row r="114" spans="5:9">
      <c r="E114" s="191"/>
      <c r="F114" s="216"/>
      <c r="G114" s="192"/>
      <c r="H114" s="271"/>
    </row>
    <row r="116" spans="5:9">
      <c r="E116" s="446" t="s">
        <v>531</v>
      </c>
      <c r="F116" s="447"/>
      <c r="G116" s="447"/>
      <c r="H116" s="448"/>
    </row>
    <row r="117" spans="5:9">
      <c r="E117" s="219" t="s">
        <v>550</v>
      </c>
      <c r="F117" s="219"/>
      <c r="G117" s="202"/>
      <c r="H117" s="219" t="s">
        <v>325</v>
      </c>
    </row>
    <row r="118" spans="5:9">
      <c r="E118" s="434" t="s">
        <v>247</v>
      </c>
      <c r="F118" s="219"/>
      <c r="G118" s="202"/>
      <c r="H118" s="432">
        <v>3</v>
      </c>
    </row>
    <row r="119" spans="5:9">
      <c r="E119" s="434" t="s">
        <v>378</v>
      </c>
      <c r="F119" s="219"/>
      <c r="G119" s="202"/>
      <c r="H119" s="432">
        <f>2+2+2</f>
        <v>6</v>
      </c>
    </row>
    <row r="120" spans="5:9">
      <c r="E120" s="434" t="s">
        <v>500</v>
      </c>
      <c r="F120" s="219"/>
      <c r="G120" s="202"/>
      <c r="H120" s="432">
        <v>12</v>
      </c>
    </row>
    <row r="121" spans="5:9">
      <c r="E121" s="431" t="s">
        <v>454</v>
      </c>
      <c r="F121" s="202"/>
      <c r="G121" s="202"/>
      <c r="H121" s="433">
        <f>18+9</f>
        <v>27</v>
      </c>
    </row>
    <row r="122" spans="5:9">
      <c r="E122" s="436" t="s">
        <v>237</v>
      </c>
      <c r="F122" s="202"/>
      <c r="G122" s="202"/>
      <c r="H122" s="433">
        <v>1</v>
      </c>
    </row>
    <row r="123" spans="5:9">
      <c r="E123" s="436" t="s">
        <v>441</v>
      </c>
      <c r="F123" s="202"/>
      <c r="G123" s="202"/>
      <c r="H123" s="433">
        <v>3</v>
      </c>
    </row>
    <row r="124" spans="5:9">
      <c r="E124" s="439" t="s">
        <v>420</v>
      </c>
      <c r="F124" s="202"/>
      <c r="G124" s="202"/>
      <c r="H124" s="433">
        <v>5</v>
      </c>
    </row>
    <row r="125" spans="5:9">
      <c r="E125" s="436" t="s">
        <v>379</v>
      </c>
      <c r="F125" s="202"/>
      <c r="G125" s="202"/>
      <c r="H125" s="433">
        <v>8</v>
      </c>
    </row>
    <row r="126" spans="5:9">
      <c r="E126" s="219" t="s">
        <v>344</v>
      </c>
      <c r="F126" s="202"/>
      <c r="G126" s="202"/>
      <c r="H126" s="405">
        <f>SUM(H118:H125)</f>
        <v>65</v>
      </c>
    </row>
    <row r="127" spans="5:9">
      <c r="E127" s="227"/>
      <c r="F127" s="278"/>
      <c r="G127" s="227"/>
      <c r="H127" s="280"/>
      <c r="I127" s="280"/>
    </row>
    <row r="128" spans="5:9">
      <c r="E128" s="227"/>
      <c r="F128" s="278"/>
      <c r="G128" s="227"/>
      <c r="H128" s="280"/>
      <c r="I128" s="280"/>
    </row>
    <row r="129" spans="5:9">
      <c r="E129" s="151" t="s">
        <v>330</v>
      </c>
      <c r="F129" s="151"/>
      <c r="G129" s="283">
        <f>'W36'!J19</f>
        <v>3867.6947400589002</v>
      </c>
      <c r="H129" s="258"/>
      <c r="I129" s="280"/>
    </row>
    <row r="130" spans="5:9">
      <c r="E130" s="151" t="s">
        <v>331</v>
      </c>
      <c r="F130" s="151"/>
      <c r="G130" s="283">
        <f>H126</f>
        <v>65</v>
      </c>
      <c r="H130" s="258"/>
      <c r="I130" s="280"/>
    </row>
    <row r="131" spans="5:9">
      <c r="E131" s="151" t="s">
        <v>332</v>
      </c>
      <c r="F131" s="151"/>
      <c r="G131" s="283">
        <v>257</v>
      </c>
      <c r="H131" s="258"/>
      <c r="I131" s="280"/>
    </row>
    <row r="132" spans="5:9">
      <c r="E132" s="151" t="s">
        <v>333</v>
      </c>
      <c r="F132" s="151"/>
      <c r="G132" s="283">
        <f>G129+G130-G131</f>
        <v>3675.6947400589002</v>
      </c>
      <c r="H132" s="258"/>
      <c r="I132" s="280"/>
    </row>
    <row r="133" spans="5:9">
      <c r="E133" s="151" t="s">
        <v>334</v>
      </c>
      <c r="F133" s="151"/>
      <c r="G133" s="283">
        <f>J19</f>
        <v>3694.1928980779012</v>
      </c>
      <c r="H133" s="310">
        <f>G133-G135</f>
        <v>3694.1928980779012</v>
      </c>
      <c r="I133" s="280"/>
    </row>
    <row r="134" spans="5:9">
      <c r="E134" s="151" t="s">
        <v>335</v>
      </c>
      <c r="F134" s="151"/>
      <c r="G134" s="284">
        <f>G133-G132</f>
        <v>18.498158019001039</v>
      </c>
      <c r="H134" s="310">
        <f>H133-G132</f>
        <v>18.498158019001039</v>
      </c>
      <c r="I134" s="280"/>
    </row>
    <row r="135" spans="5:9">
      <c r="E135" s="227"/>
      <c r="F135" s="278"/>
      <c r="G135" s="438"/>
      <c r="H135" s="280"/>
      <c r="I135" s="280"/>
    </row>
    <row r="136" spans="5:9">
      <c r="E136" s="227"/>
      <c r="F136" s="278"/>
      <c r="G136" s="438"/>
      <c r="H136" s="280"/>
      <c r="I136" s="280"/>
    </row>
    <row r="137" spans="5:9">
      <c r="E137" s="227"/>
      <c r="F137" s="278"/>
      <c r="G137" s="227"/>
      <c r="H137" s="280"/>
      <c r="I137" s="280"/>
    </row>
    <row r="138" spans="5:9">
      <c r="E138" s="227"/>
      <c r="F138" s="278"/>
      <c r="G138" s="227"/>
      <c r="H138" s="280"/>
      <c r="I138" s="280"/>
    </row>
    <row r="139" spans="5:9">
      <c r="E139" s="227"/>
      <c r="F139" s="278"/>
      <c r="G139" s="227"/>
      <c r="H139" s="280"/>
      <c r="I139" s="280"/>
    </row>
    <row r="140" spans="5:9">
      <c r="E140" s="227"/>
      <c r="F140" s="278"/>
      <c r="G140" s="227"/>
      <c r="H140" s="280"/>
      <c r="I140" s="280"/>
    </row>
  </sheetData>
  <sheetProtection formatCells="0" formatColumns="0" formatRows="0" insertRows="0" deleteRows="0" autoFilter="0"/>
  <autoFilter ref="E23:AL252" xr:uid="{00000000-0009-0000-0000-000027000000}"/>
  <mergeCells count="2">
    <mergeCell ref="I4:J4"/>
    <mergeCell ref="E116:H116"/>
  </mergeCells>
  <phoneticPr fontId="40"/>
  <dataValidations count="2">
    <dataValidation type="list" allowBlank="1" showInputMessage="1" showErrorMessage="1" sqref="G2" xr:uid="{00000000-0002-0000-2700-000000000000}">
      <formula1>SOCIETE</formula1>
    </dataValidation>
    <dataValidation type="list" allowBlank="1" showInputMessage="1" showErrorMessage="1" sqref="F24:F107 F117:F120" xr:uid="{465272BD-D89A-4139-A720-75EDB34A8857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29 G130:H134" unlockedFormula="1"/>
  </ignoredErrors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41">
    <tabColor theme="3" tint="0.59999389629810485"/>
    <pageSetUpPr fitToPage="1"/>
  </sheetPr>
  <dimension ref="D1:AL154"/>
  <sheetViews>
    <sheetView showGridLines="0" topLeftCell="A101" zoomScale="70" zoomScaleNormal="70" workbookViewId="0">
      <selection activeCell="A132" sqref="A132:XFD139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148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September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September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W38</v>
      </c>
      <c r="I9" s="61"/>
      <c r="J9" s="161" t="str">
        <f>+"from "&amp;G6&amp;" 1 until end of "&amp;G4</f>
        <v>from September 1 until end of W38</v>
      </c>
      <c r="K9" s="79"/>
      <c r="L9" s="167" t="str">
        <f>+G6</f>
        <v>September</v>
      </c>
      <c r="M9" s="80"/>
      <c r="N9" s="80"/>
      <c r="O9" s="172" t="str">
        <f>+G4</f>
        <v>W38</v>
      </c>
      <c r="P9" s="173" t="str">
        <f>+VLOOKUP(G4, parameters!$G$9:$I$61,3,0)</f>
        <v>W37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600+320+797+430+396+688+856+605+J10</f>
        <v>5174</v>
      </c>
      <c r="I10" s="293"/>
      <c r="J10" s="159">
        <f>J12-J11</f>
        <v>482</v>
      </c>
      <c r="L10" s="159">
        <f>V17+J10</f>
        <v>1558.2573481198997</v>
      </c>
      <c r="N10" s="55"/>
      <c r="O10" s="170">
        <f>+H10+K17</f>
        <v>8711.0950645369012</v>
      </c>
      <c r="P10" s="171" cm="1">
        <f t="array" aca="1" ref="P10" ca="1">INDIRECT(ADDRESS(10,15,,,VLOOKUP($G$4,parameters!$G:$I,3,0)))</f>
        <v>8635.7032391899011</v>
      </c>
      <c r="Q10" s="183">
        <f ca="1">O10-P10</f>
        <v>75.391825347000122</v>
      </c>
      <c r="R10" s="86"/>
    </row>
    <row r="11" spans="5:38" ht="20.45" customHeight="1">
      <c r="E11" s="87" t="s">
        <v>224</v>
      </c>
      <c r="F11" s="88"/>
      <c r="G11" s="89"/>
      <c r="H11" s="430">
        <f>13+8+3+3+2+14+119+9+J11</f>
        <v>175</v>
      </c>
      <c r="I11" s="61"/>
      <c r="J11" s="16">
        <v>4</v>
      </c>
      <c r="L11" s="159">
        <f>V18+J11</f>
        <v>8.295787271</v>
      </c>
      <c r="N11" s="55"/>
      <c r="O11" s="152">
        <f>+H11+K18</f>
        <v>263.785446159</v>
      </c>
      <c r="P11" s="153" cm="1">
        <f t="array" aca="1" ref="P11" ca="1">INDIRECT(ADDRESS(11,15,,,VLOOKUP($G$4,parameters!$G:$I,3,0)))</f>
        <v>259.48965888800001</v>
      </c>
      <c r="Q11" s="184">
        <f t="shared" ref="Q11:Q12" ca="1" si="0">O11-P11</f>
        <v>4.2957872709999947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5349</v>
      </c>
      <c r="I12" s="293"/>
      <c r="J12" s="126">
        <v>486</v>
      </c>
      <c r="K12" s="65"/>
      <c r="L12" s="126">
        <f>SUM(L10:L11)</f>
        <v>1566.5531353908998</v>
      </c>
      <c r="M12" s="65"/>
      <c r="N12" s="65"/>
      <c r="O12" s="154">
        <f>SUM(O10:O11)</f>
        <v>8974.8805106959007</v>
      </c>
      <c r="P12" s="155">
        <f ca="1">SUM(P10:P11)</f>
        <v>8895.1928980779012</v>
      </c>
      <c r="Q12" s="156">
        <f t="shared" ca="1" si="0"/>
        <v>79.687612617999548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+SUMIF($F$24:$F$110,"External",$J$24:$J$110)</f>
        <v>3537.0950645369012</v>
      </c>
      <c r="K17" s="108">
        <f>+SUMIF($F$24:$F$110,"External",$K$24:$K$110)</f>
        <v>3537.0950645369012</v>
      </c>
      <c r="L17" s="109">
        <f>+SUMIF($F$24:$F$110,"External",$L$24:$L$110)</f>
        <v>0</v>
      </c>
      <c r="M17" s="110"/>
      <c r="N17" s="111">
        <f t="shared" ref="N17:Y17" si="1">+SUMIF($F$24:$F$110,"External",N$24:N$110)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1076.2573481198997</v>
      </c>
      <c r="W17" s="111">
        <f t="shared" si="1"/>
        <v>1277.0660762850002</v>
      </c>
      <c r="X17" s="111">
        <f t="shared" si="1"/>
        <v>585.82519076400001</v>
      </c>
      <c r="Y17" s="111">
        <f t="shared" si="1"/>
        <v>597.946449368</v>
      </c>
      <c r="Z17" s="112"/>
      <c r="AA17" s="111">
        <f t="shared" ref="AA17:AL17" si="2">+SUMIF($F$24:$F$110,"External",AA$24:AA$110)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+SUMIF($F$24:$F$110,"Group",$J$24:$J$110)</f>
        <v>88.785446158999989</v>
      </c>
      <c r="K18" s="113">
        <f>+SUMIF($F$24:$F$110,"Group",$K$24:$K$110)</f>
        <v>88.785446158999989</v>
      </c>
      <c r="L18" s="114">
        <f>SUMIF($F$24:$F$110,"Group",$L$24:$L$110)</f>
        <v>0</v>
      </c>
      <c r="M18" s="110"/>
      <c r="N18" s="114">
        <f t="shared" ref="N18:Y18" si="3">+SUMIF($F$24:$F$110,"Group",N$24:N$110)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4.295787271</v>
      </c>
      <c r="W18" s="114">
        <f t="shared" si="3"/>
        <v>84.489658887999994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+SUMIF($F$24:$F$110,"Group",AA$24:AA$110)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3625.8805106959012</v>
      </c>
      <c r="K19" s="115">
        <f>SUM(K17:K18)</f>
        <v>3625.8805106959012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1080.5531353908998</v>
      </c>
      <c r="W19" s="116">
        <f t="shared" si="5"/>
        <v>1361.5557351730001</v>
      </c>
      <c r="X19" s="116">
        <f t="shared" si="5"/>
        <v>585.82519076400001</v>
      </c>
      <c r="Y19" s="116">
        <f t="shared" si="5"/>
        <v>597.946449368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IF(SUM(J24:J110)=J19,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608</v>
      </c>
      <c r="F24" s="7" t="s">
        <v>19</v>
      </c>
      <c r="G24" s="6" t="s">
        <v>425</v>
      </c>
      <c r="H24" s="187" t="s">
        <v>456</v>
      </c>
      <c r="I24" s="187" t="s">
        <v>472</v>
      </c>
      <c r="J24" s="118">
        <f t="shared" ref="J24" si="7">+K24+L24</f>
        <v>1.027623374</v>
      </c>
      <c r="K24" s="119">
        <f t="shared" ref="K24" si="8">SUM(N24:Y24)</f>
        <v>1.027623374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>
        <v>1.027623374</v>
      </c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468</v>
      </c>
      <c r="F25" s="7" t="s">
        <v>19</v>
      </c>
      <c r="G25" s="6" t="s">
        <v>239</v>
      </c>
      <c r="H25" s="6" t="s">
        <v>278</v>
      </c>
      <c r="I25" s="6" t="s">
        <v>466</v>
      </c>
      <c r="J25" s="118">
        <f t="shared" ref="J25:J88" si="10">+K25+L25</f>
        <v>6.4492737049999995</v>
      </c>
      <c r="K25" s="119">
        <f t="shared" ref="K25:K88" si="11">SUM(N25:Y25)</f>
        <v>6.4492737049999995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>
        <v>4.7944134859999998</v>
      </c>
      <c r="X25" s="24">
        <v>1.6548602190000001</v>
      </c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469</v>
      </c>
      <c r="F26" s="7" t="s">
        <v>19</v>
      </c>
      <c r="G26" s="6" t="s">
        <v>237</v>
      </c>
      <c r="H26" s="6" t="s">
        <v>277</v>
      </c>
      <c r="I26" s="6" t="s">
        <v>466</v>
      </c>
      <c r="J26" s="118">
        <f t="shared" si="10"/>
        <v>13.386228027</v>
      </c>
      <c r="K26" s="119">
        <f t="shared" si="11"/>
        <v>13.386228027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>
        <v>13.386228027</v>
      </c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573</v>
      </c>
      <c r="F27" s="7" t="s">
        <v>19</v>
      </c>
      <c r="G27" s="6" t="s">
        <v>561</v>
      </c>
      <c r="H27" s="6" t="s">
        <v>559</v>
      </c>
      <c r="I27" s="6" t="s">
        <v>472</v>
      </c>
      <c r="J27" s="118">
        <f t="shared" si="10"/>
        <v>92.379652743000008</v>
      </c>
      <c r="K27" s="119">
        <f t="shared" si="11"/>
        <v>92.379652743000008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>
        <v>92.379652743000008</v>
      </c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571</v>
      </c>
      <c r="F28" s="7" t="s">
        <v>19</v>
      </c>
      <c r="G28" s="6" t="s">
        <v>529</v>
      </c>
      <c r="H28" s="6" t="s">
        <v>530</v>
      </c>
      <c r="I28" s="6" t="s">
        <v>472</v>
      </c>
      <c r="J28" s="118">
        <f t="shared" si="10"/>
        <v>69.147090899999995</v>
      </c>
      <c r="K28" s="119">
        <f t="shared" si="11"/>
        <v>69.147090899999995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>
        <v>69.147090899999995</v>
      </c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601</v>
      </c>
      <c r="F29" s="7" t="s">
        <v>19</v>
      </c>
      <c r="G29" s="6" t="s">
        <v>279</v>
      </c>
      <c r="H29" s="6" t="s">
        <v>280</v>
      </c>
      <c r="I29" s="6" t="s">
        <v>472</v>
      </c>
      <c r="J29" s="118">
        <f t="shared" si="10"/>
        <v>192.572193091</v>
      </c>
      <c r="K29" s="119">
        <f t="shared" si="11"/>
        <v>192.572193091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>
        <v>187.99537705500001</v>
      </c>
      <c r="X29" s="24">
        <v>4.5768160359999994</v>
      </c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541</v>
      </c>
      <c r="F30" s="7" t="s">
        <v>19</v>
      </c>
      <c r="G30" s="6" t="s">
        <v>279</v>
      </c>
      <c r="H30" s="6" t="s">
        <v>280</v>
      </c>
      <c r="I30" s="6" t="s">
        <v>472</v>
      </c>
      <c r="J30" s="118">
        <f t="shared" si="10"/>
        <v>151.30458358800001</v>
      </c>
      <c r="K30" s="119">
        <f t="shared" si="11"/>
        <v>151.30458358800001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>
        <v>151.30458358800001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281</v>
      </c>
      <c r="F31" s="7" t="s">
        <v>19</v>
      </c>
      <c r="G31" s="6" t="s">
        <v>282</v>
      </c>
      <c r="H31" s="6" t="s">
        <v>283</v>
      </c>
      <c r="I31" s="6" t="s">
        <v>466</v>
      </c>
      <c r="J31" s="118">
        <f t="shared" si="10"/>
        <v>7.7329630030000009</v>
      </c>
      <c r="K31" s="119">
        <f t="shared" si="11"/>
        <v>7.7329630030000009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>
        <v>4.034867566</v>
      </c>
      <c r="W31" s="24">
        <v>3.0063540090000007</v>
      </c>
      <c r="X31" s="24"/>
      <c r="Y31" s="24">
        <v>0.69174142800000005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606</v>
      </c>
      <c r="F32" s="7" t="s">
        <v>19</v>
      </c>
      <c r="G32" s="6" t="s">
        <v>237</v>
      </c>
      <c r="H32" s="6" t="s">
        <v>277</v>
      </c>
      <c r="I32" s="6" t="s">
        <v>466</v>
      </c>
      <c r="J32" s="118">
        <f t="shared" si="10"/>
        <v>0.52895629700000002</v>
      </c>
      <c r="K32" s="119">
        <f t="shared" si="11"/>
        <v>0.52895629700000002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>
        <v>0.52895629700000002</v>
      </c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446</v>
      </c>
      <c r="F33" s="7" t="s">
        <v>19</v>
      </c>
      <c r="G33" s="6" t="s">
        <v>493</v>
      </c>
      <c r="H33" s="6" t="s">
        <v>339</v>
      </c>
      <c r="I33" s="6" t="s">
        <v>472</v>
      </c>
      <c r="J33" s="118">
        <f t="shared" si="10"/>
        <v>1.7072246009999998</v>
      </c>
      <c r="K33" s="119">
        <f t="shared" si="11"/>
        <v>1.7072246009999998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>
        <v>1.7072246009999998</v>
      </c>
      <c r="W33" s="24"/>
      <c r="X33" s="24"/>
      <c r="Y33" s="24"/>
    </row>
    <row r="34" spans="5:25">
      <c r="E34" s="6" t="s">
        <v>473</v>
      </c>
      <c r="F34" s="7" t="s">
        <v>17</v>
      </c>
      <c r="G34" s="6" t="s">
        <v>493</v>
      </c>
      <c r="H34" s="6" t="s">
        <v>339</v>
      </c>
      <c r="I34" s="6" t="s">
        <v>472</v>
      </c>
      <c r="J34" s="118">
        <f t="shared" si="10"/>
        <v>84.489658887999994</v>
      </c>
      <c r="K34" s="119">
        <f t="shared" si="11"/>
        <v>84.489658887999994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>
        <v>0</v>
      </c>
      <c r="W34" s="24">
        <v>84.489658887999994</v>
      </c>
      <c r="X34" s="24"/>
      <c r="Y34" s="24"/>
    </row>
    <row r="35" spans="5:25">
      <c r="E35" s="6" t="s">
        <v>609</v>
      </c>
      <c r="F35" s="7" t="s">
        <v>17</v>
      </c>
      <c r="G35" s="6" t="s">
        <v>379</v>
      </c>
      <c r="H35" s="6" t="s">
        <v>291</v>
      </c>
      <c r="I35" s="6" t="s">
        <v>466</v>
      </c>
      <c r="J35" s="118">
        <f t="shared" si="10"/>
        <v>4.295787271</v>
      </c>
      <c r="K35" s="119">
        <f t="shared" si="11"/>
        <v>4.295787271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4.295787271</v>
      </c>
      <c r="W35" s="24"/>
      <c r="X35" s="24"/>
      <c r="Y35" s="24"/>
    </row>
    <row r="36" spans="5:25">
      <c r="E36" s="6" t="s">
        <v>474</v>
      </c>
      <c r="F36" s="7" t="s">
        <v>19</v>
      </c>
      <c r="G36" s="6" t="s">
        <v>279</v>
      </c>
      <c r="H36" s="6" t="s">
        <v>280</v>
      </c>
      <c r="I36" s="6" t="s">
        <v>472</v>
      </c>
      <c r="J36" s="118">
        <f t="shared" si="10"/>
        <v>114.986673276</v>
      </c>
      <c r="K36" s="119">
        <f t="shared" si="11"/>
        <v>114.986673276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>
        <v>114.986673276</v>
      </c>
      <c r="X36" s="24"/>
      <c r="Y36" s="24"/>
    </row>
    <row r="37" spans="5:25">
      <c r="E37" s="6" t="s">
        <v>475</v>
      </c>
      <c r="F37" s="7" t="s">
        <v>19</v>
      </c>
      <c r="G37" s="6" t="s">
        <v>245</v>
      </c>
      <c r="H37" s="6" t="s">
        <v>288</v>
      </c>
      <c r="I37" s="6" t="s">
        <v>466</v>
      </c>
      <c r="J37" s="118">
        <f t="shared" si="10"/>
        <v>5.0478237319999995</v>
      </c>
      <c r="K37" s="119">
        <f t="shared" si="11"/>
        <v>5.0478237319999995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>
        <v>5.0478237319999995</v>
      </c>
      <c r="W37" s="24"/>
      <c r="X37" s="24"/>
      <c r="Y37" s="24"/>
    </row>
    <row r="38" spans="5:25">
      <c r="E38" s="6" t="s">
        <v>476</v>
      </c>
      <c r="F38" s="7" t="s">
        <v>19</v>
      </c>
      <c r="G38" s="6" t="s">
        <v>247</v>
      </c>
      <c r="H38" s="6" t="s">
        <v>289</v>
      </c>
      <c r="I38" s="6" t="s">
        <v>466</v>
      </c>
      <c r="J38" s="118">
        <f t="shared" si="10"/>
        <v>131.80960481299991</v>
      </c>
      <c r="K38" s="119">
        <f t="shared" si="11"/>
        <v>131.80960481299991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>
        <v>17.959153914999877</v>
      </c>
      <c r="W38" s="24">
        <v>18.473330898</v>
      </c>
      <c r="X38" s="24">
        <v>45.250350000000005</v>
      </c>
      <c r="Y38" s="24">
        <v>50.126770000000008</v>
      </c>
    </row>
    <row r="39" spans="5:25">
      <c r="E39" s="6" t="s">
        <v>476</v>
      </c>
      <c r="F39" s="7" t="s">
        <v>19</v>
      </c>
      <c r="G39" s="6" t="s">
        <v>379</v>
      </c>
      <c r="H39" s="6" t="s">
        <v>291</v>
      </c>
      <c r="I39" s="6" t="s">
        <v>466</v>
      </c>
      <c r="J39" s="118">
        <f t="shared" si="10"/>
        <v>116.40558080199997</v>
      </c>
      <c r="K39" s="119">
        <f t="shared" si="11"/>
        <v>116.40558080199997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>
        <v>14.830949613999969</v>
      </c>
      <c r="W39" s="24">
        <v>38.395661187999998</v>
      </c>
      <c r="X39" s="24">
        <v>40.155140000000003</v>
      </c>
      <c r="Y39" s="24">
        <v>23.023830000000004</v>
      </c>
    </row>
    <row r="40" spans="5:25">
      <c r="E40" s="6" t="s">
        <v>476</v>
      </c>
      <c r="F40" s="7" t="s">
        <v>19</v>
      </c>
      <c r="G40" s="6" t="s">
        <v>454</v>
      </c>
      <c r="H40" s="6" t="s">
        <v>292</v>
      </c>
      <c r="I40" s="6" t="s">
        <v>466</v>
      </c>
      <c r="J40" s="118">
        <f t="shared" si="10"/>
        <v>565.42412439499992</v>
      </c>
      <c r="K40" s="119">
        <f t="shared" si="11"/>
        <v>565.42412439499992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>
        <v>64.935945558</v>
      </c>
      <c r="W40" s="24">
        <v>237.98817883699991</v>
      </c>
      <c r="X40" s="24">
        <v>262.5</v>
      </c>
      <c r="Y40" s="24"/>
    </row>
    <row r="41" spans="5:25">
      <c r="E41" s="6" t="s">
        <v>476</v>
      </c>
      <c r="F41" s="7" t="s">
        <v>19</v>
      </c>
      <c r="G41" s="6" t="s">
        <v>293</v>
      </c>
      <c r="H41" s="6" t="s">
        <v>294</v>
      </c>
      <c r="I41" s="6" t="s">
        <v>466</v>
      </c>
      <c r="J41" s="118">
        <f t="shared" si="10"/>
        <v>50.994422999999998</v>
      </c>
      <c r="K41" s="119">
        <f t="shared" si="11"/>
        <v>50.994422999999998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>
        <v>32.67474</v>
      </c>
      <c r="X41" s="24">
        <v>1.982313</v>
      </c>
      <c r="Y41" s="24">
        <v>16.33737</v>
      </c>
    </row>
    <row r="42" spans="5:25">
      <c r="E42" s="6" t="s">
        <v>476</v>
      </c>
      <c r="F42" s="7" t="s">
        <v>19</v>
      </c>
      <c r="G42" s="6" t="s">
        <v>447</v>
      </c>
      <c r="H42" s="6" t="s">
        <v>448</v>
      </c>
      <c r="I42" s="6" t="s">
        <v>466</v>
      </c>
      <c r="J42" s="118">
        <f t="shared" si="10"/>
        <v>123.37109115999999</v>
      </c>
      <c r="K42" s="119">
        <f t="shared" si="11"/>
        <v>123.37109115999999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>
        <v>3.2476023780000003</v>
      </c>
      <c r="W42" s="24">
        <v>60.045433581999987</v>
      </c>
      <c r="X42" s="24">
        <v>35.812217600000004</v>
      </c>
      <c r="Y42" s="24">
        <v>24.265837600000001</v>
      </c>
    </row>
    <row r="43" spans="5:25">
      <c r="E43" s="6" t="s">
        <v>476</v>
      </c>
      <c r="F43" s="7" t="s">
        <v>19</v>
      </c>
      <c r="G43" s="6" t="s">
        <v>252</v>
      </c>
      <c r="H43" s="6" t="s">
        <v>295</v>
      </c>
      <c r="I43" s="6" t="s">
        <v>466</v>
      </c>
      <c r="J43" s="118">
        <f t="shared" si="10"/>
        <v>16.9341279</v>
      </c>
      <c r="K43" s="119">
        <f t="shared" si="11"/>
        <v>16.9341279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>
        <v>12.158916199999998</v>
      </c>
      <c r="W43" s="24">
        <v>4.7752117000000007</v>
      </c>
      <c r="X43" s="24"/>
      <c r="Y43" s="24"/>
    </row>
    <row r="44" spans="5:25">
      <c r="E44" s="6" t="s">
        <v>476</v>
      </c>
      <c r="F44" s="7" t="s">
        <v>19</v>
      </c>
      <c r="G44" s="6" t="s">
        <v>245</v>
      </c>
      <c r="H44" s="6" t="s">
        <v>288</v>
      </c>
      <c r="I44" s="6" t="s">
        <v>466</v>
      </c>
      <c r="J44" s="118">
        <f t="shared" si="10"/>
        <v>18.340576638999998</v>
      </c>
      <c r="K44" s="119">
        <f t="shared" si="11"/>
        <v>18.340576638999998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>
        <v>17.010797801999999</v>
      </c>
      <c r="W44" s="24">
        <v>1.3297788370000001</v>
      </c>
      <c r="X44" s="24"/>
      <c r="Y44" s="24"/>
    </row>
    <row r="45" spans="5:25">
      <c r="E45" s="6" t="s">
        <v>476</v>
      </c>
      <c r="F45" s="7" t="s">
        <v>19</v>
      </c>
      <c r="G45" s="6" t="s">
        <v>378</v>
      </c>
      <c r="H45" s="6" t="s">
        <v>290</v>
      </c>
      <c r="I45" s="6" t="s">
        <v>466</v>
      </c>
      <c r="J45" s="118">
        <f t="shared" si="10"/>
        <v>133.47311320900002</v>
      </c>
      <c r="K45" s="119">
        <f t="shared" si="11"/>
        <v>133.47311320900002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29.693399255999996</v>
      </c>
      <c r="W45" s="24">
        <v>72.524293953000011</v>
      </c>
      <c r="X45" s="24">
        <v>10.69293</v>
      </c>
      <c r="Y45" s="24">
        <v>20.562489999999997</v>
      </c>
    </row>
    <row r="46" spans="5:25">
      <c r="E46" s="6" t="s">
        <v>478</v>
      </c>
      <c r="F46" s="7" t="s">
        <v>19</v>
      </c>
      <c r="G46" s="6" t="s">
        <v>245</v>
      </c>
      <c r="H46" s="6" t="s">
        <v>288</v>
      </c>
      <c r="I46" s="6" t="s">
        <v>466</v>
      </c>
      <c r="J46" s="118">
        <f t="shared" si="10"/>
        <v>61.835873154999994</v>
      </c>
      <c r="K46" s="119">
        <f t="shared" si="11"/>
        <v>61.835873154999994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61.835873154999994</v>
      </c>
      <c r="W46" s="24"/>
      <c r="X46" s="24"/>
      <c r="Y46" s="24"/>
    </row>
    <row r="47" spans="5:25">
      <c r="E47" s="6" t="s">
        <v>414</v>
      </c>
      <c r="F47" s="7" t="s">
        <v>19</v>
      </c>
      <c r="G47" s="6" t="s">
        <v>245</v>
      </c>
      <c r="H47" s="6" t="s">
        <v>288</v>
      </c>
      <c r="I47" s="6" t="s">
        <v>466</v>
      </c>
      <c r="J47" s="118">
        <f t="shared" si="10"/>
        <v>58.404625405999994</v>
      </c>
      <c r="K47" s="119">
        <f t="shared" si="11"/>
        <v>58.404625405999994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58.404625405999994</v>
      </c>
      <c r="W47" s="24"/>
      <c r="X47" s="24"/>
      <c r="Y47" s="24"/>
    </row>
    <row r="48" spans="5:25">
      <c r="E48" s="6" t="s">
        <v>479</v>
      </c>
      <c r="F48" s="7" t="s">
        <v>19</v>
      </c>
      <c r="G48" s="6" t="s">
        <v>494</v>
      </c>
      <c r="H48" s="6" t="s">
        <v>299</v>
      </c>
      <c r="I48" s="6" t="s">
        <v>466</v>
      </c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>
        <v>0</v>
      </c>
      <c r="W48" s="24"/>
      <c r="X48" s="24"/>
      <c r="Y48" s="24"/>
    </row>
    <row r="49" spans="5:25">
      <c r="E49" s="6" t="s">
        <v>450</v>
      </c>
      <c r="F49" s="7" t="s">
        <v>19</v>
      </c>
      <c r="G49" s="6" t="s">
        <v>282</v>
      </c>
      <c r="H49" s="6" t="s">
        <v>283</v>
      </c>
      <c r="I49" s="6" t="s">
        <v>466</v>
      </c>
      <c r="J49" s="118">
        <f t="shared" si="10"/>
        <v>1.8661022999999999</v>
      </c>
      <c r="K49" s="119">
        <f t="shared" si="11"/>
        <v>1.8661022999999999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>
        <v>0.76461559999999995</v>
      </c>
      <c r="X49" s="24">
        <v>0.93894539999999993</v>
      </c>
      <c r="Y49" s="24">
        <v>0.1625413</v>
      </c>
    </row>
    <row r="50" spans="5:25">
      <c r="E50" s="6" t="s">
        <v>450</v>
      </c>
      <c r="F50" s="7" t="s">
        <v>19</v>
      </c>
      <c r="G50" s="6" t="s">
        <v>282</v>
      </c>
      <c r="H50" s="6" t="s">
        <v>283</v>
      </c>
      <c r="I50" s="6" t="s">
        <v>472</v>
      </c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>
        <v>0</v>
      </c>
      <c r="W50" s="24"/>
      <c r="X50" s="24"/>
      <c r="Y50" s="24"/>
    </row>
    <row r="51" spans="5:25">
      <c r="E51" s="6" t="s">
        <v>450</v>
      </c>
      <c r="F51" s="7" t="s">
        <v>19</v>
      </c>
      <c r="G51" s="6" t="s">
        <v>500</v>
      </c>
      <c r="H51" s="6" t="s">
        <v>305</v>
      </c>
      <c r="I51" s="6" t="s">
        <v>466</v>
      </c>
      <c r="J51" s="118">
        <f t="shared" si="10"/>
        <v>3.3595952689999997</v>
      </c>
      <c r="K51" s="119">
        <f t="shared" si="11"/>
        <v>3.3595952689999997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>
        <v>3.1510189199999998</v>
      </c>
      <c r="W51" s="24">
        <v>0.20857634899999999</v>
      </c>
      <c r="X51" s="24"/>
      <c r="Y51" s="24"/>
    </row>
    <row r="52" spans="5:25">
      <c r="E52" s="6" t="s">
        <v>450</v>
      </c>
      <c r="F52" s="7" t="s">
        <v>19</v>
      </c>
      <c r="G52" s="6" t="s">
        <v>500</v>
      </c>
      <c r="H52" s="6" t="s">
        <v>305</v>
      </c>
      <c r="I52" s="6" t="s">
        <v>472</v>
      </c>
      <c r="J52" s="118">
        <f t="shared" si="10"/>
        <v>95.420574588999983</v>
      </c>
      <c r="K52" s="119">
        <f t="shared" si="11"/>
        <v>95.420574588999983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>
        <v>69.071457921999979</v>
      </c>
      <c r="W52" s="24">
        <v>10.024539774000001</v>
      </c>
      <c r="X52" s="24">
        <v>16.324576893</v>
      </c>
      <c r="Y52" s="24"/>
    </row>
    <row r="53" spans="5:25">
      <c r="E53" s="6" t="s">
        <v>450</v>
      </c>
      <c r="F53" s="7" t="s">
        <v>19</v>
      </c>
      <c r="G53" s="6" t="s">
        <v>256</v>
      </c>
      <c r="H53" s="6" t="s">
        <v>303</v>
      </c>
      <c r="I53" s="6" t="s">
        <v>466</v>
      </c>
      <c r="J53" s="118">
        <f t="shared" si="10"/>
        <v>162.96712511900006</v>
      </c>
      <c r="K53" s="119">
        <f t="shared" si="11"/>
        <v>162.96712511900006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>
        <v>28.507293059000027</v>
      </c>
      <c r="W53" s="24">
        <v>70.115285869000019</v>
      </c>
      <c r="X53" s="24">
        <v>64.34454619100002</v>
      </c>
      <c r="Y53" s="24"/>
    </row>
    <row r="54" spans="5:25">
      <c r="E54" s="6" t="s">
        <v>572</v>
      </c>
      <c r="F54" s="7" t="s">
        <v>19</v>
      </c>
      <c r="G54" s="6" t="s">
        <v>441</v>
      </c>
      <c r="H54" s="6" t="s">
        <v>481</v>
      </c>
      <c r="I54" s="6" t="s">
        <v>466</v>
      </c>
      <c r="J54" s="118">
        <f t="shared" si="10"/>
        <v>205.715023105</v>
      </c>
      <c r="K54" s="119">
        <f t="shared" si="11"/>
        <v>205.715023105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>
        <v>44.17300228500001</v>
      </c>
      <c r="W54" s="24">
        <v>161.54202081999998</v>
      </c>
      <c r="X54" s="24"/>
      <c r="Y54" s="24"/>
    </row>
    <row r="55" spans="5:25">
      <c r="E55" s="6" t="s">
        <v>482</v>
      </c>
      <c r="F55" s="7" t="s">
        <v>19</v>
      </c>
      <c r="G55" s="6" t="s">
        <v>256</v>
      </c>
      <c r="H55" s="6" t="s">
        <v>303</v>
      </c>
      <c r="I55" s="6" t="s">
        <v>466</v>
      </c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>
        <v>0</v>
      </c>
      <c r="W55" s="24"/>
      <c r="X55" s="24"/>
      <c r="Y55" s="24"/>
    </row>
    <row r="56" spans="5:25">
      <c r="E56" s="6" t="s">
        <v>482</v>
      </c>
      <c r="F56" s="7" t="s">
        <v>19</v>
      </c>
      <c r="G56" s="6" t="s">
        <v>258</v>
      </c>
      <c r="H56" s="6" t="s">
        <v>306</v>
      </c>
      <c r="I56" s="6" t="s">
        <v>466</v>
      </c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>
        <v>0</v>
      </c>
      <c r="W56" s="24"/>
      <c r="X56" s="24">
        <v>0</v>
      </c>
      <c r="Y56" s="24"/>
    </row>
    <row r="57" spans="5:25">
      <c r="E57" s="6" t="s">
        <v>482</v>
      </c>
      <c r="F57" s="7" t="s">
        <v>19</v>
      </c>
      <c r="G57" s="6" t="s">
        <v>494</v>
      </c>
      <c r="H57" s="6" t="s">
        <v>299</v>
      </c>
      <c r="I57" s="6" t="s">
        <v>466</v>
      </c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>
        <v>0</v>
      </c>
      <c r="X57" s="24"/>
      <c r="Y57" s="24"/>
    </row>
    <row r="58" spans="5:25">
      <c r="E58" s="6" t="s">
        <v>569</v>
      </c>
      <c r="F58" s="7" t="s">
        <v>19</v>
      </c>
      <c r="G58" s="6" t="s">
        <v>447</v>
      </c>
      <c r="H58" s="6" t="s">
        <v>448</v>
      </c>
      <c r="I58" s="6" t="s">
        <v>466</v>
      </c>
      <c r="J58" s="118">
        <f t="shared" si="10"/>
        <v>1.0213622</v>
      </c>
      <c r="K58" s="119">
        <f t="shared" si="11"/>
        <v>1.0213622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>
        <v>1.0213622</v>
      </c>
      <c r="X58" s="24"/>
      <c r="Y58" s="24"/>
    </row>
    <row r="59" spans="5:25">
      <c r="E59" s="6" t="s">
        <v>569</v>
      </c>
      <c r="F59" s="7" t="s">
        <v>19</v>
      </c>
      <c r="G59" s="6" t="s">
        <v>378</v>
      </c>
      <c r="H59" s="6" t="s">
        <v>290</v>
      </c>
      <c r="I59" s="6" t="s">
        <v>466</v>
      </c>
      <c r="J59" s="118">
        <f t="shared" si="10"/>
        <v>34.208617799999999</v>
      </c>
      <c r="K59" s="119">
        <f t="shared" si="11"/>
        <v>34.208617799999999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>
        <v>34.208617799999999</v>
      </c>
      <c r="X59" s="24"/>
      <c r="Y59" s="24"/>
    </row>
    <row r="60" spans="5:25">
      <c r="E60" s="6" t="s">
        <v>483</v>
      </c>
      <c r="F60" s="7" t="s">
        <v>19</v>
      </c>
      <c r="G60" s="6" t="s">
        <v>258</v>
      </c>
      <c r="H60" s="6" t="s">
        <v>306</v>
      </c>
      <c r="I60" s="6" t="s">
        <v>466</v>
      </c>
      <c r="J60" s="118">
        <f t="shared" si="10"/>
        <v>19.453738987999998</v>
      </c>
      <c r="K60" s="119">
        <f t="shared" si="11"/>
        <v>19.453738987999998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>
        <v>9.3127081629999982</v>
      </c>
      <c r="X60" s="24">
        <v>10.141030824999998</v>
      </c>
      <c r="Y60" s="24"/>
    </row>
    <row r="61" spans="5:25">
      <c r="E61" s="6" t="s">
        <v>484</v>
      </c>
      <c r="F61" s="7" t="s">
        <v>19</v>
      </c>
      <c r="G61" s="6" t="s">
        <v>504</v>
      </c>
      <c r="H61" s="6" t="s">
        <v>307</v>
      </c>
      <c r="I61" s="6" t="s">
        <v>472</v>
      </c>
      <c r="J61" s="118">
        <f t="shared" si="10"/>
        <v>46.15663223899999</v>
      </c>
      <c r="K61" s="119">
        <f t="shared" si="11"/>
        <v>46.15663223899999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>
        <v>2.5075898719999996</v>
      </c>
      <c r="X61" s="24"/>
      <c r="Y61" s="24">
        <v>43.649042366999993</v>
      </c>
    </row>
    <row r="62" spans="5:25">
      <c r="E62" s="6" t="s">
        <v>484</v>
      </c>
      <c r="F62" s="7" t="s">
        <v>19</v>
      </c>
      <c r="G62" s="6" t="s">
        <v>503</v>
      </c>
      <c r="H62" s="6" t="s">
        <v>311</v>
      </c>
      <c r="I62" s="6" t="s">
        <v>472</v>
      </c>
      <c r="J62" s="118">
        <f t="shared" si="10"/>
        <v>1.173521574</v>
      </c>
      <c r="K62" s="119">
        <f t="shared" si="11"/>
        <v>1.173521574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>
        <v>1.173521574</v>
      </c>
    </row>
    <row r="63" spans="5:25">
      <c r="E63" s="6" t="s">
        <v>484</v>
      </c>
      <c r="F63" s="7" t="s">
        <v>19</v>
      </c>
      <c r="G63" s="6" t="s">
        <v>500</v>
      </c>
      <c r="H63" s="6" t="s">
        <v>305</v>
      </c>
      <c r="I63" s="6" t="s">
        <v>472</v>
      </c>
      <c r="J63" s="118">
        <f t="shared" si="10"/>
        <v>47.636642921999986</v>
      </c>
      <c r="K63" s="119">
        <f t="shared" si="11"/>
        <v>47.636642921999986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>
        <v>47.636642921999986</v>
      </c>
    </row>
    <row r="64" spans="5:25">
      <c r="E64" s="6" t="s">
        <v>484</v>
      </c>
      <c r="F64" s="7" t="s">
        <v>19</v>
      </c>
      <c r="G64" s="6" t="s">
        <v>370</v>
      </c>
      <c r="H64" s="6" t="s">
        <v>308</v>
      </c>
      <c r="I64" s="6" t="s">
        <v>472</v>
      </c>
      <c r="J64" s="118">
        <f t="shared" si="10"/>
        <v>28.902717307000003</v>
      </c>
      <c r="K64" s="119">
        <f t="shared" si="11"/>
        <v>28.902717307000003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>
        <v>28.902717307000003</v>
      </c>
    </row>
    <row r="65" spans="5:25">
      <c r="E65" s="6" t="s">
        <v>484</v>
      </c>
      <c r="F65" s="7" t="s">
        <v>19</v>
      </c>
      <c r="G65" s="6" t="s">
        <v>264</v>
      </c>
      <c r="H65" s="6" t="s">
        <v>310</v>
      </c>
      <c r="I65" s="6" t="s">
        <v>472</v>
      </c>
      <c r="J65" s="118">
        <f t="shared" si="10"/>
        <v>0.33190336400000003</v>
      </c>
      <c r="K65" s="119">
        <f t="shared" si="11"/>
        <v>0.33190336400000003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>
        <v>0.33190336400000003</v>
      </c>
    </row>
    <row r="66" spans="5:25">
      <c r="E66" s="6" t="s">
        <v>484</v>
      </c>
      <c r="F66" s="7" t="s">
        <v>19</v>
      </c>
      <c r="G66" s="6" t="s">
        <v>454</v>
      </c>
      <c r="H66" s="6" t="s">
        <v>292</v>
      </c>
      <c r="I66" s="6" t="s">
        <v>472</v>
      </c>
      <c r="J66" s="118">
        <f t="shared" si="10"/>
        <v>7.5711713750000005</v>
      </c>
      <c r="K66" s="119">
        <f t="shared" si="11"/>
        <v>7.5711713750000005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>
        <v>7.5711713750000005</v>
      </c>
    </row>
    <row r="67" spans="5:25">
      <c r="E67" s="6" t="s">
        <v>451</v>
      </c>
      <c r="F67" s="7" t="s">
        <v>19</v>
      </c>
      <c r="G67" s="6" t="s">
        <v>504</v>
      </c>
      <c r="H67" s="6" t="s">
        <v>307</v>
      </c>
      <c r="I67" s="6" t="s">
        <v>466</v>
      </c>
      <c r="J67" s="118">
        <f t="shared" si="10"/>
        <v>12.803981364</v>
      </c>
      <c r="K67" s="119">
        <f t="shared" si="11"/>
        <v>12.803981364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>
        <v>12.803981364</v>
      </c>
      <c r="W67" s="24"/>
      <c r="X67" s="24"/>
      <c r="Y67" s="24"/>
    </row>
    <row r="68" spans="5:25">
      <c r="E68" s="6" t="s">
        <v>451</v>
      </c>
      <c r="F68" s="7" t="s">
        <v>19</v>
      </c>
      <c r="G68" s="6" t="s">
        <v>370</v>
      </c>
      <c r="H68" s="6" t="s">
        <v>308</v>
      </c>
      <c r="I68" s="6" t="s">
        <v>466</v>
      </c>
      <c r="J68" s="118">
        <f t="shared" si="10"/>
        <v>2.1636036089999999</v>
      </c>
      <c r="K68" s="119">
        <f t="shared" si="11"/>
        <v>2.1636036089999999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>
        <v>2.1636036089999999</v>
      </c>
      <c r="W68" s="24"/>
      <c r="X68" s="24"/>
      <c r="Y68" s="24"/>
    </row>
    <row r="69" spans="5:25">
      <c r="E69" s="6" t="s">
        <v>577</v>
      </c>
      <c r="F69" s="7" t="s">
        <v>19</v>
      </c>
      <c r="G69" s="6" t="s">
        <v>500</v>
      </c>
      <c r="H69" s="6" t="s">
        <v>305</v>
      </c>
      <c r="I69" s="6" t="s">
        <v>472</v>
      </c>
      <c r="J69" s="118">
        <f t="shared" si="10"/>
        <v>19.768845337000002</v>
      </c>
      <c r="K69" s="119">
        <f t="shared" si="11"/>
        <v>19.768845337000002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>
        <v>19.768845337000002</v>
      </c>
      <c r="X69" s="24"/>
      <c r="Y69" s="24"/>
    </row>
    <row r="70" spans="5:25">
      <c r="E70" s="6" t="s">
        <v>485</v>
      </c>
      <c r="F70" s="7" t="s">
        <v>19</v>
      </c>
      <c r="G70" s="6" t="s">
        <v>529</v>
      </c>
      <c r="H70" s="6" t="s">
        <v>530</v>
      </c>
      <c r="I70" s="6" t="s">
        <v>472</v>
      </c>
      <c r="J70" s="118">
        <f t="shared" si="10"/>
        <v>23.747734214999998</v>
      </c>
      <c r="K70" s="119">
        <f t="shared" si="11"/>
        <v>23.747734214999998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>
        <v>23.747734214999998</v>
      </c>
      <c r="W70" s="24"/>
      <c r="X70" s="24"/>
      <c r="Y70" s="24"/>
    </row>
    <row r="71" spans="5:25">
      <c r="E71" s="6" t="s">
        <v>589</v>
      </c>
      <c r="F71" s="7" t="s">
        <v>19</v>
      </c>
      <c r="G71" s="6" t="s">
        <v>282</v>
      </c>
      <c r="H71" s="6" t="s">
        <v>283</v>
      </c>
      <c r="I71" s="6" t="s">
        <v>466</v>
      </c>
      <c r="J71" s="118">
        <f t="shared" si="10"/>
        <v>1.9666872719999999</v>
      </c>
      <c r="K71" s="119">
        <f t="shared" si="11"/>
        <v>1.9666872719999999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>
        <v>1.9666872719999999</v>
      </c>
      <c r="X71" s="24"/>
      <c r="Y71" s="24"/>
    </row>
    <row r="72" spans="5:25">
      <c r="E72" s="6" t="s">
        <v>589</v>
      </c>
      <c r="F72" s="7" t="s">
        <v>19</v>
      </c>
      <c r="G72" s="6" t="s">
        <v>379</v>
      </c>
      <c r="H72" s="6" t="s">
        <v>291</v>
      </c>
      <c r="I72" s="6" t="s">
        <v>466</v>
      </c>
      <c r="J72" s="118">
        <f t="shared" si="10"/>
        <v>1.5587086999999999E-2</v>
      </c>
      <c r="K72" s="119">
        <f t="shared" si="11"/>
        <v>1.5587086999999999E-2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>
        <v>1.5587086999999999E-2</v>
      </c>
      <c r="X72" s="24"/>
      <c r="Y72" s="24"/>
    </row>
    <row r="73" spans="5:25">
      <c r="E73" s="6" t="s">
        <v>607</v>
      </c>
      <c r="F73" s="7" t="s">
        <v>19</v>
      </c>
      <c r="G73" s="6" t="s">
        <v>237</v>
      </c>
      <c r="H73" s="6" t="s">
        <v>277</v>
      </c>
      <c r="I73" s="6" t="s">
        <v>466</v>
      </c>
      <c r="J73" s="118">
        <f t="shared" si="10"/>
        <v>18.165739839</v>
      </c>
      <c r="K73" s="119">
        <f t="shared" si="11"/>
        <v>18.165739839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>
        <v>18.165739839</v>
      </c>
      <c r="X73" s="24"/>
      <c r="Y73" s="24"/>
    </row>
    <row r="74" spans="5:25">
      <c r="E74" s="6" t="s">
        <v>270</v>
      </c>
      <c r="F74" s="7" t="s">
        <v>19</v>
      </c>
      <c r="G74" s="6" t="s">
        <v>441</v>
      </c>
      <c r="H74" s="6" t="s">
        <v>481</v>
      </c>
      <c r="I74" s="6" t="s">
        <v>466</v>
      </c>
      <c r="J74" s="118">
        <f t="shared" si="10"/>
        <v>14.159659499999998</v>
      </c>
      <c r="K74" s="119">
        <f t="shared" si="11"/>
        <v>14.159659499999998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>
        <v>14.159659499999998</v>
      </c>
      <c r="W74" s="24"/>
      <c r="X74" s="24"/>
      <c r="Y74" s="24"/>
    </row>
    <row r="75" spans="5:25">
      <c r="E75" s="6" t="s">
        <v>270</v>
      </c>
      <c r="F75" s="7" t="s">
        <v>19</v>
      </c>
      <c r="G75" s="6" t="s">
        <v>374</v>
      </c>
      <c r="H75" s="6" t="s">
        <v>317</v>
      </c>
      <c r="I75" s="6" t="s">
        <v>466</v>
      </c>
      <c r="J75" s="118">
        <f t="shared" si="10"/>
        <v>40.282703357000003</v>
      </c>
      <c r="K75" s="119">
        <f t="shared" si="11"/>
        <v>40.282703357000003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>
        <v>1.1826547569999999</v>
      </c>
      <c r="W75" s="24">
        <v>39.100048600000001</v>
      </c>
      <c r="X75" s="24"/>
      <c r="Y75" s="24"/>
    </row>
    <row r="76" spans="5:25">
      <c r="E76" s="6" t="s">
        <v>270</v>
      </c>
      <c r="F76" s="7" t="s">
        <v>19</v>
      </c>
      <c r="G76" s="6" t="s">
        <v>508</v>
      </c>
      <c r="H76" s="6" t="s">
        <v>319</v>
      </c>
      <c r="I76" s="6" t="s">
        <v>466</v>
      </c>
      <c r="J76" s="118">
        <f t="shared" si="10"/>
        <v>120.7699657</v>
      </c>
      <c r="K76" s="119">
        <f t="shared" si="11"/>
        <v>120.7699657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24"/>
      <c r="W76" s="24">
        <v>29.318501099999999</v>
      </c>
      <c r="X76" s="24">
        <v>91.451464599999994</v>
      </c>
      <c r="Y76" s="24"/>
    </row>
    <row r="77" spans="5:25">
      <c r="E77" s="6" t="s">
        <v>570</v>
      </c>
      <c r="F77" s="7" t="s">
        <v>19</v>
      </c>
      <c r="G77" s="6" t="s">
        <v>237</v>
      </c>
      <c r="H77" s="6" t="s">
        <v>277</v>
      </c>
      <c r="I77" s="6" t="s">
        <v>466</v>
      </c>
      <c r="J77" s="118">
        <f t="shared" si="10"/>
        <v>0.71694856799999995</v>
      </c>
      <c r="K77" s="119">
        <f t="shared" si="11"/>
        <v>0.71694856799999995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>
        <v>0.71694856799999995</v>
      </c>
      <c r="X77" s="24"/>
      <c r="Y77" s="24"/>
    </row>
    <row r="78" spans="5:25">
      <c r="E78" s="6" t="s">
        <v>489</v>
      </c>
      <c r="F78" s="7" t="s">
        <v>19</v>
      </c>
      <c r="G78" s="6" t="s">
        <v>379</v>
      </c>
      <c r="H78" s="6" t="s">
        <v>291</v>
      </c>
      <c r="I78" s="6" t="s">
        <v>466</v>
      </c>
      <c r="J78" s="118">
        <f t="shared" si="10"/>
        <v>9.5997403999999995E-2</v>
      </c>
      <c r="K78" s="119">
        <f t="shared" si="11"/>
        <v>9.5997403999999995E-2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24">
        <v>9.5997403999999995E-2</v>
      </c>
      <c r="W78" s="24"/>
      <c r="X78" s="24"/>
      <c r="Y78" s="24"/>
    </row>
    <row r="79" spans="5:25">
      <c r="E79" s="6"/>
      <c r="F79" s="7"/>
      <c r="G79" s="6"/>
      <c r="H79" s="6"/>
      <c r="I79" s="6"/>
      <c r="J79" s="118"/>
      <c r="K79" s="119"/>
      <c r="L79" s="119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5:25">
      <c r="E80" s="6"/>
      <c r="F80" s="7"/>
      <c r="G80" s="6"/>
      <c r="H80" s="6"/>
      <c r="I80" s="6"/>
      <c r="J80" s="118"/>
      <c r="K80" s="119"/>
      <c r="L80" s="119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5:25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5:25">
      <c r="E82" s="305" t="s">
        <v>596</v>
      </c>
      <c r="F82" s="437" t="s">
        <v>19</v>
      </c>
      <c r="G82" s="305" t="s">
        <v>605</v>
      </c>
      <c r="H82" s="305" t="s">
        <v>472</v>
      </c>
      <c r="I82" s="11"/>
      <c r="J82" s="118">
        <f t="shared" si="10"/>
        <v>23.960324400000001</v>
      </c>
      <c r="K82" s="119">
        <f t="shared" si="11"/>
        <v>23.960324400000001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306"/>
      <c r="W82" s="306"/>
      <c r="X82" s="306"/>
      <c r="Y82" s="306">
        <v>23.960324400000001</v>
      </c>
    </row>
    <row r="83" spans="5:25">
      <c r="E83" s="305" t="s">
        <v>580</v>
      </c>
      <c r="F83" s="437" t="s">
        <v>19</v>
      </c>
      <c r="G83" s="305" t="s">
        <v>530</v>
      </c>
      <c r="H83" s="305" t="s">
        <v>472</v>
      </c>
      <c r="I83" s="11"/>
      <c r="J83" s="118">
        <f t="shared" si="10"/>
        <v>15.55437</v>
      </c>
      <c r="K83" s="119">
        <f t="shared" si="11"/>
        <v>15.55437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/>
      <c r="V83" s="306">
        <v>15.55437</v>
      </c>
      <c r="W83" s="306"/>
      <c r="X83" s="306"/>
      <c r="Y83" s="306"/>
    </row>
    <row r="84" spans="5:25">
      <c r="E84" s="305" t="s">
        <v>580</v>
      </c>
      <c r="F84" s="437" t="s">
        <v>19</v>
      </c>
      <c r="G84" s="305" t="s">
        <v>530</v>
      </c>
      <c r="H84" s="305" t="s">
        <v>472</v>
      </c>
      <c r="I84" s="11"/>
      <c r="J84" s="118">
        <f t="shared" si="10"/>
        <v>68.666609999999991</v>
      </c>
      <c r="K84" s="119">
        <f t="shared" si="11"/>
        <v>68.666609999999991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306">
        <v>68.666609999999991</v>
      </c>
      <c r="W84" s="306"/>
      <c r="X84" s="306"/>
      <c r="Y84" s="306"/>
    </row>
    <row r="85" spans="5:25">
      <c r="E85" s="305" t="s">
        <v>597</v>
      </c>
      <c r="F85" s="437" t="s">
        <v>19</v>
      </c>
      <c r="G85" s="305" t="s">
        <v>283</v>
      </c>
      <c r="H85" s="305" t="s">
        <v>466</v>
      </c>
      <c r="I85" s="11"/>
      <c r="J85" s="118">
        <f t="shared" si="10"/>
        <v>0.3574638504</v>
      </c>
      <c r="K85" s="119">
        <f t="shared" si="11"/>
        <v>0.3574638504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306">
        <v>0.3574638504</v>
      </c>
      <c r="W85" s="306"/>
      <c r="X85" s="306"/>
      <c r="Y85" s="306"/>
    </row>
    <row r="86" spans="5:25">
      <c r="E86" s="305" t="s">
        <v>597</v>
      </c>
      <c r="F86" s="437" t="s">
        <v>19</v>
      </c>
      <c r="G86" s="305" t="s">
        <v>283</v>
      </c>
      <c r="H86" s="305" t="s">
        <v>472</v>
      </c>
      <c r="I86" s="11"/>
      <c r="J86" s="118">
        <f t="shared" si="10"/>
        <v>15.970591979999998</v>
      </c>
      <c r="K86" s="119">
        <f t="shared" si="11"/>
        <v>15.970591979999998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306">
        <v>15.970591979999998</v>
      </c>
      <c r="W86" s="306"/>
      <c r="X86" s="306"/>
      <c r="Y86" s="306"/>
    </row>
    <row r="87" spans="5:25">
      <c r="E87" s="305" t="s">
        <v>581</v>
      </c>
      <c r="F87" s="437" t="s">
        <v>19</v>
      </c>
      <c r="G87" s="305" t="s">
        <v>289</v>
      </c>
      <c r="H87" s="305" t="s">
        <v>466</v>
      </c>
      <c r="I87" s="11"/>
      <c r="J87" s="118">
        <f t="shared" si="10"/>
        <v>41.204236289999997</v>
      </c>
      <c r="K87" s="119">
        <f t="shared" si="11"/>
        <v>41.204236289999997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306">
        <v>12.1962908</v>
      </c>
      <c r="W87" s="306">
        <v>18.56791479</v>
      </c>
      <c r="X87" s="306"/>
      <c r="Y87" s="306">
        <v>10.440030700000001</v>
      </c>
    </row>
    <row r="88" spans="5:25">
      <c r="E88" s="305" t="s">
        <v>581</v>
      </c>
      <c r="F88" s="437" t="s">
        <v>19</v>
      </c>
      <c r="G88" s="305" t="s">
        <v>291</v>
      </c>
      <c r="H88" s="305" t="s">
        <v>466</v>
      </c>
      <c r="I88" s="11"/>
      <c r="J88" s="118">
        <f t="shared" si="10"/>
        <v>45.461899000000003</v>
      </c>
      <c r="K88" s="119">
        <f t="shared" si="11"/>
        <v>45.461899000000003</v>
      </c>
      <c r="L88" s="119">
        <f t="shared" si="12"/>
        <v>0</v>
      </c>
      <c r="N88" s="24"/>
      <c r="O88" s="24"/>
      <c r="P88" s="24"/>
      <c r="Q88" s="24"/>
      <c r="R88" s="24"/>
      <c r="S88" s="24"/>
      <c r="T88" s="24"/>
      <c r="U88" s="24"/>
      <c r="V88" s="306">
        <v>18.826652600000003</v>
      </c>
      <c r="W88" s="306">
        <v>4.6389241999999999</v>
      </c>
      <c r="X88" s="306"/>
      <c r="Y88" s="306">
        <v>21.996322200000002</v>
      </c>
    </row>
    <row r="89" spans="5:25">
      <c r="E89" s="305" t="s">
        <v>581</v>
      </c>
      <c r="F89" s="437" t="s">
        <v>19</v>
      </c>
      <c r="G89" s="305" t="s">
        <v>292</v>
      </c>
      <c r="H89" s="305" t="s">
        <v>466</v>
      </c>
      <c r="I89" s="11"/>
      <c r="J89" s="118">
        <f t="shared" ref="J89:J109" si="13">+K89+L89</f>
        <v>46.011112999999995</v>
      </c>
      <c r="K89" s="119">
        <f t="shared" ref="K89:K109" si="14">SUM(N89:Y89)</f>
        <v>46.011112999999995</v>
      </c>
      <c r="L89" s="119">
        <f t="shared" ref="L89:L109" si="15">SUM(AA89:AL89)</f>
        <v>0</v>
      </c>
      <c r="N89" s="24"/>
      <c r="O89" s="24"/>
      <c r="P89" s="24"/>
      <c r="Q89" s="24"/>
      <c r="R89" s="24"/>
      <c r="S89" s="24"/>
      <c r="T89" s="24"/>
      <c r="U89" s="24"/>
      <c r="V89" s="306">
        <v>37.052396999999999</v>
      </c>
      <c r="W89" s="306">
        <v>8.958715999999999</v>
      </c>
      <c r="X89" s="306"/>
      <c r="Y89" s="306"/>
    </row>
    <row r="90" spans="5:25">
      <c r="E90" s="305" t="s">
        <v>581</v>
      </c>
      <c r="F90" s="437" t="s">
        <v>19</v>
      </c>
      <c r="G90" s="305" t="s">
        <v>294</v>
      </c>
      <c r="H90" s="305" t="s">
        <v>466</v>
      </c>
      <c r="I90" s="11"/>
      <c r="J90" s="118">
        <f t="shared" si="13"/>
        <v>0.15601509999999999</v>
      </c>
      <c r="K90" s="119">
        <f t="shared" si="14"/>
        <v>0.15601509999999999</v>
      </c>
      <c r="L90" s="119">
        <f t="shared" si="15"/>
        <v>0</v>
      </c>
      <c r="N90" s="24"/>
      <c r="O90" s="24"/>
      <c r="P90" s="24"/>
      <c r="Q90" s="24"/>
      <c r="R90" s="24"/>
      <c r="S90" s="24"/>
      <c r="T90" s="24"/>
      <c r="U90" s="24"/>
      <c r="V90" s="306">
        <v>0.15601509999999999</v>
      </c>
      <c r="W90" s="306"/>
      <c r="X90" s="306"/>
      <c r="Y90" s="306"/>
    </row>
    <row r="91" spans="5:25">
      <c r="E91" s="305" t="s">
        <v>581</v>
      </c>
      <c r="F91" s="437" t="s">
        <v>19</v>
      </c>
      <c r="G91" s="305" t="s">
        <v>448</v>
      </c>
      <c r="H91" s="305" t="s">
        <v>466</v>
      </c>
      <c r="I91" s="11"/>
      <c r="J91" s="118">
        <f t="shared" si="13"/>
        <v>50.615942800000006</v>
      </c>
      <c r="K91" s="119">
        <f t="shared" si="14"/>
        <v>50.615942800000006</v>
      </c>
      <c r="L91" s="119">
        <f t="shared" si="15"/>
        <v>0</v>
      </c>
      <c r="N91" s="24"/>
      <c r="O91" s="24"/>
      <c r="P91" s="24"/>
      <c r="Q91" s="24"/>
      <c r="R91" s="24"/>
      <c r="S91" s="24"/>
      <c r="T91" s="24"/>
      <c r="U91" s="24"/>
      <c r="V91" s="306">
        <v>27.561345600000003</v>
      </c>
      <c r="W91" s="306">
        <v>18.075521699999999</v>
      </c>
      <c r="X91" s="306"/>
      <c r="Y91" s="306">
        <v>4.9790754999999995</v>
      </c>
    </row>
    <row r="92" spans="5:25">
      <c r="E92" s="305" t="s">
        <v>581</v>
      </c>
      <c r="F92" s="437" t="s">
        <v>19</v>
      </c>
      <c r="G92" s="305" t="s">
        <v>295</v>
      </c>
      <c r="H92" s="305" t="s">
        <v>466</v>
      </c>
      <c r="I92" s="12"/>
      <c r="J92" s="118">
        <f t="shared" si="13"/>
        <v>22.062409399999996</v>
      </c>
      <c r="K92" s="119">
        <f t="shared" si="14"/>
        <v>22.062409399999996</v>
      </c>
      <c r="L92" s="119">
        <f t="shared" si="15"/>
        <v>0</v>
      </c>
      <c r="N92" s="24"/>
      <c r="O92" s="24"/>
      <c r="P92" s="24"/>
      <c r="Q92" s="24"/>
      <c r="R92" s="24"/>
      <c r="S92" s="24"/>
      <c r="T92" s="24"/>
      <c r="U92" s="24"/>
      <c r="V92" s="306">
        <v>1.4584739999999998</v>
      </c>
      <c r="W92" s="306"/>
      <c r="X92" s="306"/>
      <c r="Y92" s="306">
        <v>20.603935399999997</v>
      </c>
    </row>
    <row r="93" spans="5:25">
      <c r="E93" s="305" t="s">
        <v>581</v>
      </c>
      <c r="F93" s="437" t="s">
        <v>19</v>
      </c>
      <c r="G93" s="305" t="s">
        <v>288</v>
      </c>
      <c r="H93" s="305" t="s">
        <v>466</v>
      </c>
      <c r="I93" s="12"/>
      <c r="J93" s="118">
        <f t="shared" si="13"/>
        <v>17.952419299999999</v>
      </c>
      <c r="K93" s="119">
        <f t="shared" si="14"/>
        <v>17.952419299999999</v>
      </c>
      <c r="L93" s="119">
        <f t="shared" si="15"/>
        <v>0</v>
      </c>
      <c r="N93" s="24"/>
      <c r="O93" s="24"/>
      <c r="P93" s="24"/>
      <c r="Q93" s="24"/>
      <c r="R93" s="24"/>
      <c r="S93" s="24"/>
      <c r="T93" s="24"/>
      <c r="U93" s="24"/>
      <c r="V93" s="306">
        <v>17.952419299999999</v>
      </c>
      <c r="W93" s="306"/>
      <c r="X93" s="306"/>
      <c r="Y93" s="306"/>
    </row>
    <row r="94" spans="5:25">
      <c r="E94" s="305" t="s">
        <v>581</v>
      </c>
      <c r="F94" s="437" t="s">
        <v>19</v>
      </c>
      <c r="G94" s="305" t="s">
        <v>290</v>
      </c>
      <c r="H94" s="305" t="s">
        <v>466</v>
      </c>
      <c r="I94" s="12"/>
      <c r="J94" s="118">
        <f t="shared" si="13"/>
        <v>25.626392600000003</v>
      </c>
      <c r="K94" s="119">
        <f t="shared" si="14"/>
        <v>25.626392600000003</v>
      </c>
      <c r="L94" s="119">
        <f t="shared" si="15"/>
        <v>0</v>
      </c>
      <c r="N94" s="24"/>
      <c r="O94" s="24"/>
      <c r="P94" s="24"/>
      <c r="Q94" s="24"/>
      <c r="R94" s="24"/>
      <c r="S94" s="24"/>
      <c r="T94" s="24"/>
      <c r="U94" s="24"/>
      <c r="V94" s="306">
        <v>15.8467328</v>
      </c>
      <c r="W94" s="306">
        <v>1.9327142000000002</v>
      </c>
      <c r="X94" s="306"/>
      <c r="Y94" s="306">
        <v>7.8469455999999997</v>
      </c>
    </row>
    <row r="95" spans="5:25">
      <c r="E95" s="305" t="s">
        <v>598</v>
      </c>
      <c r="F95" s="437" t="s">
        <v>19</v>
      </c>
      <c r="G95" s="305" t="s">
        <v>305</v>
      </c>
      <c r="H95" s="305" t="s">
        <v>472</v>
      </c>
      <c r="I95" s="9"/>
      <c r="J95" s="118">
        <f t="shared" si="13"/>
        <v>6.0859211000000002</v>
      </c>
      <c r="K95" s="119">
        <f t="shared" si="14"/>
        <v>6.0859211000000002</v>
      </c>
      <c r="L95" s="119">
        <f t="shared" si="15"/>
        <v>0</v>
      </c>
      <c r="N95" s="24"/>
      <c r="O95" s="24"/>
      <c r="P95" s="24"/>
      <c r="Q95" s="24"/>
      <c r="R95" s="24"/>
      <c r="S95" s="24"/>
      <c r="T95" s="24"/>
      <c r="U95" s="24"/>
      <c r="V95" s="306">
        <v>6.0859211000000002</v>
      </c>
      <c r="W95" s="306"/>
      <c r="X95" s="306"/>
      <c r="Y95" s="306"/>
    </row>
    <row r="96" spans="5:25">
      <c r="E96" s="305" t="s">
        <v>598</v>
      </c>
      <c r="F96" s="437" t="s">
        <v>19</v>
      </c>
      <c r="G96" s="305" t="s">
        <v>277</v>
      </c>
      <c r="H96" s="305" t="s">
        <v>466</v>
      </c>
      <c r="I96" s="9"/>
      <c r="J96" s="118">
        <f t="shared" si="13"/>
        <v>10.563825400000001</v>
      </c>
      <c r="K96" s="119">
        <f t="shared" si="14"/>
        <v>10.563825400000001</v>
      </c>
      <c r="L96" s="119">
        <f t="shared" si="15"/>
        <v>0</v>
      </c>
      <c r="N96" s="24"/>
      <c r="O96" s="24"/>
      <c r="P96" s="24"/>
      <c r="Q96" s="24"/>
      <c r="R96" s="24"/>
      <c r="S96" s="24"/>
      <c r="T96" s="24"/>
      <c r="U96" s="24"/>
      <c r="V96" s="306">
        <v>10.563825400000001</v>
      </c>
      <c r="W96" s="306"/>
      <c r="X96" s="306"/>
      <c r="Y96" s="306"/>
    </row>
    <row r="97" spans="5:25">
      <c r="E97" s="305" t="s">
        <v>583</v>
      </c>
      <c r="F97" s="437" t="s">
        <v>19</v>
      </c>
      <c r="G97" s="305" t="s">
        <v>481</v>
      </c>
      <c r="H97" s="305" t="s">
        <v>466</v>
      </c>
      <c r="I97" s="10"/>
      <c r="J97" s="118">
        <f t="shared" si="13"/>
        <v>25.312194200000004</v>
      </c>
      <c r="K97" s="119">
        <f t="shared" si="14"/>
        <v>25.312194200000004</v>
      </c>
      <c r="L97" s="119">
        <f t="shared" si="15"/>
        <v>0</v>
      </c>
      <c r="N97" s="24"/>
      <c r="O97" s="24"/>
      <c r="P97" s="24"/>
      <c r="Q97" s="24"/>
      <c r="R97" s="24"/>
      <c r="S97" s="24"/>
      <c r="T97" s="24"/>
      <c r="U97" s="24"/>
      <c r="V97" s="306">
        <v>25.312194200000004</v>
      </c>
      <c r="W97" s="306"/>
      <c r="X97" s="306"/>
      <c r="Y97" s="306"/>
    </row>
    <row r="98" spans="5:25">
      <c r="E98" s="305" t="s">
        <v>595</v>
      </c>
      <c r="F98" s="437" t="s">
        <v>19</v>
      </c>
      <c r="G98" s="305" t="s">
        <v>289</v>
      </c>
      <c r="H98" s="305" t="s">
        <v>466</v>
      </c>
      <c r="I98" s="11"/>
      <c r="J98" s="118">
        <f t="shared" si="13"/>
        <v>6.4022005799999997</v>
      </c>
      <c r="K98" s="119">
        <f t="shared" si="14"/>
        <v>6.4022005799999997</v>
      </c>
      <c r="L98" s="119">
        <f t="shared" si="15"/>
        <v>0</v>
      </c>
      <c r="N98" s="24"/>
      <c r="O98" s="24"/>
      <c r="P98" s="24"/>
      <c r="Q98" s="24"/>
      <c r="R98" s="24"/>
      <c r="S98" s="24"/>
      <c r="T98" s="24"/>
      <c r="U98" s="24"/>
      <c r="V98" s="306">
        <v>6.4022005799999997</v>
      </c>
      <c r="W98" s="306"/>
      <c r="X98" s="306"/>
      <c r="Y98" s="306"/>
    </row>
    <row r="99" spans="5:25">
      <c r="E99" s="305" t="s">
        <v>595</v>
      </c>
      <c r="F99" s="437" t="s">
        <v>19</v>
      </c>
      <c r="G99" s="305" t="s">
        <v>291</v>
      </c>
      <c r="H99" s="305" t="s">
        <v>466</v>
      </c>
      <c r="I99" s="11"/>
      <c r="J99" s="118">
        <f t="shared" si="13"/>
        <v>9.7735672299999994</v>
      </c>
      <c r="K99" s="119">
        <f t="shared" si="14"/>
        <v>9.7735672299999994</v>
      </c>
      <c r="L99" s="119">
        <f t="shared" si="15"/>
        <v>0</v>
      </c>
      <c r="N99" s="24"/>
      <c r="O99" s="24"/>
      <c r="P99" s="24"/>
      <c r="Q99" s="24"/>
      <c r="R99" s="24"/>
      <c r="S99" s="24"/>
      <c r="T99" s="24"/>
      <c r="U99" s="24"/>
      <c r="V99" s="306">
        <v>9.7735672299999994</v>
      </c>
      <c r="W99" s="306"/>
      <c r="X99" s="306"/>
      <c r="Y99" s="306"/>
    </row>
    <row r="100" spans="5:25">
      <c r="E100" s="305" t="s">
        <v>595</v>
      </c>
      <c r="F100" s="437" t="s">
        <v>19</v>
      </c>
      <c r="G100" s="305" t="s">
        <v>292</v>
      </c>
      <c r="H100" s="305" t="s">
        <v>466</v>
      </c>
      <c r="I100" s="11"/>
      <c r="J100" s="118">
        <f t="shared" si="13"/>
        <v>9.1080971799999997</v>
      </c>
      <c r="K100" s="119">
        <f t="shared" si="14"/>
        <v>9.1080971799999997</v>
      </c>
      <c r="L100" s="119">
        <f t="shared" si="15"/>
        <v>0</v>
      </c>
      <c r="N100" s="24"/>
      <c r="O100" s="24"/>
      <c r="P100" s="24"/>
      <c r="Q100" s="24"/>
      <c r="R100" s="24"/>
      <c r="S100" s="24"/>
      <c r="T100" s="24"/>
      <c r="U100" s="24"/>
      <c r="V100" s="306">
        <v>9.1080971799999997</v>
      </c>
      <c r="W100" s="306"/>
      <c r="X100" s="306"/>
      <c r="Y100" s="306"/>
    </row>
    <row r="101" spans="5:25">
      <c r="E101" s="305" t="s">
        <v>595</v>
      </c>
      <c r="F101" s="437" t="s">
        <v>19</v>
      </c>
      <c r="G101" s="305" t="s">
        <v>448</v>
      </c>
      <c r="H101" s="305" t="s">
        <v>466</v>
      </c>
      <c r="I101" s="11"/>
      <c r="J101" s="118">
        <f t="shared" si="13"/>
        <v>1.3839165</v>
      </c>
      <c r="K101" s="119">
        <f t="shared" si="14"/>
        <v>1.3839165</v>
      </c>
      <c r="L101" s="119">
        <f t="shared" si="15"/>
        <v>0</v>
      </c>
      <c r="N101" s="24"/>
      <c r="O101" s="24"/>
      <c r="P101" s="24"/>
      <c r="Q101" s="24"/>
      <c r="R101" s="24"/>
      <c r="S101" s="24"/>
      <c r="T101" s="24"/>
      <c r="U101" s="24"/>
      <c r="V101" s="306">
        <v>1.3839165</v>
      </c>
      <c r="W101" s="306"/>
      <c r="X101" s="306"/>
      <c r="Y101" s="306"/>
    </row>
    <row r="102" spans="5:25">
      <c r="E102" s="305" t="s">
        <v>595</v>
      </c>
      <c r="F102" s="437" t="s">
        <v>19</v>
      </c>
      <c r="G102" s="305" t="s">
        <v>448</v>
      </c>
      <c r="H102" s="305" t="s">
        <v>472</v>
      </c>
      <c r="I102" s="11"/>
      <c r="J102" s="118">
        <f t="shared" si="13"/>
        <v>8.6791255100000004</v>
      </c>
      <c r="K102" s="119">
        <f t="shared" si="14"/>
        <v>8.6791255100000004</v>
      </c>
      <c r="L102" s="119">
        <f t="shared" si="15"/>
        <v>0</v>
      </c>
      <c r="N102" s="24"/>
      <c r="O102" s="24"/>
      <c r="P102" s="24"/>
      <c r="Q102" s="24"/>
      <c r="R102" s="24"/>
      <c r="S102" s="24"/>
      <c r="T102" s="24"/>
      <c r="U102" s="24"/>
      <c r="V102" s="306">
        <v>8.6791255100000004</v>
      </c>
      <c r="W102" s="306"/>
      <c r="X102" s="306"/>
      <c r="Y102" s="306"/>
    </row>
    <row r="103" spans="5:25">
      <c r="E103" s="305" t="s">
        <v>584</v>
      </c>
      <c r="F103" s="437" t="s">
        <v>19</v>
      </c>
      <c r="G103" s="305" t="s">
        <v>290</v>
      </c>
      <c r="H103" s="305" t="s">
        <v>466</v>
      </c>
      <c r="I103" s="11"/>
      <c r="J103" s="118">
        <f t="shared" si="13"/>
        <v>35.229979999999998</v>
      </c>
      <c r="K103" s="119">
        <f t="shared" si="14"/>
        <v>35.229979999999998</v>
      </c>
      <c r="L103" s="119">
        <f t="shared" si="15"/>
        <v>0</v>
      </c>
      <c r="N103" s="24"/>
      <c r="O103" s="24"/>
      <c r="P103" s="24"/>
      <c r="Q103" s="24"/>
      <c r="R103" s="24"/>
      <c r="S103" s="24"/>
      <c r="T103" s="24"/>
      <c r="U103" s="24"/>
      <c r="V103" s="306"/>
      <c r="W103" s="306">
        <v>35.229979999999998</v>
      </c>
      <c r="X103" s="306"/>
      <c r="Y103" s="306"/>
    </row>
    <row r="104" spans="5:25">
      <c r="E104" s="305" t="s">
        <v>585</v>
      </c>
      <c r="F104" s="437" t="s">
        <v>19</v>
      </c>
      <c r="G104" s="305" t="s">
        <v>307</v>
      </c>
      <c r="H104" s="305" t="s">
        <v>466</v>
      </c>
      <c r="I104" s="11"/>
      <c r="J104" s="118">
        <f t="shared" si="13"/>
        <v>6.8015437500000004</v>
      </c>
      <c r="K104" s="119">
        <f t="shared" si="14"/>
        <v>6.8015437500000004</v>
      </c>
      <c r="L104" s="119">
        <f t="shared" si="15"/>
        <v>0</v>
      </c>
      <c r="N104" s="24"/>
      <c r="O104" s="24"/>
      <c r="P104" s="24"/>
      <c r="Q104" s="24"/>
      <c r="R104" s="24"/>
      <c r="S104" s="24"/>
      <c r="T104" s="24"/>
      <c r="U104" s="24"/>
      <c r="V104" s="306">
        <v>6.8015437500000004</v>
      </c>
      <c r="W104" s="306"/>
      <c r="X104" s="306"/>
      <c r="Y104" s="306"/>
    </row>
    <row r="105" spans="5:25">
      <c r="E105" s="305" t="s">
        <v>585</v>
      </c>
      <c r="F105" s="437" t="s">
        <v>19</v>
      </c>
      <c r="G105" s="305" t="s">
        <v>307</v>
      </c>
      <c r="H105" s="305" t="s">
        <v>472</v>
      </c>
      <c r="I105" s="11"/>
      <c r="J105" s="118">
        <f t="shared" si="13"/>
        <v>12.6068411</v>
      </c>
      <c r="K105" s="119">
        <f t="shared" si="14"/>
        <v>12.6068411</v>
      </c>
      <c r="L105" s="119">
        <f t="shared" si="15"/>
        <v>0</v>
      </c>
      <c r="N105" s="24"/>
      <c r="O105" s="24"/>
      <c r="P105" s="24"/>
      <c r="Q105" s="24"/>
      <c r="R105" s="24"/>
      <c r="S105" s="24"/>
      <c r="T105" s="24"/>
      <c r="U105" s="24"/>
      <c r="V105" s="306">
        <v>12.6068411</v>
      </c>
      <c r="W105" s="306"/>
      <c r="X105" s="306"/>
      <c r="Y105" s="306"/>
    </row>
    <row r="106" spans="5:25">
      <c r="E106" s="305" t="s">
        <v>594</v>
      </c>
      <c r="F106" s="437" t="s">
        <v>19</v>
      </c>
      <c r="G106" s="305" t="s">
        <v>530</v>
      </c>
      <c r="H106" s="305" t="s">
        <v>472</v>
      </c>
      <c r="I106" s="11"/>
      <c r="J106" s="118">
        <f t="shared" si="13"/>
        <v>185.48092439999996</v>
      </c>
      <c r="K106" s="119">
        <f t="shared" si="14"/>
        <v>185.48092439999996</v>
      </c>
      <c r="L106" s="119">
        <f t="shared" si="15"/>
        <v>0</v>
      </c>
      <c r="N106" s="24"/>
      <c r="O106" s="24"/>
      <c r="P106" s="24"/>
      <c r="Q106" s="24"/>
      <c r="R106" s="24"/>
      <c r="S106" s="24"/>
      <c r="T106" s="24"/>
      <c r="U106" s="24"/>
      <c r="V106" s="306">
        <v>185.48092439999996</v>
      </c>
      <c r="W106" s="306"/>
      <c r="X106" s="306"/>
      <c r="Y106" s="306"/>
    </row>
    <row r="107" spans="5:25">
      <c r="E107" s="305" t="s">
        <v>586</v>
      </c>
      <c r="F107" s="437" t="s">
        <v>19</v>
      </c>
      <c r="G107" s="305" t="s">
        <v>317</v>
      </c>
      <c r="H107" s="305" t="s">
        <v>466</v>
      </c>
      <c r="I107" s="11"/>
      <c r="J107" s="118">
        <f t="shared" si="13"/>
        <v>5.29616475E-2</v>
      </c>
      <c r="K107" s="119">
        <f t="shared" si="14"/>
        <v>5.29616475E-2</v>
      </c>
      <c r="L107" s="119">
        <f t="shared" si="15"/>
        <v>0</v>
      </c>
      <c r="N107" s="24"/>
      <c r="O107" s="24"/>
      <c r="P107" s="24"/>
      <c r="Q107" s="24"/>
      <c r="R107" s="24"/>
      <c r="S107" s="24"/>
      <c r="T107" s="24"/>
      <c r="U107" s="24"/>
      <c r="V107" s="306">
        <v>5.29616475E-2</v>
      </c>
      <c r="W107" s="306"/>
      <c r="X107" s="306"/>
      <c r="Y107" s="306"/>
    </row>
    <row r="108" spans="5:25">
      <c r="E108" s="305" t="s">
        <v>587</v>
      </c>
      <c r="F108" s="437" t="s">
        <v>19</v>
      </c>
      <c r="G108" s="305" t="s">
        <v>317</v>
      </c>
      <c r="H108" s="305" t="s">
        <v>466</v>
      </c>
      <c r="I108" s="11"/>
      <c r="J108" s="118">
        <f t="shared" si="13"/>
        <v>2.30857</v>
      </c>
      <c r="K108" s="119">
        <f t="shared" si="14"/>
        <v>2.30857</v>
      </c>
      <c r="L108" s="119">
        <f t="shared" si="15"/>
        <v>0</v>
      </c>
      <c r="N108" s="24"/>
      <c r="O108" s="24"/>
      <c r="P108" s="24"/>
      <c r="Q108" s="24"/>
      <c r="R108" s="24"/>
      <c r="S108" s="24"/>
      <c r="T108" s="24"/>
      <c r="U108" s="24"/>
      <c r="V108" s="306">
        <v>2.30857</v>
      </c>
      <c r="W108" s="306"/>
      <c r="X108" s="306"/>
      <c r="Y108" s="306"/>
    </row>
    <row r="109" spans="5:25">
      <c r="E109" s="6"/>
      <c r="F109" s="7"/>
      <c r="G109" s="6"/>
      <c r="H109" s="11"/>
      <c r="I109" s="11"/>
      <c r="J109" s="118">
        <f t="shared" si="13"/>
        <v>0</v>
      </c>
      <c r="K109" s="119">
        <f t="shared" si="14"/>
        <v>0</v>
      </c>
      <c r="L109" s="119">
        <f t="shared" si="15"/>
        <v>0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5:25">
      <c r="E110" s="6"/>
      <c r="F110" s="7"/>
      <c r="G110" s="6"/>
      <c r="H110" s="12"/>
      <c r="I110" s="12"/>
      <c r="J110" s="118">
        <f t="shared" ref="J110" si="16">+K110+L110</f>
        <v>0</v>
      </c>
      <c r="K110" s="119">
        <f t="shared" ref="K110" si="17">SUM(N110:Y110)</f>
        <v>0</v>
      </c>
      <c r="L110" s="119">
        <f t="shared" ref="L110" si="18">SUM(AA110:AL110)</f>
        <v>0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2" spans="5:25">
      <c r="E112" s="191" t="s">
        <v>320</v>
      </c>
      <c r="F112" s="216">
        <v>46235</v>
      </c>
      <c r="G112" s="192">
        <v>554</v>
      </c>
      <c r="H112" s="271" t="s">
        <v>321</v>
      </c>
    </row>
    <row r="113" spans="5:8">
      <c r="E113" s="195" t="s">
        <v>592</v>
      </c>
      <c r="F113" s="217"/>
      <c r="G113" s="196">
        <v>200</v>
      </c>
      <c r="H113" s="271" t="s">
        <v>321</v>
      </c>
    </row>
    <row r="114" spans="5:8">
      <c r="E114" s="195" t="s">
        <v>593</v>
      </c>
      <c r="F114" s="217"/>
      <c r="G114" s="196">
        <v>61</v>
      </c>
      <c r="H114" s="271" t="s">
        <v>321</v>
      </c>
    </row>
    <row r="115" spans="5:8">
      <c r="E115" s="191" t="s">
        <v>320</v>
      </c>
      <c r="F115" s="216">
        <v>46265</v>
      </c>
      <c r="G115" s="192">
        <f>G112+G113-G114</f>
        <v>693</v>
      </c>
      <c r="H115" s="271" t="s">
        <v>321</v>
      </c>
    </row>
    <row r="116" spans="5:8">
      <c r="E116" s="195"/>
      <c r="F116" s="217"/>
      <c r="G116" s="196"/>
      <c r="H116" s="271"/>
    </row>
    <row r="117" spans="5:8">
      <c r="E117" s="191"/>
      <c r="F117" s="216"/>
      <c r="G117" s="192"/>
      <c r="H117" s="271"/>
    </row>
    <row r="119" spans="5:8">
      <c r="E119" s="446" t="s">
        <v>531</v>
      </c>
      <c r="F119" s="447"/>
      <c r="G119" s="447"/>
      <c r="H119" s="448"/>
    </row>
    <row r="120" spans="5:8">
      <c r="E120" s="219" t="s">
        <v>550</v>
      </c>
      <c r="F120" s="219"/>
      <c r="G120" s="202"/>
      <c r="H120" s="219" t="s">
        <v>325</v>
      </c>
    </row>
    <row r="121" spans="5:8">
      <c r="E121" s="434" t="s">
        <v>447</v>
      </c>
      <c r="F121" s="219"/>
      <c r="G121" s="202"/>
      <c r="H121" s="432">
        <v>3</v>
      </c>
    </row>
    <row r="122" spans="5:8">
      <c r="E122" s="434" t="s">
        <v>279</v>
      </c>
      <c r="F122" s="219"/>
      <c r="G122" s="202"/>
      <c r="H122" s="432">
        <v>48</v>
      </c>
    </row>
    <row r="123" spans="5:8">
      <c r="E123" s="434" t="s">
        <v>379</v>
      </c>
      <c r="F123" s="219"/>
      <c r="G123" s="202"/>
      <c r="H123" s="432">
        <v>4</v>
      </c>
    </row>
    <row r="124" spans="5:8">
      <c r="E124" s="436" t="s">
        <v>374</v>
      </c>
      <c r="F124" s="202"/>
      <c r="G124" s="202"/>
      <c r="H124" s="433">
        <v>16.11646</v>
      </c>
    </row>
    <row r="125" spans="5:8">
      <c r="E125" s="439" t="s">
        <v>425</v>
      </c>
      <c r="F125" s="202"/>
      <c r="G125" s="202"/>
      <c r="H125" s="433">
        <v>1.027623374</v>
      </c>
    </row>
    <row r="126" spans="5:8">
      <c r="E126" s="436" t="s">
        <v>500</v>
      </c>
      <c r="F126" s="202"/>
      <c r="G126" s="202"/>
      <c r="H126" s="433">
        <v>2</v>
      </c>
    </row>
    <row r="127" spans="5:8">
      <c r="E127" s="440" t="s">
        <v>462</v>
      </c>
      <c r="F127" s="202"/>
      <c r="G127" s="202"/>
      <c r="H127" s="433">
        <v>2</v>
      </c>
    </row>
    <row r="128" spans="5:8">
      <c r="E128" s="440" t="s">
        <v>610</v>
      </c>
      <c r="F128" s="202"/>
      <c r="G128" s="202"/>
      <c r="H128" s="433">
        <v>12</v>
      </c>
    </row>
    <row r="129" spans="5:10">
      <c r="E129" s="440"/>
      <c r="F129" s="202"/>
      <c r="G129" s="202"/>
      <c r="H129" s="433"/>
    </row>
    <row r="130" spans="5:10">
      <c r="E130" s="440"/>
      <c r="F130" s="202"/>
      <c r="G130" s="202"/>
      <c r="H130" s="433"/>
    </row>
    <row r="131" spans="5:10">
      <c r="E131" s="219" t="s">
        <v>344</v>
      </c>
      <c r="F131" s="202"/>
      <c r="G131" s="202"/>
      <c r="H131" s="405">
        <f>SUM(H121:H130)</f>
        <v>88.144083374000004</v>
      </c>
    </row>
    <row r="132" spans="5:10" hidden="1">
      <c r="E132" s="227"/>
      <c r="F132" s="278"/>
      <c r="G132" s="227"/>
      <c r="H132" s="280"/>
      <c r="I132" s="280"/>
      <c r="J132" s="280"/>
    </row>
    <row r="133" spans="5:10" hidden="1">
      <c r="E133" s="227" t="s">
        <v>330</v>
      </c>
      <c r="F133" s="227"/>
      <c r="G133" s="295">
        <f>'W37'!J19</f>
        <v>3694.1928980779012</v>
      </c>
      <c r="H133" s="280"/>
      <c r="I133" s="280"/>
      <c r="J133" s="280"/>
    </row>
    <row r="134" spans="5:10" hidden="1">
      <c r="E134" s="227" t="s">
        <v>331</v>
      </c>
      <c r="F134" s="227"/>
      <c r="G134" s="295">
        <f>H131</f>
        <v>88.144083374000004</v>
      </c>
      <c r="H134" s="280"/>
      <c r="I134" s="280"/>
      <c r="J134" s="280"/>
    </row>
    <row r="135" spans="5:10" hidden="1">
      <c r="E135" s="227" t="s">
        <v>332</v>
      </c>
      <c r="F135" s="227"/>
      <c r="G135" s="295">
        <v>148</v>
      </c>
      <c r="H135" s="280"/>
      <c r="I135" s="280"/>
      <c r="J135" s="280"/>
    </row>
    <row r="136" spans="5:10" hidden="1">
      <c r="E136" s="227" t="s">
        <v>333</v>
      </c>
      <c r="F136" s="227"/>
      <c r="G136" s="295">
        <f>G133+G134-G135</f>
        <v>3634.336981451901</v>
      </c>
      <c r="H136" s="280"/>
      <c r="I136" s="280"/>
      <c r="J136" s="280"/>
    </row>
    <row r="137" spans="5:10" hidden="1">
      <c r="E137" s="227" t="s">
        <v>334</v>
      </c>
      <c r="F137" s="227"/>
      <c r="G137" s="295">
        <f>J19</f>
        <v>3625.8805106959012</v>
      </c>
      <c r="H137" s="413">
        <f>G137-G139</f>
        <v>3625.8805106959012</v>
      </c>
      <c r="I137" s="280"/>
      <c r="J137" s="280"/>
    </row>
    <row r="138" spans="5:10" hidden="1">
      <c r="E138" s="227" t="s">
        <v>335</v>
      </c>
      <c r="F138" s="227"/>
      <c r="G138" s="296">
        <f>G137-G136</f>
        <v>-8.4564707559998169</v>
      </c>
      <c r="H138" s="413">
        <f>H137-G136</f>
        <v>-8.4564707559998169</v>
      </c>
      <c r="I138" s="280"/>
      <c r="J138" s="280"/>
    </row>
    <row r="139" spans="5:10" hidden="1">
      <c r="E139" s="227"/>
      <c r="F139" s="278"/>
      <c r="G139" s="227"/>
      <c r="H139" s="280"/>
      <c r="I139" s="280"/>
      <c r="J139" s="280"/>
    </row>
    <row r="140" spans="5:10">
      <c r="E140" s="227"/>
      <c r="F140" s="278"/>
      <c r="G140" s="227"/>
      <c r="H140" s="280"/>
      <c r="I140" s="280"/>
      <c r="J140" s="280"/>
    </row>
    <row r="141" spans="5:10">
      <c r="E141" s="227"/>
      <c r="F141" s="278"/>
      <c r="G141" s="227"/>
      <c r="H141" s="280"/>
      <c r="I141" s="280"/>
      <c r="J141" s="280"/>
    </row>
    <row r="142" spans="5:10">
      <c r="E142" s="227"/>
      <c r="F142" s="278"/>
      <c r="G142" s="227"/>
      <c r="H142" s="280"/>
      <c r="I142" s="280"/>
      <c r="J142" s="280"/>
    </row>
    <row r="143" spans="5:10">
      <c r="E143" s="227"/>
      <c r="F143" s="278"/>
      <c r="G143" s="227"/>
      <c r="H143" s="280"/>
      <c r="I143" s="280"/>
      <c r="J143" s="280"/>
    </row>
    <row r="144" spans="5:10">
      <c r="E144" s="227"/>
      <c r="F144" s="278"/>
      <c r="G144" s="227"/>
      <c r="H144" s="280"/>
      <c r="I144" s="280"/>
      <c r="J144" s="280"/>
    </row>
    <row r="145" spans="5:10">
      <c r="E145" s="227"/>
      <c r="F145" s="278"/>
      <c r="G145" s="227"/>
      <c r="H145" s="280"/>
      <c r="I145" s="280"/>
      <c r="J145" s="280"/>
    </row>
    <row r="146" spans="5:10">
      <c r="E146" s="227"/>
      <c r="F146" s="278"/>
      <c r="G146" s="227"/>
      <c r="H146" s="280"/>
      <c r="I146" s="280"/>
      <c r="J146" s="280"/>
    </row>
    <row r="147" spans="5:10">
      <c r="E147" s="227"/>
      <c r="F147" s="278"/>
      <c r="G147" s="227"/>
      <c r="H147" s="280"/>
      <c r="I147" s="280"/>
      <c r="J147" s="280"/>
    </row>
    <row r="148" spans="5:10">
      <c r="E148" s="227"/>
      <c r="F148" s="278"/>
      <c r="G148" s="227"/>
      <c r="H148" s="280"/>
      <c r="I148" s="280"/>
      <c r="J148" s="280"/>
    </row>
    <row r="149" spans="5:10">
      <c r="E149" s="227"/>
      <c r="F149" s="278"/>
      <c r="G149" s="227"/>
      <c r="H149" s="280"/>
      <c r="I149" s="280"/>
      <c r="J149" s="280"/>
    </row>
    <row r="150" spans="5:10">
      <c r="E150" s="227"/>
      <c r="F150" s="278"/>
      <c r="G150" s="227"/>
      <c r="H150" s="280"/>
      <c r="I150" s="280"/>
      <c r="J150" s="280"/>
    </row>
    <row r="151" spans="5:10">
      <c r="E151" s="227"/>
      <c r="F151" s="278"/>
      <c r="G151" s="227"/>
      <c r="H151" s="280"/>
      <c r="I151" s="280"/>
      <c r="J151" s="280"/>
    </row>
    <row r="152" spans="5:10">
      <c r="E152" s="227"/>
      <c r="F152" s="278"/>
      <c r="G152" s="227"/>
      <c r="H152" s="280"/>
      <c r="I152" s="280"/>
      <c r="J152" s="280"/>
    </row>
    <row r="153" spans="5:10">
      <c r="E153" s="227"/>
      <c r="F153" s="278"/>
      <c r="G153" s="227"/>
      <c r="H153" s="280"/>
      <c r="I153" s="280"/>
      <c r="J153" s="280"/>
    </row>
    <row r="154" spans="5:10">
      <c r="E154" s="227"/>
      <c r="F154" s="278"/>
      <c r="G154" s="227"/>
      <c r="H154" s="280"/>
      <c r="I154" s="280"/>
      <c r="J154" s="280"/>
    </row>
  </sheetData>
  <sheetProtection formatCells="0" formatColumns="0" formatRows="0" insertRows="0" deleteRows="0" autoFilter="0"/>
  <autoFilter ref="E23:AL257" xr:uid="{00000000-0009-0000-0000-000028000000}"/>
  <mergeCells count="2">
    <mergeCell ref="I4:J4"/>
    <mergeCell ref="E119:H119"/>
  </mergeCells>
  <phoneticPr fontId="40"/>
  <dataValidations count="2">
    <dataValidation type="list" allowBlank="1" showInputMessage="1" showErrorMessage="1" sqref="G2" xr:uid="{00000000-0002-0000-2800-000000000000}">
      <formula1>SOCIETE</formula1>
    </dataValidation>
    <dataValidation type="list" allowBlank="1" showInputMessage="1" showErrorMessage="1" sqref="F24:F110 F120:F123" xr:uid="{A98DED0A-8FD0-43B7-AB40-A765A0785367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42">
    <tabColor theme="3" tint="0.59999389629810485"/>
    <pageSetUpPr fitToPage="1"/>
  </sheetPr>
  <dimension ref="D1:AL137"/>
  <sheetViews>
    <sheetView showGridLines="0" topLeftCell="A24" zoomScale="80" zoomScaleNormal="80" workbookViewId="0">
      <selection activeCell="H31" sqref="H31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7.570312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hidden="1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151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September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September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W39</v>
      </c>
      <c r="I9" s="61"/>
      <c r="J9" s="161" t="str">
        <f>+"from "&amp;G6&amp;" 1 until end of "&amp;G4</f>
        <v>from September 1 until end of W39</v>
      </c>
      <c r="K9" s="79"/>
      <c r="L9" s="167" t="str">
        <f>+G6</f>
        <v>September</v>
      </c>
      <c r="M9" s="80"/>
      <c r="N9" s="80"/>
      <c r="O9" s="172" t="str">
        <f>+G4</f>
        <v>W39</v>
      </c>
      <c r="P9" s="173" t="str">
        <f>+VLOOKUP(G4, parameters!$G$9:$I$61,3,0)</f>
        <v>W38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600+320+797+430+396+688+856+605+J10</f>
        <v>5555</v>
      </c>
      <c r="I10" s="61"/>
      <c r="J10" s="159">
        <f>J12-J11</f>
        <v>863</v>
      </c>
      <c r="L10" s="159">
        <f>V17+J10</f>
        <v>1419.9068606780002</v>
      </c>
      <c r="N10" s="55"/>
      <c r="O10" s="170">
        <f>+H10+K17</f>
        <v>8606.0166633008994</v>
      </c>
      <c r="P10" s="171" cm="1">
        <f t="array" aca="1" ref="P10" ca="1">INDIRECT(ADDRESS(10,15,,,VLOOKUP($G$4,parameters!$G:$I,3,0)))</f>
        <v>8711.0950645369012</v>
      </c>
      <c r="Q10" s="183">
        <f ca="1">O10-P10</f>
        <v>-105.07840123600181</v>
      </c>
      <c r="R10" s="86"/>
    </row>
    <row r="11" spans="5:38" ht="20.45" customHeight="1">
      <c r="E11" s="87" t="s">
        <v>224</v>
      </c>
      <c r="F11" s="88"/>
      <c r="G11" s="89"/>
      <c r="H11" s="430">
        <f>13+8+3+3+2+14+119+9+J11</f>
        <v>176</v>
      </c>
      <c r="I11" s="61"/>
      <c r="J11" s="16">
        <v>5</v>
      </c>
      <c r="L11" s="159">
        <f>V18+J11</f>
        <v>5</v>
      </c>
      <c r="N11" s="55"/>
      <c r="O11" s="152">
        <f>+H11+K18</f>
        <v>260.48965888800001</v>
      </c>
      <c r="P11" s="153" cm="1">
        <f t="array" aca="1" ref="P11" ca="1">INDIRECT(ADDRESS(11,15,,,VLOOKUP($G$4,parameters!$G:$I,3,0)))</f>
        <v>263.785446159</v>
      </c>
      <c r="Q11" s="184">
        <f t="shared" ref="Q11:Q12" ca="1" si="0">O11-P11</f>
        <v>-3.2957872709999947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5731</v>
      </c>
      <c r="I12" s="293">
        <f>H12-J12</f>
        <v>4863</v>
      </c>
      <c r="J12" s="126">
        <v>868</v>
      </c>
      <c r="K12" s="65"/>
      <c r="L12" s="126">
        <f>SUM(L10:L11)</f>
        <v>1424.9068606780002</v>
      </c>
      <c r="M12" s="65"/>
      <c r="N12" s="65"/>
      <c r="O12" s="154">
        <f>SUM(O10:O11)</f>
        <v>8866.5063221888995</v>
      </c>
      <c r="P12" s="155">
        <f ca="1">SUM(P10:P11)</f>
        <v>8974.8805106959007</v>
      </c>
      <c r="Q12" s="156">
        <f t="shared" ca="1" si="0"/>
        <v>-108.37418850700124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+SUMIF($F$24:$F$103,"External",$J$24:$J$103)</f>
        <v>3051.0166633009003</v>
      </c>
      <c r="K17" s="108">
        <f>+SUMIF($F$24:$F$103,"External",$K$24:$K$103)</f>
        <v>3051.0166633009003</v>
      </c>
      <c r="L17" s="109">
        <f>+SUMIF($F$24:$F$103,"External",$L$24:$L$103)</f>
        <v>0</v>
      </c>
      <c r="M17" s="110"/>
      <c r="N17" s="111">
        <f t="shared" ref="N17:Y17" si="1">+SUMIF($F$24:$F$103,"External",N$24:N$103)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556.90686067800004</v>
      </c>
      <c r="W17" s="111">
        <f t="shared" si="1"/>
        <v>1281.3906538759004</v>
      </c>
      <c r="X17" s="111">
        <f t="shared" si="1"/>
        <v>643.7702168259998</v>
      </c>
      <c r="Y17" s="111">
        <f t="shared" si="1"/>
        <v>568.94893192100005</v>
      </c>
      <c r="Z17" s="112"/>
      <c r="AA17" s="111">
        <f t="shared" ref="AA17:AL17" si="2">+SUMIF($F$24:$F$103,"External",AA$24:AA$103)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+SUMIF($F$24:$F$103,"Group",$J$24:$J$103)</f>
        <v>84.489658887999994</v>
      </c>
      <c r="K18" s="113">
        <f>+SUMIF($F$24:$F$103,"Group",$K$24:$K$103)</f>
        <v>84.489658887999994</v>
      </c>
      <c r="L18" s="114">
        <f>SUMIF($F$24:$F$103,"Group",$L$24:$L$103)</f>
        <v>0</v>
      </c>
      <c r="M18" s="110"/>
      <c r="N18" s="114">
        <f t="shared" ref="N18:Y18" si="3">+SUMIF($F$24:$F$103,"Group",N$24:N$103)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84.489658887999994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+SUMIF($F$24:$F$103,"Group",AA$24:AA$103)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3135.5063221889004</v>
      </c>
      <c r="K19" s="115">
        <f>SUM(K17:K18)</f>
        <v>3135.5063221889004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556.90686067800004</v>
      </c>
      <c r="W19" s="116">
        <f t="shared" si="5"/>
        <v>1365.8803127639003</v>
      </c>
      <c r="X19" s="116">
        <f t="shared" si="5"/>
        <v>643.7702168259998</v>
      </c>
      <c r="Y19" s="116">
        <f t="shared" si="5"/>
        <v>568.94893192100005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IF(SUM(J24:J103)=J19,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468</v>
      </c>
      <c r="F24" s="7" t="s">
        <v>19</v>
      </c>
      <c r="G24" s="6" t="s">
        <v>239</v>
      </c>
      <c r="H24" s="8" t="s">
        <v>278</v>
      </c>
      <c r="I24" s="8" t="s">
        <v>466</v>
      </c>
      <c r="J24" s="118">
        <f t="shared" ref="J24" si="7">+K24+L24</f>
        <v>6.8557283250000012</v>
      </c>
      <c r="K24" s="119">
        <f t="shared" ref="K24" si="8">SUM(N24:Y24)</f>
        <v>6.8557283250000012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>
        <v>0.48659440000000004</v>
      </c>
      <c r="W24" s="24">
        <v>4.7142737060000011</v>
      </c>
      <c r="X24" s="24">
        <v>1.6548602190000001</v>
      </c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573</v>
      </c>
      <c r="F25" s="7" t="s">
        <v>19</v>
      </c>
      <c r="G25" s="6" t="s">
        <v>561</v>
      </c>
      <c r="H25" s="6" t="s">
        <v>559</v>
      </c>
      <c r="I25" s="6" t="s">
        <v>472</v>
      </c>
      <c r="J25" s="118">
        <f t="shared" ref="J25:J88" si="10">+K25+L25</f>
        <v>92.379652743000008</v>
      </c>
      <c r="K25" s="119">
        <f t="shared" ref="K25:K88" si="11">SUM(N25:Y25)</f>
        <v>92.379652743000008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>
        <v>92.379652743000008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571</v>
      </c>
      <c r="F26" s="7" t="s">
        <v>19</v>
      </c>
      <c r="G26" s="6" t="s">
        <v>529</v>
      </c>
      <c r="H26" s="6" t="s">
        <v>530</v>
      </c>
      <c r="I26" s="6" t="s">
        <v>472</v>
      </c>
      <c r="J26" s="118">
        <f t="shared" si="10"/>
        <v>69.147090899999995</v>
      </c>
      <c r="K26" s="119">
        <f t="shared" si="11"/>
        <v>69.147090899999995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>
        <v>69.147090899999995</v>
      </c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601</v>
      </c>
      <c r="F27" s="7" t="s">
        <v>19</v>
      </c>
      <c r="G27" s="6" t="s">
        <v>279</v>
      </c>
      <c r="H27" s="6" t="s">
        <v>280</v>
      </c>
      <c r="I27" s="6" t="s">
        <v>472</v>
      </c>
      <c r="J27" s="118">
        <f t="shared" si="10"/>
        <v>121.02426899099999</v>
      </c>
      <c r="K27" s="119">
        <f t="shared" si="11"/>
        <v>121.02426899099999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>
        <v>116.44745295499999</v>
      </c>
      <c r="X27" s="24">
        <v>4.5768160359999994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541</v>
      </c>
      <c r="F28" s="7" t="s">
        <v>19</v>
      </c>
      <c r="G28" s="6" t="s">
        <v>279</v>
      </c>
      <c r="H28" s="6" t="s">
        <v>280</v>
      </c>
      <c r="I28" s="6" t="s">
        <v>472</v>
      </c>
      <c r="J28" s="118">
        <f t="shared" si="10"/>
        <v>151.30458358800001</v>
      </c>
      <c r="K28" s="119">
        <f t="shared" si="11"/>
        <v>151.30458358800001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>
        <v>151.30458358800001</v>
      </c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7" t="s">
        <v>19</v>
      </c>
      <c r="G29" s="6" t="s">
        <v>282</v>
      </c>
      <c r="H29" s="6" t="s">
        <v>283</v>
      </c>
      <c r="I29" s="6" t="s">
        <v>466</v>
      </c>
      <c r="J29" s="118">
        <f t="shared" si="10"/>
        <v>0.82079398400000003</v>
      </c>
      <c r="K29" s="119">
        <f t="shared" si="11"/>
        <v>0.82079398400000003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>
        <v>0.59021350800000005</v>
      </c>
      <c r="X29" s="24"/>
      <c r="Y29" s="24">
        <v>0.23058047600000001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606</v>
      </c>
      <c r="F30" s="7" t="s">
        <v>19</v>
      </c>
      <c r="G30" s="6" t="s">
        <v>237</v>
      </c>
      <c r="H30" s="6" t="s">
        <v>277</v>
      </c>
      <c r="I30" s="6" t="s">
        <v>466</v>
      </c>
      <c r="J30" s="118">
        <f t="shared" si="10"/>
        <v>0.52895629700000002</v>
      </c>
      <c r="K30" s="119">
        <f t="shared" si="11"/>
        <v>0.52895629700000002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>
        <v>0.52895629700000002</v>
      </c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7" t="s">
        <v>19</v>
      </c>
      <c r="G31" s="6" t="s">
        <v>493</v>
      </c>
      <c r="H31" s="6" t="s">
        <v>339</v>
      </c>
      <c r="I31" s="6" t="s">
        <v>472</v>
      </c>
      <c r="J31" s="118">
        <f t="shared" si="10"/>
        <v>1.7072246009999998</v>
      </c>
      <c r="K31" s="119">
        <f t="shared" si="11"/>
        <v>1.7072246009999998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>
        <v>0.36850208000000001</v>
      </c>
      <c r="W31" s="24">
        <v>1.3387225209999998</v>
      </c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7" t="s">
        <v>17</v>
      </c>
      <c r="G32" s="6" t="s">
        <v>493</v>
      </c>
      <c r="H32" s="6" t="s">
        <v>339</v>
      </c>
      <c r="I32" s="6" t="s">
        <v>472</v>
      </c>
      <c r="J32" s="118">
        <f t="shared" si="10"/>
        <v>84.489658887999994</v>
      </c>
      <c r="K32" s="119">
        <f t="shared" si="11"/>
        <v>84.489658887999994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>
        <v>84.489658887999994</v>
      </c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5">
      <c r="E33" s="6" t="s">
        <v>474</v>
      </c>
      <c r="F33" s="7" t="s">
        <v>19</v>
      </c>
      <c r="G33" s="6" t="s">
        <v>279</v>
      </c>
      <c r="H33" s="6" t="s">
        <v>280</v>
      </c>
      <c r="I33" s="6" t="s">
        <v>472</v>
      </c>
      <c r="J33" s="118">
        <f t="shared" si="10"/>
        <v>101.870798776</v>
      </c>
      <c r="K33" s="119">
        <f t="shared" si="11"/>
        <v>101.870798776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101.870798776</v>
      </c>
      <c r="X33" s="24"/>
      <c r="Y33" s="24"/>
    </row>
    <row r="34" spans="5:25">
      <c r="E34" s="6" t="s">
        <v>476</v>
      </c>
      <c r="F34" s="7" t="s">
        <v>19</v>
      </c>
      <c r="G34" s="6" t="s">
        <v>247</v>
      </c>
      <c r="H34" s="6" t="s">
        <v>289</v>
      </c>
      <c r="I34" s="6" t="s">
        <v>466</v>
      </c>
      <c r="J34" s="118">
        <f t="shared" si="10"/>
        <v>142.11030361399969</v>
      </c>
      <c r="K34" s="119">
        <f t="shared" si="11"/>
        <v>142.11030361399969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>
        <v>14.813076448</v>
      </c>
      <c r="W34" s="24">
        <v>28.92515286599988</v>
      </c>
      <c r="X34" s="24">
        <v>48.245304299999809</v>
      </c>
      <c r="Y34" s="24">
        <v>50.126770000000008</v>
      </c>
    </row>
    <row r="35" spans="5:25">
      <c r="E35" s="6" t="s">
        <v>476</v>
      </c>
      <c r="F35" s="7" t="s">
        <v>19</v>
      </c>
      <c r="G35" s="6" t="s">
        <v>379</v>
      </c>
      <c r="H35" s="6" t="s">
        <v>291</v>
      </c>
      <c r="I35" s="6" t="s">
        <v>466</v>
      </c>
      <c r="J35" s="118">
        <f t="shared" si="10"/>
        <v>114.00088243200001</v>
      </c>
      <c r="K35" s="119">
        <f t="shared" si="11"/>
        <v>114.00088243200001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>
        <v>2.3519746929999994</v>
      </c>
      <c r="W35" s="24">
        <v>48.469937739000002</v>
      </c>
      <c r="X35" s="24">
        <v>40.155140000000003</v>
      </c>
      <c r="Y35" s="24">
        <v>23.023830000000004</v>
      </c>
    </row>
    <row r="36" spans="5:25">
      <c r="E36" s="6" t="s">
        <v>476</v>
      </c>
      <c r="F36" s="7" t="s">
        <v>19</v>
      </c>
      <c r="G36" s="6" t="s">
        <v>454</v>
      </c>
      <c r="H36" s="6" t="s">
        <v>292</v>
      </c>
      <c r="I36" s="6" t="s">
        <v>466</v>
      </c>
      <c r="J36" s="118">
        <f t="shared" si="10"/>
        <v>570.42412439500026</v>
      </c>
      <c r="K36" s="119">
        <f t="shared" si="11"/>
        <v>570.42412439500026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>
        <v>17.435945558</v>
      </c>
      <c r="W36" s="24">
        <v>290.48817883700031</v>
      </c>
      <c r="X36" s="24">
        <v>262.5</v>
      </c>
      <c r="Y36" s="24"/>
    </row>
    <row r="37" spans="5:25">
      <c r="E37" s="6" t="s">
        <v>476</v>
      </c>
      <c r="F37" s="7" t="s">
        <v>19</v>
      </c>
      <c r="G37" s="6" t="s">
        <v>293</v>
      </c>
      <c r="H37" s="6" t="s">
        <v>294</v>
      </c>
      <c r="I37" s="6" t="s">
        <v>466</v>
      </c>
      <c r="J37" s="118">
        <f t="shared" si="10"/>
        <v>60.354598200000012</v>
      </c>
      <c r="K37" s="119">
        <f t="shared" si="11"/>
        <v>60.354598200000012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>
        <v>42.034915200000015</v>
      </c>
      <c r="X37" s="24">
        <v>1.982313</v>
      </c>
      <c r="Y37" s="24">
        <v>16.33737</v>
      </c>
    </row>
    <row r="38" spans="5:25">
      <c r="E38" s="6" t="s">
        <v>476</v>
      </c>
      <c r="F38" s="7" t="s">
        <v>19</v>
      </c>
      <c r="G38" s="6" t="s">
        <v>447</v>
      </c>
      <c r="H38" s="6" t="s">
        <v>448</v>
      </c>
      <c r="I38" s="6" t="s">
        <v>466</v>
      </c>
      <c r="J38" s="118">
        <f t="shared" si="10"/>
        <v>121.325545877</v>
      </c>
      <c r="K38" s="119">
        <f t="shared" si="11"/>
        <v>121.325545877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>
        <v>0.97862089499999994</v>
      </c>
      <c r="W38" s="24">
        <v>60.268869781999996</v>
      </c>
      <c r="X38" s="24">
        <v>35.812217599999997</v>
      </c>
      <c r="Y38" s="24">
        <v>24.265837600000001</v>
      </c>
    </row>
    <row r="39" spans="5:25">
      <c r="E39" s="6" t="s">
        <v>476</v>
      </c>
      <c r="F39" s="7" t="s">
        <v>19</v>
      </c>
      <c r="G39" s="6" t="s">
        <v>252</v>
      </c>
      <c r="H39" s="6" t="s">
        <v>295</v>
      </c>
      <c r="I39" s="6" t="s">
        <v>466</v>
      </c>
      <c r="J39" s="118">
        <f t="shared" si="10"/>
        <v>16.9341279</v>
      </c>
      <c r="K39" s="119">
        <f t="shared" si="11"/>
        <v>16.9341279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>
        <v>12.158916199999998</v>
      </c>
      <c r="W39" s="24">
        <v>4.7752117000000007</v>
      </c>
      <c r="X39" s="24"/>
      <c r="Y39" s="24"/>
    </row>
    <row r="40" spans="5:25">
      <c r="E40" s="6" t="s">
        <v>476</v>
      </c>
      <c r="F40" s="7" t="s">
        <v>19</v>
      </c>
      <c r="G40" s="6" t="s">
        <v>245</v>
      </c>
      <c r="H40" s="6" t="s">
        <v>288</v>
      </c>
      <c r="I40" s="6" t="s">
        <v>466</v>
      </c>
      <c r="J40" s="118">
        <f t="shared" si="10"/>
        <v>16.888403116999999</v>
      </c>
      <c r="K40" s="119">
        <f t="shared" si="11"/>
        <v>16.888403116999999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>
        <v>12.792643377999999</v>
      </c>
      <c r="W40" s="24">
        <v>4.095759739</v>
      </c>
      <c r="X40" s="24"/>
      <c r="Y40" s="24"/>
    </row>
    <row r="41" spans="5:25">
      <c r="E41" s="6" t="s">
        <v>476</v>
      </c>
      <c r="F41" s="7" t="s">
        <v>19</v>
      </c>
      <c r="G41" s="6" t="s">
        <v>378</v>
      </c>
      <c r="H41" s="6" t="s">
        <v>290</v>
      </c>
      <c r="I41" s="6" t="s">
        <v>466</v>
      </c>
      <c r="J41" s="118">
        <f t="shared" si="10"/>
        <v>114.71489328000001</v>
      </c>
      <c r="K41" s="119">
        <f t="shared" si="11"/>
        <v>114.71489328000001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>
        <v>7.4617120270000008</v>
      </c>
      <c r="W41" s="24">
        <v>75.997761253000007</v>
      </c>
      <c r="X41" s="24">
        <v>10.69293</v>
      </c>
      <c r="Y41" s="24">
        <v>20.562489999999997</v>
      </c>
    </row>
    <row r="42" spans="5:25">
      <c r="E42" s="6" t="s">
        <v>450</v>
      </c>
      <c r="F42" s="7" t="s">
        <v>19</v>
      </c>
      <c r="G42" s="6" t="s">
        <v>282</v>
      </c>
      <c r="H42" s="6" t="s">
        <v>283</v>
      </c>
      <c r="I42" s="6" t="s">
        <v>466</v>
      </c>
      <c r="J42" s="118">
        <f t="shared" si="10"/>
        <v>0.74044120000000002</v>
      </c>
      <c r="K42" s="119">
        <f t="shared" si="11"/>
        <v>0.74044120000000002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>
        <v>0.1092308</v>
      </c>
      <c r="X42" s="24">
        <v>0.48262360000000004</v>
      </c>
      <c r="Y42" s="24">
        <v>0.14858679999999999</v>
      </c>
    </row>
    <row r="43" spans="5:25">
      <c r="E43" s="6" t="s">
        <v>450</v>
      </c>
      <c r="F43" s="7" t="s">
        <v>19</v>
      </c>
      <c r="G43" s="6" t="s">
        <v>282</v>
      </c>
      <c r="H43" s="6" t="s">
        <v>283</v>
      </c>
      <c r="I43" s="6" t="s">
        <v>472</v>
      </c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>
        <v>0</v>
      </c>
      <c r="W43" s="24"/>
      <c r="X43" s="24"/>
      <c r="Y43" s="24"/>
    </row>
    <row r="44" spans="5:25">
      <c r="E44" s="6" t="s">
        <v>450</v>
      </c>
      <c r="F44" s="7" t="s">
        <v>19</v>
      </c>
      <c r="G44" s="6" t="s">
        <v>500</v>
      </c>
      <c r="H44" s="6" t="s">
        <v>305</v>
      </c>
      <c r="I44" s="6" t="s">
        <v>466</v>
      </c>
      <c r="J44" s="118">
        <f t="shared" si="10"/>
        <v>3.3595952690000002</v>
      </c>
      <c r="K44" s="119">
        <f t="shared" si="11"/>
        <v>3.3595952690000002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>
        <v>3.3595952690000002</v>
      </c>
      <c r="X44" s="24"/>
      <c r="Y44" s="24"/>
    </row>
    <row r="45" spans="5:25">
      <c r="E45" s="6" t="s">
        <v>450</v>
      </c>
      <c r="F45" s="7" t="s">
        <v>19</v>
      </c>
      <c r="G45" s="6" t="s">
        <v>500</v>
      </c>
      <c r="H45" s="6" t="s">
        <v>305</v>
      </c>
      <c r="I45" s="6" t="s">
        <v>472</v>
      </c>
      <c r="J45" s="118">
        <f t="shared" si="10"/>
        <v>28.128463676999999</v>
      </c>
      <c r="K45" s="119">
        <f t="shared" si="11"/>
        <v>28.128463676999999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>
        <v>2.7773831220000003</v>
      </c>
      <c r="W45" s="24">
        <v>9.0265036619999979</v>
      </c>
      <c r="X45" s="24">
        <v>16.324576893000003</v>
      </c>
      <c r="Y45" s="24"/>
    </row>
    <row r="46" spans="5:25">
      <c r="E46" s="6" t="s">
        <v>450</v>
      </c>
      <c r="F46" s="7" t="s">
        <v>19</v>
      </c>
      <c r="G46" s="6" t="s">
        <v>256</v>
      </c>
      <c r="H46" s="6" t="s">
        <v>303</v>
      </c>
      <c r="I46" s="6" t="s">
        <v>466</v>
      </c>
      <c r="J46" s="118">
        <f t="shared" si="10"/>
        <v>156.33885154600003</v>
      </c>
      <c r="K46" s="119">
        <f t="shared" si="11"/>
        <v>156.33885154600003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>
        <v>3.65105484</v>
      </c>
      <c r="W46" s="24">
        <v>88.343250515000008</v>
      </c>
      <c r="X46" s="24">
        <v>64.34454619100002</v>
      </c>
      <c r="Y46" s="24"/>
    </row>
    <row r="47" spans="5:25">
      <c r="E47" s="6" t="s">
        <v>450</v>
      </c>
      <c r="F47" s="7" t="s">
        <v>19</v>
      </c>
      <c r="G47" s="6" t="s">
        <v>508</v>
      </c>
      <c r="H47" s="6" t="s">
        <v>319</v>
      </c>
      <c r="I47" s="6" t="s">
        <v>472</v>
      </c>
      <c r="J47" s="118">
        <f t="shared" si="10"/>
        <v>4.3859000000000004</v>
      </c>
      <c r="K47" s="119">
        <f t="shared" si="11"/>
        <v>4.3859000000000004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>
        <v>4.3859000000000004</v>
      </c>
      <c r="W47" s="24"/>
      <c r="X47" s="24"/>
      <c r="Y47" s="24"/>
    </row>
    <row r="48" spans="5:25">
      <c r="E48" s="6" t="s">
        <v>572</v>
      </c>
      <c r="F48" s="7" t="s">
        <v>19</v>
      </c>
      <c r="G48" s="6" t="s">
        <v>441</v>
      </c>
      <c r="H48" s="6" t="s">
        <v>481</v>
      </c>
      <c r="I48" s="6" t="s">
        <v>466</v>
      </c>
      <c r="J48" s="118">
        <f t="shared" si="10"/>
        <v>40.01104885899997</v>
      </c>
      <c r="K48" s="119">
        <f t="shared" si="11"/>
        <v>40.01104885899997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>
        <v>40.01104885899997</v>
      </c>
      <c r="X48" s="24"/>
      <c r="Y48" s="24"/>
    </row>
    <row r="49" spans="5:25">
      <c r="E49" s="6" t="s">
        <v>482</v>
      </c>
      <c r="F49" s="7" t="s">
        <v>19</v>
      </c>
      <c r="G49" s="6" t="s">
        <v>256</v>
      </c>
      <c r="H49" s="6" t="s">
        <v>303</v>
      </c>
      <c r="I49" s="6" t="s">
        <v>466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>
        <v>0</v>
      </c>
      <c r="W49" s="24"/>
      <c r="X49" s="24"/>
      <c r="Y49" s="24"/>
    </row>
    <row r="50" spans="5:25">
      <c r="E50" s="6" t="s">
        <v>482</v>
      </c>
      <c r="F50" s="7" t="s">
        <v>19</v>
      </c>
      <c r="G50" s="6" t="s">
        <v>258</v>
      </c>
      <c r="H50" s="6" t="s">
        <v>306</v>
      </c>
      <c r="I50" s="6" t="s">
        <v>466</v>
      </c>
      <c r="J50" s="118">
        <f t="shared" si="10"/>
        <v>0.66919660000000003</v>
      </c>
      <c r="K50" s="119">
        <f t="shared" si="11"/>
        <v>0.66919660000000003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>
        <v>0</v>
      </c>
      <c r="W50" s="24">
        <v>0.66919660000000003</v>
      </c>
      <c r="X50" s="24">
        <v>0</v>
      </c>
      <c r="Y50" s="24"/>
    </row>
    <row r="51" spans="5:25">
      <c r="E51" s="6" t="s">
        <v>482</v>
      </c>
      <c r="F51" s="7" t="s">
        <v>19</v>
      </c>
      <c r="G51" s="6" t="s">
        <v>494</v>
      </c>
      <c r="H51" s="6" t="s">
        <v>299</v>
      </c>
      <c r="I51" s="6" t="s">
        <v>466</v>
      </c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>
        <v>0</v>
      </c>
      <c r="X51" s="24"/>
      <c r="Y51" s="24"/>
    </row>
    <row r="52" spans="5:25">
      <c r="E52" s="6" t="s">
        <v>569</v>
      </c>
      <c r="F52" s="7" t="s">
        <v>19</v>
      </c>
      <c r="G52" s="6" t="s">
        <v>447</v>
      </c>
      <c r="H52" s="6" t="s">
        <v>448</v>
      </c>
      <c r="I52" s="6" t="s">
        <v>466</v>
      </c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>
        <v>0</v>
      </c>
      <c r="X52" s="24"/>
      <c r="Y52" s="24"/>
    </row>
    <row r="53" spans="5:25">
      <c r="E53" s="6" t="s">
        <v>569</v>
      </c>
      <c r="F53" s="7" t="s">
        <v>19</v>
      </c>
      <c r="G53" s="6" t="s">
        <v>378</v>
      </c>
      <c r="H53" s="6" t="s">
        <v>290</v>
      </c>
      <c r="I53" s="6" t="s">
        <v>466</v>
      </c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>
        <v>0</v>
      </c>
      <c r="X53" s="24"/>
      <c r="Y53" s="24"/>
    </row>
    <row r="54" spans="5:25">
      <c r="E54" s="6" t="s">
        <v>483</v>
      </c>
      <c r="F54" s="7" t="s">
        <v>19</v>
      </c>
      <c r="G54" s="6" t="s">
        <v>258</v>
      </c>
      <c r="H54" s="6" t="s">
        <v>306</v>
      </c>
      <c r="I54" s="6" t="s">
        <v>466</v>
      </c>
      <c r="J54" s="118">
        <f t="shared" si="10"/>
        <v>19.453738987999998</v>
      </c>
      <c r="K54" s="119">
        <f t="shared" si="11"/>
        <v>19.453738987999998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>
        <v>9.3127081629999982</v>
      </c>
      <c r="X54" s="24">
        <v>10.141030824999998</v>
      </c>
      <c r="Y54" s="24"/>
    </row>
    <row r="55" spans="5:25">
      <c r="E55" s="6" t="s">
        <v>484</v>
      </c>
      <c r="F55" s="7" t="s">
        <v>19</v>
      </c>
      <c r="G55" s="6" t="s">
        <v>504</v>
      </c>
      <c r="H55" s="6" t="s">
        <v>307</v>
      </c>
      <c r="I55" s="6" t="s">
        <v>472</v>
      </c>
      <c r="J55" s="118">
        <f t="shared" si="10"/>
        <v>57.913983433999995</v>
      </c>
      <c r="K55" s="119">
        <f t="shared" si="11"/>
        <v>57.913983433999995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>
        <v>2.5075898719999996</v>
      </c>
      <c r="X55" s="24">
        <v>55.406393561999998</v>
      </c>
      <c r="Y55" s="24"/>
    </row>
    <row r="56" spans="5:25">
      <c r="E56" s="6" t="s">
        <v>484</v>
      </c>
      <c r="F56" s="7" t="s">
        <v>19</v>
      </c>
      <c r="G56" s="6" t="s">
        <v>503</v>
      </c>
      <c r="H56" s="6" t="s">
        <v>311</v>
      </c>
      <c r="I56" s="6" t="s">
        <v>472</v>
      </c>
      <c r="J56" s="118">
        <f t="shared" si="10"/>
        <v>3.2048898210000001</v>
      </c>
      <c r="K56" s="119">
        <f t="shared" si="11"/>
        <v>3.2048898210000001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>
        <v>3.2048898210000001</v>
      </c>
    </row>
    <row r="57" spans="5:25">
      <c r="E57" s="6" t="s">
        <v>484</v>
      </c>
      <c r="F57" s="7" t="s">
        <v>19</v>
      </c>
      <c r="G57" s="6" t="s">
        <v>500</v>
      </c>
      <c r="H57" s="6" t="s">
        <v>305</v>
      </c>
      <c r="I57" s="6" t="s">
        <v>472</v>
      </c>
      <c r="J57" s="118">
        <f t="shared" si="10"/>
        <v>47.636642921999993</v>
      </c>
      <c r="K57" s="119">
        <f t="shared" si="11"/>
        <v>47.636642921999993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>
        <v>47.636642921999993</v>
      </c>
    </row>
    <row r="58" spans="5:25">
      <c r="E58" s="6" t="s">
        <v>484</v>
      </c>
      <c r="F58" s="7" t="s">
        <v>19</v>
      </c>
      <c r="G58" s="6" t="s">
        <v>370</v>
      </c>
      <c r="H58" s="6" t="s">
        <v>308</v>
      </c>
      <c r="I58" s="6" t="s">
        <v>472</v>
      </c>
      <c r="J58" s="118">
        <f t="shared" si="10"/>
        <v>28.902717307000003</v>
      </c>
      <c r="K58" s="119">
        <f t="shared" si="11"/>
        <v>28.902717307000003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>
        <v>28.902717307000003</v>
      </c>
    </row>
    <row r="59" spans="5:25">
      <c r="E59" s="6" t="s">
        <v>484</v>
      </c>
      <c r="F59" s="7" t="s">
        <v>19</v>
      </c>
      <c r="G59" s="6" t="s">
        <v>264</v>
      </c>
      <c r="H59" s="6" t="s">
        <v>310</v>
      </c>
      <c r="I59" s="6" t="s">
        <v>472</v>
      </c>
      <c r="J59" s="118">
        <f t="shared" si="10"/>
        <v>0.33190336400000003</v>
      </c>
      <c r="K59" s="119">
        <f t="shared" si="11"/>
        <v>0.33190336400000003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>
        <v>0.33190336400000003</v>
      </c>
    </row>
    <row r="60" spans="5:25">
      <c r="E60" s="6" t="s">
        <v>451</v>
      </c>
      <c r="F60" s="7" t="s">
        <v>19</v>
      </c>
      <c r="G60" s="6" t="s">
        <v>504</v>
      </c>
      <c r="H60" s="6" t="s">
        <v>307</v>
      </c>
      <c r="I60" s="6" t="s">
        <v>466</v>
      </c>
      <c r="J60" s="118">
        <f t="shared" si="10"/>
        <v>12.144117764000001</v>
      </c>
      <c r="K60" s="119">
        <f t="shared" si="11"/>
        <v>12.144117764000001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>
        <v>3.7452569819999999</v>
      </c>
      <c r="W60" s="24">
        <v>8.3988607819999999</v>
      </c>
      <c r="X60" s="24"/>
      <c r="Y60" s="24"/>
    </row>
    <row r="61" spans="5:25">
      <c r="E61" s="6" t="s">
        <v>451</v>
      </c>
      <c r="F61" s="7" t="s">
        <v>19</v>
      </c>
      <c r="G61" s="6" t="s">
        <v>504</v>
      </c>
      <c r="H61" s="6" t="s">
        <v>307</v>
      </c>
      <c r="I61" s="6" t="s">
        <v>472</v>
      </c>
      <c r="J61" s="118">
        <f t="shared" si="10"/>
        <v>13.178568544999999</v>
      </c>
      <c r="K61" s="119">
        <f t="shared" si="11"/>
        <v>13.178568544999999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>
        <v>13.178568544999999</v>
      </c>
      <c r="X61" s="24"/>
      <c r="Y61" s="24"/>
    </row>
    <row r="62" spans="5:25">
      <c r="E62" s="6" t="s">
        <v>451</v>
      </c>
      <c r="F62" s="7" t="s">
        <v>19</v>
      </c>
      <c r="G62" s="6" t="s">
        <v>370</v>
      </c>
      <c r="H62" s="6" t="s">
        <v>308</v>
      </c>
      <c r="I62" s="6" t="s">
        <v>466</v>
      </c>
      <c r="J62" s="118">
        <f t="shared" si="10"/>
        <v>2.1636036089999999</v>
      </c>
      <c r="K62" s="119">
        <f t="shared" si="11"/>
        <v>2.1636036089999999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>
        <v>2.1636036089999999</v>
      </c>
      <c r="X62" s="24"/>
      <c r="Y62" s="24"/>
    </row>
    <row r="63" spans="5:25">
      <c r="E63" s="6" t="s">
        <v>577</v>
      </c>
      <c r="F63" s="7" t="s">
        <v>19</v>
      </c>
      <c r="G63" s="6" t="s">
        <v>500</v>
      </c>
      <c r="H63" s="6" t="s">
        <v>305</v>
      </c>
      <c r="I63" s="6" t="s">
        <v>472</v>
      </c>
      <c r="J63" s="118">
        <f t="shared" si="10"/>
        <v>19.768845337000002</v>
      </c>
      <c r="K63" s="119">
        <f t="shared" si="11"/>
        <v>19.768845337000002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>
        <v>19.768845337000002</v>
      </c>
      <c r="X63" s="24"/>
      <c r="Y63" s="24"/>
    </row>
    <row r="64" spans="5:25">
      <c r="E64" s="6" t="s">
        <v>485</v>
      </c>
      <c r="F64" s="7" t="s">
        <v>19</v>
      </c>
      <c r="G64" s="6" t="s">
        <v>529</v>
      </c>
      <c r="H64" s="6" t="s">
        <v>530</v>
      </c>
      <c r="I64" s="6" t="s">
        <v>472</v>
      </c>
      <c r="J64" s="118">
        <f t="shared" si="10"/>
        <v>23.747734214999998</v>
      </c>
      <c r="K64" s="119">
        <f t="shared" si="11"/>
        <v>23.747734214999998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>
        <v>23.747734214999998</v>
      </c>
      <c r="W64" s="24"/>
      <c r="X64" s="24"/>
      <c r="Y64" s="24"/>
    </row>
    <row r="65" spans="5:25">
      <c r="E65" s="6" t="s">
        <v>589</v>
      </c>
      <c r="F65" s="7" t="s">
        <v>19</v>
      </c>
      <c r="G65" s="6" t="s">
        <v>282</v>
      </c>
      <c r="H65" s="6" t="s">
        <v>283</v>
      </c>
      <c r="I65" s="6" t="s">
        <v>466</v>
      </c>
      <c r="J65" s="118">
        <f t="shared" si="10"/>
        <v>1.9666872719999999</v>
      </c>
      <c r="K65" s="119">
        <f t="shared" si="11"/>
        <v>1.9666872719999999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>
        <v>1.9666872719999999</v>
      </c>
      <c r="X65" s="24"/>
      <c r="Y65" s="24"/>
    </row>
    <row r="66" spans="5:25">
      <c r="E66" s="6" t="s">
        <v>589</v>
      </c>
      <c r="F66" s="7" t="s">
        <v>19</v>
      </c>
      <c r="G66" s="6" t="s">
        <v>379</v>
      </c>
      <c r="H66" s="6" t="s">
        <v>291</v>
      </c>
      <c r="I66" s="6" t="s">
        <v>466</v>
      </c>
      <c r="J66" s="118">
        <f t="shared" si="10"/>
        <v>1.5587086999999999E-2</v>
      </c>
      <c r="K66" s="119">
        <f t="shared" si="11"/>
        <v>1.5587086999999999E-2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>
        <v>1.5587086999999999E-2</v>
      </c>
      <c r="X66" s="24"/>
      <c r="Y66" s="24"/>
    </row>
    <row r="67" spans="5:25">
      <c r="E67" s="6" t="s">
        <v>607</v>
      </c>
      <c r="F67" s="7" t="s">
        <v>19</v>
      </c>
      <c r="G67" s="6" t="s">
        <v>237</v>
      </c>
      <c r="H67" s="6" t="s">
        <v>277</v>
      </c>
      <c r="I67" s="6" t="s">
        <v>466</v>
      </c>
      <c r="J67" s="118">
        <f t="shared" si="10"/>
        <v>18.165739839</v>
      </c>
      <c r="K67" s="119">
        <f t="shared" si="11"/>
        <v>18.165739839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>
        <v>18.165739839</v>
      </c>
      <c r="X67" s="24"/>
      <c r="Y67" s="24"/>
    </row>
    <row r="68" spans="5:25">
      <c r="E68" s="6" t="s">
        <v>270</v>
      </c>
      <c r="F68" s="7" t="s">
        <v>19</v>
      </c>
      <c r="G68" s="6" t="s">
        <v>441</v>
      </c>
      <c r="H68" s="6" t="s">
        <v>481</v>
      </c>
      <c r="I68" s="6" t="s">
        <v>466</v>
      </c>
      <c r="J68" s="118">
        <f t="shared" si="10"/>
        <v>14.159659499999998</v>
      </c>
      <c r="K68" s="119">
        <f t="shared" si="11"/>
        <v>14.159659499999998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>
        <v>14.159659499999998</v>
      </c>
      <c r="X68" s="24"/>
      <c r="Y68" s="24"/>
    </row>
    <row r="69" spans="5:25">
      <c r="E69" s="6" t="s">
        <v>270</v>
      </c>
      <c r="F69" s="7" t="s">
        <v>19</v>
      </c>
      <c r="G69" s="6" t="s">
        <v>374</v>
      </c>
      <c r="H69" s="6" t="s">
        <v>317</v>
      </c>
      <c r="I69" s="6" t="s">
        <v>466</v>
      </c>
      <c r="J69" s="118">
        <f t="shared" si="10"/>
        <v>27.500591357000005</v>
      </c>
      <c r="K69" s="119">
        <f t="shared" si="11"/>
        <v>27.500591357000005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>
        <v>1.1826547569999999</v>
      </c>
      <c r="W69" s="24">
        <v>26.317936600000003</v>
      </c>
      <c r="X69" s="24"/>
      <c r="Y69" s="24"/>
    </row>
    <row r="70" spans="5:25">
      <c r="E70" s="6" t="s">
        <v>270</v>
      </c>
      <c r="F70" s="7" t="s">
        <v>19</v>
      </c>
      <c r="G70" s="6" t="s">
        <v>374</v>
      </c>
      <c r="H70" s="6" t="s">
        <v>317</v>
      </c>
      <c r="I70" s="6" t="s">
        <v>472</v>
      </c>
      <c r="J70" s="118">
        <f t="shared" si="10"/>
        <v>2.9897176999999999</v>
      </c>
      <c r="K70" s="119">
        <f t="shared" si="11"/>
        <v>2.9897176999999999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>
        <v>2.9897176999999999</v>
      </c>
      <c r="W70" s="24"/>
      <c r="X70" s="24"/>
      <c r="Y70" s="24"/>
    </row>
    <row r="71" spans="5:25">
      <c r="E71" s="6" t="s">
        <v>270</v>
      </c>
      <c r="F71" s="7" t="s">
        <v>19</v>
      </c>
      <c r="G71" s="6" t="s">
        <v>508</v>
      </c>
      <c r="H71" s="6" t="s">
        <v>319</v>
      </c>
      <c r="I71" s="6" t="s">
        <v>466</v>
      </c>
      <c r="J71" s="118">
        <f t="shared" si="10"/>
        <v>120.7699657</v>
      </c>
      <c r="K71" s="119">
        <f t="shared" si="11"/>
        <v>120.7699657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>
        <v>29.318501099999999</v>
      </c>
      <c r="X71" s="24">
        <v>91.451464599999994</v>
      </c>
      <c r="Y71" s="24"/>
    </row>
    <row r="72" spans="5:25">
      <c r="E72" s="6" t="s">
        <v>570</v>
      </c>
      <c r="F72" s="7" t="s">
        <v>19</v>
      </c>
      <c r="G72" s="6" t="s">
        <v>237</v>
      </c>
      <c r="H72" s="6" t="s">
        <v>277</v>
      </c>
      <c r="I72" s="6" t="s">
        <v>466</v>
      </c>
      <c r="J72" s="118">
        <f t="shared" si="10"/>
        <v>0.71694856799999995</v>
      </c>
      <c r="K72" s="119">
        <f t="shared" si="11"/>
        <v>0.71694856799999995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>
        <v>0.71694856799999995</v>
      </c>
      <c r="X72" s="24"/>
      <c r="Y72" s="24"/>
    </row>
    <row r="73" spans="5:25">
      <c r="E73" s="6" t="s">
        <v>489</v>
      </c>
      <c r="F73" s="7" t="s">
        <v>19</v>
      </c>
      <c r="G73" s="6" t="s">
        <v>447</v>
      </c>
      <c r="H73" s="6" t="s">
        <v>448</v>
      </c>
      <c r="I73" s="6" t="s">
        <v>466</v>
      </c>
      <c r="J73" s="118">
        <f t="shared" si="10"/>
        <v>2.9798824829999999</v>
      </c>
      <c r="K73" s="119">
        <f t="shared" si="11"/>
        <v>2.9798824829999999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>
        <v>2.9798824829999999</v>
      </c>
      <c r="W73" s="24"/>
      <c r="X73" s="24"/>
      <c r="Y73" s="24"/>
    </row>
    <row r="74" spans="5:25">
      <c r="E74" s="6" t="s">
        <v>457</v>
      </c>
      <c r="F74" s="7" t="s">
        <v>19</v>
      </c>
      <c r="G74" s="6" t="s">
        <v>374</v>
      </c>
      <c r="H74" s="9" t="s">
        <v>317</v>
      </c>
      <c r="I74" s="9" t="s">
        <v>466</v>
      </c>
      <c r="J74" s="118">
        <f t="shared" si="10"/>
        <v>3.8902079999999994</v>
      </c>
      <c r="K74" s="119">
        <f t="shared" si="11"/>
        <v>3.8902079999999994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>
        <v>3.8902079999999994</v>
      </c>
      <c r="W74" s="24"/>
      <c r="X74" s="24"/>
      <c r="Y74" s="24"/>
    </row>
    <row r="75" spans="5:25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5:25">
      <c r="E76" s="305" t="s">
        <v>611</v>
      </c>
      <c r="F76" s="437" t="s">
        <v>19</v>
      </c>
      <c r="G76" s="437" t="s">
        <v>612</v>
      </c>
      <c r="H76" s="305" t="s">
        <v>243</v>
      </c>
      <c r="I76" s="305" t="s">
        <v>472</v>
      </c>
      <c r="J76" s="118">
        <f t="shared" si="10"/>
        <v>23.960324400000001</v>
      </c>
      <c r="K76" s="119">
        <f t="shared" si="11"/>
        <v>23.960324400000001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443"/>
      <c r="W76" s="443"/>
      <c r="X76" s="444"/>
      <c r="Y76" s="443">
        <v>23.960324400000001</v>
      </c>
    </row>
    <row r="77" spans="5:25">
      <c r="E77" s="305" t="s">
        <v>580</v>
      </c>
      <c r="F77" s="437" t="s">
        <v>19</v>
      </c>
      <c r="G77" s="437" t="s">
        <v>613</v>
      </c>
      <c r="H77" s="305" t="s">
        <v>243</v>
      </c>
      <c r="I77" s="305" t="s">
        <v>472</v>
      </c>
      <c r="J77" s="118">
        <f t="shared" si="10"/>
        <v>84.220979999999997</v>
      </c>
      <c r="K77" s="119">
        <f t="shared" si="11"/>
        <v>84.220979999999997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443">
        <v>84.220979999999997</v>
      </c>
      <c r="W77" s="443"/>
      <c r="X77" s="444"/>
      <c r="Y77" s="443"/>
    </row>
    <row r="78" spans="5:25">
      <c r="E78" s="305" t="s">
        <v>597</v>
      </c>
      <c r="F78" s="437" t="s">
        <v>19</v>
      </c>
      <c r="G78" s="437" t="s">
        <v>614</v>
      </c>
      <c r="H78" s="305" t="s">
        <v>615</v>
      </c>
      <c r="I78" s="305" t="s">
        <v>472</v>
      </c>
      <c r="J78" s="118">
        <f t="shared" si="10"/>
        <v>0.3574638504</v>
      </c>
      <c r="K78" s="119">
        <f t="shared" si="11"/>
        <v>0.3574638504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443"/>
      <c r="W78" s="443">
        <v>0.3574638504</v>
      </c>
      <c r="X78" s="444"/>
      <c r="Y78" s="443"/>
    </row>
    <row r="79" spans="5:25">
      <c r="E79" s="305" t="s">
        <v>597</v>
      </c>
      <c r="F79" s="437" t="s">
        <v>19</v>
      </c>
      <c r="G79" s="437" t="s">
        <v>614</v>
      </c>
      <c r="H79" s="305" t="s">
        <v>243</v>
      </c>
      <c r="I79" s="305" t="s">
        <v>466</v>
      </c>
      <c r="J79" s="118">
        <f t="shared" si="10"/>
        <v>15.970591979999998</v>
      </c>
      <c r="K79" s="119">
        <f t="shared" si="11"/>
        <v>15.970591979999998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443"/>
      <c r="W79" s="443">
        <v>15.970591979999998</v>
      </c>
      <c r="X79" s="444"/>
      <c r="Y79" s="443"/>
    </row>
    <row r="80" spans="5:25">
      <c r="E80" s="305" t="s">
        <v>581</v>
      </c>
      <c r="F80" s="437" t="s">
        <v>19</v>
      </c>
      <c r="G80" s="437" t="s">
        <v>616</v>
      </c>
      <c r="H80" s="305" t="s">
        <v>615</v>
      </c>
      <c r="I80" s="305" t="s">
        <v>472</v>
      </c>
      <c r="J80" s="118">
        <f t="shared" si="10"/>
        <v>41.204236290000004</v>
      </c>
      <c r="K80" s="119">
        <f t="shared" si="11"/>
        <v>41.204236290000004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443">
        <v>5.0334953000000002</v>
      </c>
      <c r="W80" s="443">
        <v>25.730710290000001</v>
      </c>
      <c r="X80" s="444"/>
      <c r="Y80" s="443">
        <v>10.440030700000001</v>
      </c>
    </row>
    <row r="81" spans="5:25">
      <c r="E81" s="305" t="s">
        <v>581</v>
      </c>
      <c r="F81" s="437" t="s">
        <v>19</v>
      </c>
      <c r="G81" s="437" t="s">
        <v>617</v>
      </c>
      <c r="H81" s="305" t="s">
        <v>615</v>
      </c>
      <c r="I81" s="305" t="s">
        <v>466</v>
      </c>
      <c r="J81" s="118">
        <f t="shared" si="10"/>
        <v>45.461899000000003</v>
      </c>
      <c r="K81" s="119">
        <f t="shared" si="11"/>
        <v>45.461899000000003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443">
        <v>9.9715205000000022</v>
      </c>
      <c r="W81" s="443">
        <v>13.4940563</v>
      </c>
      <c r="X81" s="444"/>
      <c r="Y81" s="443">
        <v>21.996322200000002</v>
      </c>
    </row>
    <row r="82" spans="5:25">
      <c r="E82" s="305" t="s">
        <v>581</v>
      </c>
      <c r="F82" s="437" t="s">
        <v>19</v>
      </c>
      <c r="G82" s="437" t="s">
        <v>618</v>
      </c>
      <c r="H82" s="305" t="s">
        <v>615</v>
      </c>
      <c r="I82" s="305" t="s">
        <v>466</v>
      </c>
      <c r="J82" s="118">
        <f t="shared" si="10"/>
        <v>46.011112999999995</v>
      </c>
      <c r="K82" s="119">
        <f t="shared" si="11"/>
        <v>46.011112999999995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443">
        <v>20.5274359</v>
      </c>
      <c r="W82" s="443">
        <v>25.483677099999998</v>
      </c>
      <c r="X82" s="444"/>
      <c r="Y82" s="443"/>
    </row>
    <row r="83" spans="5:25">
      <c r="E83" s="305" t="s">
        <v>581</v>
      </c>
      <c r="F83" s="437" t="s">
        <v>19</v>
      </c>
      <c r="G83" s="437" t="s">
        <v>619</v>
      </c>
      <c r="H83" s="305" t="s">
        <v>615</v>
      </c>
      <c r="I83" s="305" t="s">
        <v>466</v>
      </c>
      <c r="J83" s="118">
        <f t="shared" si="10"/>
        <v>0.15601509999999999</v>
      </c>
      <c r="K83" s="119">
        <f t="shared" si="11"/>
        <v>0.15601509999999999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/>
      <c r="V83" s="443">
        <v>0.15601509999999999</v>
      </c>
      <c r="W83" s="443"/>
      <c r="X83" s="444"/>
      <c r="Y83" s="443"/>
    </row>
    <row r="84" spans="5:25">
      <c r="E84" s="305" t="s">
        <v>581</v>
      </c>
      <c r="F84" s="437" t="s">
        <v>19</v>
      </c>
      <c r="G84" s="437" t="s">
        <v>620</v>
      </c>
      <c r="H84" s="305" t="s">
        <v>615</v>
      </c>
      <c r="I84" s="305" t="s">
        <v>466</v>
      </c>
      <c r="J84" s="118">
        <f t="shared" si="10"/>
        <v>50.615942800000006</v>
      </c>
      <c r="K84" s="119">
        <f t="shared" si="11"/>
        <v>50.615942800000006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443">
        <v>23.630410200000004</v>
      </c>
      <c r="W84" s="443">
        <v>22.006457099999999</v>
      </c>
      <c r="X84" s="444"/>
      <c r="Y84" s="443">
        <v>4.9790754999999995</v>
      </c>
    </row>
    <row r="85" spans="5:25">
      <c r="E85" s="305" t="s">
        <v>581</v>
      </c>
      <c r="F85" s="437" t="s">
        <v>19</v>
      </c>
      <c r="G85" s="437" t="s">
        <v>621</v>
      </c>
      <c r="H85" s="305" t="s">
        <v>615</v>
      </c>
      <c r="I85" s="305" t="s">
        <v>466</v>
      </c>
      <c r="J85" s="118">
        <f t="shared" si="10"/>
        <v>22.062409399999996</v>
      </c>
      <c r="K85" s="119">
        <f t="shared" si="11"/>
        <v>22.062409399999996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443">
        <v>1.4584739999999998</v>
      </c>
      <c r="W85" s="443"/>
      <c r="X85" s="444"/>
      <c r="Y85" s="443">
        <v>20.603935399999997</v>
      </c>
    </row>
    <row r="86" spans="5:25">
      <c r="E86" s="305" t="s">
        <v>581</v>
      </c>
      <c r="F86" s="437" t="s">
        <v>19</v>
      </c>
      <c r="G86" s="437" t="s">
        <v>622</v>
      </c>
      <c r="H86" s="305" t="s">
        <v>615</v>
      </c>
      <c r="I86" s="305" t="s">
        <v>466</v>
      </c>
      <c r="J86" s="118">
        <f t="shared" si="10"/>
        <v>17.952419299999999</v>
      </c>
      <c r="K86" s="119">
        <f t="shared" si="11"/>
        <v>17.952419299999999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443">
        <v>17.952419299999999</v>
      </c>
      <c r="W86" s="443"/>
      <c r="X86" s="444"/>
      <c r="Y86" s="443"/>
    </row>
    <row r="87" spans="5:25">
      <c r="E87" s="305" t="s">
        <v>581</v>
      </c>
      <c r="F87" s="437" t="s">
        <v>19</v>
      </c>
      <c r="G87" s="437" t="s">
        <v>623</v>
      </c>
      <c r="H87" s="305" t="s">
        <v>615</v>
      </c>
      <c r="I87" s="305" t="s">
        <v>466</v>
      </c>
      <c r="J87" s="118">
        <f t="shared" si="10"/>
        <v>25.626392600000003</v>
      </c>
      <c r="K87" s="119">
        <f t="shared" si="11"/>
        <v>25.626392600000003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443">
        <v>12.5401732</v>
      </c>
      <c r="W87" s="443">
        <v>5.2392738000000003</v>
      </c>
      <c r="X87" s="444"/>
      <c r="Y87" s="443">
        <v>7.8469455999999997</v>
      </c>
    </row>
    <row r="88" spans="5:25">
      <c r="E88" s="305" t="s">
        <v>598</v>
      </c>
      <c r="F88" s="437" t="s">
        <v>19</v>
      </c>
      <c r="G88" s="437" t="s">
        <v>612</v>
      </c>
      <c r="H88" s="305" t="s">
        <v>243</v>
      </c>
      <c r="I88" s="305" t="s">
        <v>466</v>
      </c>
      <c r="J88" s="118">
        <f t="shared" si="10"/>
        <v>6.0859211000000002</v>
      </c>
      <c r="K88" s="119">
        <f t="shared" si="11"/>
        <v>6.0859211000000002</v>
      </c>
      <c r="L88" s="119">
        <f t="shared" si="12"/>
        <v>0</v>
      </c>
      <c r="N88" s="24"/>
      <c r="O88" s="24"/>
      <c r="P88" s="24"/>
      <c r="Q88" s="24"/>
      <c r="R88" s="24"/>
      <c r="S88" s="24"/>
      <c r="T88" s="24"/>
      <c r="U88" s="24"/>
      <c r="V88" s="443">
        <v>6.0859211000000002</v>
      </c>
      <c r="W88" s="443"/>
      <c r="X88" s="444"/>
      <c r="Y88" s="443"/>
    </row>
    <row r="89" spans="5:25">
      <c r="E89" s="305" t="s">
        <v>598</v>
      </c>
      <c r="F89" s="437" t="s">
        <v>19</v>
      </c>
      <c r="G89" s="437" t="s">
        <v>624</v>
      </c>
      <c r="H89" s="305" t="s">
        <v>615</v>
      </c>
      <c r="I89" s="305" t="s">
        <v>472</v>
      </c>
      <c r="J89" s="118">
        <f t="shared" ref="J89:J101" si="13">+K89+L89</f>
        <v>10.563825400000001</v>
      </c>
      <c r="K89" s="119">
        <f t="shared" ref="K89:K101" si="14">SUM(N89:Y89)</f>
        <v>10.563825400000001</v>
      </c>
      <c r="L89" s="119">
        <f t="shared" ref="L89:L101" si="15">SUM(AA89:AL89)</f>
        <v>0</v>
      </c>
      <c r="N89" s="24"/>
      <c r="O89" s="24"/>
      <c r="P89" s="24"/>
      <c r="Q89" s="24"/>
      <c r="R89" s="24"/>
      <c r="S89" s="24"/>
      <c r="T89" s="24"/>
      <c r="U89" s="24"/>
      <c r="V89" s="443"/>
      <c r="W89" s="443"/>
      <c r="X89" s="444"/>
      <c r="Y89" s="443">
        <v>10.563825400000001</v>
      </c>
    </row>
    <row r="90" spans="5:25">
      <c r="E90" s="305" t="s">
        <v>583</v>
      </c>
      <c r="F90" s="437" t="s">
        <v>19</v>
      </c>
      <c r="G90" s="437" t="s">
        <v>625</v>
      </c>
      <c r="H90" s="305" t="s">
        <v>615</v>
      </c>
      <c r="I90" s="305" t="s">
        <v>466</v>
      </c>
      <c r="J90" s="118">
        <f t="shared" si="13"/>
        <v>25.312194200000004</v>
      </c>
      <c r="K90" s="119">
        <f t="shared" si="14"/>
        <v>25.312194200000004</v>
      </c>
      <c r="L90" s="119">
        <f t="shared" si="15"/>
        <v>0</v>
      </c>
      <c r="N90" s="24"/>
      <c r="O90" s="24"/>
      <c r="P90" s="24"/>
      <c r="Q90" s="24"/>
      <c r="R90" s="24"/>
      <c r="S90" s="24"/>
      <c r="T90" s="24"/>
      <c r="U90" s="24"/>
      <c r="V90" s="443"/>
      <c r="W90" s="443">
        <v>25.312194200000004</v>
      </c>
      <c r="X90" s="444"/>
      <c r="Y90" s="443"/>
    </row>
    <row r="91" spans="5:25">
      <c r="E91" s="305" t="s">
        <v>595</v>
      </c>
      <c r="F91" s="437" t="s">
        <v>19</v>
      </c>
      <c r="G91" s="437" t="s">
        <v>616</v>
      </c>
      <c r="H91" s="305" t="s">
        <v>615</v>
      </c>
      <c r="I91" s="305" t="s">
        <v>466</v>
      </c>
      <c r="J91" s="118">
        <f t="shared" si="13"/>
        <v>6.4022005799999997</v>
      </c>
      <c r="K91" s="119">
        <f t="shared" si="14"/>
        <v>6.4022005799999997</v>
      </c>
      <c r="L91" s="119">
        <f t="shared" si="15"/>
        <v>0</v>
      </c>
      <c r="N91" s="24"/>
      <c r="O91" s="24"/>
      <c r="P91" s="24"/>
      <c r="Q91" s="24"/>
      <c r="R91" s="24"/>
      <c r="S91" s="24"/>
      <c r="T91" s="24"/>
      <c r="U91" s="24"/>
      <c r="V91" s="443"/>
      <c r="W91" s="443">
        <v>6.4022005799999997</v>
      </c>
      <c r="X91" s="444"/>
      <c r="Y91" s="443"/>
    </row>
    <row r="92" spans="5:25">
      <c r="E92" s="305" t="s">
        <v>595</v>
      </c>
      <c r="F92" s="437" t="s">
        <v>19</v>
      </c>
      <c r="G92" s="437" t="s">
        <v>617</v>
      </c>
      <c r="H92" s="305" t="s">
        <v>615</v>
      </c>
      <c r="I92" s="305" t="s">
        <v>466</v>
      </c>
      <c r="J92" s="118">
        <f t="shared" si="13"/>
        <v>9.7735672299999994</v>
      </c>
      <c r="K92" s="119">
        <f t="shared" si="14"/>
        <v>9.7735672299999994</v>
      </c>
      <c r="L92" s="119">
        <f t="shared" si="15"/>
        <v>0</v>
      </c>
      <c r="N92" s="24"/>
      <c r="O92" s="24"/>
      <c r="P92" s="24"/>
      <c r="Q92" s="24"/>
      <c r="R92" s="24"/>
      <c r="S92" s="24"/>
      <c r="T92" s="24"/>
      <c r="U92" s="24"/>
      <c r="V92" s="443"/>
      <c r="W92" s="443">
        <v>9.7735672299999994</v>
      </c>
      <c r="X92" s="444"/>
      <c r="Y92" s="443"/>
    </row>
    <row r="93" spans="5:25">
      <c r="E93" s="305" t="s">
        <v>595</v>
      </c>
      <c r="F93" s="437" t="s">
        <v>19</v>
      </c>
      <c r="G93" s="437" t="s">
        <v>618</v>
      </c>
      <c r="H93" s="305" t="s">
        <v>615</v>
      </c>
      <c r="I93" s="305" t="s">
        <v>466</v>
      </c>
      <c r="J93" s="118">
        <f t="shared" si="13"/>
        <v>9.1080971799999997</v>
      </c>
      <c r="K93" s="119">
        <f t="shared" si="14"/>
        <v>9.1080971799999997</v>
      </c>
      <c r="L93" s="119">
        <f t="shared" si="15"/>
        <v>0</v>
      </c>
      <c r="N93" s="24"/>
      <c r="O93" s="24"/>
      <c r="P93" s="24"/>
      <c r="Q93" s="24"/>
      <c r="R93" s="24"/>
      <c r="S93" s="24"/>
      <c r="T93" s="24"/>
      <c r="U93" s="24"/>
      <c r="V93" s="443"/>
      <c r="W93" s="443">
        <v>9.1080971799999997</v>
      </c>
      <c r="X93" s="444"/>
      <c r="Y93" s="443"/>
    </row>
    <row r="94" spans="5:25">
      <c r="E94" s="305" t="s">
        <v>595</v>
      </c>
      <c r="F94" s="437" t="s">
        <v>19</v>
      </c>
      <c r="G94" s="437" t="s">
        <v>620</v>
      </c>
      <c r="H94" s="305" t="s">
        <v>615</v>
      </c>
      <c r="I94" s="305" t="s">
        <v>466</v>
      </c>
      <c r="J94" s="118">
        <f t="shared" si="13"/>
        <v>1.3839165</v>
      </c>
      <c r="K94" s="119">
        <f t="shared" si="14"/>
        <v>1.3839165</v>
      </c>
      <c r="L94" s="119">
        <f t="shared" si="15"/>
        <v>0</v>
      </c>
      <c r="N94" s="24"/>
      <c r="O94" s="24"/>
      <c r="P94" s="24"/>
      <c r="Q94" s="24"/>
      <c r="R94" s="24"/>
      <c r="S94" s="24"/>
      <c r="T94" s="24"/>
      <c r="U94" s="24"/>
      <c r="V94" s="443"/>
      <c r="W94" s="443">
        <v>1.3839165</v>
      </c>
      <c r="X94" s="444"/>
      <c r="Y94" s="443"/>
    </row>
    <row r="95" spans="5:25">
      <c r="E95" s="305" t="s">
        <v>595</v>
      </c>
      <c r="F95" s="437" t="s">
        <v>19</v>
      </c>
      <c r="G95" s="437" t="s">
        <v>620</v>
      </c>
      <c r="H95" s="305" t="s">
        <v>243</v>
      </c>
      <c r="I95" s="305" t="s">
        <v>466</v>
      </c>
      <c r="J95" s="118">
        <f t="shared" si="13"/>
        <v>8.6791255100000004</v>
      </c>
      <c r="K95" s="119">
        <f t="shared" si="14"/>
        <v>8.6791255100000004</v>
      </c>
      <c r="L95" s="119">
        <f t="shared" si="15"/>
        <v>0</v>
      </c>
      <c r="N95" s="24"/>
      <c r="O95" s="24"/>
      <c r="P95" s="24"/>
      <c r="Q95" s="24"/>
      <c r="R95" s="24"/>
      <c r="S95" s="24"/>
      <c r="T95" s="24"/>
      <c r="U95" s="24"/>
      <c r="V95" s="443"/>
      <c r="W95" s="443">
        <v>8.6791255100000004</v>
      </c>
      <c r="X95" s="444"/>
      <c r="Y95" s="443"/>
    </row>
    <row r="96" spans="5:25">
      <c r="E96" s="305" t="s">
        <v>584</v>
      </c>
      <c r="F96" s="437" t="s">
        <v>19</v>
      </c>
      <c r="G96" s="437" t="s">
        <v>623</v>
      </c>
      <c r="H96" s="305" t="s">
        <v>615</v>
      </c>
      <c r="I96" s="305" t="s">
        <v>472</v>
      </c>
      <c r="J96" s="118">
        <f t="shared" si="13"/>
        <v>35.229979999999998</v>
      </c>
      <c r="K96" s="119">
        <f t="shared" si="14"/>
        <v>35.229979999999998</v>
      </c>
      <c r="L96" s="119">
        <f t="shared" si="15"/>
        <v>0</v>
      </c>
      <c r="N96" s="24"/>
      <c r="O96" s="24"/>
      <c r="P96" s="24"/>
      <c r="Q96" s="24"/>
      <c r="R96" s="24"/>
      <c r="S96" s="24"/>
      <c r="T96" s="24"/>
      <c r="U96" s="24"/>
      <c r="V96" s="443"/>
      <c r="W96" s="443">
        <v>35.229979999999998</v>
      </c>
      <c r="X96" s="444"/>
      <c r="Y96" s="443"/>
    </row>
    <row r="97" spans="5:25">
      <c r="E97" s="305" t="s">
        <v>585</v>
      </c>
      <c r="F97" s="437" t="s">
        <v>19</v>
      </c>
      <c r="G97" s="437" t="s">
        <v>626</v>
      </c>
      <c r="H97" s="305" t="s">
        <v>615</v>
      </c>
      <c r="I97" s="305" t="s">
        <v>466</v>
      </c>
      <c r="J97" s="118">
        <f t="shared" si="13"/>
        <v>6.8015437500000004</v>
      </c>
      <c r="K97" s="119">
        <f t="shared" si="14"/>
        <v>6.8015437500000004</v>
      </c>
      <c r="L97" s="119">
        <f t="shared" si="15"/>
        <v>0</v>
      </c>
      <c r="N97" s="24"/>
      <c r="O97" s="24"/>
      <c r="P97" s="24"/>
      <c r="Q97" s="24"/>
      <c r="R97" s="24"/>
      <c r="S97" s="24"/>
      <c r="T97" s="24"/>
      <c r="U97" s="24"/>
      <c r="V97" s="443"/>
      <c r="W97" s="443">
        <v>6.8015437500000004</v>
      </c>
      <c r="X97" s="444"/>
      <c r="Y97" s="443"/>
    </row>
    <row r="98" spans="5:25">
      <c r="E98" s="305" t="s">
        <v>585</v>
      </c>
      <c r="F98" s="437" t="s">
        <v>19</v>
      </c>
      <c r="G98" s="437" t="s">
        <v>626</v>
      </c>
      <c r="H98" s="305" t="s">
        <v>243</v>
      </c>
      <c r="I98" s="305" t="s">
        <v>466</v>
      </c>
      <c r="J98" s="118">
        <f t="shared" si="13"/>
        <v>12.6068411</v>
      </c>
      <c r="K98" s="119">
        <f t="shared" si="14"/>
        <v>12.6068411</v>
      </c>
      <c r="L98" s="119">
        <f t="shared" si="15"/>
        <v>0</v>
      </c>
      <c r="N98" s="24"/>
      <c r="O98" s="24"/>
      <c r="P98" s="24"/>
      <c r="Q98" s="24"/>
      <c r="R98" s="24"/>
      <c r="S98" s="24"/>
      <c r="T98" s="24"/>
      <c r="U98" s="24"/>
      <c r="V98" s="443">
        <v>2.5042230000000001</v>
      </c>
      <c r="W98" s="443"/>
      <c r="X98" s="444"/>
      <c r="Y98" s="443">
        <v>10.102618100000001</v>
      </c>
    </row>
    <row r="99" spans="5:25">
      <c r="E99" s="305" t="s">
        <v>594</v>
      </c>
      <c r="F99" s="437" t="s">
        <v>19</v>
      </c>
      <c r="G99" s="437" t="s">
        <v>613</v>
      </c>
      <c r="H99" s="305" t="s">
        <v>243</v>
      </c>
      <c r="I99" s="305" t="s">
        <v>472</v>
      </c>
      <c r="J99" s="118">
        <f t="shared" si="13"/>
        <v>185.48092439999996</v>
      </c>
      <c r="K99" s="119">
        <f t="shared" si="14"/>
        <v>185.48092439999996</v>
      </c>
      <c r="L99" s="119">
        <f t="shared" si="15"/>
        <v>0</v>
      </c>
      <c r="N99" s="24"/>
      <c r="O99" s="24"/>
      <c r="P99" s="24"/>
      <c r="Q99" s="24"/>
      <c r="R99" s="24"/>
      <c r="S99" s="24"/>
      <c r="T99" s="24"/>
      <c r="U99" s="24"/>
      <c r="V99" s="443">
        <v>185.48092439999996</v>
      </c>
      <c r="W99" s="443"/>
      <c r="X99" s="444"/>
      <c r="Y99" s="443"/>
    </row>
    <row r="100" spans="5:25">
      <c r="E100" s="305" t="s">
        <v>586</v>
      </c>
      <c r="F100" s="437" t="s">
        <v>19</v>
      </c>
      <c r="G100" s="437" t="s">
        <v>627</v>
      </c>
      <c r="H100" s="305" t="s">
        <v>615</v>
      </c>
      <c r="I100" s="305" t="s">
        <v>472</v>
      </c>
      <c r="J100" s="118">
        <f t="shared" si="13"/>
        <v>5.29616475E-2</v>
      </c>
      <c r="K100" s="119">
        <f t="shared" si="14"/>
        <v>5.29616475E-2</v>
      </c>
      <c r="L100" s="119">
        <f t="shared" si="15"/>
        <v>0</v>
      </c>
      <c r="N100" s="24"/>
      <c r="O100" s="24"/>
      <c r="P100" s="24"/>
      <c r="Q100" s="24"/>
      <c r="R100" s="24"/>
      <c r="S100" s="24"/>
      <c r="T100" s="24"/>
      <c r="U100" s="24"/>
      <c r="V100" s="443"/>
      <c r="W100" s="443">
        <v>5.29616475E-2</v>
      </c>
      <c r="X100" s="444"/>
      <c r="Y100" s="443"/>
    </row>
    <row r="101" spans="5:25">
      <c r="E101" s="305" t="s">
        <v>628</v>
      </c>
      <c r="F101" s="437" t="s">
        <v>19</v>
      </c>
      <c r="G101" s="437" t="s">
        <v>627</v>
      </c>
      <c r="H101" s="305" t="s">
        <v>615</v>
      </c>
      <c r="I101" s="305" t="s">
        <v>466</v>
      </c>
      <c r="J101" s="118">
        <f t="shared" si="13"/>
        <v>2.30857</v>
      </c>
      <c r="K101" s="119">
        <f t="shared" si="14"/>
        <v>2.30857</v>
      </c>
      <c r="L101" s="119">
        <f t="shared" si="15"/>
        <v>0</v>
      </c>
      <c r="N101" s="24"/>
      <c r="O101" s="24"/>
      <c r="P101" s="24"/>
      <c r="Q101" s="24"/>
      <c r="R101" s="24"/>
      <c r="S101" s="24"/>
      <c r="T101" s="24"/>
      <c r="U101" s="24"/>
      <c r="V101" s="443"/>
      <c r="W101" s="443">
        <v>2.30857</v>
      </c>
      <c r="X101" s="444"/>
      <c r="Y101" s="443"/>
    </row>
    <row r="102" spans="5:25">
      <c r="E102" s="305"/>
      <c r="F102" s="437"/>
      <c r="G102" s="305"/>
      <c r="H102" s="305"/>
      <c r="I102" s="11"/>
      <c r="J102" s="118"/>
      <c r="K102" s="119"/>
      <c r="L102" s="119"/>
      <c r="N102" s="24"/>
      <c r="O102" s="24"/>
      <c r="P102" s="24"/>
      <c r="Q102" s="24"/>
      <c r="R102" s="24"/>
      <c r="S102" s="24"/>
      <c r="T102" s="24"/>
      <c r="U102" s="24"/>
      <c r="V102" s="444"/>
      <c r="W102" s="444"/>
      <c r="X102" s="444"/>
      <c r="Y102" s="444"/>
    </row>
    <row r="103" spans="5:25">
      <c r="E103" s="6"/>
      <c r="F103" s="7"/>
      <c r="G103" s="6"/>
      <c r="H103" s="11"/>
      <c r="I103" s="11"/>
      <c r="J103" s="118">
        <f t="shared" ref="J103" si="16">+K103+L103</f>
        <v>0</v>
      </c>
      <c r="K103" s="119">
        <f t="shared" ref="K103" si="17">SUM(N103:Y103)</f>
        <v>0</v>
      </c>
      <c r="L103" s="119">
        <f t="shared" ref="L103" si="18">SUM(AA103:AL103)</f>
        <v>0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5" spans="5:25">
      <c r="E105" s="191" t="s">
        <v>320</v>
      </c>
      <c r="F105" s="216">
        <v>46235</v>
      </c>
      <c r="G105" s="192">
        <v>554</v>
      </c>
      <c r="H105" s="271" t="s">
        <v>321</v>
      </c>
    </row>
    <row r="106" spans="5:25">
      <c r="E106" s="195" t="s">
        <v>592</v>
      </c>
      <c r="F106" s="217"/>
      <c r="G106" s="196">
        <v>200</v>
      </c>
      <c r="H106" s="271" t="s">
        <v>321</v>
      </c>
    </row>
    <row r="107" spans="5:25">
      <c r="E107" s="195" t="s">
        <v>593</v>
      </c>
      <c r="F107" s="217"/>
      <c r="G107" s="196">
        <v>61</v>
      </c>
      <c r="H107" s="271" t="s">
        <v>321</v>
      </c>
    </row>
    <row r="108" spans="5:25">
      <c r="E108" s="191" t="s">
        <v>320</v>
      </c>
      <c r="F108" s="216">
        <v>46265</v>
      </c>
      <c r="G108" s="192">
        <f>G105+G106-G107</f>
        <v>693</v>
      </c>
      <c r="H108" s="271" t="s">
        <v>321</v>
      </c>
    </row>
    <row r="109" spans="5:25">
      <c r="E109" s="195"/>
      <c r="F109" s="217"/>
      <c r="G109" s="196"/>
      <c r="H109" s="271"/>
    </row>
    <row r="110" spans="5:25">
      <c r="E110" s="191"/>
      <c r="F110" s="216"/>
      <c r="G110" s="192"/>
      <c r="H110" s="271"/>
    </row>
    <row r="112" spans="5:25">
      <c r="E112" s="446" t="s">
        <v>531</v>
      </c>
      <c r="F112" s="447"/>
      <c r="G112" s="447"/>
      <c r="H112" s="448"/>
    </row>
    <row r="113" spans="5:10">
      <c r="E113" s="219" t="s">
        <v>550</v>
      </c>
      <c r="F113" s="219"/>
      <c r="G113" s="202"/>
      <c r="H113" s="219" t="s">
        <v>325</v>
      </c>
    </row>
    <row r="114" spans="5:10">
      <c r="E114" s="434" t="s">
        <v>258</v>
      </c>
      <c r="F114" s="219"/>
      <c r="G114" s="202"/>
      <c r="H114" s="432">
        <v>0.66919660000000003</v>
      </c>
    </row>
    <row r="115" spans="5:10">
      <c r="E115" s="442" t="s">
        <v>447</v>
      </c>
      <c r="F115" s="219"/>
      <c r="G115" s="202"/>
      <c r="H115" s="432">
        <v>0.71090100000000001</v>
      </c>
    </row>
    <row r="116" spans="5:10">
      <c r="E116" s="434" t="s">
        <v>247</v>
      </c>
      <c r="F116" s="219"/>
      <c r="G116" s="202"/>
      <c r="H116" s="432">
        <v>2.9949543000000127</v>
      </c>
    </row>
    <row r="117" spans="5:10">
      <c r="E117" s="436" t="s">
        <v>239</v>
      </c>
      <c r="F117" s="202"/>
      <c r="G117" s="202"/>
      <c r="H117" s="433">
        <v>2.1295315420000001</v>
      </c>
    </row>
    <row r="118" spans="5:10">
      <c r="E118" s="439" t="s">
        <v>504</v>
      </c>
      <c r="F118" s="202"/>
      <c r="G118" s="202"/>
      <c r="H118" s="433">
        <v>13.178568544999999</v>
      </c>
    </row>
    <row r="119" spans="5:10">
      <c r="E119" s="436" t="s">
        <v>503</v>
      </c>
      <c r="F119" s="202"/>
      <c r="G119" s="202"/>
      <c r="H119" s="433">
        <v>2.0313682469999996</v>
      </c>
    </row>
    <row r="120" spans="5:10">
      <c r="E120" s="440" t="s">
        <v>256</v>
      </c>
      <c r="F120" s="202"/>
      <c r="G120" s="202"/>
      <c r="H120" s="433">
        <v>8.4034549999999992</v>
      </c>
    </row>
    <row r="121" spans="5:10">
      <c r="E121" s="440" t="s">
        <v>508</v>
      </c>
      <c r="F121" s="202"/>
      <c r="G121" s="202"/>
      <c r="H121" s="433">
        <v>4.3859000000000004</v>
      </c>
    </row>
    <row r="122" spans="5:10">
      <c r="E122" s="440" t="s">
        <v>374</v>
      </c>
      <c r="F122" s="202"/>
      <c r="G122" s="202"/>
      <c r="H122" s="433">
        <v>6.8799256999999985</v>
      </c>
    </row>
    <row r="123" spans="5:10">
      <c r="E123" s="440" t="s">
        <v>293</v>
      </c>
      <c r="F123" s="202"/>
      <c r="G123" s="202"/>
      <c r="H123" s="433">
        <v>9.3601752000000005</v>
      </c>
    </row>
    <row r="124" spans="5:10">
      <c r="E124" s="440" t="s">
        <v>245</v>
      </c>
      <c r="F124" s="202"/>
      <c r="G124" s="202"/>
      <c r="H124" s="433">
        <v>39.818405700000021</v>
      </c>
    </row>
    <row r="125" spans="5:10">
      <c r="E125" s="219" t="s">
        <v>344</v>
      </c>
      <c r="F125" s="202"/>
      <c r="G125" s="202"/>
      <c r="H125" s="405">
        <f>SUM(H114:H124)</f>
        <v>90.562381834000035</v>
      </c>
    </row>
    <row r="126" spans="5:10">
      <c r="E126" s="227"/>
      <c r="F126" s="278"/>
      <c r="G126" s="227"/>
      <c r="H126" s="280"/>
      <c r="I126" s="280"/>
      <c r="J126" s="280"/>
    </row>
    <row r="127" spans="5:10">
      <c r="E127" s="151"/>
      <c r="F127" s="257"/>
      <c r="G127" s="151"/>
      <c r="H127" s="258"/>
      <c r="I127" s="280"/>
      <c r="J127" s="280"/>
    </row>
    <row r="128" spans="5:10">
      <c r="E128" s="151" t="s">
        <v>330</v>
      </c>
      <c r="F128" s="151"/>
      <c r="G128" s="283">
        <f>'W38'!J19</f>
        <v>3625.8805106959012</v>
      </c>
      <c r="H128" s="258"/>
      <c r="I128" s="280"/>
      <c r="J128" s="280"/>
    </row>
    <row r="129" spans="5:10">
      <c r="E129" s="151" t="s">
        <v>331</v>
      </c>
      <c r="F129" s="151"/>
      <c r="G129" s="283">
        <f>H125</f>
        <v>90.562381834000035</v>
      </c>
      <c r="H129" s="258"/>
      <c r="I129" s="280"/>
      <c r="J129" s="280"/>
    </row>
    <row r="130" spans="5:10">
      <c r="E130" s="151" t="s">
        <v>332</v>
      </c>
      <c r="F130" s="151"/>
      <c r="G130" s="283">
        <v>382</v>
      </c>
      <c r="H130" s="258"/>
      <c r="I130" s="280"/>
      <c r="J130" s="280"/>
    </row>
    <row r="131" spans="5:10">
      <c r="E131" s="151" t="s">
        <v>333</v>
      </c>
      <c r="F131" s="151"/>
      <c r="G131" s="283">
        <f>G128+G129-G130</f>
        <v>3334.4428925299012</v>
      </c>
      <c r="H131" s="258"/>
      <c r="I131" s="280"/>
      <c r="J131" s="280"/>
    </row>
    <row r="132" spans="5:10">
      <c r="E132" s="151" t="s">
        <v>334</v>
      </c>
      <c r="F132" s="151"/>
      <c r="G132" s="283">
        <f>J19</f>
        <v>3135.5063221889004</v>
      </c>
      <c r="H132" s="310">
        <f>G132-G134</f>
        <v>3135.5063221889004</v>
      </c>
      <c r="I132" s="280"/>
      <c r="J132" s="280"/>
    </row>
    <row r="133" spans="5:10">
      <c r="E133" s="151" t="s">
        <v>335</v>
      </c>
      <c r="F133" s="151"/>
      <c r="G133" s="284">
        <f>G132-G131</f>
        <v>-198.93657034100079</v>
      </c>
      <c r="H133" s="310">
        <f>H132-G131</f>
        <v>-198.93657034100079</v>
      </c>
      <c r="I133" s="280"/>
      <c r="J133" s="280"/>
    </row>
    <row r="134" spans="5:10">
      <c r="E134" s="151"/>
      <c r="F134" s="257"/>
      <c r="G134" s="151"/>
      <c r="H134" s="258"/>
      <c r="I134" s="280"/>
      <c r="J134" s="280"/>
    </row>
    <row r="135" spans="5:10">
      <c r="E135" s="151"/>
      <c r="F135" s="257"/>
      <c r="G135" s="151"/>
      <c r="H135" s="258"/>
      <c r="I135" s="280"/>
      <c r="J135" s="280"/>
    </row>
    <row r="136" spans="5:10">
      <c r="E136" s="227"/>
      <c r="F136" s="278"/>
      <c r="G136" s="227"/>
      <c r="H136" s="280"/>
      <c r="I136" s="280"/>
      <c r="J136" s="280"/>
    </row>
    <row r="137" spans="5:10">
      <c r="E137" s="227"/>
      <c r="F137" s="278"/>
      <c r="G137" s="227"/>
      <c r="H137" s="280"/>
      <c r="I137" s="280"/>
      <c r="J137" s="280"/>
    </row>
  </sheetData>
  <sheetProtection formatCells="0" formatColumns="0" formatRows="0" insertRows="0" deleteRows="0" autoFilter="0"/>
  <autoFilter ref="E23:AL248" xr:uid="{00000000-0009-0000-0000-000029000000}"/>
  <mergeCells count="2">
    <mergeCell ref="I4:J4"/>
    <mergeCell ref="E112:H112"/>
  </mergeCells>
  <phoneticPr fontId="40"/>
  <dataValidations count="2">
    <dataValidation type="list" allowBlank="1" showInputMessage="1" showErrorMessage="1" sqref="G2" xr:uid="{00000000-0002-0000-2900-000000000000}">
      <formula1>SOCIETE</formula1>
    </dataValidation>
    <dataValidation type="list" allowBlank="1" showInputMessage="1" showErrorMessage="1" sqref="F113:F116 F24:F103 G76:G101" xr:uid="{6952B3F5-B737-44E5-900E-F39AF0143DC1}">
      <formula1>Liste</formula1>
    </dataValidation>
  </dataValidations>
  <pageMargins left="0.17" right="0.17" top="0.37" bottom="0.23" header="0.31496062992125984" footer="0.16"/>
  <pageSetup paperSize="9" scale="51" orientation="landscape" r:id="rId1"/>
  <ignoredErrors>
    <ignoredError sqref="G128:H133" unlockedFormula="1"/>
  </ignoredErrors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43">
    <tabColor theme="4" tint="-0.499984740745262"/>
    <pageSetUpPr fitToPage="1"/>
  </sheetPr>
  <dimension ref="C1:AL144"/>
  <sheetViews>
    <sheetView showGridLines="0" topLeftCell="E8" zoomScale="80" zoomScaleNormal="80" workbookViewId="0">
      <selection activeCell="W23" sqref="W23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154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October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66.7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October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W40</v>
      </c>
      <c r="I9" s="61"/>
      <c r="J9" s="161" t="str">
        <f>+"from "&amp;G6&amp;" 1 until end of "&amp;G4</f>
        <v>from October 1 until end of W40</v>
      </c>
      <c r="K9" s="79"/>
      <c r="L9" s="167" t="str">
        <f>+G6</f>
        <v>October</v>
      </c>
      <c r="M9" s="80"/>
      <c r="N9" s="80"/>
      <c r="O9" s="172" t="str">
        <f>+G4</f>
        <v>W40</v>
      </c>
      <c r="P9" s="173" t="str">
        <f>+VLOOKUP(G4, parameters!$G$9:$I$61,3,0)</f>
        <v>W39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600+320+797+430+396+688+856+605+1026+J10</f>
        <v>5838</v>
      </c>
      <c r="I10" s="61"/>
      <c r="J10" s="159">
        <v>120</v>
      </c>
      <c r="L10" s="159">
        <f>W17+J10</f>
        <v>1794.8975347289011</v>
      </c>
      <c r="N10" s="55"/>
      <c r="O10" s="170">
        <f>+H10+K17</f>
        <v>8746.6186851759012</v>
      </c>
      <c r="P10" s="171" cm="1">
        <f t="array" aca="1" ref="P10" ca="1">INDIRECT(ADDRESS(10,15,,,VLOOKUP($G$4,parameters!$G:$I,3,0)))</f>
        <v>8606.0166633008994</v>
      </c>
      <c r="Q10" s="183">
        <f ca="1">O10-P10</f>
        <v>140.60202187500181</v>
      </c>
      <c r="R10" s="86"/>
    </row>
    <row r="11" spans="5:38" ht="20.45" customHeight="1">
      <c r="E11" s="87" t="s">
        <v>224</v>
      </c>
      <c r="F11" s="88"/>
      <c r="G11" s="89"/>
      <c r="H11" s="430">
        <f>13+8+3+3+2+14+119+9+5+J11</f>
        <v>176</v>
      </c>
      <c r="I11" s="61"/>
      <c r="J11" s="16">
        <v>0</v>
      </c>
      <c r="L11" s="159">
        <f>W18+J11</f>
        <v>86.489658887999994</v>
      </c>
      <c r="N11" s="55"/>
      <c r="O11" s="152">
        <f>+H11+K18</f>
        <v>262.48965888800001</v>
      </c>
      <c r="P11" s="153" cm="1">
        <f t="array" aca="1" ref="P11" ca="1">INDIRECT(ADDRESS(11,15,,,VLOOKUP($G$4,parameters!$G:$I,3,0)))</f>
        <v>260.48965888800001</v>
      </c>
      <c r="Q11" s="184">
        <f t="shared" ref="Q11:Q12" ca="1" si="0">O11-P11</f>
        <v>2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6014</v>
      </c>
      <c r="I12" s="293"/>
      <c r="J12" s="126">
        <f>SUM(J10:J11)</f>
        <v>120</v>
      </c>
      <c r="K12" s="65"/>
      <c r="L12" s="126">
        <f>SUM(L10:L11)</f>
        <v>1881.387193616901</v>
      </c>
      <c r="M12" s="65"/>
      <c r="N12" s="65"/>
      <c r="O12" s="154">
        <f>SUM(O10:O11)</f>
        <v>9009.1083440639013</v>
      </c>
      <c r="P12" s="155">
        <f ca="1">SUM(P10:P11)</f>
        <v>8866.5063221888995</v>
      </c>
      <c r="Q12" s="156">
        <f t="shared" ca="1" si="0"/>
        <v>142.60202187500181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+SUMIF($F$24:$F$106,"External",$J$24:$J$106)</f>
        <v>3017.7784151759015</v>
      </c>
      <c r="K17" s="108">
        <f>+SUMIF($F$24:$F$106,"External",$K$24:$K$106)</f>
        <v>2908.6186851759021</v>
      </c>
      <c r="L17" s="109">
        <f>+SUMIF($F$24:$F$106,"External",$L$24:$L$106)</f>
        <v>109.15973000000001</v>
      </c>
      <c r="M17" s="110"/>
      <c r="N17" s="111">
        <f t="shared" ref="N17:Y17" si="1">+SUMIF($F$24:$F$106,"External",N$24:N$106)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1674.8975347289011</v>
      </c>
      <c r="X17" s="111">
        <f t="shared" si="1"/>
        <v>607.45392354099999</v>
      </c>
      <c r="Y17" s="111">
        <f t="shared" si="1"/>
        <v>626.26722690600002</v>
      </c>
      <c r="Z17" s="112"/>
      <c r="AA17" s="111">
        <f t="shared" ref="AA17:AL17" si="2">+SUMIF($F$24:$F$106,"External",AA$24:AA$106)</f>
        <v>109.15973000000001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+SUMIF($F$24:$F$106,"Group",$J$24:$J$106)</f>
        <v>86.489658887999994</v>
      </c>
      <c r="K18" s="113">
        <f>+SUMIF($F$24:$F$106,"Group",$K$24:$K$106)</f>
        <v>86.489658887999994</v>
      </c>
      <c r="L18" s="114">
        <f>SUMIF($F$24:$F$106,"Group",$L$24:$L$106)</f>
        <v>0</v>
      </c>
      <c r="M18" s="110"/>
      <c r="N18" s="114">
        <f t="shared" ref="N18:Y18" si="3">+SUMIF($F$24:$F$106,"Group",N$24:N$106)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86.489658887999994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+SUMIF($F$24:$F$106,"Group",AA$24:AA$106)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3104.2680740639016</v>
      </c>
      <c r="K19" s="115">
        <f>SUM(K17:K18)</f>
        <v>2995.1083440639022</v>
      </c>
      <c r="L19" s="116">
        <f>SUM(L17:L18)</f>
        <v>109.15973000000001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1761.387193616901</v>
      </c>
      <c r="X19" s="116">
        <f t="shared" si="5"/>
        <v>607.45392354099999</v>
      </c>
      <c r="Y19" s="116">
        <f t="shared" si="5"/>
        <v>626.26722690600002</v>
      </c>
      <c r="Z19" s="112"/>
      <c r="AA19" s="116">
        <f t="shared" ref="AA19:AL19" si="6">SUM(AA17:AA18)</f>
        <v>109.15973000000001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IF(SUM(J24:J106)=J19,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468</v>
      </c>
      <c r="F24" s="7" t="s">
        <v>19</v>
      </c>
      <c r="G24" s="6" t="s">
        <v>239</v>
      </c>
      <c r="H24" s="187" t="s">
        <v>278</v>
      </c>
      <c r="I24" s="8" t="s">
        <v>466</v>
      </c>
      <c r="J24" s="118">
        <f t="shared" ref="J24" si="7">+K24+L24</f>
        <v>4.7261967830000007</v>
      </c>
      <c r="K24" s="119">
        <f t="shared" ref="K24" si="8">SUM(N24:Y24)</f>
        <v>4.7261967830000007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>
        <v>4.7261967830000007</v>
      </c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573</v>
      </c>
      <c r="F25" s="6" t="s">
        <v>19</v>
      </c>
      <c r="G25" s="6" t="s">
        <v>561</v>
      </c>
      <c r="H25" s="6" t="s">
        <v>559</v>
      </c>
      <c r="I25" s="6" t="s">
        <v>472</v>
      </c>
      <c r="J25" s="118">
        <f t="shared" ref="J25:J88" si="10">+K25+L25</f>
        <v>92.379652743000008</v>
      </c>
      <c r="K25" s="119">
        <f t="shared" ref="K25:K88" si="11">SUM(N25:Y25)</f>
        <v>92.379652743000008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>
        <v>92.379652743000008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571</v>
      </c>
      <c r="F26" s="6" t="s">
        <v>19</v>
      </c>
      <c r="G26" s="6" t="s">
        <v>529</v>
      </c>
      <c r="H26" s="6" t="s">
        <v>530</v>
      </c>
      <c r="I26" s="6" t="s">
        <v>472</v>
      </c>
      <c r="J26" s="118">
        <f t="shared" si="10"/>
        <v>0.92701539999999993</v>
      </c>
      <c r="K26" s="119">
        <f t="shared" si="11"/>
        <v>0.92701539999999993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>
        <v>0.92701539999999993</v>
      </c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601</v>
      </c>
      <c r="F27" s="6" t="s">
        <v>19</v>
      </c>
      <c r="G27" s="6" t="s">
        <v>279</v>
      </c>
      <c r="H27" s="6" t="s">
        <v>280</v>
      </c>
      <c r="I27" s="6" t="s">
        <v>472</v>
      </c>
      <c r="J27" s="118">
        <f t="shared" si="10"/>
        <v>75.510317191000013</v>
      </c>
      <c r="K27" s="119">
        <f t="shared" si="11"/>
        <v>75.510317191000013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>
        <v>70.933501155000016</v>
      </c>
      <c r="X27" s="24">
        <v>4.5768160359999994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541</v>
      </c>
      <c r="F28" s="6" t="s">
        <v>19</v>
      </c>
      <c r="G28" s="6" t="s">
        <v>279</v>
      </c>
      <c r="H28" s="6" t="s">
        <v>280</v>
      </c>
      <c r="I28" s="6" t="s">
        <v>472</v>
      </c>
      <c r="J28" s="118">
        <f t="shared" si="10"/>
        <v>151.30458358799999</v>
      </c>
      <c r="K28" s="119">
        <f t="shared" si="11"/>
        <v>151.30458358799999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>
        <v>151.30458358799999</v>
      </c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6" t="s">
        <v>19</v>
      </c>
      <c r="G29" s="6" t="s">
        <v>282</v>
      </c>
      <c r="H29" s="6" t="s">
        <v>283</v>
      </c>
      <c r="I29" s="6" t="s">
        <v>466</v>
      </c>
      <c r="J29" s="118">
        <f t="shared" si="10"/>
        <v>0.23058047600000001</v>
      </c>
      <c r="K29" s="119">
        <f t="shared" si="11"/>
        <v>0.23058047600000001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>
        <v>0</v>
      </c>
      <c r="X29" s="24"/>
      <c r="Y29" s="24">
        <v>0.23058047600000001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606</v>
      </c>
      <c r="F30" s="6" t="s">
        <v>19</v>
      </c>
      <c r="G30" s="6" t="s">
        <v>237</v>
      </c>
      <c r="H30" s="6" t="s">
        <v>277</v>
      </c>
      <c r="I30" s="6" t="s">
        <v>466</v>
      </c>
      <c r="J30" s="118">
        <f t="shared" si="10"/>
        <v>0.52895629700000002</v>
      </c>
      <c r="K30" s="119">
        <f t="shared" si="11"/>
        <v>0.52895629700000002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>
        <v>0.52895629700000002</v>
      </c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6" t="s">
        <v>19</v>
      </c>
      <c r="G31" s="6" t="s">
        <v>493</v>
      </c>
      <c r="H31" s="6" t="s">
        <v>339</v>
      </c>
      <c r="I31" s="6" t="s">
        <v>472</v>
      </c>
      <c r="J31" s="118">
        <f t="shared" si="10"/>
        <v>1.4336222930000002</v>
      </c>
      <c r="K31" s="119">
        <f t="shared" si="11"/>
        <v>1.4336222930000002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>
        <v>1.4336222930000002</v>
      </c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6" t="s">
        <v>17</v>
      </c>
      <c r="G32" s="6" t="s">
        <v>493</v>
      </c>
      <c r="H32" s="6" t="s">
        <v>339</v>
      </c>
      <c r="I32" s="6" t="s">
        <v>472</v>
      </c>
      <c r="J32" s="118">
        <f t="shared" si="10"/>
        <v>84.489658887999994</v>
      </c>
      <c r="K32" s="119">
        <f t="shared" si="11"/>
        <v>84.489658887999994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>
        <v>84.489658887999994</v>
      </c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474</v>
      </c>
      <c r="F33" s="6" t="s">
        <v>19</v>
      </c>
      <c r="G33" s="6" t="s">
        <v>279</v>
      </c>
      <c r="H33" s="6" t="s">
        <v>280</v>
      </c>
      <c r="I33" s="6" t="s">
        <v>472</v>
      </c>
      <c r="J33" s="118">
        <f t="shared" si="10"/>
        <v>47.212191576000009</v>
      </c>
      <c r="K33" s="119">
        <f t="shared" si="11"/>
        <v>47.212191576000009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47.212191576000009</v>
      </c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476</v>
      </c>
      <c r="F34" s="6" t="s">
        <v>19</v>
      </c>
      <c r="G34" s="6" t="s">
        <v>247</v>
      </c>
      <c r="H34" s="6" t="s">
        <v>289</v>
      </c>
      <c r="I34" s="6" t="s">
        <v>466</v>
      </c>
      <c r="J34" s="118">
        <f t="shared" si="10"/>
        <v>141.88392798800029</v>
      </c>
      <c r="K34" s="119">
        <f t="shared" si="11"/>
        <v>100.84361798800029</v>
      </c>
      <c r="L34" s="119">
        <f t="shared" si="12"/>
        <v>41.040310000000005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>
        <v>51.476882688000295</v>
      </c>
      <c r="X34" s="24">
        <v>11.688135300000001</v>
      </c>
      <c r="Y34" s="24">
        <v>37.678600000000003</v>
      </c>
      <c r="AA34" s="24">
        <v>41.040310000000005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476</v>
      </c>
      <c r="F35" s="6" t="s">
        <v>19</v>
      </c>
      <c r="G35" s="6" t="s">
        <v>379</v>
      </c>
      <c r="H35" s="6" t="s">
        <v>291</v>
      </c>
      <c r="I35" s="6" t="s">
        <v>466</v>
      </c>
      <c r="J35" s="118">
        <f t="shared" si="10"/>
        <v>108.592493171</v>
      </c>
      <c r="K35" s="119">
        <f t="shared" si="11"/>
        <v>85.022413170999997</v>
      </c>
      <c r="L35" s="119">
        <f t="shared" si="12"/>
        <v>23.570080000000001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>
        <v>59.001653171000001</v>
      </c>
      <c r="X35" s="24">
        <v>13.010380000000001</v>
      </c>
      <c r="Y35" s="24">
        <v>13.010380000000001</v>
      </c>
      <c r="AA35" s="24">
        <v>23.570080000000001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476</v>
      </c>
      <c r="F36" s="6" t="s">
        <v>19</v>
      </c>
      <c r="G36" s="6" t="s">
        <v>454</v>
      </c>
      <c r="H36" s="6" t="s">
        <v>292</v>
      </c>
      <c r="I36" s="6" t="s">
        <v>466</v>
      </c>
      <c r="J36" s="118">
        <f t="shared" si="10"/>
        <v>595.3013952390005</v>
      </c>
      <c r="K36" s="119">
        <f t="shared" si="11"/>
        <v>595.3013952390005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>
        <v>268.44613463900043</v>
      </c>
      <c r="X36" s="24">
        <v>232.5</v>
      </c>
      <c r="Y36" s="24">
        <v>94.355260600000094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476</v>
      </c>
      <c r="F37" s="6" t="s">
        <v>19</v>
      </c>
      <c r="G37" s="6" t="s">
        <v>293</v>
      </c>
      <c r="H37" s="6" t="s">
        <v>294</v>
      </c>
      <c r="I37" s="6" t="s">
        <v>466</v>
      </c>
      <c r="J37" s="118">
        <f t="shared" si="10"/>
        <v>44.368825200000018</v>
      </c>
      <c r="K37" s="119">
        <f t="shared" si="11"/>
        <v>37.367095200000016</v>
      </c>
      <c r="L37" s="119">
        <f t="shared" si="12"/>
        <v>7.0017300000000002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>
        <v>23.363635200000012</v>
      </c>
      <c r="X37" s="24">
        <v>7.0017300000000002</v>
      </c>
      <c r="Y37" s="24">
        <v>7.0017300000000002</v>
      </c>
      <c r="AA37" s="24">
        <v>7.0017300000000002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476</v>
      </c>
      <c r="F38" s="6" t="s">
        <v>19</v>
      </c>
      <c r="G38" s="6" t="s">
        <v>447</v>
      </c>
      <c r="H38" s="6" t="s">
        <v>448</v>
      </c>
      <c r="I38" s="6" t="s">
        <v>466</v>
      </c>
      <c r="J38" s="118">
        <f t="shared" si="10"/>
        <v>120.490265995</v>
      </c>
      <c r="K38" s="119">
        <f t="shared" si="11"/>
        <v>86.725805995000002</v>
      </c>
      <c r="L38" s="119">
        <f t="shared" si="12"/>
        <v>33.76446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>
        <v>40.74337079499999</v>
      </c>
      <c r="X38" s="24">
        <v>9.7836487999999999</v>
      </c>
      <c r="Y38" s="24">
        <v>36.198786400000003</v>
      </c>
      <c r="AA38" s="24">
        <v>33.76446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476</v>
      </c>
      <c r="F39" s="6" t="s">
        <v>19</v>
      </c>
      <c r="G39" s="6" t="s">
        <v>252</v>
      </c>
      <c r="H39" s="6" t="s">
        <v>295</v>
      </c>
      <c r="I39" s="6" t="s">
        <v>466</v>
      </c>
      <c r="J39" s="118">
        <f t="shared" si="10"/>
        <v>35.678648500000001</v>
      </c>
      <c r="K39" s="119">
        <f t="shared" si="11"/>
        <v>35.678648500000001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>
        <v>35.678648500000001</v>
      </c>
      <c r="X39" s="24">
        <v>0</v>
      </c>
      <c r="Y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476</v>
      </c>
      <c r="F40" s="6" t="s">
        <v>19</v>
      </c>
      <c r="G40" s="6" t="s">
        <v>245</v>
      </c>
      <c r="H40" s="6" t="s">
        <v>288</v>
      </c>
      <c r="I40" s="6" t="s">
        <v>466</v>
      </c>
      <c r="J40" s="118">
        <f t="shared" si="10"/>
        <v>51.278815780000436</v>
      </c>
      <c r="K40" s="119">
        <f t="shared" si="11"/>
        <v>51.278815780000436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>
        <v>51.278815780000436</v>
      </c>
      <c r="X40" s="24">
        <v>0</v>
      </c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476</v>
      </c>
      <c r="F41" s="6" t="s">
        <v>19</v>
      </c>
      <c r="G41" s="6" t="s">
        <v>378</v>
      </c>
      <c r="H41" s="6" t="s">
        <v>290</v>
      </c>
      <c r="I41" s="6" t="s">
        <v>466</v>
      </c>
      <c r="J41" s="118">
        <f t="shared" si="10"/>
        <v>104.03616885499999</v>
      </c>
      <c r="K41" s="119">
        <f t="shared" si="11"/>
        <v>100.25301885499998</v>
      </c>
      <c r="L41" s="119">
        <f t="shared" si="12"/>
        <v>3.78315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>
        <v>42.567538854999995</v>
      </c>
      <c r="X41" s="24">
        <v>44.251609999999992</v>
      </c>
      <c r="Y41" s="24">
        <v>13.433869999999999</v>
      </c>
      <c r="AA41" s="24">
        <v>3.78315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450</v>
      </c>
      <c r="F42" s="6" t="s">
        <v>19</v>
      </c>
      <c r="G42" s="6" t="s">
        <v>282</v>
      </c>
      <c r="H42" s="6" t="s">
        <v>283</v>
      </c>
      <c r="I42" s="6" t="s">
        <v>466</v>
      </c>
      <c r="J42" s="118">
        <f t="shared" si="10"/>
        <v>0.74044120000000002</v>
      </c>
      <c r="K42" s="119">
        <f t="shared" si="11"/>
        <v>0.74044120000000002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>
        <v>0.1092308</v>
      </c>
      <c r="X42" s="24">
        <v>0.48262360000000004</v>
      </c>
      <c r="Y42" s="24">
        <v>0.14858679999999999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450</v>
      </c>
      <c r="F43" s="6" t="s">
        <v>19</v>
      </c>
      <c r="G43" s="6" t="s">
        <v>282</v>
      </c>
      <c r="H43" s="6" t="s">
        <v>283</v>
      </c>
      <c r="I43" s="6" t="s">
        <v>472</v>
      </c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>
        <v>0</v>
      </c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450</v>
      </c>
      <c r="F44" s="6" t="s">
        <v>19</v>
      </c>
      <c r="G44" s="6" t="s">
        <v>500</v>
      </c>
      <c r="H44" s="6" t="s">
        <v>305</v>
      </c>
      <c r="I44" s="6" t="s">
        <v>466</v>
      </c>
      <c r="J44" s="118">
        <f t="shared" si="10"/>
        <v>3.3595952690000002</v>
      </c>
      <c r="K44" s="119">
        <f t="shared" si="11"/>
        <v>3.3595952690000002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>
        <v>3.3595952690000002</v>
      </c>
      <c r="X44" s="24"/>
      <c r="Y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450</v>
      </c>
      <c r="F45" s="6" t="s">
        <v>19</v>
      </c>
      <c r="G45" s="6" t="s">
        <v>500</v>
      </c>
      <c r="H45" s="6" t="s">
        <v>305</v>
      </c>
      <c r="I45" s="6" t="s">
        <v>472</v>
      </c>
      <c r="J45" s="118">
        <f t="shared" si="10"/>
        <v>27.702117577000003</v>
      </c>
      <c r="K45" s="119">
        <f t="shared" si="11"/>
        <v>27.702117577000003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>
        <v>11.377540684000003</v>
      </c>
      <c r="X45" s="24">
        <v>16.324576893</v>
      </c>
      <c r="Y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450</v>
      </c>
      <c r="F46" s="6" t="s">
        <v>19</v>
      </c>
      <c r="G46" s="6" t="s">
        <v>256</v>
      </c>
      <c r="H46" s="6" t="s">
        <v>303</v>
      </c>
      <c r="I46" s="6" t="s">
        <v>466</v>
      </c>
      <c r="J46" s="118">
        <f t="shared" si="10"/>
        <v>179.76975034700004</v>
      </c>
      <c r="K46" s="119">
        <f t="shared" si="11"/>
        <v>179.76975034700004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>
        <v>69.131925020000011</v>
      </c>
      <c r="X46" s="24">
        <v>101.12416674200004</v>
      </c>
      <c r="Y46" s="24">
        <v>9.5136585849999982</v>
      </c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450</v>
      </c>
      <c r="F47" s="6" t="s">
        <v>19</v>
      </c>
      <c r="G47" s="6" t="s">
        <v>508</v>
      </c>
      <c r="H47" s="6" t="s">
        <v>319</v>
      </c>
      <c r="I47" s="6" t="s">
        <v>472</v>
      </c>
      <c r="J47" s="118">
        <f t="shared" si="10"/>
        <v>4.3859000000000004</v>
      </c>
      <c r="K47" s="119">
        <f t="shared" si="11"/>
        <v>4.3859000000000004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>
        <v>4.3859000000000004</v>
      </c>
      <c r="X47" s="24"/>
      <c r="Y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572</v>
      </c>
      <c r="F48" s="6" t="s">
        <v>19</v>
      </c>
      <c r="G48" s="6" t="s">
        <v>441</v>
      </c>
      <c r="H48" s="6" t="s">
        <v>481</v>
      </c>
      <c r="I48" s="6" t="s">
        <v>466</v>
      </c>
      <c r="J48" s="118">
        <f t="shared" si="10"/>
        <v>34.562019683999921</v>
      </c>
      <c r="K48" s="119">
        <f t="shared" si="11"/>
        <v>34.562019683999921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>
        <v>34.562019683999921</v>
      </c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482</v>
      </c>
      <c r="F49" s="6" t="s">
        <v>19</v>
      </c>
      <c r="G49" s="6" t="s">
        <v>256</v>
      </c>
      <c r="H49" s="6" t="s">
        <v>303</v>
      </c>
      <c r="I49" s="6" t="s">
        <v>466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>
        <v>0</v>
      </c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482</v>
      </c>
      <c r="F50" s="6" t="s">
        <v>19</v>
      </c>
      <c r="G50" s="6" t="s">
        <v>258</v>
      </c>
      <c r="H50" s="6" t="s">
        <v>306</v>
      </c>
      <c r="I50" s="6" t="s">
        <v>466</v>
      </c>
      <c r="J50" s="118">
        <f t="shared" si="10"/>
        <v>59.479255189000014</v>
      </c>
      <c r="K50" s="119">
        <f t="shared" si="11"/>
        <v>59.479255189000014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>
        <v>57.483822489000012</v>
      </c>
      <c r="X50" s="24">
        <v>1.9954327000000001</v>
      </c>
      <c r="Y50" s="24">
        <v>0</v>
      </c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482</v>
      </c>
      <c r="F51" s="6" t="s">
        <v>19</v>
      </c>
      <c r="G51" s="6" t="s">
        <v>494</v>
      </c>
      <c r="H51" s="6" t="s">
        <v>299</v>
      </c>
      <c r="I51" s="6" t="s">
        <v>466</v>
      </c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>
        <v>0</v>
      </c>
      <c r="X51" s="24"/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569</v>
      </c>
      <c r="F52" s="6" t="s">
        <v>19</v>
      </c>
      <c r="G52" s="6" t="s">
        <v>447</v>
      </c>
      <c r="H52" s="6" t="s">
        <v>448</v>
      </c>
      <c r="I52" s="6" t="s">
        <v>466</v>
      </c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>
        <v>0</v>
      </c>
      <c r="X52" s="24"/>
      <c r="Y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569</v>
      </c>
      <c r="F53" s="6" t="s">
        <v>19</v>
      </c>
      <c r="G53" s="6" t="s">
        <v>378</v>
      </c>
      <c r="H53" s="6" t="s">
        <v>290</v>
      </c>
      <c r="I53" s="6" t="s">
        <v>466</v>
      </c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>
        <v>0</v>
      </c>
      <c r="X53" s="24"/>
      <c r="Y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483</v>
      </c>
      <c r="F54" s="6" t="s">
        <v>19</v>
      </c>
      <c r="G54" s="6" t="s">
        <v>258</v>
      </c>
      <c r="H54" s="6" t="s">
        <v>306</v>
      </c>
      <c r="I54" s="6" t="s">
        <v>466</v>
      </c>
      <c r="J54" s="118">
        <f t="shared" si="10"/>
        <v>10.742549372999997</v>
      </c>
      <c r="K54" s="119">
        <f t="shared" si="11"/>
        <v>10.742549372999997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>
        <v>0.60151854800000004</v>
      </c>
      <c r="X54" s="24">
        <v>10.141030824999998</v>
      </c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484</v>
      </c>
      <c r="F55" s="6" t="s">
        <v>19</v>
      </c>
      <c r="G55" s="6" t="s">
        <v>504</v>
      </c>
      <c r="H55" s="6" t="s">
        <v>307</v>
      </c>
      <c r="I55" s="6" t="s">
        <v>472</v>
      </c>
      <c r="J55" s="118">
        <f t="shared" si="10"/>
        <v>57.913983433999995</v>
      </c>
      <c r="K55" s="119">
        <f t="shared" si="11"/>
        <v>57.913983433999995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>
        <v>2.5075898719999996</v>
      </c>
      <c r="X55" s="24">
        <v>55.406393561999998</v>
      </c>
      <c r="Y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484</v>
      </c>
      <c r="F56" s="6" t="s">
        <v>19</v>
      </c>
      <c r="G56" s="6" t="s">
        <v>503</v>
      </c>
      <c r="H56" s="6" t="s">
        <v>311</v>
      </c>
      <c r="I56" s="6" t="s">
        <v>472</v>
      </c>
      <c r="J56" s="118">
        <f t="shared" si="10"/>
        <v>3.2048898210000001</v>
      </c>
      <c r="K56" s="119">
        <f t="shared" si="11"/>
        <v>3.2048898210000001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>
        <v>3.2048898210000001</v>
      </c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484</v>
      </c>
      <c r="F57" s="6" t="s">
        <v>19</v>
      </c>
      <c r="G57" s="6" t="s">
        <v>500</v>
      </c>
      <c r="H57" s="6" t="s">
        <v>305</v>
      </c>
      <c r="I57" s="6" t="s">
        <v>472</v>
      </c>
      <c r="J57" s="118">
        <f t="shared" si="10"/>
        <v>47.636642921999993</v>
      </c>
      <c r="K57" s="119">
        <f t="shared" si="11"/>
        <v>47.636642921999993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>
        <v>47.636642921999993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484</v>
      </c>
      <c r="F58" s="6" t="s">
        <v>19</v>
      </c>
      <c r="G58" s="6" t="s">
        <v>370</v>
      </c>
      <c r="H58" s="6" t="s">
        <v>308</v>
      </c>
      <c r="I58" s="6" t="s">
        <v>472</v>
      </c>
      <c r="J58" s="118">
        <f t="shared" si="10"/>
        <v>28.902717307000003</v>
      </c>
      <c r="K58" s="119">
        <f t="shared" si="11"/>
        <v>28.902717307000003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>
        <v>28.902717307000003</v>
      </c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484</v>
      </c>
      <c r="F59" s="6" t="s">
        <v>19</v>
      </c>
      <c r="G59" s="6" t="s">
        <v>264</v>
      </c>
      <c r="H59" s="6" t="s">
        <v>310</v>
      </c>
      <c r="I59" s="6" t="s">
        <v>472</v>
      </c>
      <c r="J59" s="118">
        <f t="shared" si="10"/>
        <v>0.33190336400000003</v>
      </c>
      <c r="K59" s="119">
        <f t="shared" si="11"/>
        <v>0.33190336400000003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>
        <v>0.33190336400000003</v>
      </c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451</v>
      </c>
      <c r="F60" s="6" t="s">
        <v>19</v>
      </c>
      <c r="G60" s="6" t="s">
        <v>504</v>
      </c>
      <c r="H60" s="6" t="s">
        <v>307</v>
      </c>
      <c r="I60" s="6" t="s">
        <v>466</v>
      </c>
      <c r="J60" s="118">
        <f t="shared" si="10"/>
        <v>12.144117764000001</v>
      </c>
      <c r="K60" s="119">
        <f t="shared" si="11"/>
        <v>12.144117764000001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>
        <v>12.144117764000001</v>
      </c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451</v>
      </c>
      <c r="F61" s="6" t="s">
        <v>19</v>
      </c>
      <c r="G61" s="6" t="s">
        <v>504</v>
      </c>
      <c r="H61" s="6" t="s">
        <v>307</v>
      </c>
      <c r="I61" s="6" t="s">
        <v>472</v>
      </c>
      <c r="J61" s="118">
        <f t="shared" si="10"/>
        <v>2.27242071</v>
      </c>
      <c r="K61" s="119">
        <f t="shared" si="11"/>
        <v>2.27242071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>
        <v>2.27242071</v>
      </c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451</v>
      </c>
      <c r="F62" s="6" t="s">
        <v>19</v>
      </c>
      <c r="G62" s="6" t="s">
        <v>370</v>
      </c>
      <c r="H62" s="6" t="s">
        <v>308</v>
      </c>
      <c r="I62" s="6" t="s">
        <v>466</v>
      </c>
      <c r="J62" s="118">
        <f t="shared" si="10"/>
        <v>2.1636036089999999</v>
      </c>
      <c r="K62" s="119">
        <f t="shared" si="11"/>
        <v>2.1636036089999999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>
        <v>2.1636036089999999</v>
      </c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 t="s">
        <v>577</v>
      </c>
      <c r="F63" s="6" t="s">
        <v>19</v>
      </c>
      <c r="G63" s="6" t="s">
        <v>500</v>
      </c>
      <c r="H63" s="6" t="s">
        <v>305</v>
      </c>
      <c r="I63" s="6" t="s">
        <v>472</v>
      </c>
      <c r="J63" s="118">
        <f t="shared" si="10"/>
        <v>19.768845337000002</v>
      </c>
      <c r="K63" s="119">
        <f t="shared" si="11"/>
        <v>19.768845337000002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>
        <v>19.768845337000002</v>
      </c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6" t="s">
        <v>485</v>
      </c>
      <c r="F64" s="6" t="s">
        <v>19</v>
      </c>
      <c r="G64" s="6" t="s">
        <v>529</v>
      </c>
      <c r="H64" s="6" t="s">
        <v>530</v>
      </c>
      <c r="I64" s="6" t="s">
        <v>472</v>
      </c>
      <c r="J64" s="118">
        <f t="shared" si="10"/>
        <v>5.1368092149999995</v>
      </c>
      <c r="K64" s="119">
        <f t="shared" si="11"/>
        <v>5.1368092149999995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>
        <v>5.1368092149999995</v>
      </c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6" t="s">
        <v>589</v>
      </c>
      <c r="F65" s="6" t="s">
        <v>19</v>
      </c>
      <c r="G65" s="6" t="s">
        <v>282</v>
      </c>
      <c r="H65" s="6" t="s">
        <v>283</v>
      </c>
      <c r="I65" s="6" t="s">
        <v>466</v>
      </c>
      <c r="J65" s="118">
        <f t="shared" si="10"/>
        <v>1.9666872719999999</v>
      </c>
      <c r="K65" s="119">
        <f t="shared" si="11"/>
        <v>1.9666872719999999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>
        <v>1.9666872719999999</v>
      </c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6" t="s">
        <v>589</v>
      </c>
      <c r="F66" s="6" t="s">
        <v>19</v>
      </c>
      <c r="G66" s="6" t="s">
        <v>379</v>
      </c>
      <c r="H66" s="6" t="s">
        <v>291</v>
      </c>
      <c r="I66" s="6" t="s">
        <v>466</v>
      </c>
      <c r="J66" s="118">
        <f t="shared" si="10"/>
        <v>1.5587086999999999E-2</v>
      </c>
      <c r="K66" s="119">
        <f t="shared" si="11"/>
        <v>1.5587086999999999E-2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>
        <v>1.5587086999999999E-2</v>
      </c>
      <c r="X66" s="24"/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6" t="s">
        <v>607</v>
      </c>
      <c r="F67" s="6" t="s">
        <v>19</v>
      </c>
      <c r="G67" s="6" t="s">
        <v>237</v>
      </c>
      <c r="H67" s="6" t="s">
        <v>277</v>
      </c>
      <c r="I67" s="6" t="s">
        <v>466</v>
      </c>
      <c r="J67" s="118">
        <f t="shared" si="10"/>
        <v>18.165739839</v>
      </c>
      <c r="K67" s="119">
        <f t="shared" si="11"/>
        <v>18.165739839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>
        <v>18.165739839</v>
      </c>
      <c r="X67" s="24"/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6" t="s">
        <v>268</v>
      </c>
      <c r="F68" s="6" t="s">
        <v>19</v>
      </c>
      <c r="G68" s="6" t="s">
        <v>374</v>
      </c>
      <c r="H68" s="6" t="s">
        <v>317</v>
      </c>
      <c r="I68" s="6" t="s">
        <v>466</v>
      </c>
      <c r="J68" s="118">
        <f t="shared" si="10"/>
        <v>0.35769937499999999</v>
      </c>
      <c r="K68" s="119">
        <f t="shared" si="11"/>
        <v>0.35769937499999999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>
        <v>0.35769937499999999</v>
      </c>
      <c r="X68" s="24"/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6" t="s">
        <v>270</v>
      </c>
      <c r="F69" s="6" t="s">
        <v>19</v>
      </c>
      <c r="G69" s="6" t="s">
        <v>441</v>
      </c>
      <c r="H69" s="6" t="s">
        <v>481</v>
      </c>
      <c r="I69" s="6" t="s">
        <v>466</v>
      </c>
      <c r="J69" s="118">
        <f t="shared" si="10"/>
        <v>9.9077729999999988</v>
      </c>
      <c r="K69" s="119">
        <f t="shared" si="11"/>
        <v>9.9077729999999988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>
        <v>9.9077729999999988</v>
      </c>
      <c r="X69" s="24"/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6" t="s">
        <v>270</v>
      </c>
      <c r="F70" s="6" t="s">
        <v>19</v>
      </c>
      <c r="G70" s="6" t="s">
        <v>374</v>
      </c>
      <c r="H70" s="6" t="s">
        <v>317</v>
      </c>
      <c r="I70" s="6" t="s">
        <v>466</v>
      </c>
      <c r="J70" s="118">
        <f t="shared" si="10"/>
        <v>22.427728600000002</v>
      </c>
      <c r="K70" s="119">
        <f t="shared" si="11"/>
        <v>22.427728600000002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>
        <v>22.427728600000002</v>
      </c>
      <c r="X70" s="24"/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6" t="s">
        <v>270</v>
      </c>
      <c r="F71" s="6" t="s">
        <v>19</v>
      </c>
      <c r="G71" s="6" t="s">
        <v>374</v>
      </c>
      <c r="H71" s="6" t="s">
        <v>317</v>
      </c>
      <c r="I71" s="6" t="s">
        <v>472</v>
      </c>
      <c r="J71" s="118">
        <f t="shared" si="10"/>
        <v>2.9897176999999999</v>
      </c>
      <c r="K71" s="119">
        <f t="shared" si="11"/>
        <v>2.9897176999999999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>
        <v>2.9897176999999999</v>
      </c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6" t="s">
        <v>270</v>
      </c>
      <c r="F72" s="6" t="s">
        <v>19</v>
      </c>
      <c r="G72" s="6" t="s">
        <v>508</v>
      </c>
      <c r="H72" s="6" t="s">
        <v>319</v>
      </c>
      <c r="I72" s="6" t="s">
        <v>466</v>
      </c>
      <c r="J72" s="118">
        <f t="shared" si="10"/>
        <v>120.7699657</v>
      </c>
      <c r="K72" s="119">
        <f t="shared" si="11"/>
        <v>120.7699657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>
        <v>29.318501099999999</v>
      </c>
      <c r="X72" s="24">
        <v>91.451464599999994</v>
      </c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6" t="s">
        <v>570</v>
      </c>
      <c r="F73" s="6" t="s">
        <v>19</v>
      </c>
      <c r="G73" s="6" t="s">
        <v>237</v>
      </c>
      <c r="H73" s="6" t="s">
        <v>277</v>
      </c>
      <c r="I73" s="6" t="s">
        <v>466</v>
      </c>
      <c r="J73" s="118">
        <f t="shared" si="10"/>
        <v>0.71694856799999995</v>
      </c>
      <c r="K73" s="119">
        <f t="shared" si="11"/>
        <v>0.71694856799999995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>
        <v>0.71694856799999995</v>
      </c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6" t="s">
        <v>459</v>
      </c>
      <c r="F74" s="6" t="s">
        <v>19</v>
      </c>
      <c r="G74" s="6" t="s">
        <v>529</v>
      </c>
      <c r="H74" s="6" t="s">
        <v>530</v>
      </c>
      <c r="I74" s="6" t="s">
        <v>466</v>
      </c>
      <c r="J74" s="118">
        <f t="shared" si="10"/>
        <v>0.18229120000000001</v>
      </c>
      <c r="K74" s="119">
        <f t="shared" si="11"/>
        <v>0.18229120000000001</v>
      </c>
      <c r="L74" s="119">
        <f t="shared" si="12"/>
        <v>0</v>
      </c>
      <c r="N74" s="24"/>
      <c r="O74" s="24"/>
      <c r="P74" s="24"/>
      <c r="Q74" s="24"/>
      <c r="R74" s="24"/>
      <c r="S74" s="24"/>
      <c r="T74" s="24"/>
      <c r="U74" s="24"/>
      <c r="V74" s="24"/>
      <c r="W74" s="24">
        <v>0.18229120000000001</v>
      </c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6" t="s">
        <v>558</v>
      </c>
      <c r="F75" s="6" t="s">
        <v>17</v>
      </c>
      <c r="G75" s="6" t="s">
        <v>508</v>
      </c>
      <c r="H75" s="6" t="s">
        <v>319</v>
      </c>
      <c r="I75" s="6" t="s">
        <v>560</v>
      </c>
      <c r="J75" s="118">
        <f t="shared" si="10"/>
        <v>2</v>
      </c>
      <c r="K75" s="119">
        <f t="shared" si="11"/>
        <v>2</v>
      </c>
      <c r="L75" s="119">
        <f t="shared" si="12"/>
        <v>0</v>
      </c>
      <c r="N75" s="24"/>
      <c r="O75" s="24"/>
      <c r="P75" s="24"/>
      <c r="Q75" s="24"/>
      <c r="R75" s="24"/>
      <c r="S75" s="24"/>
      <c r="T75" s="24"/>
      <c r="U75" s="24"/>
      <c r="V75" s="24"/>
      <c r="W75" s="24">
        <v>2</v>
      </c>
      <c r="X75" s="24"/>
      <c r="Y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6"/>
      <c r="F76" s="6"/>
      <c r="G76" s="6"/>
      <c r="H76" s="6"/>
      <c r="I76" s="6"/>
      <c r="J76" s="118">
        <f t="shared" si="10"/>
        <v>0</v>
      </c>
      <c r="K76" s="119">
        <f t="shared" si="11"/>
        <v>0</v>
      </c>
      <c r="L76" s="119">
        <f t="shared" si="12"/>
        <v>0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6"/>
      <c r="F77" s="6"/>
      <c r="G77" s="6"/>
      <c r="H77" s="6"/>
      <c r="I77" s="6"/>
      <c r="J77" s="118">
        <f t="shared" si="10"/>
        <v>0</v>
      </c>
      <c r="K77" s="119">
        <f t="shared" si="11"/>
        <v>0</v>
      </c>
      <c r="L77" s="119">
        <f t="shared" si="12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305" t="s">
        <v>596</v>
      </c>
      <c r="F78" s="6" t="s">
        <v>19</v>
      </c>
      <c r="G78" s="437"/>
      <c r="H78" s="305" t="s">
        <v>605</v>
      </c>
      <c r="I78" s="305" t="s">
        <v>243</v>
      </c>
      <c r="J78" s="118">
        <f t="shared" si="10"/>
        <v>23.960324400000001</v>
      </c>
      <c r="K78" s="119">
        <f t="shared" si="11"/>
        <v>23.960324400000001</v>
      </c>
      <c r="L78" s="119">
        <f t="shared" si="12"/>
        <v>0</v>
      </c>
      <c r="N78" s="24"/>
      <c r="O78" s="24"/>
      <c r="P78" s="24"/>
      <c r="Q78" s="24"/>
      <c r="R78" s="24"/>
      <c r="S78" s="24"/>
      <c r="T78" s="24"/>
      <c r="U78" s="24"/>
      <c r="V78" s="443"/>
      <c r="W78" s="443"/>
      <c r="X78" s="444"/>
      <c r="Y78" s="443">
        <v>23.960324400000001</v>
      </c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305" t="s">
        <v>597</v>
      </c>
      <c r="F79" s="6" t="s">
        <v>19</v>
      </c>
      <c r="G79" s="437"/>
      <c r="H79" s="305" t="s">
        <v>283</v>
      </c>
      <c r="I79" s="305" t="s">
        <v>615</v>
      </c>
      <c r="J79" s="118">
        <f t="shared" si="10"/>
        <v>0.3574638504</v>
      </c>
      <c r="K79" s="119">
        <f t="shared" si="11"/>
        <v>0.3574638504</v>
      </c>
      <c r="L79" s="119">
        <f t="shared" si="12"/>
        <v>0</v>
      </c>
      <c r="N79" s="24"/>
      <c r="O79" s="24"/>
      <c r="P79" s="24"/>
      <c r="Q79" s="24"/>
      <c r="R79" s="24"/>
      <c r="S79" s="24"/>
      <c r="T79" s="24"/>
      <c r="U79" s="24"/>
      <c r="V79" s="443"/>
      <c r="W79" s="443">
        <v>0.3574638504</v>
      </c>
      <c r="X79" s="444"/>
      <c r="Y79" s="443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305" t="s">
        <v>581</v>
      </c>
      <c r="F80" s="6" t="s">
        <v>19</v>
      </c>
      <c r="G80" s="437"/>
      <c r="H80" s="305" t="s">
        <v>289</v>
      </c>
      <c r="I80" s="305" t="s">
        <v>615</v>
      </c>
      <c r="J80" s="118">
        <f t="shared" si="10"/>
        <v>36.170740989999999</v>
      </c>
      <c r="K80" s="119">
        <f t="shared" si="11"/>
        <v>36.170740989999999</v>
      </c>
      <c r="L80" s="119">
        <f t="shared" si="12"/>
        <v>0</v>
      </c>
      <c r="N80" s="24"/>
      <c r="O80" s="24"/>
      <c r="P80" s="24"/>
      <c r="Q80" s="24"/>
      <c r="R80" s="24"/>
      <c r="S80" s="24"/>
      <c r="T80" s="24"/>
      <c r="U80" s="24"/>
      <c r="V80" s="443"/>
      <c r="W80" s="443">
        <v>32.03853119</v>
      </c>
      <c r="X80" s="444"/>
      <c r="Y80" s="443">
        <v>4.1322098</v>
      </c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305" t="s">
        <v>581</v>
      </c>
      <c r="F81" s="6" t="s">
        <v>19</v>
      </c>
      <c r="G81" s="437"/>
      <c r="H81" s="305" t="s">
        <v>291</v>
      </c>
      <c r="I81" s="305" t="s">
        <v>615</v>
      </c>
      <c r="J81" s="118">
        <f t="shared" si="10"/>
        <v>35.490378499999998</v>
      </c>
      <c r="K81" s="119">
        <f t="shared" si="11"/>
        <v>35.490378499999998</v>
      </c>
      <c r="L81" s="119">
        <f t="shared" si="12"/>
        <v>0</v>
      </c>
      <c r="N81" s="24"/>
      <c r="O81" s="24"/>
      <c r="P81" s="24"/>
      <c r="Q81" s="24"/>
      <c r="R81" s="24"/>
      <c r="S81" s="24"/>
      <c r="T81" s="24"/>
      <c r="U81" s="24"/>
      <c r="V81" s="443"/>
      <c r="W81" s="443">
        <v>20.4163037</v>
      </c>
      <c r="X81" s="444"/>
      <c r="Y81" s="443">
        <v>15.0740748</v>
      </c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305" t="s">
        <v>581</v>
      </c>
      <c r="F82" s="6" t="s">
        <v>19</v>
      </c>
      <c r="G82" s="437"/>
      <c r="H82" s="305" t="s">
        <v>292</v>
      </c>
      <c r="I82" s="305" t="s">
        <v>615</v>
      </c>
      <c r="J82" s="118">
        <f t="shared" si="10"/>
        <v>25.483677099999998</v>
      </c>
      <c r="K82" s="119">
        <f t="shared" si="11"/>
        <v>25.483677099999998</v>
      </c>
      <c r="L82" s="119">
        <f t="shared" si="12"/>
        <v>0</v>
      </c>
      <c r="N82" s="24"/>
      <c r="O82" s="24"/>
      <c r="P82" s="24"/>
      <c r="Q82" s="24"/>
      <c r="R82" s="24"/>
      <c r="S82" s="24"/>
      <c r="T82" s="24"/>
      <c r="U82" s="24"/>
      <c r="V82" s="443"/>
      <c r="W82" s="443">
        <v>25.483677099999998</v>
      </c>
      <c r="X82" s="444"/>
      <c r="Y82" s="443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305" t="s">
        <v>581</v>
      </c>
      <c r="F83" s="6" t="s">
        <v>19</v>
      </c>
      <c r="G83" s="437"/>
      <c r="H83" s="305" t="s">
        <v>294</v>
      </c>
      <c r="I83" s="305" t="s">
        <v>615</v>
      </c>
      <c r="J83" s="118">
        <f t="shared" si="10"/>
        <v>0.14546139999999999</v>
      </c>
      <c r="K83" s="119">
        <f t="shared" si="11"/>
        <v>0.14546139999999999</v>
      </c>
      <c r="L83" s="119">
        <f t="shared" si="12"/>
        <v>0</v>
      </c>
      <c r="N83" s="24"/>
      <c r="O83" s="24"/>
      <c r="P83" s="24"/>
      <c r="Q83" s="24"/>
      <c r="R83" s="24"/>
      <c r="S83" s="24"/>
      <c r="T83" s="24"/>
      <c r="U83" s="24"/>
      <c r="V83" s="443"/>
      <c r="W83" s="443">
        <v>0.14546139999999999</v>
      </c>
      <c r="X83" s="444"/>
      <c r="Y83" s="443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305" t="s">
        <v>581</v>
      </c>
      <c r="F84" s="6" t="s">
        <v>19</v>
      </c>
      <c r="G84" s="437"/>
      <c r="H84" s="305" t="s">
        <v>448</v>
      </c>
      <c r="I84" s="305" t="s">
        <v>615</v>
      </c>
      <c r="J84" s="118">
        <f t="shared" si="10"/>
        <v>30.128409000000001</v>
      </c>
      <c r="K84" s="119">
        <f t="shared" si="11"/>
        <v>30.128409000000001</v>
      </c>
      <c r="L84" s="119">
        <f t="shared" si="12"/>
        <v>0</v>
      </c>
      <c r="N84" s="24"/>
      <c r="O84" s="24"/>
      <c r="P84" s="24"/>
      <c r="Q84" s="24"/>
      <c r="R84" s="24"/>
      <c r="S84" s="24"/>
      <c r="T84" s="24"/>
      <c r="U84" s="24"/>
      <c r="V84" s="443"/>
      <c r="W84" s="443">
        <v>20.988130000000002</v>
      </c>
      <c r="X84" s="444"/>
      <c r="Y84" s="443">
        <v>9.1402789999999996</v>
      </c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305" t="s">
        <v>581</v>
      </c>
      <c r="F85" s="6" t="s">
        <v>19</v>
      </c>
      <c r="G85" s="437"/>
      <c r="H85" s="305" t="s">
        <v>295</v>
      </c>
      <c r="I85" s="305" t="s">
        <v>615</v>
      </c>
      <c r="J85" s="118">
        <f t="shared" si="10"/>
        <v>20.603935399999997</v>
      </c>
      <c r="K85" s="119">
        <f t="shared" si="11"/>
        <v>20.603935399999997</v>
      </c>
      <c r="L85" s="119">
        <f t="shared" si="12"/>
        <v>0</v>
      </c>
      <c r="N85" s="24"/>
      <c r="O85" s="24"/>
      <c r="P85" s="24"/>
      <c r="Q85" s="24"/>
      <c r="R85" s="24"/>
      <c r="S85" s="24"/>
      <c r="T85" s="24"/>
      <c r="U85" s="24"/>
      <c r="V85" s="443"/>
      <c r="W85" s="443">
        <v>14.9257654</v>
      </c>
      <c r="X85" s="444"/>
      <c r="Y85" s="443">
        <v>5.6781699999999997</v>
      </c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305" t="s">
        <v>581</v>
      </c>
      <c r="F86" s="6" t="s">
        <v>19</v>
      </c>
      <c r="G86" s="437"/>
      <c r="H86" s="305" t="s">
        <v>288</v>
      </c>
      <c r="I86" s="305" t="s">
        <v>615</v>
      </c>
      <c r="J86" s="118">
        <f t="shared" si="10"/>
        <v>0.67493199999999998</v>
      </c>
      <c r="K86" s="119">
        <f t="shared" si="11"/>
        <v>0.67493199999999998</v>
      </c>
      <c r="L86" s="119">
        <f t="shared" si="12"/>
        <v>0</v>
      </c>
      <c r="N86" s="24"/>
      <c r="O86" s="24"/>
      <c r="P86" s="24"/>
      <c r="Q86" s="24"/>
      <c r="R86" s="24"/>
      <c r="S86" s="24"/>
      <c r="T86" s="24"/>
      <c r="U86" s="24"/>
      <c r="V86" s="443"/>
      <c r="W86" s="443">
        <v>0.67493199999999998</v>
      </c>
      <c r="X86" s="444"/>
      <c r="Y86" s="443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305" t="s">
        <v>581</v>
      </c>
      <c r="F87" s="6" t="s">
        <v>19</v>
      </c>
      <c r="G87" s="437"/>
      <c r="H87" s="305" t="s">
        <v>290</v>
      </c>
      <c r="I87" s="305" t="s">
        <v>615</v>
      </c>
      <c r="J87" s="118">
        <f t="shared" si="10"/>
        <v>16.938911900000001</v>
      </c>
      <c r="K87" s="119">
        <f t="shared" si="11"/>
        <v>16.938911900000001</v>
      </c>
      <c r="L87" s="119">
        <f t="shared" si="12"/>
        <v>0</v>
      </c>
      <c r="N87" s="24"/>
      <c r="O87" s="24"/>
      <c r="P87" s="24"/>
      <c r="Q87" s="24"/>
      <c r="R87" s="24"/>
      <c r="S87" s="24"/>
      <c r="T87" s="24"/>
      <c r="U87" s="24"/>
      <c r="V87" s="443"/>
      <c r="W87" s="443">
        <v>7.1592520999999998</v>
      </c>
      <c r="X87" s="444"/>
      <c r="Y87" s="443">
        <v>9.7796597999999992</v>
      </c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305" t="s">
        <v>598</v>
      </c>
      <c r="F88" s="6" t="s">
        <v>19</v>
      </c>
      <c r="G88" s="437"/>
      <c r="H88" s="305" t="s">
        <v>277</v>
      </c>
      <c r="I88" s="305" t="s">
        <v>615</v>
      </c>
      <c r="J88" s="118">
        <f t="shared" si="10"/>
        <v>10.563825400000001</v>
      </c>
      <c r="K88" s="119">
        <f t="shared" si="11"/>
        <v>10.563825400000001</v>
      </c>
      <c r="L88" s="119">
        <f t="shared" si="12"/>
        <v>0</v>
      </c>
      <c r="N88" s="24"/>
      <c r="O88" s="24"/>
      <c r="P88" s="24"/>
      <c r="Q88" s="24"/>
      <c r="R88" s="24"/>
      <c r="S88" s="24"/>
      <c r="T88" s="24"/>
      <c r="U88" s="24"/>
      <c r="V88" s="443"/>
      <c r="W88" s="443"/>
      <c r="X88" s="444"/>
      <c r="Y88" s="443">
        <v>10.563825400000001</v>
      </c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305" t="s">
        <v>583</v>
      </c>
      <c r="F89" s="6" t="s">
        <v>19</v>
      </c>
      <c r="G89" s="437"/>
      <c r="H89" s="305" t="s">
        <v>481</v>
      </c>
      <c r="I89" s="305" t="s">
        <v>615</v>
      </c>
      <c r="J89" s="118">
        <f t="shared" ref="J89:J106" si="13">+K89+L89</f>
        <v>25.312194200000004</v>
      </c>
      <c r="K89" s="119">
        <f t="shared" ref="K89:K106" si="14">SUM(N89:Y89)</f>
        <v>25.312194200000004</v>
      </c>
      <c r="L89" s="119">
        <f t="shared" ref="L89:L106" si="15">SUM(AA89:AL89)</f>
        <v>0</v>
      </c>
      <c r="N89" s="24"/>
      <c r="O89" s="24"/>
      <c r="P89" s="24"/>
      <c r="Q89" s="24"/>
      <c r="R89" s="24"/>
      <c r="S89" s="24"/>
      <c r="T89" s="24"/>
      <c r="U89" s="24"/>
      <c r="V89" s="443"/>
      <c r="W89" s="443">
        <v>25.312194200000004</v>
      </c>
      <c r="X89" s="444"/>
      <c r="Y89" s="443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>
      <c r="E90" s="305" t="s">
        <v>595</v>
      </c>
      <c r="F90" s="6" t="s">
        <v>19</v>
      </c>
      <c r="G90" s="437"/>
      <c r="H90" s="305" t="s">
        <v>289</v>
      </c>
      <c r="I90" s="305" t="s">
        <v>615</v>
      </c>
      <c r="J90" s="118">
        <f t="shared" si="13"/>
        <v>6.4022005799999997</v>
      </c>
      <c r="K90" s="119">
        <f t="shared" si="14"/>
        <v>6.4022005799999997</v>
      </c>
      <c r="L90" s="119">
        <f t="shared" si="15"/>
        <v>0</v>
      </c>
      <c r="N90" s="24"/>
      <c r="O90" s="24"/>
      <c r="P90" s="24"/>
      <c r="Q90" s="24"/>
      <c r="R90" s="24"/>
      <c r="S90" s="24"/>
      <c r="T90" s="24"/>
      <c r="U90" s="24"/>
      <c r="V90" s="443"/>
      <c r="W90" s="443">
        <v>6.4022005799999997</v>
      </c>
      <c r="X90" s="444"/>
      <c r="Y90" s="443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5:38">
      <c r="E91" s="305" t="s">
        <v>595</v>
      </c>
      <c r="F91" s="6" t="s">
        <v>19</v>
      </c>
      <c r="G91" s="437"/>
      <c r="H91" s="305" t="s">
        <v>291</v>
      </c>
      <c r="I91" s="305" t="s">
        <v>615</v>
      </c>
      <c r="J91" s="118">
        <f t="shared" si="13"/>
        <v>9.7735672299999994</v>
      </c>
      <c r="K91" s="119">
        <f t="shared" si="14"/>
        <v>9.7735672299999994</v>
      </c>
      <c r="L91" s="119">
        <f t="shared" si="15"/>
        <v>0</v>
      </c>
      <c r="N91" s="24"/>
      <c r="O91" s="24"/>
      <c r="P91" s="24"/>
      <c r="Q91" s="24"/>
      <c r="R91" s="24"/>
      <c r="S91" s="24"/>
      <c r="T91" s="24"/>
      <c r="U91" s="24"/>
      <c r="V91" s="443"/>
      <c r="W91" s="443">
        <v>9.7735672299999994</v>
      </c>
      <c r="X91" s="444"/>
      <c r="Y91" s="443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5:38">
      <c r="E92" s="305" t="s">
        <v>595</v>
      </c>
      <c r="F92" s="6" t="s">
        <v>19</v>
      </c>
      <c r="G92" s="437"/>
      <c r="H92" s="305" t="s">
        <v>292</v>
      </c>
      <c r="I92" s="305" t="s">
        <v>615</v>
      </c>
      <c r="J92" s="118">
        <f t="shared" si="13"/>
        <v>9.1080971799999997</v>
      </c>
      <c r="K92" s="119">
        <f t="shared" si="14"/>
        <v>9.1080971799999997</v>
      </c>
      <c r="L92" s="119">
        <f t="shared" si="15"/>
        <v>0</v>
      </c>
      <c r="N92" s="24"/>
      <c r="O92" s="24"/>
      <c r="P92" s="24"/>
      <c r="Q92" s="24"/>
      <c r="R92" s="24"/>
      <c r="S92" s="24"/>
      <c r="T92" s="24"/>
      <c r="U92" s="24"/>
      <c r="V92" s="443"/>
      <c r="W92" s="443">
        <v>9.1080971799999997</v>
      </c>
      <c r="X92" s="444"/>
      <c r="Y92" s="443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5:38">
      <c r="E93" s="305" t="s">
        <v>595</v>
      </c>
      <c r="F93" s="6" t="s">
        <v>19</v>
      </c>
      <c r="G93" s="437"/>
      <c r="H93" s="305" t="s">
        <v>448</v>
      </c>
      <c r="I93" s="305" t="s">
        <v>615</v>
      </c>
      <c r="J93" s="118">
        <f t="shared" si="13"/>
        <v>1.3839165</v>
      </c>
      <c r="K93" s="119">
        <f t="shared" si="14"/>
        <v>1.3839165</v>
      </c>
      <c r="L93" s="119">
        <f t="shared" si="15"/>
        <v>0</v>
      </c>
      <c r="N93" s="24"/>
      <c r="O93" s="24"/>
      <c r="P93" s="24"/>
      <c r="Q93" s="24"/>
      <c r="R93" s="24"/>
      <c r="S93" s="24"/>
      <c r="T93" s="24"/>
      <c r="U93" s="24"/>
      <c r="V93" s="443"/>
      <c r="W93" s="443">
        <v>1.3839165</v>
      </c>
      <c r="X93" s="444"/>
      <c r="Y93" s="443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</row>
    <row r="94" spans="5:38">
      <c r="E94" s="305" t="s">
        <v>595</v>
      </c>
      <c r="F94" s="6" t="s">
        <v>19</v>
      </c>
      <c r="G94" s="437"/>
      <c r="H94" s="305" t="s">
        <v>448</v>
      </c>
      <c r="I94" s="305" t="s">
        <v>243</v>
      </c>
      <c r="J94" s="118">
        <f t="shared" si="13"/>
        <v>8.6791255100000004</v>
      </c>
      <c r="K94" s="119">
        <f t="shared" si="14"/>
        <v>8.6791255100000004</v>
      </c>
      <c r="L94" s="119">
        <f t="shared" si="15"/>
        <v>0</v>
      </c>
      <c r="N94" s="24"/>
      <c r="O94" s="24"/>
      <c r="P94" s="24"/>
      <c r="Q94" s="24"/>
      <c r="R94" s="24"/>
      <c r="S94" s="24"/>
      <c r="T94" s="24"/>
      <c r="U94" s="24"/>
      <c r="V94" s="443"/>
      <c r="W94" s="443">
        <v>8.6791255100000004</v>
      </c>
      <c r="X94" s="444"/>
      <c r="Y94" s="443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</row>
    <row r="95" spans="5:38">
      <c r="E95" s="305" t="s">
        <v>584</v>
      </c>
      <c r="F95" s="6" t="s">
        <v>19</v>
      </c>
      <c r="G95" s="437"/>
      <c r="H95" s="305" t="s">
        <v>290</v>
      </c>
      <c r="I95" s="305" t="s">
        <v>615</v>
      </c>
      <c r="J95" s="118">
        <f t="shared" si="13"/>
        <v>35.229979999999998</v>
      </c>
      <c r="K95" s="119">
        <f t="shared" si="14"/>
        <v>35.229979999999998</v>
      </c>
      <c r="L95" s="119">
        <f t="shared" si="15"/>
        <v>0</v>
      </c>
      <c r="N95" s="24"/>
      <c r="O95" s="24"/>
      <c r="P95" s="24"/>
      <c r="Q95" s="24"/>
      <c r="R95" s="24"/>
      <c r="S95" s="24"/>
      <c r="T95" s="24"/>
      <c r="U95" s="24"/>
      <c r="V95" s="443"/>
      <c r="W95" s="443">
        <v>35.229979999999998</v>
      </c>
      <c r="X95" s="444"/>
      <c r="Y95" s="443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spans="5:38">
      <c r="E96" s="305" t="s">
        <v>585</v>
      </c>
      <c r="F96" s="6" t="s">
        <v>19</v>
      </c>
      <c r="G96" s="437"/>
      <c r="H96" s="305" t="s">
        <v>307</v>
      </c>
      <c r="I96" s="305" t="s">
        <v>615</v>
      </c>
      <c r="J96" s="118">
        <f t="shared" si="13"/>
        <v>6.8015437500000004</v>
      </c>
      <c r="K96" s="119">
        <f t="shared" si="14"/>
        <v>6.8015437500000004</v>
      </c>
      <c r="L96" s="119">
        <f t="shared" si="15"/>
        <v>0</v>
      </c>
      <c r="N96" s="24"/>
      <c r="O96" s="24"/>
      <c r="P96" s="24"/>
      <c r="Q96" s="24"/>
      <c r="R96" s="24"/>
      <c r="S96" s="24"/>
      <c r="T96" s="24"/>
      <c r="U96" s="24"/>
      <c r="V96" s="443"/>
      <c r="W96" s="443">
        <v>6.8015437500000004</v>
      </c>
      <c r="X96" s="444"/>
      <c r="Y96" s="443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</row>
    <row r="97" spans="5:38">
      <c r="E97" s="305" t="s">
        <v>585</v>
      </c>
      <c r="F97" s="6" t="s">
        <v>19</v>
      </c>
      <c r="G97" s="437"/>
      <c r="H97" s="305" t="s">
        <v>307</v>
      </c>
      <c r="I97" s="305" t="s">
        <v>243</v>
      </c>
      <c r="J97" s="118">
        <f t="shared" si="13"/>
        <v>12.6068411</v>
      </c>
      <c r="K97" s="119">
        <f t="shared" si="14"/>
        <v>12.6068411</v>
      </c>
      <c r="L97" s="119">
        <f t="shared" si="15"/>
        <v>0</v>
      </c>
      <c r="N97" s="24"/>
      <c r="O97" s="24"/>
      <c r="P97" s="24"/>
      <c r="Q97" s="24"/>
      <c r="R97" s="24"/>
      <c r="S97" s="24"/>
      <c r="T97" s="24"/>
      <c r="U97" s="24"/>
      <c r="V97" s="443"/>
      <c r="W97" s="443"/>
      <c r="X97" s="444"/>
      <c r="Y97" s="443">
        <v>12.6068411</v>
      </c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</row>
    <row r="98" spans="5:38">
      <c r="E98" s="305" t="s">
        <v>586</v>
      </c>
      <c r="F98" s="6" t="s">
        <v>19</v>
      </c>
      <c r="G98" s="437"/>
      <c r="H98" s="305" t="s">
        <v>317</v>
      </c>
      <c r="I98" s="305" t="s">
        <v>615</v>
      </c>
      <c r="J98" s="118">
        <f t="shared" si="13"/>
        <v>5.29616475E-2</v>
      </c>
      <c r="K98" s="119">
        <f t="shared" si="14"/>
        <v>5.29616475E-2</v>
      </c>
      <c r="L98" s="119">
        <f t="shared" si="15"/>
        <v>0</v>
      </c>
      <c r="N98" s="24"/>
      <c r="O98" s="24"/>
      <c r="P98" s="24"/>
      <c r="Q98" s="24"/>
      <c r="R98" s="24"/>
      <c r="S98" s="24"/>
      <c r="T98" s="24"/>
      <c r="U98" s="24"/>
      <c r="V98" s="443"/>
      <c r="W98" s="443">
        <v>5.29616475E-2</v>
      </c>
      <c r="X98" s="444"/>
      <c r="Y98" s="443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99" spans="5:38">
      <c r="E99" s="305" t="s">
        <v>587</v>
      </c>
      <c r="F99" s="6" t="s">
        <v>19</v>
      </c>
      <c r="G99" s="437"/>
      <c r="H99" s="305" t="s">
        <v>317</v>
      </c>
      <c r="I99" s="305" t="s">
        <v>615</v>
      </c>
      <c r="J99" s="118">
        <f t="shared" si="13"/>
        <v>2.30857</v>
      </c>
      <c r="K99" s="119">
        <f t="shared" si="14"/>
        <v>2.30857</v>
      </c>
      <c r="L99" s="119">
        <f t="shared" si="15"/>
        <v>0</v>
      </c>
      <c r="N99" s="24"/>
      <c r="O99" s="24"/>
      <c r="P99" s="24"/>
      <c r="Q99" s="24"/>
      <c r="R99" s="24"/>
      <c r="S99" s="24"/>
      <c r="T99" s="24"/>
      <c r="U99" s="24"/>
      <c r="V99" s="443"/>
      <c r="W99" s="443">
        <v>2.30857</v>
      </c>
      <c r="X99" s="444"/>
      <c r="Y99" s="443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</row>
    <row r="100" spans="5:38">
      <c r="E100" s="305" t="s">
        <v>629</v>
      </c>
      <c r="F100" s="6" t="s">
        <v>19</v>
      </c>
      <c r="G100" s="437"/>
      <c r="H100" s="305" t="s">
        <v>630</v>
      </c>
      <c r="I100" s="305" t="s">
        <v>631</v>
      </c>
      <c r="J100" s="118">
        <f t="shared" si="13"/>
        <v>446</v>
      </c>
      <c r="K100" s="119">
        <f t="shared" si="14"/>
        <v>446</v>
      </c>
      <c r="L100" s="119">
        <f t="shared" si="15"/>
        <v>0</v>
      </c>
      <c r="N100" s="24"/>
      <c r="O100" s="24"/>
      <c r="P100" s="24"/>
      <c r="Q100" s="24"/>
      <c r="R100" s="24"/>
      <c r="S100" s="24"/>
      <c r="T100" s="24"/>
      <c r="U100" s="24"/>
      <c r="V100" s="443"/>
      <c r="W100" s="443">
        <v>446</v>
      </c>
      <c r="X100" s="444"/>
      <c r="Y100" s="443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</row>
    <row r="101" spans="5:38">
      <c r="E101" s="305"/>
      <c r="F101" s="437"/>
      <c r="G101" s="437"/>
      <c r="H101" s="305"/>
      <c r="I101" s="305"/>
      <c r="J101" s="118">
        <f t="shared" si="13"/>
        <v>0</v>
      </c>
      <c r="K101" s="119">
        <f t="shared" si="14"/>
        <v>0</v>
      </c>
      <c r="L101" s="119">
        <f t="shared" si="15"/>
        <v>0</v>
      </c>
      <c r="N101" s="24"/>
      <c r="O101" s="24"/>
      <c r="P101" s="24"/>
      <c r="Q101" s="24"/>
      <c r="R101" s="24"/>
      <c r="S101" s="24"/>
      <c r="T101" s="24"/>
      <c r="U101" s="24"/>
      <c r="V101" s="443"/>
      <c r="W101" s="443"/>
      <c r="X101" s="444"/>
      <c r="Y101" s="443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</row>
    <row r="102" spans="5:38">
      <c r="E102" s="305"/>
      <c r="F102" s="437"/>
      <c r="G102" s="437"/>
      <c r="H102" s="305"/>
      <c r="I102" s="305"/>
      <c r="J102" s="118">
        <f t="shared" si="13"/>
        <v>0</v>
      </c>
      <c r="K102" s="119">
        <f t="shared" si="14"/>
        <v>0</v>
      </c>
      <c r="L102" s="119">
        <f t="shared" si="15"/>
        <v>0</v>
      </c>
      <c r="N102" s="24"/>
      <c r="O102" s="24"/>
      <c r="P102" s="24"/>
      <c r="Q102" s="24"/>
      <c r="R102" s="24"/>
      <c r="S102" s="24"/>
      <c r="T102" s="24"/>
      <c r="U102" s="24"/>
      <c r="V102" s="443"/>
      <c r="W102" s="443"/>
      <c r="X102" s="444"/>
      <c r="Y102" s="443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</row>
    <row r="103" spans="5:38">
      <c r="E103" s="305"/>
      <c r="F103" s="437"/>
      <c r="G103" s="437"/>
      <c r="H103" s="305"/>
      <c r="I103" s="305"/>
      <c r="J103" s="118">
        <f t="shared" si="13"/>
        <v>0</v>
      </c>
      <c r="K103" s="119">
        <f t="shared" si="14"/>
        <v>0</v>
      </c>
      <c r="L103" s="119">
        <f t="shared" si="15"/>
        <v>0</v>
      </c>
      <c r="N103" s="24"/>
      <c r="O103" s="24"/>
      <c r="P103" s="24"/>
      <c r="Q103" s="24"/>
      <c r="R103" s="24"/>
      <c r="S103" s="24"/>
      <c r="T103" s="24"/>
      <c r="U103" s="24"/>
      <c r="V103" s="443"/>
      <c r="W103" s="443"/>
      <c r="X103" s="444"/>
      <c r="Y103" s="443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</row>
    <row r="104" spans="5:38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</row>
    <row r="105" spans="5:38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</row>
    <row r="106" spans="5:38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</row>
    <row r="109" spans="5:38">
      <c r="E109" s="191" t="s">
        <v>320</v>
      </c>
      <c r="F109" s="216">
        <v>46235</v>
      </c>
      <c r="G109" s="192">
        <v>554</v>
      </c>
      <c r="H109" s="271" t="s">
        <v>321</v>
      </c>
    </row>
    <row r="110" spans="5:38">
      <c r="E110" s="195" t="s">
        <v>592</v>
      </c>
      <c r="F110" s="217"/>
      <c r="G110" s="196">
        <v>200</v>
      </c>
      <c r="H110" s="271" t="s">
        <v>321</v>
      </c>
    </row>
    <row r="111" spans="5:38">
      <c r="E111" s="195" t="s">
        <v>593</v>
      </c>
      <c r="F111" s="217"/>
      <c r="G111" s="196">
        <v>61</v>
      </c>
      <c r="H111" s="271" t="s">
        <v>321</v>
      </c>
    </row>
    <row r="112" spans="5:38">
      <c r="E112" s="191" t="s">
        <v>320</v>
      </c>
      <c r="F112" s="216">
        <v>46265</v>
      </c>
      <c r="G112" s="192">
        <f>G109+G110-G111</f>
        <v>693</v>
      </c>
      <c r="H112" s="271" t="s">
        <v>321</v>
      </c>
    </row>
    <row r="113" spans="5:8">
      <c r="E113" s="195"/>
      <c r="F113" s="217"/>
      <c r="G113" s="196"/>
      <c r="H113" s="271"/>
    </row>
    <row r="114" spans="5:8">
      <c r="E114" s="191"/>
      <c r="F114" s="216"/>
      <c r="G114" s="192"/>
      <c r="H114" s="271"/>
    </row>
    <row r="117" spans="5:8">
      <c r="E117" s="446" t="s">
        <v>531</v>
      </c>
      <c r="F117" s="447"/>
      <c r="G117" s="447"/>
      <c r="H117" s="448"/>
    </row>
    <row r="118" spans="5:8">
      <c r="E118" s="219" t="s">
        <v>550</v>
      </c>
      <c r="F118" s="219"/>
      <c r="G118" s="202"/>
      <c r="H118" s="219" t="s">
        <v>325</v>
      </c>
    </row>
    <row r="119" spans="5:8">
      <c r="E119" s="434" t="s">
        <v>258</v>
      </c>
      <c r="F119" s="219"/>
      <c r="G119" s="202"/>
      <c r="H119" s="432">
        <v>1.9954327000000001</v>
      </c>
    </row>
    <row r="120" spans="5:8">
      <c r="E120" s="442" t="s">
        <v>447</v>
      </c>
      <c r="F120" s="219"/>
      <c r="G120" s="202"/>
      <c r="H120" s="432">
        <v>5.4821742999999996</v>
      </c>
    </row>
    <row r="121" spans="5:8">
      <c r="E121" s="434" t="s">
        <v>247</v>
      </c>
      <c r="F121" s="219"/>
      <c r="G121" s="202"/>
      <c r="H121" s="432">
        <v>3.0612827</v>
      </c>
    </row>
    <row r="122" spans="5:8">
      <c r="E122" s="436" t="s">
        <v>379</v>
      </c>
      <c r="F122" s="202"/>
      <c r="G122" s="202"/>
      <c r="H122" s="433">
        <v>6.9086704999999995</v>
      </c>
    </row>
    <row r="123" spans="5:8">
      <c r="E123" s="439" t="s">
        <v>378</v>
      </c>
      <c r="F123" s="202"/>
      <c r="G123" s="202"/>
      <c r="H123" s="433">
        <v>0.79449420000000004</v>
      </c>
    </row>
    <row r="124" spans="5:8">
      <c r="E124" s="436" t="s">
        <v>454</v>
      </c>
      <c r="F124" s="202"/>
      <c r="G124" s="202"/>
      <c r="H124" s="433">
        <v>38.040424200000089</v>
      </c>
    </row>
    <row r="125" spans="5:8">
      <c r="E125" s="440" t="s">
        <v>256</v>
      </c>
      <c r="F125" s="202"/>
      <c r="G125" s="202"/>
      <c r="H125" s="433">
        <v>32.032168356</v>
      </c>
    </row>
    <row r="126" spans="5:8">
      <c r="E126" s="440" t="s">
        <v>374</v>
      </c>
      <c r="F126" s="202"/>
      <c r="G126" s="202"/>
      <c r="H126" s="433">
        <v>5.4550489759999987</v>
      </c>
    </row>
    <row r="127" spans="5:8">
      <c r="E127" s="440" t="s">
        <v>252</v>
      </c>
      <c r="F127" s="202"/>
      <c r="G127" s="202"/>
      <c r="H127" s="433">
        <v>35.766368499999999</v>
      </c>
    </row>
    <row r="128" spans="5:8">
      <c r="E128" s="440"/>
      <c r="F128" s="202"/>
      <c r="G128" s="202"/>
      <c r="H128" s="433"/>
    </row>
    <row r="129" spans="3:10">
      <c r="E129" s="440"/>
      <c r="F129" s="202"/>
      <c r="G129" s="202"/>
      <c r="H129" s="433"/>
    </row>
    <row r="130" spans="3:10">
      <c r="E130" s="219" t="s">
        <v>344</v>
      </c>
      <c r="F130" s="202"/>
      <c r="G130" s="202"/>
      <c r="H130" s="405">
        <f>SUM(H119:H129)</f>
        <v>129.5360644320001</v>
      </c>
    </row>
    <row r="133" spans="3:10">
      <c r="E133" s="227"/>
      <c r="F133" s="278"/>
      <c r="G133" s="227"/>
      <c r="H133" s="280"/>
      <c r="I133" s="280"/>
      <c r="J133" s="280"/>
    </row>
    <row r="134" spans="3:10">
      <c r="E134" s="227"/>
      <c r="F134" s="278"/>
      <c r="G134" s="227"/>
      <c r="H134" s="280"/>
      <c r="I134" s="280"/>
      <c r="J134" s="280"/>
    </row>
    <row r="135" spans="3:10">
      <c r="C135" s="151"/>
      <c r="D135" s="151"/>
      <c r="E135" s="227" t="s">
        <v>330</v>
      </c>
      <c r="F135" s="227"/>
      <c r="G135" s="295">
        <f>'W39'!J19</f>
        <v>3135.5063221889004</v>
      </c>
      <c r="H135" s="280"/>
      <c r="I135" s="280"/>
      <c r="J135" s="280"/>
    </row>
    <row r="136" spans="3:10">
      <c r="C136" s="151"/>
      <c r="D136" s="151"/>
      <c r="E136" s="227" t="s">
        <v>331</v>
      </c>
      <c r="F136" s="227"/>
      <c r="G136" s="295">
        <f>H130</f>
        <v>129.5360644320001</v>
      </c>
      <c r="H136" s="280"/>
      <c r="I136" s="280"/>
      <c r="J136" s="280"/>
    </row>
    <row r="137" spans="3:10">
      <c r="C137" s="151"/>
      <c r="D137" s="151"/>
      <c r="E137" s="227" t="s">
        <v>332</v>
      </c>
      <c r="F137" s="227"/>
      <c r="G137" s="295">
        <f>262+120</f>
        <v>382</v>
      </c>
      <c r="H137" s="280"/>
      <c r="I137" s="280"/>
      <c r="J137" s="280"/>
    </row>
    <row r="138" spans="3:10">
      <c r="C138" s="151"/>
      <c r="D138" s="151"/>
      <c r="E138" s="227" t="s">
        <v>333</v>
      </c>
      <c r="F138" s="227"/>
      <c r="G138" s="295">
        <f>G135+G136-G137</f>
        <v>2883.0423866209003</v>
      </c>
      <c r="H138" s="280"/>
      <c r="I138" s="280"/>
      <c r="J138" s="280"/>
    </row>
    <row r="139" spans="3:10">
      <c r="C139" s="151"/>
      <c r="D139" s="151"/>
      <c r="E139" s="227" t="s">
        <v>334</v>
      </c>
      <c r="F139" s="227"/>
      <c r="G139" s="295">
        <f>J19</f>
        <v>3104.2680740639016</v>
      </c>
      <c r="H139" s="413">
        <f>G139-G141</f>
        <v>3104.2680740639016</v>
      </c>
      <c r="I139" s="280"/>
      <c r="J139" s="280"/>
    </row>
    <row r="140" spans="3:10">
      <c r="C140" s="151"/>
      <c r="D140" s="151"/>
      <c r="E140" s="227" t="s">
        <v>335</v>
      </c>
      <c r="F140" s="227"/>
      <c r="G140" s="296">
        <f>G139-G138</f>
        <v>221.22568744300133</v>
      </c>
      <c r="H140" s="413">
        <f>H139-G138</f>
        <v>221.22568744300133</v>
      </c>
      <c r="I140" s="280"/>
      <c r="J140" s="280"/>
    </row>
    <row r="141" spans="3:10">
      <c r="C141" s="151"/>
      <c r="D141" s="151"/>
      <c r="E141" s="227"/>
      <c r="F141" s="278"/>
      <c r="G141" s="227"/>
      <c r="H141" s="280"/>
      <c r="I141" s="280"/>
      <c r="J141" s="280"/>
    </row>
    <row r="142" spans="3:10">
      <c r="C142" s="151"/>
      <c r="D142" s="151"/>
      <c r="E142" s="151"/>
      <c r="F142" s="257"/>
      <c r="G142" s="151"/>
      <c r="H142" s="258"/>
      <c r="I142" s="280"/>
      <c r="J142" s="280"/>
    </row>
    <row r="143" spans="3:10">
      <c r="C143" s="151"/>
      <c r="D143" s="151"/>
      <c r="E143" s="151"/>
      <c r="F143" s="257"/>
      <c r="G143" s="151"/>
      <c r="H143" s="258"/>
      <c r="I143" s="280"/>
      <c r="J143" s="280"/>
    </row>
    <row r="144" spans="3:10">
      <c r="E144" s="227"/>
      <c r="F144" s="278"/>
      <c r="G144" s="227"/>
      <c r="H144" s="280"/>
      <c r="I144" s="280"/>
      <c r="J144" s="280"/>
    </row>
  </sheetData>
  <sheetProtection formatCells="0" formatColumns="0" formatRows="0" insertRows="0" deleteRows="0" autoFilter="0"/>
  <autoFilter ref="E23:AL251" xr:uid="{00000000-0009-0000-0000-00002A000000}"/>
  <mergeCells count="2">
    <mergeCell ref="I4:J4"/>
    <mergeCell ref="E117:H117"/>
  </mergeCells>
  <phoneticPr fontId="40"/>
  <dataValidations count="2">
    <dataValidation type="list" allowBlank="1" showInputMessage="1" showErrorMessage="1" sqref="G2" xr:uid="{00000000-0002-0000-2A00-000000000000}">
      <formula1>SOCIETE</formula1>
    </dataValidation>
    <dataValidation type="list" allowBlank="1" showInputMessage="1" showErrorMessage="1" sqref="F118:F121 G78:G103 F24:F106" xr:uid="{67F238E0-F806-4CE0-BE2A-706C3127E5FA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44">
    <tabColor theme="4" tint="-0.499984740745262"/>
    <pageSetUpPr fitToPage="1"/>
  </sheetPr>
  <dimension ref="D1:AL149"/>
  <sheetViews>
    <sheetView showGridLines="0" tabSelected="1" topLeftCell="E1" zoomScale="80" zoomScaleNormal="80" workbookViewId="0">
      <selection activeCell="I12" sqref="I1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30.28515625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157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October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October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W41</v>
      </c>
      <c r="I9" s="61"/>
      <c r="J9" s="161" t="str">
        <f>+"from "&amp;G6&amp;" 1 until end of "&amp;G4</f>
        <v>from October 1 until end of W41</v>
      </c>
      <c r="K9" s="79"/>
      <c r="L9" s="167" t="str">
        <f>+G6</f>
        <v>October</v>
      </c>
      <c r="M9" s="80"/>
      <c r="N9" s="80"/>
      <c r="O9" s="172" t="str">
        <f>+G4</f>
        <v>W41</v>
      </c>
      <c r="P9" s="173" t="str">
        <f>+VLOOKUP(G4, parameters!$G$9:$I$61,3,0)</f>
        <v>W40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429">
        <f>600+320+797+430+396+688+856+605+1021+J10</f>
        <v>6017</v>
      </c>
      <c r="I10" s="61"/>
      <c r="J10" s="159">
        <v>304</v>
      </c>
      <c r="L10" s="159">
        <f>W17+J10</f>
        <v>1707.7176492765341</v>
      </c>
      <c r="N10" s="55"/>
      <c r="O10" s="170">
        <f>+H10+K17</f>
        <v>8841.8619257625323</v>
      </c>
      <c r="P10" s="171" cm="1">
        <f t="array" aca="1" ref="P10" ca="1">INDIRECT(ADDRESS(10,15,,,VLOOKUP($G$4,parameters!$G:$I,3,0)))</f>
        <v>8746.6186851759012</v>
      </c>
      <c r="Q10" s="183">
        <f ca="1">O10-P10</f>
        <v>95.243240586631146</v>
      </c>
      <c r="R10" s="86"/>
    </row>
    <row r="11" spans="5:38" ht="20.45" customHeight="1">
      <c r="E11" s="87" t="s">
        <v>224</v>
      </c>
      <c r="F11" s="88"/>
      <c r="G11" s="89"/>
      <c r="H11" s="430">
        <f>13+8+3+3+2+14+119+9+5+J11</f>
        <v>178</v>
      </c>
      <c r="I11" s="61"/>
      <c r="J11" s="16">
        <v>2</v>
      </c>
      <c r="L11" s="159">
        <f>W18+J11</f>
        <v>82.679315504999991</v>
      </c>
      <c r="N11" s="55"/>
      <c r="O11" s="152">
        <f>+H11+K18</f>
        <v>262.48965888800001</v>
      </c>
      <c r="P11" s="153" cm="1">
        <f t="array" aca="1" ref="P11" ca="1">INDIRECT(ADDRESS(11,15,,,VLOOKUP($G$4,parameters!$G:$I,3,0)))</f>
        <v>262.48965888800001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6195</v>
      </c>
      <c r="I12" s="293"/>
      <c r="J12" s="126">
        <f>SUM(J10:J11)</f>
        <v>306</v>
      </c>
      <c r="K12" s="65"/>
      <c r="L12" s="126">
        <f>SUM(L10:L11)</f>
        <v>1790.3969647815341</v>
      </c>
      <c r="M12" s="65"/>
      <c r="N12" s="65"/>
      <c r="O12" s="154">
        <f>SUM(O10:O11)</f>
        <v>9104.3515846505325</v>
      </c>
      <c r="P12" s="155">
        <f ca="1">SUM(P10:P11)</f>
        <v>9009.1083440639013</v>
      </c>
      <c r="Q12" s="156">
        <f t="shared" ca="1" si="0"/>
        <v>95.243240586631146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+SUMIF($F$24:$F$115,"External",$J$24:$J$115)</f>
        <v>2934.0216557625336</v>
      </c>
      <c r="K17" s="108">
        <f>+SUMIF($F$24:$F$115,"External",$K$24:$K$115)</f>
        <v>2824.8619257625332</v>
      </c>
      <c r="L17" s="109">
        <f>+SUMIF($F$24:$F$115,"External",$L$24:$L$115)</f>
        <v>109.15973000000001</v>
      </c>
      <c r="M17" s="110"/>
      <c r="N17" s="111">
        <f t="shared" ref="N17:Y17" si="1">+SUMIF($F$24:$F$115,"External",N$24:N$115)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1403.7176492765341</v>
      </c>
      <c r="X17" s="111">
        <f t="shared" si="1"/>
        <v>728.97059192199981</v>
      </c>
      <c r="Y17" s="111">
        <f t="shared" si="1"/>
        <v>692.17368456400015</v>
      </c>
      <c r="Z17" s="112"/>
      <c r="AA17" s="111">
        <f t="shared" ref="AA17:AL17" si="2">+SUMIF($F$24:$F$115,"External",AA$24:AA$115)</f>
        <v>109.15973000000001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+SUMIF($F$24:$F$115,"Group",$J$24:$J$115)</f>
        <v>84.489658887999994</v>
      </c>
      <c r="K18" s="113">
        <f>+SUMIF($F$24:$F$115,"Group",$K$24:$K$115)</f>
        <v>84.489658887999994</v>
      </c>
      <c r="L18" s="114">
        <f>SUMIF($F$24:$F$115,"Group",$L$24:$L$115)</f>
        <v>0</v>
      </c>
      <c r="M18" s="110"/>
      <c r="N18" s="114">
        <f t="shared" ref="N18:Y18" si="3">+SUMIF($F$24:$F$115,"Group",N$24:N$115)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80.679315504999991</v>
      </c>
      <c r="X18" s="114">
        <f t="shared" si="3"/>
        <v>3.8103433830000002</v>
      </c>
      <c r="Y18" s="114">
        <f t="shared" si="3"/>
        <v>0</v>
      </c>
      <c r="Z18" s="112"/>
      <c r="AA18" s="114">
        <f t="shared" ref="AA18:AL18" si="4">+SUMIF($F$24:$F$115,"Group",AA$24:AA$115)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3018.5113146505337</v>
      </c>
      <c r="K19" s="115">
        <f>SUM(K17:K18)</f>
        <v>2909.3515846505334</v>
      </c>
      <c r="L19" s="116">
        <f>SUM(L17:L18)</f>
        <v>109.15973000000001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1484.3969647815341</v>
      </c>
      <c r="X19" s="116">
        <f t="shared" si="5"/>
        <v>732.78093530499984</v>
      </c>
      <c r="Y19" s="116">
        <f t="shared" si="5"/>
        <v>692.17368456400015</v>
      </c>
      <c r="Z19" s="112"/>
      <c r="AA19" s="116">
        <f t="shared" ref="AA19:AL19" si="6">SUM(AA17:AA18)</f>
        <v>109.15973000000001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IF(SUM(J24:J115)=J19,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324</v>
      </c>
      <c r="H23" s="232" t="s">
        <v>275</v>
      </c>
      <c r="I23" s="232" t="s">
        <v>274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 t="s">
        <v>468</v>
      </c>
      <c r="F24" s="7" t="s">
        <v>19</v>
      </c>
      <c r="G24" s="6" t="s">
        <v>239</v>
      </c>
      <c r="H24" s="187" t="s">
        <v>278</v>
      </c>
      <c r="I24" s="8" t="s">
        <v>466</v>
      </c>
      <c r="J24" s="118">
        <f t="shared" ref="J24" si="7">+K24+L24</f>
        <v>4.7261967830000007</v>
      </c>
      <c r="K24" s="119">
        <f t="shared" ref="K24" si="8">SUM(N24:Y24)</f>
        <v>4.7261967830000007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>
        <v>4.7261967830000007</v>
      </c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 t="s">
        <v>573</v>
      </c>
      <c r="F25" s="6" t="s">
        <v>19</v>
      </c>
      <c r="G25" s="6" t="s">
        <v>561</v>
      </c>
      <c r="H25" s="6" t="s">
        <v>559</v>
      </c>
      <c r="I25" s="6" t="s">
        <v>472</v>
      </c>
      <c r="J25" s="118">
        <f t="shared" ref="J25:J105" si="10">+K25+L25</f>
        <v>92.379652743000008</v>
      </c>
      <c r="K25" s="119">
        <f t="shared" ref="K25:K105" si="11">SUM(N25:Y25)</f>
        <v>92.379652743000008</v>
      </c>
      <c r="L25" s="119">
        <f t="shared" ref="L25:L105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>
        <v>92.379652743000008</v>
      </c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 t="s">
        <v>567</v>
      </c>
      <c r="F26" s="6" t="s">
        <v>19</v>
      </c>
      <c r="G26" s="6" t="s">
        <v>529</v>
      </c>
      <c r="H26" s="6" t="s">
        <v>530</v>
      </c>
      <c r="I26" s="6" t="s">
        <v>472</v>
      </c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>
        <v>0</v>
      </c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 t="s">
        <v>601</v>
      </c>
      <c r="F27" s="6" t="s">
        <v>19</v>
      </c>
      <c r="G27" s="6" t="s">
        <v>279</v>
      </c>
      <c r="H27" s="6" t="s">
        <v>280</v>
      </c>
      <c r="I27" s="6" t="s">
        <v>472</v>
      </c>
      <c r="J27" s="118">
        <f t="shared" si="10"/>
        <v>44.297133390999996</v>
      </c>
      <c r="K27" s="119">
        <f t="shared" si="11"/>
        <v>44.297133390999996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>
        <v>39.720317354999999</v>
      </c>
      <c r="X27" s="24">
        <v>4.5768160359999994</v>
      </c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 t="s">
        <v>541</v>
      </c>
      <c r="F28" s="6" t="s">
        <v>19</v>
      </c>
      <c r="G28" s="6" t="s">
        <v>279</v>
      </c>
      <c r="H28" s="6" t="s">
        <v>280</v>
      </c>
      <c r="I28" s="6" t="s">
        <v>472</v>
      </c>
      <c r="J28" s="118">
        <f t="shared" si="10"/>
        <v>151.30458358799996</v>
      </c>
      <c r="K28" s="119">
        <f t="shared" si="11"/>
        <v>151.30458358799996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>
        <v>151.30458358799996</v>
      </c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 t="s">
        <v>281</v>
      </c>
      <c r="F29" s="6" t="s">
        <v>19</v>
      </c>
      <c r="G29" s="6" t="s">
        <v>282</v>
      </c>
      <c r="H29" s="6" t="s">
        <v>283</v>
      </c>
      <c r="I29" s="6" t="s">
        <v>466</v>
      </c>
      <c r="J29" s="118">
        <f t="shared" si="10"/>
        <v>8.5455690860000004</v>
      </c>
      <c r="K29" s="119">
        <f t="shared" si="11"/>
        <v>8.5455690860000004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>
        <v>0</v>
      </c>
      <c r="X29" s="24"/>
      <c r="Y29" s="24">
        <v>8.5455690860000004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 t="s">
        <v>606</v>
      </c>
      <c r="F30" s="6" t="s">
        <v>19</v>
      </c>
      <c r="G30" s="6" t="s">
        <v>237</v>
      </c>
      <c r="H30" s="6" t="s">
        <v>277</v>
      </c>
      <c r="I30" s="6" t="s">
        <v>466</v>
      </c>
      <c r="J30" s="118">
        <f t="shared" si="10"/>
        <v>0.52895629700000002</v>
      </c>
      <c r="K30" s="119">
        <f t="shared" si="11"/>
        <v>0.52895629700000002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>
        <v>0.52895629700000002</v>
      </c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 t="s">
        <v>446</v>
      </c>
      <c r="F31" s="6" t="s">
        <v>19</v>
      </c>
      <c r="G31" s="6" t="s">
        <v>493</v>
      </c>
      <c r="H31" s="6" t="s">
        <v>339</v>
      </c>
      <c r="I31" s="6" t="s">
        <v>472</v>
      </c>
      <c r="J31" s="118">
        <f t="shared" si="10"/>
        <v>1.4336222930000002</v>
      </c>
      <c r="K31" s="119">
        <f t="shared" si="11"/>
        <v>1.4336222930000002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>
        <v>1.4336222930000002</v>
      </c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 t="s">
        <v>473</v>
      </c>
      <c r="F32" s="6" t="s">
        <v>17</v>
      </c>
      <c r="G32" s="6" t="s">
        <v>493</v>
      </c>
      <c r="H32" s="6" t="s">
        <v>339</v>
      </c>
      <c r="I32" s="6" t="s">
        <v>472</v>
      </c>
      <c r="J32" s="118">
        <f t="shared" si="10"/>
        <v>84.489658887999994</v>
      </c>
      <c r="K32" s="119">
        <f t="shared" si="11"/>
        <v>84.489658887999994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>
        <v>80.679315504999991</v>
      </c>
      <c r="X32" s="24">
        <v>3.8103433830000002</v>
      </c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38">
      <c r="E33" s="6" t="s">
        <v>474</v>
      </c>
      <c r="F33" s="6" t="s">
        <v>19</v>
      </c>
      <c r="G33" s="6" t="s">
        <v>279</v>
      </c>
      <c r="H33" s="6" t="s">
        <v>280</v>
      </c>
      <c r="I33" s="6" t="s">
        <v>472</v>
      </c>
      <c r="J33" s="118">
        <f t="shared" si="10"/>
        <v>10.527767600000001</v>
      </c>
      <c r="K33" s="119">
        <f t="shared" si="11"/>
        <v>10.527767600000001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>
        <v>10.527767600000001</v>
      </c>
      <c r="X33" s="24"/>
      <c r="Y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5:38">
      <c r="E34" s="6" t="s">
        <v>476</v>
      </c>
      <c r="F34" s="6" t="s">
        <v>19</v>
      </c>
      <c r="G34" s="6" t="s">
        <v>447</v>
      </c>
      <c r="H34" s="6" t="s">
        <v>448</v>
      </c>
      <c r="I34" s="6" t="s">
        <v>466</v>
      </c>
      <c r="J34" s="118">
        <f t="shared" si="10"/>
        <v>115.008091695</v>
      </c>
      <c r="K34" s="119">
        <f t="shared" si="11"/>
        <v>81.243631695000005</v>
      </c>
      <c r="L34" s="119">
        <f t="shared" si="12"/>
        <v>33.76446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>
        <v>32.997256051999997</v>
      </c>
      <c r="X34" s="24">
        <v>12.047589243000001</v>
      </c>
      <c r="Y34" s="24">
        <v>36.198786400000003</v>
      </c>
      <c r="AA34" s="24">
        <v>33.76446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5:38">
      <c r="E35" s="6" t="s">
        <v>476</v>
      </c>
      <c r="F35" s="6" t="s">
        <v>19</v>
      </c>
      <c r="G35" s="6" t="s">
        <v>247</v>
      </c>
      <c r="H35" s="6" t="s">
        <v>289</v>
      </c>
      <c r="I35" s="6" t="s">
        <v>466</v>
      </c>
      <c r="J35" s="118">
        <f t="shared" si="10"/>
        <v>139.98395376400032</v>
      </c>
      <c r="K35" s="119">
        <f t="shared" si="11"/>
        <v>98.943643764000299</v>
      </c>
      <c r="L35" s="119">
        <f t="shared" si="12"/>
        <v>41.040310000000005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>
        <v>49.500324534000299</v>
      </c>
      <c r="X35" s="24">
        <v>11.764719230000001</v>
      </c>
      <c r="Y35" s="24">
        <v>37.678600000000003</v>
      </c>
      <c r="AA35" s="24">
        <v>41.040310000000005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5:38">
      <c r="E36" s="6" t="s">
        <v>476</v>
      </c>
      <c r="F36" s="6" t="s">
        <v>19</v>
      </c>
      <c r="G36" s="6" t="s">
        <v>379</v>
      </c>
      <c r="H36" s="6" t="s">
        <v>291</v>
      </c>
      <c r="I36" s="6" t="s">
        <v>466</v>
      </c>
      <c r="J36" s="118">
        <f t="shared" si="10"/>
        <v>110.45318313700004</v>
      </c>
      <c r="K36" s="119">
        <f t="shared" si="11"/>
        <v>86.883103137000035</v>
      </c>
      <c r="L36" s="119">
        <f t="shared" si="12"/>
        <v>23.570080000000001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>
        <v>59.647063952000032</v>
      </c>
      <c r="X36" s="24">
        <v>14.225659185000001</v>
      </c>
      <c r="Y36" s="24">
        <v>13.010380000000001</v>
      </c>
      <c r="AA36" s="24">
        <v>23.570080000000001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5:38">
      <c r="E37" s="6" t="s">
        <v>476</v>
      </c>
      <c r="F37" s="6" t="s">
        <v>19</v>
      </c>
      <c r="G37" s="6" t="s">
        <v>378</v>
      </c>
      <c r="H37" s="6" t="s">
        <v>290</v>
      </c>
      <c r="I37" s="6" t="s">
        <v>466</v>
      </c>
      <c r="J37" s="118">
        <f t="shared" si="10"/>
        <v>106.835516455</v>
      </c>
      <c r="K37" s="119">
        <f t="shared" si="11"/>
        <v>103.052366455</v>
      </c>
      <c r="L37" s="119">
        <f t="shared" si="12"/>
        <v>3.78315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>
        <v>19.506665085999998</v>
      </c>
      <c r="X37" s="24">
        <v>70.111831369000001</v>
      </c>
      <c r="Y37" s="24">
        <v>13.433869999999999</v>
      </c>
      <c r="AA37" s="24">
        <v>3.78315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5:38">
      <c r="E38" s="6" t="s">
        <v>476</v>
      </c>
      <c r="F38" s="6" t="s">
        <v>19</v>
      </c>
      <c r="G38" s="6" t="s">
        <v>454</v>
      </c>
      <c r="H38" s="6" t="s">
        <v>292</v>
      </c>
      <c r="I38" s="6" t="s">
        <v>466</v>
      </c>
      <c r="J38" s="118">
        <f t="shared" si="10"/>
        <v>582.29658213899847</v>
      </c>
      <c r="K38" s="119">
        <f t="shared" si="11"/>
        <v>582.29658213899847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>
        <v>243.00427033899868</v>
      </c>
      <c r="X38" s="24">
        <v>237.43705119999976</v>
      </c>
      <c r="Y38" s="24">
        <v>101.85526060000009</v>
      </c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5:38">
      <c r="E39" s="6" t="s">
        <v>476</v>
      </c>
      <c r="F39" s="6" t="s">
        <v>19</v>
      </c>
      <c r="G39" s="6" t="s">
        <v>293</v>
      </c>
      <c r="H39" s="6" t="s">
        <v>294</v>
      </c>
      <c r="I39" s="6" t="s">
        <v>466</v>
      </c>
      <c r="J39" s="118">
        <f t="shared" si="10"/>
        <v>44.368825200000011</v>
      </c>
      <c r="K39" s="119">
        <f t="shared" si="11"/>
        <v>37.367095200000009</v>
      </c>
      <c r="L39" s="119">
        <f t="shared" si="12"/>
        <v>7.0017300000000002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>
        <v>14.00346</v>
      </c>
      <c r="X39" s="24">
        <v>16.36190520000001</v>
      </c>
      <c r="Y39" s="24">
        <v>7.0017300000000002</v>
      </c>
      <c r="AA39" s="24">
        <v>7.0017300000000002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5:38">
      <c r="E40" s="6" t="s">
        <v>476</v>
      </c>
      <c r="F40" s="6" t="s">
        <v>19</v>
      </c>
      <c r="G40" s="6" t="s">
        <v>252</v>
      </c>
      <c r="H40" s="6" t="s">
        <v>295</v>
      </c>
      <c r="I40" s="6" t="s">
        <v>466</v>
      </c>
      <c r="J40" s="118">
        <f t="shared" si="10"/>
        <v>44.26521679999999</v>
      </c>
      <c r="K40" s="119">
        <f t="shared" si="11"/>
        <v>44.26521679999999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>
        <v>39.263823499999994</v>
      </c>
      <c r="X40" s="24">
        <v>5.0013933000000002</v>
      </c>
      <c r="Y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5:38">
      <c r="E41" s="6" t="s">
        <v>476</v>
      </c>
      <c r="F41" s="6" t="s">
        <v>19</v>
      </c>
      <c r="G41" s="6" t="s">
        <v>245</v>
      </c>
      <c r="H41" s="6" t="s">
        <v>288</v>
      </c>
      <c r="I41" s="6" t="s">
        <v>466</v>
      </c>
      <c r="J41" s="118">
        <f t="shared" si="10"/>
        <v>27.926894279999992</v>
      </c>
      <c r="K41" s="119">
        <f t="shared" si="11"/>
        <v>27.926894279999992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>
        <v>27.926894279999992</v>
      </c>
      <c r="X41" s="24">
        <v>0</v>
      </c>
      <c r="Y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5:38">
      <c r="E42" s="6" t="s">
        <v>450</v>
      </c>
      <c r="F42" s="6" t="s">
        <v>19</v>
      </c>
      <c r="G42" s="6" t="s">
        <v>282</v>
      </c>
      <c r="H42" s="6" t="s">
        <v>283</v>
      </c>
      <c r="I42" s="6" t="s">
        <v>466</v>
      </c>
      <c r="J42" s="118">
        <f t="shared" si="10"/>
        <v>0.87848340000000003</v>
      </c>
      <c r="K42" s="119">
        <f t="shared" si="11"/>
        <v>0.87848340000000003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>
        <v>0.14375300000000002</v>
      </c>
      <c r="X42" s="24">
        <v>0.58614359999999999</v>
      </c>
      <c r="Y42" s="24">
        <v>0.14858679999999999</v>
      </c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5:38">
      <c r="E43" s="6" t="s">
        <v>450</v>
      </c>
      <c r="F43" s="6" t="s">
        <v>19</v>
      </c>
      <c r="G43" s="6" t="s">
        <v>500</v>
      </c>
      <c r="H43" s="6" t="s">
        <v>305</v>
      </c>
      <c r="I43" s="6" t="s">
        <v>466</v>
      </c>
      <c r="J43" s="118">
        <f t="shared" si="10"/>
        <v>3.3595952690000002</v>
      </c>
      <c r="K43" s="119">
        <f t="shared" si="11"/>
        <v>3.3595952690000002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>
        <v>3.3595952690000002</v>
      </c>
      <c r="X43" s="24"/>
      <c r="Y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5:38">
      <c r="E44" s="6" t="s">
        <v>450</v>
      </c>
      <c r="F44" s="6" t="s">
        <v>19</v>
      </c>
      <c r="G44" s="6" t="s">
        <v>500</v>
      </c>
      <c r="H44" s="6" t="s">
        <v>305</v>
      </c>
      <c r="I44" s="6" t="s">
        <v>472</v>
      </c>
      <c r="J44" s="118">
        <f t="shared" si="10"/>
        <v>32.088017577000002</v>
      </c>
      <c r="K44" s="119">
        <f t="shared" si="11"/>
        <v>32.088017577000002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>
        <v>11.377540684000003</v>
      </c>
      <c r="X44" s="24">
        <v>16.324576893</v>
      </c>
      <c r="Y44" s="24">
        <v>4.3859000000000004</v>
      </c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5:38">
      <c r="E45" s="6" t="s">
        <v>450</v>
      </c>
      <c r="F45" s="6" t="s">
        <v>19</v>
      </c>
      <c r="G45" s="6" t="s">
        <v>256</v>
      </c>
      <c r="H45" s="6" t="s">
        <v>303</v>
      </c>
      <c r="I45" s="6" t="s">
        <v>466</v>
      </c>
      <c r="J45" s="118">
        <f t="shared" si="10"/>
        <v>179.43043579200005</v>
      </c>
      <c r="K45" s="119">
        <f t="shared" si="11"/>
        <v>179.43043579200005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>
        <v>144.72865757800005</v>
      </c>
      <c r="Y45" s="24">
        <v>34.701778213999994</v>
      </c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5:38">
      <c r="E46" s="6" t="s">
        <v>572</v>
      </c>
      <c r="F46" s="6" t="s">
        <v>19</v>
      </c>
      <c r="G46" s="6" t="s">
        <v>441</v>
      </c>
      <c r="H46" s="6" t="s">
        <v>481</v>
      </c>
      <c r="I46" s="6" t="s">
        <v>466</v>
      </c>
      <c r="J46" s="118">
        <f t="shared" si="10"/>
        <v>33.857864901999918</v>
      </c>
      <c r="K46" s="119">
        <f t="shared" si="11"/>
        <v>33.857864901999918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>
        <v>33.857864901999918</v>
      </c>
      <c r="X46" s="24"/>
      <c r="Y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5:38">
      <c r="E47" s="6" t="s">
        <v>482</v>
      </c>
      <c r="F47" s="6" t="s">
        <v>19</v>
      </c>
      <c r="G47" s="6" t="s">
        <v>258</v>
      </c>
      <c r="H47" s="6" t="s">
        <v>306</v>
      </c>
      <c r="I47" s="6" t="s">
        <v>466</v>
      </c>
      <c r="J47" s="118">
        <f t="shared" si="10"/>
        <v>54.710007988999998</v>
      </c>
      <c r="K47" s="119">
        <f t="shared" si="11"/>
        <v>54.710007988999998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>
        <v>4.7692471999999997</v>
      </c>
      <c r="X47" s="24">
        <v>30.779486625999997</v>
      </c>
      <c r="Y47" s="24">
        <v>19.161274163000002</v>
      </c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5:38">
      <c r="E48" s="6" t="s">
        <v>482</v>
      </c>
      <c r="F48" s="6" t="s">
        <v>19</v>
      </c>
      <c r="G48" s="6" t="s">
        <v>494</v>
      </c>
      <c r="H48" s="6" t="s">
        <v>299</v>
      </c>
      <c r="I48" s="6" t="s">
        <v>466</v>
      </c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>
        <v>0</v>
      </c>
      <c r="X48" s="24"/>
      <c r="Y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5:38">
      <c r="E49" s="6" t="s">
        <v>482</v>
      </c>
      <c r="F49" s="6" t="s">
        <v>19</v>
      </c>
      <c r="G49" s="6" t="s">
        <v>256</v>
      </c>
      <c r="H49" s="6" t="s">
        <v>303</v>
      </c>
      <c r="I49" s="6" t="s">
        <v>466</v>
      </c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>
        <v>0</v>
      </c>
      <c r="Y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5:38">
      <c r="E50" s="6" t="s">
        <v>569</v>
      </c>
      <c r="F50" s="6" t="s">
        <v>19</v>
      </c>
      <c r="G50" s="6" t="s">
        <v>447</v>
      </c>
      <c r="H50" s="6" t="s">
        <v>448</v>
      </c>
      <c r="I50" s="6" t="s">
        <v>466</v>
      </c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>
        <v>0</v>
      </c>
      <c r="Y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5:38">
      <c r="E51" s="6" t="s">
        <v>569</v>
      </c>
      <c r="F51" s="6" t="s">
        <v>19</v>
      </c>
      <c r="G51" s="6" t="s">
        <v>378</v>
      </c>
      <c r="H51" s="6" t="s">
        <v>290</v>
      </c>
      <c r="I51" s="6" t="s">
        <v>466</v>
      </c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>
        <v>0</v>
      </c>
      <c r="Y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5:38">
      <c r="E52" s="6" t="s">
        <v>483</v>
      </c>
      <c r="F52" s="6" t="s">
        <v>19</v>
      </c>
      <c r="G52" s="6" t="s">
        <v>258</v>
      </c>
      <c r="H52" s="6" t="s">
        <v>306</v>
      </c>
      <c r="I52" s="6" t="s">
        <v>466</v>
      </c>
      <c r="J52" s="118">
        <f t="shared" si="10"/>
        <v>10.742549372999997</v>
      </c>
      <c r="K52" s="119">
        <f t="shared" si="11"/>
        <v>10.742549372999997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>
        <v>10.450989816999998</v>
      </c>
      <c r="Y52" s="24">
        <v>0.291559556</v>
      </c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5:38">
      <c r="E53" s="6" t="s">
        <v>484</v>
      </c>
      <c r="F53" s="6" t="s">
        <v>19</v>
      </c>
      <c r="G53" s="6" t="s">
        <v>264</v>
      </c>
      <c r="H53" s="6" t="s">
        <v>310</v>
      </c>
      <c r="I53" s="6" t="s">
        <v>472</v>
      </c>
      <c r="J53" s="118">
        <f t="shared" si="10"/>
        <v>0.33190336400000003</v>
      </c>
      <c r="K53" s="119">
        <f t="shared" si="11"/>
        <v>0.33190336400000003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>
        <v>0.33190336400000003</v>
      </c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5:38">
      <c r="E54" s="6" t="s">
        <v>484</v>
      </c>
      <c r="F54" s="6" t="s">
        <v>19</v>
      </c>
      <c r="G54" s="6" t="s">
        <v>504</v>
      </c>
      <c r="H54" s="6" t="s">
        <v>307</v>
      </c>
      <c r="I54" s="6" t="s">
        <v>472</v>
      </c>
      <c r="J54" s="118">
        <f t="shared" si="10"/>
        <v>55.406393561999998</v>
      </c>
      <c r="K54" s="119">
        <f t="shared" si="11"/>
        <v>55.406393561999998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>
        <v>55.406393561999998</v>
      </c>
      <c r="Y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5:38">
      <c r="E55" s="6" t="s">
        <v>484</v>
      </c>
      <c r="F55" s="6" t="s">
        <v>19</v>
      </c>
      <c r="G55" s="6" t="s">
        <v>500</v>
      </c>
      <c r="H55" s="6" t="s">
        <v>305</v>
      </c>
      <c r="I55" s="6" t="s">
        <v>472</v>
      </c>
      <c r="J55" s="118">
        <f t="shared" si="10"/>
        <v>47.636642921999993</v>
      </c>
      <c r="K55" s="119">
        <f t="shared" si="11"/>
        <v>47.636642921999993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>
        <v>47.636642921999993</v>
      </c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5:38">
      <c r="E56" s="6" t="s">
        <v>484</v>
      </c>
      <c r="F56" s="6" t="s">
        <v>19</v>
      </c>
      <c r="G56" s="6" t="s">
        <v>503</v>
      </c>
      <c r="H56" s="6" t="s">
        <v>311</v>
      </c>
      <c r="I56" s="6" t="s">
        <v>472</v>
      </c>
      <c r="J56" s="118">
        <f t="shared" si="10"/>
        <v>3.2048898210000001</v>
      </c>
      <c r="K56" s="119">
        <f t="shared" si="11"/>
        <v>3.2048898210000001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>
        <v>3.2048898210000001</v>
      </c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5:38">
      <c r="E57" s="6" t="s">
        <v>484</v>
      </c>
      <c r="F57" s="6" t="s">
        <v>19</v>
      </c>
      <c r="G57" s="6" t="s">
        <v>370</v>
      </c>
      <c r="H57" s="6" t="s">
        <v>308</v>
      </c>
      <c r="I57" s="6" t="s">
        <v>472</v>
      </c>
      <c r="J57" s="118">
        <f t="shared" si="10"/>
        <v>28.902717307000003</v>
      </c>
      <c r="K57" s="119">
        <f t="shared" si="11"/>
        <v>28.902717307000003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>
        <v>28.902717307000003</v>
      </c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5:38">
      <c r="E58" s="6" t="s">
        <v>451</v>
      </c>
      <c r="F58" s="6" t="s">
        <v>19</v>
      </c>
      <c r="G58" s="6" t="s">
        <v>504</v>
      </c>
      <c r="H58" s="6" t="s">
        <v>307</v>
      </c>
      <c r="I58" s="6" t="s">
        <v>466</v>
      </c>
      <c r="J58" s="118">
        <f t="shared" si="10"/>
        <v>12.144117764000001</v>
      </c>
      <c r="K58" s="119">
        <f t="shared" si="11"/>
        <v>12.144117764000001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>
        <v>12.144117764000001</v>
      </c>
      <c r="X58" s="24"/>
      <c r="Y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5:38">
      <c r="E59" s="6" t="s">
        <v>451</v>
      </c>
      <c r="F59" s="6" t="s">
        <v>19</v>
      </c>
      <c r="G59" s="6" t="s">
        <v>504</v>
      </c>
      <c r="H59" s="6" t="s">
        <v>307</v>
      </c>
      <c r="I59" s="6" t="s">
        <v>472</v>
      </c>
      <c r="J59" s="118">
        <f t="shared" si="10"/>
        <v>2.27242071</v>
      </c>
      <c r="K59" s="119">
        <f t="shared" si="11"/>
        <v>2.27242071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>
        <v>2.27242071</v>
      </c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5:38">
      <c r="E60" s="6" t="s">
        <v>451</v>
      </c>
      <c r="F60" s="6" t="s">
        <v>19</v>
      </c>
      <c r="G60" s="6" t="s">
        <v>370</v>
      </c>
      <c r="H60" s="6" t="s">
        <v>308</v>
      </c>
      <c r="I60" s="6" t="s">
        <v>472</v>
      </c>
      <c r="J60" s="118">
        <f t="shared" si="10"/>
        <v>2.1636036089999999</v>
      </c>
      <c r="K60" s="119">
        <f t="shared" si="11"/>
        <v>2.1636036089999999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>
        <v>2.1636036089999999</v>
      </c>
      <c r="X60" s="24"/>
      <c r="Y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5:38">
      <c r="E61" s="6" t="s">
        <v>577</v>
      </c>
      <c r="F61" s="6" t="s">
        <v>19</v>
      </c>
      <c r="G61" s="6" t="s">
        <v>500</v>
      </c>
      <c r="H61" s="6" t="s">
        <v>305</v>
      </c>
      <c r="I61" s="6" t="s">
        <v>472</v>
      </c>
      <c r="J61" s="118">
        <f t="shared" si="10"/>
        <v>19.768845337000002</v>
      </c>
      <c r="K61" s="119">
        <f t="shared" si="11"/>
        <v>19.768845337000002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>
        <v>19.768845337000002</v>
      </c>
      <c r="X61" s="24"/>
      <c r="Y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5:38">
      <c r="E62" s="6" t="s">
        <v>485</v>
      </c>
      <c r="F62" s="6" t="s">
        <v>19</v>
      </c>
      <c r="G62" s="6" t="s">
        <v>529</v>
      </c>
      <c r="H62" s="6" t="s">
        <v>530</v>
      </c>
      <c r="I62" s="6" t="s">
        <v>472</v>
      </c>
      <c r="J62" s="118">
        <f t="shared" si="10"/>
        <v>5.1368092149999995</v>
      </c>
      <c r="K62" s="119">
        <f t="shared" si="11"/>
        <v>5.1368092149999995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>
        <v>5.1368092149999995</v>
      </c>
      <c r="X62" s="24"/>
      <c r="Y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5:38">
      <c r="E63" s="6" t="s">
        <v>589</v>
      </c>
      <c r="F63" s="6" t="s">
        <v>19</v>
      </c>
      <c r="G63" s="6" t="s">
        <v>282</v>
      </c>
      <c r="H63" s="6" t="s">
        <v>283</v>
      </c>
      <c r="I63" s="6" t="s">
        <v>466</v>
      </c>
      <c r="J63" s="118">
        <f t="shared" si="10"/>
        <v>1.9666872719999999</v>
      </c>
      <c r="K63" s="119">
        <f t="shared" si="11"/>
        <v>1.9666872719999999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>
        <v>1.9666872719999999</v>
      </c>
      <c r="X63" s="24"/>
      <c r="Y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5:38">
      <c r="E64" s="6" t="s">
        <v>589</v>
      </c>
      <c r="F64" s="6" t="s">
        <v>19</v>
      </c>
      <c r="G64" s="6" t="s">
        <v>379</v>
      </c>
      <c r="H64" s="6" t="s">
        <v>291</v>
      </c>
      <c r="I64" s="6" t="s">
        <v>466</v>
      </c>
      <c r="J64" s="118">
        <f t="shared" si="10"/>
        <v>1.5587086999999999E-2</v>
      </c>
      <c r="K64" s="119">
        <f t="shared" si="11"/>
        <v>1.5587086999999999E-2</v>
      </c>
      <c r="L64" s="119">
        <f t="shared" si="12"/>
        <v>0</v>
      </c>
      <c r="N64" s="24"/>
      <c r="O64" s="24"/>
      <c r="P64" s="24"/>
      <c r="Q64" s="24"/>
      <c r="R64" s="24"/>
      <c r="S64" s="24"/>
      <c r="T64" s="24"/>
      <c r="U64" s="24"/>
      <c r="V64" s="24"/>
      <c r="W64" s="24">
        <v>1.5587086999999999E-2</v>
      </c>
      <c r="X64" s="24"/>
      <c r="Y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5:38">
      <c r="E65" s="6" t="s">
        <v>607</v>
      </c>
      <c r="F65" s="6" t="s">
        <v>19</v>
      </c>
      <c r="G65" s="6" t="s">
        <v>237</v>
      </c>
      <c r="H65" s="6" t="s">
        <v>277</v>
      </c>
      <c r="I65" s="6" t="s">
        <v>466</v>
      </c>
      <c r="J65" s="118">
        <f t="shared" si="10"/>
        <v>18.165739839</v>
      </c>
      <c r="K65" s="119">
        <f t="shared" si="11"/>
        <v>18.165739839</v>
      </c>
      <c r="L65" s="119">
        <f t="shared" si="12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>
        <v>18.165739839</v>
      </c>
      <c r="X65" s="24"/>
      <c r="Y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5:38">
      <c r="E66" s="6" t="s">
        <v>268</v>
      </c>
      <c r="F66" s="6" t="s">
        <v>19</v>
      </c>
      <c r="G66" s="6" t="s">
        <v>374</v>
      </c>
      <c r="H66" s="6" t="s">
        <v>317</v>
      </c>
      <c r="I66" s="6" t="s">
        <v>466</v>
      </c>
      <c r="J66" s="118">
        <f t="shared" si="10"/>
        <v>0.35769937499999999</v>
      </c>
      <c r="K66" s="119">
        <f t="shared" si="11"/>
        <v>0.35769937499999999</v>
      </c>
      <c r="L66" s="119">
        <f t="shared" si="12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>
        <v>0.35769937499999999</v>
      </c>
      <c r="X66" s="24"/>
      <c r="Y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5:38">
      <c r="E67" s="6" t="s">
        <v>270</v>
      </c>
      <c r="F67" s="6" t="s">
        <v>19</v>
      </c>
      <c r="G67" s="6" t="s">
        <v>441</v>
      </c>
      <c r="H67" s="6" t="s">
        <v>481</v>
      </c>
      <c r="I67" s="6" t="s">
        <v>466</v>
      </c>
      <c r="J67" s="118">
        <f t="shared" si="10"/>
        <v>25.083203000000001</v>
      </c>
      <c r="K67" s="119">
        <f t="shared" si="11"/>
        <v>25.083203000000001</v>
      </c>
      <c r="L67" s="119">
        <f t="shared" si="12"/>
        <v>0</v>
      </c>
      <c r="N67" s="24"/>
      <c r="O67" s="24"/>
      <c r="P67" s="24"/>
      <c r="Q67" s="24"/>
      <c r="R67" s="24"/>
      <c r="S67" s="24"/>
      <c r="T67" s="24"/>
      <c r="U67" s="24"/>
      <c r="V67" s="24"/>
      <c r="W67" s="24">
        <v>25.083203000000001</v>
      </c>
      <c r="X67" s="24"/>
      <c r="Y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5:38">
      <c r="E68" s="6" t="s">
        <v>270</v>
      </c>
      <c r="F68" s="6" t="s">
        <v>19</v>
      </c>
      <c r="G68" s="6" t="s">
        <v>508</v>
      </c>
      <c r="H68" s="6" t="s">
        <v>319</v>
      </c>
      <c r="I68" s="6" t="s">
        <v>466</v>
      </c>
      <c r="J68" s="118">
        <f t="shared" si="10"/>
        <v>120.7699657</v>
      </c>
      <c r="K68" s="119">
        <f t="shared" si="11"/>
        <v>120.7699657</v>
      </c>
      <c r="L68" s="119">
        <f t="shared" si="12"/>
        <v>0</v>
      </c>
      <c r="N68" s="24"/>
      <c r="O68" s="24"/>
      <c r="P68" s="24"/>
      <c r="Q68" s="24"/>
      <c r="R68" s="24"/>
      <c r="S68" s="24"/>
      <c r="T68" s="24"/>
      <c r="U68" s="24"/>
      <c r="V68" s="24"/>
      <c r="W68" s="24">
        <v>29.318501099999999</v>
      </c>
      <c r="X68" s="24">
        <v>91.451464599999994</v>
      </c>
      <c r="Y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5:38">
      <c r="E69" s="6" t="s">
        <v>270</v>
      </c>
      <c r="F69" s="6" t="s">
        <v>19</v>
      </c>
      <c r="G69" s="6" t="s">
        <v>374</v>
      </c>
      <c r="H69" s="6" t="s">
        <v>317</v>
      </c>
      <c r="I69" s="6" t="s">
        <v>466</v>
      </c>
      <c r="J69" s="118">
        <f t="shared" si="10"/>
        <v>22.427728600000002</v>
      </c>
      <c r="K69" s="119">
        <f t="shared" si="11"/>
        <v>22.427728600000002</v>
      </c>
      <c r="L69" s="119">
        <f t="shared" si="12"/>
        <v>0</v>
      </c>
      <c r="N69" s="24"/>
      <c r="O69" s="24"/>
      <c r="P69" s="24"/>
      <c r="Q69" s="24"/>
      <c r="R69" s="24"/>
      <c r="S69" s="24"/>
      <c r="T69" s="24"/>
      <c r="U69" s="24"/>
      <c r="V69" s="24"/>
      <c r="W69" s="24">
        <v>22.427728600000002</v>
      </c>
      <c r="X69" s="24"/>
      <c r="Y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5:38">
      <c r="E70" s="6" t="s">
        <v>270</v>
      </c>
      <c r="F70" s="6" t="s">
        <v>19</v>
      </c>
      <c r="G70" s="6" t="s">
        <v>374</v>
      </c>
      <c r="H70" s="6" t="s">
        <v>317</v>
      </c>
      <c r="I70" s="6" t="s">
        <v>472</v>
      </c>
      <c r="J70" s="118">
        <f t="shared" si="10"/>
        <v>2.9897176999999999</v>
      </c>
      <c r="K70" s="119">
        <f t="shared" si="11"/>
        <v>2.9897176999999999</v>
      </c>
      <c r="L70" s="119">
        <f t="shared" si="12"/>
        <v>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>
        <v>2.9897176999999999</v>
      </c>
      <c r="Y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5:38">
      <c r="E71" s="6" t="s">
        <v>570</v>
      </c>
      <c r="F71" s="6" t="s">
        <v>19</v>
      </c>
      <c r="G71" s="6" t="s">
        <v>237</v>
      </c>
      <c r="H71" s="6" t="s">
        <v>277</v>
      </c>
      <c r="I71" s="6" t="s">
        <v>466</v>
      </c>
      <c r="J71" s="118">
        <f t="shared" si="10"/>
        <v>0.71694856799999995</v>
      </c>
      <c r="K71" s="119">
        <f t="shared" si="11"/>
        <v>0.71694856799999995</v>
      </c>
      <c r="L71" s="119">
        <f t="shared" si="12"/>
        <v>0</v>
      </c>
      <c r="N71" s="24"/>
      <c r="O71" s="24"/>
      <c r="P71" s="24"/>
      <c r="Q71" s="24"/>
      <c r="R71" s="24"/>
      <c r="S71" s="24"/>
      <c r="T71" s="24"/>
      <c r="U71" s="24"/>
      <c r="V71" s="24"/>
      <c r="W71" s="24">
        <v>0.71694856799999995</v>
      </c>
      <c r="X71" s="24"/>
      <c r="Y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5:38">
      <c r="E72" s="6"/>
      <c r="F72" s="6"/>
      <c r="G72" s="6"/>
      <c r="H72" s="6"/>
      <c r="I72" s="6"/>
      <c r="J72" s="118">
        <f t="shared" si="10"/>
        <v>0</v>
      </c>
      <c r="K72" s="119">
        <f t="shared" si="11"/>
        <v>0</v>
      </c>
      <c r="L72" s="119">
        <f t="shared" si="12"/>
        <v>0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5:38">
      <c r="E73" s="6"/>
      <c r="F73" s="6"/>
      <c r="G73" s="6"/>
      <c r="H73" s="6"/>
      <c r="I73" s="6"/>
      <c r="J73" s="118">
        <f t="shared" si="10"/>
        <v>0</v>
      </c>
      <c r="K73" s="119">
        <f t="shared" si="11"/>
        <v>0</v>
      </c>
      <c r="L73" s="119">
        <f t="shared" si="12"/>
        <v>0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5:38">
      <c r="E74" s="6"/>
      <c r="F74" s="6"/>
      <c r="G74" s="6"/>
      <c r="H74" s="6"/>
      <c r="I74" s="6"/>
      <c r="J74" s="118"/>
      <c r="K74" s="119"/>
      <c r="L74" s="119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5:38">
      <c r="E75" s="305" t="s">
        <v>634</v>
      </c>
      <c r="F75" s="13" t="s">
        <v>19</v>
      </c>
      <c r="G75" s="305"/>
      <c r="H75" s="305" t="s">
        <v>428</v>
      </c>
      <c r="I75" s="305" t="s">
        <v>466</v>
      </c>
      <c r="J75" s="118">
        <f t="shared" ref="J75:J91" si="13">+K75+L75</f>
        <v>1.0276245188549999</v>
      </c>
      <c r="K75" s="119">
        <f t="shared" ref="K75:K91" si="14">SUM(N75:Y75)</f>
        <v>1.0276245188549999</v>
      </c>
      <c r="L75" s="119">
        <f t="shared" ref="L75:L91" si="15">SUM(AA75:AL75)</f>
        <v>0</v>
      </c>
      <c r="N75" s="24"/>
      <c r="O75" s="24"/>
      <c r="P75" s="24"/>
      <c r="Q75" s="24"/>
      <c r="R75" s="24"/>
      <c r="S75" s="24"/>
      <c r="T75" s="24"/>
      <c r="U75" s="24"/>
      <c r="V75" s="24"/>
      <c r="W75" s="344">
        <v>1.0276245188549999</v>
      </c>
      <c r="X75" s="24"/>
      <c r="Y75" s="34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5:38">
      <c r="E76" s="305" t="s">
        <v>635</v>
      </c>
      <c r="F76" s="13" t="s">
        <v>19</v>
      </c>
      <c r="G76" s="305"/>
      <c r="H76" s="305" t="s">
        <v>386</v>
      </c>
      <c r="I76" s="305" t="s">
        <v>466</v>
      </c>
      <c r="J76" s="118">
        <f t="shared" si="13"/>
        <v>1.6429371400000001</v>
      </c>
      <c r="K76" s="119">
        <f t="shared" si="14"/>
        <v>1.6429371400000001</v>
      </c>
      <c r="L76" s="119">
        <f t="shared" si="15"/>
        <v>0</v>
      </c>
      <c r="N76" s="24"/>
      <c r="O76" s="24"/>
      <c r="P76" s="24"/>
      <c r="Q76" s="24"/>
      <c r="R76" s="24"/>
      <c r="S76" s="24"/>
      <c r="T76" s="24"/>
      <c r="U76" s="24"/>
      <c r="V76" s="24"/>
      <c r="W76" s="344">
        <v>1.6429371400000001</v>
      </c>
      <c r="X76" s="24"/>
      <c r="Y76" s="34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5:38">
      <c r="E77" s="305" t="s">
        <v>580</v>
      </c>
      <c r="F77" s="13" t="s">
        <v>19</v>
      </c>
      <c r="G77" s="305"/>
      <c r="H77" s="305" t="s">
        <v>421</v>
      </c>
      <c r="I77" s="305" t="s">
        <v>472</v>
      </c>
      <c r="J77" s="118">
        <f t="shared" si="13"/>
        <v>68.666610000000006</v>
      </c>
      <c r="K77" s="119">
        <f t="shared" si="14"/>
        <v>68.666610000000006</v>
      </c>
      <c r="L77" s="119">
        <f t="shared" si="15"/>
        <v>0</v>
      </c>
      <c r="N77" s="24"/>
      <c r="O77" s="24"/>
      <c r="P77" s="24"/>
      <c r="Q77" s="24"/>
      <c r="R77" s="24"/>
      <c r="S77" s="24"/>
      <c r="T77" s="24"/>
      <c r="U77" s="24"/>
      <c r="V77" s="24"/>
      <c r="W77" s="344">
        <v>68.666610000000006</v>
      </c>
      <c r="X77" s="24"/>
      <c r="Y77" s="34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5:38">
      <c r="E78" s="305" t="s">
        <v>636</v>
      </c>
      <c r="F78" s="13" t="s">
        <v>19</v>
      </c>
      <c r="G78" s="305"/>
      <c r="H78" s="305" t="s">
        <v>387</v>
      </c>
      <c r="I78" s="305" t="s">
        <v>472</v>
      </c>
      <c r="J78" s="118">
        <f t="shared" si="13"/>
        <v>71.547924100000003</v>
      </c>
      <c r="K78" s="119">
        <f t="shared" si="14"/>
        <v>71.547924100000003</v>
      </c>
      <c r="L78" s="119">
        <f t="shared" si="15"/>
        <v>0</v>
      </c>
      <c r="N78" s="24"/>
      <c r="O78" s="24"/>
      <c r="P78" s="24"/>
      <c r="Q78" s="24"/>
      <c r="R78" s="24"/>
      <c r="S78" s="24"/>
      <c r="T78" s="24"/>
      <c r="U78" s="24"/>
      <c r="V78" s="24"/>
      <c r="W78" s="344">
        <v>71.547924100000003</v>
      </c>
      <c r="X78" s="24"/>
      <c r="Y78" s="34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5:38">
      <c r="E79" s="305" t="s">
        <v>597</v>
      </c>
      <c r="F79" s="13" t="s">
        <v>19</v>
      </c>
      <c r="G79" s="305"/>
      <c r="H79" s="305" t="s">
        <v>388</v>
      </c>
      <c r="I79" s="305" t="s">
        <v>472</v>
      </c>
      <c r="J79" s="118">
        <f t="shared" si="13"/>
        <v>30.259729180169995</v>
      </c>
      <c r="K79" s="119">
        <f t="shared" si="14"/>
        <v>30.259729180169995</v>
      </c>
      <c r="L79" s="119">
        <f t="shared" si="15"/>
        <v>0</v>
      </c>
      <c r="N79" s="24"/>
      <c r="O79" s="24"/>
      <c r="P79" s="24"/>
      <c r="Q79" s="24"/>
      <c r="R79" s="24"/>
      <c r="S79" s="24"/>
      <c r="T79" s="24"/>
      <c r="U79" s="24"/>
      <c r="V79" s="24"/>
      <c r="W79" s="344">
        <v>30.259729180169995</v>
      </c>
      <c r="X79" s="24"/>
      <c r="Y79" s="34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5:38">
      <c r="E80" s="305" t="s">
        <v>637</v>
      </c>
      <c r="F80" s="13" t="s">
        <v>19</v>
      </c>
      <c r="G80" s="305"/>
      <c r="H80" s="305" t="s">
        <v>339</v>
      </c>
      <c r="I80" s="305" t="s">
        <v>472</v>
      </c>
      <c r="J80" s="118">
        <f t="shared" si="13"/>
        <v>0.88327517454000004</v>
      </c>
      <c r="K80" s="119">
        <f t="shared" si="14"/>
        <v>0.88327517454000004</v>
      </c>
      <c r="L80" s="119">
        <f t="shared" si="15"/>
        <v>0</v>
      </c>
      <c r="N80" s="24"/>
      <c r="O80" s="24"/>
      <c r="P80" s="24"/>
      <c r="Q80" s="24"/>
      <c r="R80" s="24"/>
      <c r="S80" s="24"/>
      <c r="T80" s="24"/>
      <c r="U80" s="24"/>
      <c r="V80" s="24"/>
      <c r="W80" s="344">
        <v>0.88327517454000004</v>
      </c>
      <c r="X80" s="24"/>
      <c r="Y80" s="34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5:38">
      <c r="E81" s="305" t="s">
        <v>638</v>
      </c>
      <c r="F81" s="13" t="s">
        <v>19</v>
      </c>
      <c r="G81" s="305"/>
      <c r="H81" s="305" t="s">
        <v>387</v>
      </c>
      <c r="I81" s="305" t="s">
        <v>472</v>
      </c>
      <c r="J81" s="118">
        <f t="shared" si="13"/>
        <v>45.028060099999998</v>
      </c>
      <c r="K81" s="119">
        <f t="shared" si="14"/>
        <v>45.028060099999998</v>
      </c>
      <c r="L81" s="119">
        <f t="shared" si="15"/>
        <v>0</v>
      </c>
      <c r="N81" s="24"/>
      <c r="O81" s="24"/>
      <c r="P81" s="24"/>
      <c r="Q81" s="24"/>
      <c r="R81" s="24"/>
      <c r="S81" s="24"/>
      <c r="T81" s="24"/>
      <c r="U81" s="24"/>
      <c r="V81" s="24"/>
      <c r="W81" s="344">
        <v>45.028060099999998</v>
      </c>
      <c r="X81" s="24"/>
      <c r="Y81" s="34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5:38">
      <c r="E82" s="305" t="s">
        <v>581</v>
      </c>
      <c r="F82" s="13" t="s">
        <v>19</v>
      </c>
      <c r="G82" s="305"/>
      <c r="H82" s="305" t="s">
        <v>642</v>
      </c>
      <c r="I82" s="305" t="s">
        <v>466</v>
      </c>
      <c r="J82" s="118">
        <f t="shared" si="13"/>
        <v>38.613648079999997</v>
      </c>
      <c r="K82" s="119">
        <f t="shared" si="14"/>
        <v>38.613648079999997</v>
      </c>
      <c r="L82" s="119">
        <f t="shared" si="15"/>
        <v>0</v>
      </c>
      <c r="N82" s="24"/>
      <c r="O82" s="24"/>
      <c r="P82" s="24"/>
      <c r="Q82" s="24"/>
      <c r="R82" s="24"/>
      <c r="S82" s="24"/>
      <c r="T82" s="24"/>
      <c r="U82" s="24"/>
      <c r="V82" s="24"/>
      <c r="W82" s="344">
        <v>29.613648079999997</v>
      </c>
      <c r="X82" s="24"/>
      <c r="Y82" s="344">
        <v>9</v>
      </c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5:38">
      <c r="E83" s="305" t="s">
        <v>581</v>
      </c>
      <c r="F83" s="13" t="s">
        <v>19</v>
      </c>
      <c r="G83" s="305"/>
      <c r="H83" s="305" t="s">
        <v>395</v>
      </c>
      <c r="I83" s="305" t="s">
        <v>466</v>
      </c>
      <c r="J83" s="118">
        <f t="shared" si="13"/>
        <v>43.979278599999994</v>
      </c>
      <c r="K83" s="119">
        <f t="shared" si="14"/>
        <v>43.979278599999994</v>
      </c>
      <c r="L83" s="119">
        <f t="shared" si="15"/>
        <v>0</v>
      </c>
      <c r="N83" s="24"/>
      <c r="O83" s="24"/>
      <c r="P83" s="24"/>
      <c r="Q83" s="24"/>
      <c r="R83" s="24"/>
      <c r="S83" s="24"/>
      <c r="T83" s="24"/>
      <c r="U83" s="24"/>
      <c r="V83" s="24"/>
      <c r="W83" s="344">
        <v>39.979278599999994</v>
      </c>
      <c r="X83" s="24"/>
      <c r="Y83" s="344">
        <v>4</v>
      </c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5:38">
      <c r="E84" s="305" t="s">
        <v>581</v>
      </c>
      <c r="F84" s="13" t="s">
        <v>19</v>
      </c>
      <c r="G84" s="305"/>
      <c r="H84" s="305" t="s">
        <v>290</v>
      </c>
      <c r="I84" s="305" t="s">
        <v>466</v>
      </c>
      <c r="J84" s="118">
        <f t="shared" si="13"/>
        <v>7.812011</v>
      </c>
      <c r="K84" s="119">
        <f t="shared" si="14"/>
        <v>7.812011</v>
      </c>
      <c r="L84" s="119">
        <f t="shared" si="15"/>
        <v>0</v>
      </c>
      <c r="N84" s="24"/>
      <c r="O84" s="24"/>
      <c r="P84" s="24"/>
      <c r="Q84" s="24"/>
      <c r="R84" s="24"/>
      <c r="S84" s="24"/>
      <c r="T84" s="24"/>
      <c r="U84" s="24"/>
      <c r="V84" s="24"/>
      <c r="W84" s="344">
        <v>7.812011</v>
      </c>
      <c r="X84" s="24"/>
      <c r="Y84" s="34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5:38">
      <c r="E85" s="305" t="s">
        <v>581</v>
      </c>
      <c r="F85" s="13" t="s">
        <v>19</v>
      </c>
      <c r="G85" s="305"/>
      <c r="H85" s="305" t="s">
        <v>291</v>
      </c>
      <c r="I85" s="305" t="s">
        <v>466</v>
      </c>
      <c r="J85" s="118">
        <f t="shared" si="13"/>
        <v>41.883776719999993</v>
      </c>
      <c r="K85" s="119">
        <f t="shared" si="14"/>
        <v>41.883776719999993</v>
      </c>
      <c r="L85" s="119">
        <f t="shared" si="15"/>
        <v>0</v>
      </c>
      <c r="N85" s="24"/>
      <c r="O85" s="24"/>
      <c r="P85" s="24"/>
      <c r="Q85" s="24"/>
      <c r="R85" s="24"/>
      <c r="S85" s="24"/>
      <c r="T85" s="24"/>
      <c r="U85" s="24"/>
      <c r="V85" s="24"/>
      <c r="W85" s="344">
        <v>26.883776719999993</v>
      </c>
      <c r="X85" s="24"/>
      <c r="Y85" s="344">
        <v>15</v>
      </c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5:38">
      <c r="E86" s="305" t="s">
        <v>581</v>
      </c>
      <c r="F86" s="13" t="s">
        <v>19</v>
      </c>
      <c r="G86" s="305"/>
      <c r="H86" s="305" t="s">
        <v>290</v>
      </c>
      <c r="I86" s="305" t="s">
        <v>466</v>
      </c>
      <c r="J86" s="118">
        <f t="shared" si="13"/>
        <v>2.1020296799999998</v>
      </c>
      <c r="K86" s="119">
        <f t="shared" si="14"/>
        <v>2.1020296799999998</v>
      </c>
      <c r="L86" s="119">
        <f t="shared" si="15"/>
        <v>0</v>
      </c>
      <c r="N86" s="24"/>
      <c r="O86" s="24"/>
      <c r="P86" s="24"/>
      <c r="Q86" s="24"/>
      <c r="R86" s="24"/>
      <c r="S86" s="24"/>
      <c r="T86" s="24"/>
      <c r="U86" s="24"/>
      <c r="V86" s="24"/>
      <c r="W86" s="344">
        <v>2.1020296799999998</v>
      </c>
      <c r="X86" s="24"/>
      <c r="Y86" s="34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5:38">
      <c r="E87" s="305" t="s">
        <v>581</v>
      </c>
      <c r="F87" s="13" t="s">
        <v>19</v>
      </c>
      <c r="G87" s="305"/>
      <c r="H87" s="305" t="s">
        <v>409</v>
      </c>
      <c r="I87" s="305" t="s">
        <v>466</v>
      </c>
      <c r="J87" s="118">
        <f t="shared" si="13"/>
        <v>26.762573979999999</v>
      </c>
      <c r="K87" s="119">
        <f t="shared" si="14"/>
        <v>26.762573979999999</v>
      </c>
      <c r="L87" s="119">
        <f t="shared" si="15"/>
        <v>0</v>
      </c>
      <c r="N87" s="24"/>
      <c r="O87" s="24"/>
      <c r="P87" s="24"/>
      <c r="Q87" s="24"/>
      <c r="R87" s="24"/>
      <c r="S87" s="24"/>
      <c r="T87" s="24"/>
      <c r="U87" s="24"/>
      <c r="V87" s="24"/>
      <c r="W87" s="344">
        <v>26.762573979999999</v>
      </c>
      <c r="X87" s="24"/>
      <c r="Y87" s="34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5:38">
      <c r="E88" s="305" t="s">
        <v>581</v>
      </c>
      <c r="F88" s="13" t="s">
        <v>19</v>
      </c>
      <c r="G88" s="305"/>
      <c r="H88" s="305" t="s">
        <v>290</v>
      </c>
      <c r="I88" s="305" t="s">
        <v>466</v>
      </c>
      <c r="J88" s="118">
        <f t="shared" si="13"/>
        <v>17.814381909999998</v>
      </c>
      <c r="K88" s="119">
        <f t="shared" si="14"/>
        <v>17.814381909999998</v>
      </c>
      <c r="L88" s="119">
        <f t="shared" si="15"/>
        <v>0</v>
      </c>
      <c r="N88" s="24"/>
      <c r="O88" s="24"/>
      <c r="P88" s="24"/>
      <c r="Q88" s="24"/>
      <c r="R88" s="24"/>
      <c r="S88" s="24"/>
      <c r="T88" s="24"/>
      <c r="U88" s="24"/>
      <c r="V88" s="24"/>
      <c r="W88" s="344">
        <v>7.814381909999998</v>
      </c>
      <c r="X88" s="24"/>
      <c r="Y88" s="344">
        <v>10</v>
      </c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5:38">
      <c r="E89" s="305" t="s">
        <v>581</v>
      </c>
      <c r="F89" s="13" t="s">
        <v>19</v>
      </c>
      <c r="G89" s="305"/>
      <c r="H89" s="305" t="s">
        <v>407</v>
      </c>
      <c r="I89" s="305" t="s">
        <v>466</v>
      </c>
      <c r="J89" s="118">
        <f t="shared" si="13"/>
        <v>21.9909094</v>
      </c>
      <c r="K89" s="119">
        <f t="shared" si="14"/>
        <v>21.9909094</v>
      </c>
      <c r="L89" s="119">
        <f t="shared" si="15"/>
        <v>0</v>
      </c>
      <c r="N89" s="24"/>
      <c r="O89" s="24"/>
      <c r="P89" s="24"/>
      <c r="Q89" s="24"/>
      <c r="R89" s="24"/>
      <c r="S89" s="24"/>
      <c r="T89" s="24"/>
      <c r="U89" s="24"/>
      <c r="V89" s="24"/>
      <c r="W89" s="344">
        <v>15.9909094</v>
      </c>
      <c r="X89" s="24"/>
      <c r="Y89" s="344">
        <v>6</v>
      </c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5:38">
      <c r="E90" s="305" t="s">
        <v>581</v>
      </c>
      <c r="F90" s="13" t="s">
        <v>19</v>
      </c>
      <c r="G90" s="305"/>
      <c r="H90" s="305" t="s">
        <v>394</v>
      </c>
      <c r="I90" s="305" t="s">
        <v>466</v>
      </c>
      <c r="J90" s="118">
        <f t="shared" si="13"/>
        <v>56.842729129999995</v>
      </c>
      <c r="K90" s="119">
        <f t="shared" si="14"/>
        <v>56.842729129999995</v>
      </c>
      <c r="L90" s="119">
        <f t="shared" si="15"/>
        <v>0</v>
      </c>
      <c r="N90" s="24"/>
      <c r="O90" s="24"/>
      <c r="P90" s="24"/>
      <c r="Q90" s="24"/>
      <c r="R90" s="24"/>
      <c r="S90" s="24"/>
      <c r="T90" s="24"/>
      <c r="U90" s="24"/>
      <c r="V90" s="24"/>
      <c r="W90" s="344">
        <v>56.842729129999995</v>
      </c>
      <c r="X90" s="24"/>
      <c r="Y90" s="34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5:38">
      <c r="E91" s="305" t="s">
        <v>582</v>
      </c>
      <c r="F91" s="13" t="s">
        <v>19</v>
      </c>
      <c r="G91" s="305"/>
      <c r="H91" s="305" t="s">
        <v>393</v>
      </c>
      <c r="I91" s="305" t="s">
        <v>466</v>
      </c>
      <c r="J91" s="118">
        <f t="shared" si="13"/>
        <v>0.58872879999999994</v>
      </c>
      <c r="K91" s="119">
        <f t="shared" si="14"/>
        <v>0.58872879999999994</v>
      </c>
      <c r="L91" s="119">
        <f t="shared" si="15"/>
        <v>0</v>
      </c>
      <c r="N91" s="24"/>
      <c r="O91" s="24"/>
      <c r="P91" s="24"/>
      <c r="Q91" s="24"/>
      <c r="R91" s="24"/>
      <c r="S91" s="24"/>
      <c r="T91" s="24"/>
      <c r="U91" s="24"/>
      <c r="V91" s="24"/>
      <c r="W91" s="344">
        <v>0.58872879999999994</v>
      </c>
      <c r="X91" s="24"/>
      <c r="Y91" s="34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5:38">
      <c r="E92" s="305" t="s">
        <v>639</v>
      </c>
      <c r="F92" s="13" t="s">
        <v>19</v>
      </c>
      <c r="G92" s="437"/>
      <c r="H92" s="305" t="s">
        <v>405</v>
      </c>
      <c r="I92" s="305" t="s">
        <v>466</v>
      </c>
      <c r="J92" s="118">
        <f t="shared" si="10"/>
        <v>7.2246680000000012</v>
      </c>
      <c r="K92" s="119">
        <f t="shared" si="11"/>
        <v>7.2246680000000012</v>
      </c>
      <c r="L92" s="119">
        <f t="shared" si="12"/>
        <v>0</v>
      </c>
      <c r="N92" s="24"/>
      <c r="O92" s="24"/>
      <c r="P92" s="24"/>
      <c r="Q92" s="24"/>
      <c r="R92" s="24"/>
      <c r="S92" s="24"/>
      <c r="T92" s="24"/>
      <c r="U92" s="24"/>
      <c r="V92" s="443"/>
      <c r="W92" s="443">
        <v>7.2246680000000012</v>
      </c>
      <c r="X92" s="444"/>
      <c r="Y92" s="443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5:38">
      <c r="E93" s="305" t="s">
        <v>598</v>
      </c>
      <c r="F93" s="13" t="s">
        <v>19</v>
      </c>
      <c r="G93" s="437"/>
      <c r="H93" s="305" t="s">
        <v>397</v>
      </c>
      <c r="I93" s="305" t="s">
        <v>466</v>
      </c>
      <c r="J93" s="118">
        <f t="shared" si="10"/>
        <v>39.206339739999997</v>
      </c>
      <c r="K93" s="119">
        <f t="shared" si="11"/>
        <v>39.206339739999997</v>
      </c>
      <c r="L93" s="119">
        <f t="shared" si="12"/>
        <v>0</v>
      </c>
      <c r="N93" s="24"/>
      <c r="O93" s="24"/>
      <c r="P93" s="24"/>
      <c r="Q93" s="24"/>
      <c r="R93" s="24"/>
      <c r="S93" s="24"/>
      <c r="T93" s="24"/>
      <c r="U93" s="24"/>
      <c r="V93" s="443"/>
      <c r="W93" s="443">
        <v>39.206339739999997</v>
      </c>
      <c r="X93" s="444"/>
      <c r="Y93" s="443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</row>
    <row r="94" spans="5:38">
      <c r="E94" s="305" t="s">
        <v>598</v>
      </c>
      <c r="F94" s="13" t="s">
        <v>19</v>
      </c>
      <c r="G94" s="437"/>
      <c r="H94" s="305" t="s">
        <v>319</v>
      </c>
      <c r="I94" s="305" t="s">
        <v>466</v>
      </c>
      <c r="J94" s="118">
        <f t="shared" si="10"/>
        <v>5.2177341999999998</v>
      </c>
      <c r="K94" s="119">
        <f t="shared" si="11"/>
        <v>5.2177341999999998</v>
      </c>
      <c r="L94" s="119">
        <f t="shared" si="12"/>
        <v>0</v>
      </c>
      <c r="N94" s="24"/>
      <c r="O94" s="24"/>
      <c r="P94" s="24"/>
      <c r="Q94" s="24"/>
      <c r="R94" s="24"/>
      <c r="S94" s="24"/>
      <c r="T94" s="24"/>
      <c r="U94" s="24"/>
      <c r="V94" s="443"/>
      <c r="W94" s="443">
        <v>5.2177341999999998</v>
      </c>
      <c r="X94" s="444"/>
      <c r="Y94" s="443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</row>
    <row r="95" spans="5:38">
      <c r="E95" s="305" t="s">
        <v>598</v>
      </c>
      <c r="F95" s="13" t="s">
        <v>19</v>
      </c>
      <c r="G95" s="437"/>
      <c r="H95" s="305" t="s">
        <v>385</v>
      </c>
      <c r="I95" s="305" t="s">
        <v>466</v>
      </c>
      <c r="J95" s="118">
        <f t="shared" si="10"/>
        <v>10.6367557</v>
      </c>
      <c r="K95" s="119">
        <f t="shared" si="11"/>
        <v>10.6367557</v>
      </c>
      <c r="L95" s="119">
        <f t="shared" si="12"/>
        <v>0</v>
      </c>
      <c r="N95" s="24"/>
      <c r="O95" s="24"/>
      <c r="P95" s="24"/>
      <c r="Q95" s="24"/>
      <c r="R95" s="24"/>
      <c r="S95" s="24"/>
      <c r="T95" s="24"/>
      <c r="U95" s="24"/>
      <c r="V95" s="443"/>
      <c r="W95" s="443">
        <v>-0.36324429999999985</v>
      </c>
      <c r="X95" s="444"/>
      <c r="Y95" s="443">
        <v>11</v>
      </c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spans="5:38">
      <c r="E96" s="305" t="s">
        <v>598</v>
      </c>
      <c r="F96" s="13" t="s">
        <v>19</v>
      </c>
      <c r="G96" s="437"/>
      <c r="H96" s="305" t="s">
        <v>319</v>
      </c>
      <c r="I96" s="305" t="s">
        <v>466</v>
      </c>
      <c r="J96" s="118">
        <f t="shared" si="10"/>
        <v>6.5122672000000001</v>
      </c>
      <c r="K96" s="119">
        <f t="shared" si="11"/>
        <v>6.5122672000000001</v>
      </c>
      <c r="L96" s="119">
        <f t="shared" si="12"/>
        <v>0</v>
      </c>
      <c r="N96" s="24"/>
      <c r="O96" s="24"/>
      <c r="P96" s="24"/>
      <c r="Q96" s="24"/>
      <c r="R96" s="24"/>
      <c r="S96" s="24"/>
      <c r="T96" s="24"/>
      <c r="U96" s="24"/>
      <c r="V96" s="443"/>
      <c r="W96" s="443">
        <v>6.5122672000000001</v>
      </c>
      <c r="X96" s="444"/>
      <c r="Y96" s="443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</row>
    <row r="97" spans="5:38">
      <c r="E97" s="305" t="s">
        <v>583</v>
      </c>
      <c r="F97" s="13" t="s">
        <v>19</v>
      </c>
      <c r="G97" s="437"/>
      <c r="H97" s="305" t="s">
        <v>443</v>
      </c>
      <c r="I97" s="305" t="s">
        <v>466</v>
      </c>
      <c r="J97" s="118">
        <f t="shared" si="10"/>
        <v>72.65286876735</v>
      </c>
      <c r="K97" s="119">
        <f t="shared" si="11"/>
        <v>72.65286876735</v>
      </c>
      <c r="L97" s="119">
        <f t="shared" si="12"/>
        <v>0</v>
      </c>
      <c r="N97" s="24"/>
      <c r="O97" s="24"/>
      <c r="P97" s="24"/>
      <c r="Q97" s="24"/>
      <c r="R97" s="24"/>
      <c r="S97" s="24"/>
      <c r="T97" s="24"/>
      <c r="U97" s="24"/>
      <c r="V97" s="443"/>
      <c r="W97" s="443">
        <v>72.65286876735</v>
      </c>
      <c r="X97" s="444"/>
      <c r="Y97" s="443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</row>
    <row r="98" spans="5:38">
      <c r="E98" s="305" t="s">
        <v>595</v>
      </c>
      <c r="F98" s="13" t="s">
        <v>19</v>
      </c>
      <c r="G98" s="437"/>
      <c r="H98" s="305" t="s">
        <v>642</v>
      </c>
      <c r="I98" s="305" t="s">
        <v>466</v>
      </c>
      <c r="J98" s="118">
        <f t="shared" si="10"/>
        <v>10.06304201</v>
      </c>
      <c r="K98" s="119">
        <f t="shared" si="11"/>
        <v>10.06304201</v>
      </c>
      <c r="L98" s="119">
        <f t="shared" si="12"/>
        <v>0</v>
      </c>
      <c r="N98" s="24"/>
      <c r="O98" s="24"/>
      <c r="P98" s="24"/>
      <c r="Q98" s="24"/>
      <c r="R98" s="24"/>
      <c r="S98" s="24"/>
      <c r="T98" s="24"/>
      <c r="U98" s="24"/>
      <c r="V98" s="443"/>
      <c r="W98" s="443">
        <v>10.06304201</v>
      </c>
      <c r="X98" s="444"/>
      <c r="Y98" s="443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99" spans="5:38">
      <c r="E99" s="305" t="s">
        <v>595</v>
      </c>
      <c r="F99" s="13" t="s">
        <v>19</v>
      </c>
      <c r="G99" s="437"/>
      <c r="H99" s="305" t="s">
        <v>395</v>
      </c>
      <c r="I99" s="305" t="s">
        <v>466</v>
      </c>
      <c r="J99" s="118">
        <f t="shared" si="10"/>
        <v>6.4022005799999997</v>
      </c>
      <c r="K99" s="119">
        <f t="shared" si="11"/>
        <v>6.4022005799999997</v>
      </c>
      <c r="L99" s="119">
        <f t="shared" si="12"/>
        <v>0</v>
      </c>
      <c r="N99" s="24"/>
      <c r="O99" s="24"/>
      <c r="P99" s="24"/>
      <c r="Q99" s="24"/>
      <c r="R99" s="24"/>
      <c r="S99" s="24"/>
      <c r="T99" s="24"/>
      <c r="U99" s="24"/>
      <c r="V99" s="443"/>
      <c r="W99" s="443">
        <v>6.4022005799999997</v>
      </c>
      <c r="X99" s="444"/>
      <c r="Y99" s="443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</row>
    <row r="100" spans="5:38">
      <c r="E100" s="305" t="s">
        <v>595</v>
      </c>
      <c r="F100" s="13" t="s">
        <v>19</v>
      </c>
      <c r="G100" s="437"/>
      <c r="H100" s="305" t="s">
        <v>291</v>
      </c>
      <c r="I100" s="305" t="s">
        <v>466</v>
      </c>
      <c r="J100" s="118">
        <f t="shared" si="10"/>
        <v>9.7735672299999994</v>
      </c>
      <c r="K100" s="119">
        <f t="shared" si="11"/>
        <v>9.7735672299999994</v>
      </c>
      <c r="L100" s="119">
        <f t="shared" si="12"/>
        <v>0</v>
      </c>
      <c r="N100" s="24"/>
      <c r="O100" s="24"/>
      <c r="P100" s="24"/>
      <c r="Q100" s="24"/>
      <c r="R100" s="24"/>
      <c r="S100" s="24"/>
      <c r="T100" s="24"/>
      <c r="U100" s="24"/>
      <c r="V100" s="443"/>
      <c r="W100" s="443">
        <v>9.7735672299999994</v>
      </c>
      <c r="X100" s="444"/>
      <c r="Y100" s="443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</row>
    <row r="101" spans="5:38">
      <c r="E101" s="305" t="s">
        <v>595</v>
      </c>
      <c r="F101" s="13" t="s">
        <v>19</v>
      </c>
      <c r="G101" s="437"/>
      <c r="H101" s="305" t="s">
        <v>409</v>
      </c>
      <c r="I101" s="305" t="s">
        <v>466</v>
      </c>
      <c r="J101" s="118">
        <f t="shared" si="10"/>
        <v>9.1080971799999997</v>
      </c>
      <c r="K101" s="119">
        <f t="shared" si="11"/>
        <v>9.1080971799999997</v>
      </c>
      <c r="L101" s="119">
        <f t="shared" si="12"/>
        <v>0</v>
      </c>
      <c r="N101" s="24"/>
      <c r="O101" s="24"/>
      <c r="P101" s="24"/>
      <c r="Q101" s="24"/>
      <c r="R101" s="24"/>
      <c r="S101" s="24"/>
      <c r="T101" s="24"/>
      <c r="U101" s="24"/>
      <c r="V101" s="443"/>
      <c r="W101" s="443">
        <v>9.1080971799999997</v>
      </c>
      <c r="X101" s="444"/>
      <c r="Y101" s="443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</row>
    <row r="102" spans="5:38">
      <c r="E102" s="305" t="s">
        <v>584</v>
      </c>
      <c r="F102" s="13" t="s">
        <v>19</v>
      </c>
      <c r="G102" s="437"/>
      <c r="H102" s="305" t="s">
        <v>339</v>
      </c>
      <c r="I102" s="305" t="s">
        <v>466</v>
      </c>
      <c r="J102" s="118">
        <f t="shared" si="10"/>
        <v>35.229979999999998</v>
      </c>
      <c r="K102" s="119">
        <f t="shared" si="11"/>
        <v>35.229979999999998</v>
      </c>
      <c r="L102" s="119">
        <f t="shared" si="12"/>
        <v>0</v>
      </c>
      <c r="N102" s="24"/>
      <c r="O102" s="24"/>
      <c r="P102" s="24"/>
      <c r="Q102" s="24"/>
      <c r="R102" s="24"/>
      <c r="S102" s="24"/>
      <c r="T102" s="24"/>
      <c r="U102" s="24"/>
      <c r="V102" s="443"/>
      <c r="W102" s="443">
        <v>35.229979999999998</v>
      </c>
      <c r="X102" s="444"/>
      <c r="Y102" s="443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</row>
    <row r="103" spans="5:38">
      <c r="E103" s="305" t="s">
        <v>640</v>
      </c>
      <c r="F103" s="13" t="s">
        <v>19</v>
      </c>
      <c r="G103" s="437"/>
      <c r="H103" s="305" t="s">
        <v>398</v>
      </c>
      <c r="I103" s="305" t="s">
        <v>466</v>
      </c>
      <c r="J103" s="118">
        <f t="shared" si="10"/>
        <v>4.9915409173199992</v>
      </c>
      <c r="K103" s="119">
        <f t="shared" si="11"/>
        <v>4.9915409173199992</v>
      </c>
      <c r="L103" s="119">
        <f t="shared" si="12"/>
        <v>0</v>
      </c>
      <c r="N103" s="24"/>
      <c r="O103" s="24"/>
      <c r="P103" s="24"/>
      <c r="Q103" s="24"/>
      <c r="R103" s="24"/>
      <c r="S103" s="24"/>
      <c r="T103" s="24"/>
      <c r="U103" s="24"/>
      <c r="V103" s="443"/>
      <c r="W103" s="443">
        <v>4.9915409173199992</v>
      </c>
      <c r="X103" s="444"/>
      <c r="Y103" s="443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</row>
    <row r="104" spans="5:38">
      <c r="E104" s="305" t="s">
        <v>585</v>
      </c>
      <c r="F104" s="13" t="s">
        <v>19</v>
      </c>
      <c r="G104" s="437"/>
      <c r="H104" s="305" t="s">
        <v>399</v>
      </c>
      <c r="I104" s="305" t="s">
        <v>472</v>
      </c>
      <c r="J104" s="118">
        <f t="shared" si="10"/>
        <v>20.90295661</v>
      </c>
      <c r="K104" s="119">
        <f t="shared" si="11"/>
        <v>20.90295661</v>
      </c>
      <c r="L104" s="119">
        <f t="shared" si="12"/>
        <v>0</v>
      </c>
      <c r="N104" s="24"/>
      <c r="O104" s="24"/>
      <c r="P104" s="24"/>
      <c r="Q104" s="24"/>
      <c r="R104" s="24"/>
      <c r="S104" s="24"/>
      <c r="T104" s="24"/>
      <c r="U104" s="24"/>
      <c r="V104" s="443"/>
      <c r="W104" s="443">
        <v>7.9029566100000004</v>
      </c>
      <c r="X104" s="444"/>
      <c r="Y104" s="443">
        <v>13</v>
      </c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</row>
    <row r="105" spans="5:38">
      <c r="E105" s="305" t="s">
        <v>641</v>
      </c>
      <c r="F105" s="13" t="s">
        <v>19</v>
      </c>
      <c r="G105" s="437"/>
      <c r="H105" s="305" t="s">
        <v>402</v>
      </c>
      <c r="I105" s="305" t="s">
        <v>472</v>
      </c>
      <c r="J105" s="118">
        <f t="shared" si="10"/>
        <v>26.024427151800001</v>
      </c>
      <c r="K105" s="119">
        <f t="shared" si="11"/>
        <v>26.024427151800001</v>
      </c>
      <c r="L105" s="119">
        <f t="shared" si="12"/>
        <v>0</v>
      </c>
      <c r="N105" s="24"/>
      <c r="O105" s="24"/>
      <c r="P105" s="24"/>
      <c r="Q105" s="24"/>
      <c r="R105" s="24"/>
      <c r="S105" s="24"/>
      <c r="T105" s="24"/>
      <c r="U105" s="24"/>
      <c r="V105" s="443"/>
      <c r="W105" s="443">
        <v>2.0244271518000012</v>
      </c>
      <c r="X105" s="444"/>
      <c r="Y105" s="443">
        <v>24</v>
      </c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</row>
    <row r="106" spans="5:38">
      <c r="E106" s="305" t="s">
        <v>586</v>
      </c>
      <c r="F106" s="13" t="s">
        <v>19</v>
      </c>
      <c r="G106" s="437"/>
      <c r="H106" s="305" t="s">
        <v>405</v>
      </c>
      <c r="I106" s="305" t="s">
        <v>466</v>
      </c>
      <c r="J106" s="118">
        <f t="shared" ref="J106:J114" si="16">+K106+L106</f>
        <v>5.29616475E-2</v>
      </c>
      <c r="K106" s="119">
        <f t="shared" ref="K106:K114" si="17">SUM(N106:Y106)</f>
        <v>5.29616475E-2</v>
      </c>
      <c r="L106" s="119">
        <f t="shared" ref="L106:L114" si="18">SUM(AA106:AL106)</f>
        <v>0</v>
      </c>
      <c r="N106" s="24"/>
      <c r="O106" s="24"/>
      <c r="P106" s="24"/>
      <c r="Q106" s="24"/>
      <c r="R106" s="24"/>
      <c r="S106" s="24"/>
      <c r="T106" s="24"/>
      <c r="U106" s="24"/>
      <c r="V106" s="443"/>
      <c r="W106" s="443">
        <v>5.29616475E-2</v>
      </c>
      <c r="X106" s="444"/>
      <c r="Y106" s="443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</row>
    <row r="107" spans="5:38">
      <c r="E107" s="305" t="s">
        <v>587</v>
      </c>
      <c r="F107" s="13" t="s">
        <v>19</v>
      </c>
      <c r="G107" s="437"/>
      <c r="H107" s="305" t="s">
        <v>443</v>
      </c>
      <c r="I107" s="305" t="s">
        <v>466</v>
      </c>
      <c r="J107" s="118">
        <f t="shared" si="16"/>
        <v>4.2518865000000003</v>
      </c>
      <c r="K107" s="119">
        <f t="shared" si="17"/>
        <v>4.2518865000000003</v>
      </c>
      <c r="L107" s="119">
        <f t="shared" si="18"/>
        <v>0</v>
      </c>
      <c r="N107" s="24"/>
      <c r="O107" s="24"/>
      <c r="P107" s="24"/>
      <c r="Q107" s="24"/>
      <c r="R107" s="24"/>
      <c r="S107" s="24"/>
      <c r="T107" s="24"/>
      <c r="U107" s="24"/>
      <c r="V107" s="443"/>
      <c r="W107" s="443">
        <v>4.2518865000000003</v>
      </c>
      <c r="X107" s="444"/>
      <c r="Y107" s="443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</row>
    <row r="108" spans="5:38">
      <c r="E108" s="305" t="s">
        <v>587</v>
      </c>
      <c r="F108" s="13" t="s">
        <v>19</v>
      </c>
      <c r="G108" s="437"/>
      <c r="H108" s="305" t="s">
        <v>405</v>
      </c>
      <c r="I108" s="305" t="s">
        <v>466</v>
      </c>
      <c r="J108" s="118">
        <f t="shared" si="16"/>
        <v>12.498794329999999</v>
      </c>
      <c r="K108" s="119">
        <f t="shared" si="17"/>
        <v>12.498794329999999</v>
      </c>
      <c r="L108" s="119">
        <f t="shared" si="18"/>
        <v>0</v>
      </c>
      <c r="N108" s="24"/>
      <c r="O108" s="24"/>
      <c r="P108" s="24"/>
      <c r="Q108" s="24"/>
      <c r="R108" s="24"/>
      <c r="S108" s="24"/>
      <c r="T108" s="24"/>
      <c r="U108" s="24"/>
      <c r="V108" s="443"/>
      <c r="W108" s="443">
        <v>12.498794329999999</v>
      </c>
      <c r="X108" s="444"/>
      <c r="Y108" s="443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</row>
    <row r="109" spans="5:38">
      <c r="E109" s="305" t="s">
        <v>588</v>
      </c>
      <c r="F109" s="13" t="s">
        <v>19</v>
      </c>
      <c r="G109" s="437"/>
      <c r="H109" s="305" t="s">
        <v>642</v>
      </c>
      <c r="I109" s="305" t="s">
        <v>466</v>
      </c>
      <c r="J109" s="118">
        <f t="shared" si="16"/>
        <v>2.9798824800000001</v>
      </c>
      <c r="K109" s="119">
        <f t="shared" si="17"/>
        <v>2.9798824800000001</v>
      </c>
      <c r="L109" s="119">
        <f t="shared" si="18"/>
        <v>0</v>
      </c>
      <c r="N109" s="24"/>
      <c r="O109" s="24"/>
      <c r="P109" s="24"/>
      <c r="Q109" s="24"/>
      <c r="R109" s="24"/>
      <c r="S109" s="24"/>
      <c r="T109" s="24"/>
      <c r="U109" s="24"/>
      <c r="V109" s="443"/>
      <c r="W109" s="443">
        <v>2.9798824800000001</v>
      </c>
      <c r="X109" s="444"/>
      <c r="Y109" s="443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</row>
    <row r="110" spans="5:38">
      <c r="E110" s="305" t="s">
        <v>588</v>
      </c>
      <c r="F110" s="13" t="s">
        <v>19</v>
      </c>
      <c r="G110" s="437"/>
      <c r="H110" s="305" t="s">
        <v>395</v>
      </c>
      <c r="I110" s="305" t="s">
        <v>466</v>
      </c>
      <c r="J110" s="118">
        <f t="shared" si="16"/>
        <v>3.4351377000000003</v>
      </c>
      <c r="K110" s="119">
        <f t="shared" si="17"/>
        <v>3.4351377000000003</v>
      </c>
      <c r="L110" s="119">
        <f t="shared" si="18"/>
        <v>0</v>
      </c>
      <c r="N110" s="24"/>
      <c r="O110" s="24"/>
      <c r="P110" s="24"/>
      <c r="Q110" s="24"/>
      <c r="R110" s="24"/>
      <c r="S110" s="24"/>
      <c r="T110" s="24"/>
      <c r="U110" s="24"/>
      <c r="V110" s="443"/>
      <c r="W110" s="443">
        <v>3.4351377000000003</v>
      </c>
      <c r="X110" s="444"/>
      <c r="Y110" s="443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</row>
    <row r="111" spans="5:38">
      <c r="E111" s="305"/>
      <c r="F111" s="6"/>
      <c r="G111" s="437"/>
      <c r="H111" s="305"/>
      <c r="I111" s="305"/>
      <c r="J111" s="118">
        <f t="shared" si="16"/>
        <v>0</v>
      </c>
      <c r="K111" s="119">
        <f t="shared" si="17"/>
        <v>0</v>
      </c>
      <c r="L111" s="119">
        <f t="shared" si="18"/>
        <v>0</v>
      </c>
      <c r="N111" s="24"/>
      <c r="O111" s="24"/>
      <c r="P111" s="24"/>
      <c r="Q111" s="24"/>
      <c r="R111" s="24"/>
      <c r="S111" s="24"/>
      <c r="T111" s="24"/>
      <c r="U111" s="24"/>
      <c r="V111" s="443"/>
      <c r="W111" s="443"/>
      <c r="X111" s="444"/>
      <c r="Y111" s="443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</row>
    <row r="112" spans="5:38">
      <c r="E112" s="305"/>
      <c r="F112" s="6"/>
      <c r="G112" s="437"/>
      <c r="H112" s="305"/>
      <c r="I112" s="305"/>
      <c r="J112" s="118">
        <f t="shared" si="16"/>
        <v>0</v>
      </c>
      <c r="K112" s="119">
        <f t="shared" si="17"/>
        <v>0</v>
      </c>
      <c r="L112" s="119">
        <f t="shared" si="18"/>
        <v>0</v>
      </c>
      <c r="N112" s="24"/>
      <c r="O112" s="24"/>
      <c r="P112" s="24"/>
      <c r="Q112" s="24"/>
      <c r="R112" s="24"/>
      <c r="S112" s="24"/>
      <c r="T112" s="24"/>
      <c r="U112" s="24"/>
      <c r="V112" s="443"/>
      <c r="W112" s="443"/>
      <c r="X112" s="444"/>
      <c r="Y112" s="443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</row>
    <row r="113" spans="5:38">
      <c r="E113" s="305"/>
      <c r="F113" s="6"/>
      <c r="G113" s="437"/>
      <c r="H113" s="305"/>
      <c r="I113" s="305"/>
      <c r="J113" s="118">
        <f t="shared" si="16"/>
        <v>0</v>
      </c>
      <c r="K113" s="119">
        <f t="shared" si="17"/>
        <v>0</v>
      </c>
      <c r="L113" s="119">
        <f t="shared" si="18"/>
        <v>0</v>
      </c>
      <c r="N113" s="24"/>
      <c r="O113" s="24"/>
      <c r="P113" s="24"/>
      <c r="Q113" s="24"/>
      <c r="R113" s="24"/>
      <c r="S113" s="24"/>
      <c r="T113" s="24"/>
      <c r="U113" s="24"/>
      <c r="V113" s="443"/>
      <c r="W113" s="443"/>
      <c r="X113" s="444"/>
      <c r="Y113" s="443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</row>
    <row r="114" spans="5:38">
      <c r="E114" s="305"/>
      <c r="F114" s="6"/>
      <c r="G114" s="437"/>
      <c r="H114" s="305"/>
      <c r="I114" s="305"/>
      <c r="J114" s="118">
        <f t="shared" si="16"/>
        <v>0</v>
      </c>
      <c r="K114" s="119">
        <f t="shared" si="17"/>
        <v>0</v>
      </c>
      <c r="L114" s="119">
        <f t="shared" si="18"/>
        <v>0</v>
      </c>
      <c r="N114" s="24"/>
      <c r="O114" s="24"/>
      <c r="P114" s="24"/>
      <c r="Q114" s="24"/>
      <c r="R114" s="24"/>
      <c r="S114" s="24"/>
      <c r="T114" s="24"/>
      <c r="U114" s="24"/>
      <c r="V114" s="443"/>
      <c r="W114" s="443"/>
      <c r="X114" s="444"/>
      <c r="Y114" s="443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</row>
    <row r="115" spans="5:38">
      <c r="E115" s="6"/>
      <c r="F115" s="7"/>
      <c r="G115" s="6"/>
      <c r="H115" s="11"/>
      <c r="I115" s="11"/>
      <c r="J115" s="118">
        <f t="shared" ref="J115" si="19">+K115+L115</f>
        <v>0</v>
      </c>
      <c r="K115" s="119">
        <f t="shared" ref="K115" si="20">SUM(N115:Y115)</f>
        <v>0</v>
      </c>
      <c r="L115" s="119">
        <f t="shared" ref="L115" si="21">SUM(AA115:AL115)</f>
        <v>0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</row>
    <row r="118" spans="5:38">
      <c r="E118" s="191" t="s">
        <v>320</v>
      </c>
      <c r="F118" s="216">
        <v>46266</v>
      </c>
      <c r="G118" s="192">
        <v>693</v>
      </c>
      <c r="H118" s="271" t="s">
        <v>321</v>
      </c>
    </row>
    <row r="119" spans="5:38">
      <c r="E119" s="195" t="s">
        <v>632</v>
      </c>
      <c r="F119" s="217"/>
      <c r="G119" s="196">
        <v>921</v>
      </c>
      <c r="H119" s="271" t="s">
        <v>321</v>
      </c>
    </row>
    <row r="120" spans="5:38">
      <c r="E120" s="195" t="s">
        <v>633</v>
      </c>
      <c r="F120" s="217"/>
      <c r="G120" s="196">
        <v>850</v>
      </c>
      <c r="H120" s="271" t="s">
        <v>321</v>
      </c>
    </row>
    <row r="121" spans="5:38">
      <c r="E121" s="191" t="s">
        <v>320</v>
      </c>
      <c r="F121" s="216">
        <v>46295</v>
      </c>
      <c r="G121" s="192">
        <f>G118+G119-G120</f>
        <v>764</v>
      </c>
      <c r="H121" s="271" t="s">
        <v>321</v>
      </c>
      <c r="J121" s="299"/>
    </row>
    <row r="122" spans="5:38">
      <c r="E122" s="195"/>
      <c r="F122" s="217"/>
      <c r="G122" s="196"/>
      <c r="H122" s="271"/>
    </row>
    <row r="123" spans="5:38">
      <c r="E123" s="191"/>
      <c r="F123" s="216"/>
      <c r="G123" s="192"/>
      <c r="H123" s="271"/>
    </row>
    <row r="125" spans="5:38">
      <c r="E125" s="446" t="s">
        <v>531</v>
      </c>
      <c r="F125" s="447"/>
      <c r="G125" s="447"/>
      <c r="H125" s="448"/>
    </row>
    <row r="126" spans="5:38">
      <c r="E126" s="219" t="s">
        <v>550</v>
      </c>
      <c r="F126" s="219"/>
      <c r="G126" s="202"/>
      <c r="H126" s="219" t="s">
        <v>325</v>
      </c>
    </row>
    <row r="127" spans="5:38">
      <c r="E127" s="434" t="s">
        <v>282</v>
      </c>
      <c r="F127" s="219"/>
      <c r="G127" s="202"/>
      <c r="H127" s="432">
        <v>8</v>
      </c>
    </row>
    <row r="128" spans="5:38">
      <c r="E128" s="442" t="s">
        <v>247</v>
      </c>
      <c r="F128" s="219"/>
      <c r="G128" s="202"/>
      <c r="H128" s="432">
        <v>6</v>
      </c>
    </row>
    <row r="129" spans="5:8">
      <c r="E129" s="434" t="s">
        <v>379</v>
      </c>
      <c r="F129" s="219"/>
      <c r="G129" s="202"/>
      <c r="H129" s="432">
        <v>11</v>
      </c>
    </row>
    <row r="130" spans="5:8">
      <c r="E130" s="436" t="s">
        <v>441</v>
      </c>
      <c r="F130" s="202"/>
      <c r="G130" s="202"/>
      <c r="H130" s="433">
        <v>15</v>
      </c>
    </row>
    <row r="131" spans="5:8">
      <c r="E131" s="439" t="s">
        <v>378</v>
      </c>
      <c r="F131" s="202"/>
      <c r="G131" s="202"/>
      <c r="H131" s="433">
        <v>4</v>
      </c>
    </row>
    <row r="132" spans="5:8">
      <c r="E132" s="436" t="s">
        <v>252</v>
      </c>
      <c r="F132" s="202"/>
      <c r="G132" s="202"/>
      <c r="H132" s="433">
        <v>19</v>
      </c>
    </row>
    <row r="133" spans="5:8">
      <c r="E133" s="440"/>
      <c r="F133" s="202"/>
      <c r="G133" s="202"/>
      <c r="H133" s="433"/>
    </row>
    <row r="134" spans="5:8">
      <c r="E134" s="440"/>
      <c r="F134" s="202"/>
      <c r="G134" s="202"/>
      <c r="H134" s="433"/>
    </row>
    <row r="135" spans="5:8">
      <c r="E135" s="440"/>
      <c r="F135" s="202"/>
      <c r="G135" s="202"/>
      <c r="H135" s="433"/>
    </row>
    <row r="136" spans="5:8">
      <c r="E136" s="440"/>
      <c r="F136" s="202"/>
      <c r="G136" s="202"/>
      <c r="H136" s="433"/>
    </row>
    <row r="137" spans="5:8">
      <c r="E137" s="440"/>
      <c r="F137" s="202"/>
      <c r="G137" s="202"/>
      <c r="H137" s="433"/>
    </row>
    <row r="138" spans="5:8">
      <c r="E138" s="219" t="s">
        <v>344</v>
      </c>
      <c r="F138" s="202"/>
      <c r="G138" s="202"/>
      <c r="H138" s="405">
        <f>SUM(H127:H137)</f>
        <v>63</v>
      </c>
    </row>
    <row r="141" spans="5:8" hidden="1">
      <c r="E141" s="151"/>
      <c r="F141" s="257"/>
      <c r="G141" s="151"/>
      <c r="H141" s="280"/>
    </row>
    <row r="142" spans="5:8" hidden="1">
      <c r="E142" s="151" t="s">
        <v>330</v>
      </c>
      <c r="F142" s="151"/>
      <c r="G142" s="283">
        <f>'W40'!J19</f>
        <v>3104.2680740639016</v>
      </c>
      <c r="H142" s="280"/>
    </row>
    <row r="143" spans="5:8" hidden="1">
      <c r="E143" s="151" t="s">
        <v>331</v>
      </c>
      <c r="F143" s="151"/>
      <c r="G143" s="283">
        <f>H138</f>
        <v>63</v>
      </c>
      <c r="H143" s="280"/>
    </row>
    <row r="144" spans="5:8" hidden="1">
      <c r="E144" s="151" t="s">
        <v>332</v>
      </c>
      <c r="F144" s="151"/>
      <c r="G144" s="283">
        <f>J12-'W40'!J12</f>
        <v>186</v>
      </c>
      <c r="H144" s="280"/>
    </row>
    <row r="145" spans="5:8" hidden="1">
      <c r="E145" s="151" t="s">
        <v>333</v>
      </c>
      <c r="F145" s="151"/>
      <c r="G145" s="283">
        <f>G142+G143-G144</f>
        <v>2981.2680740639016</v>
      </c>
      <c r="H145" s="280"/>
    </row>
    <row r="146" spans="5:8" hidden="1">
      <c r="E146" s="151" t="s">
        <v>334</v>
      </c>
      <c r="F146" s="151"/>
      <c r="G146" s="283">
        <f>J19</f>
        <v>3018.5113146505337</v>
      </c>
      <c r="H146" s="413"/>
    </row>
    <row r="147" spans="5:8" hidden="1">
      <c r="E147" s="151" t="s">
        <v>335</v>
      </c>
      <c r="F147" s="151"/>
      <c r="G147" s="284">
        <f>G146-G145</f>
        <v>37.243240586632055</v>
      </c>
      <c r="H147" s="413"/>
    </row>
    <row r="148" spans="5:8" hidden="1">
      <c r="E148" s="151"/>
      <c r="F148" s="257"/>
      <c r="G148" s="151"/>
      <c r="H148" s="280"/>
    </row>
    <row r="149" spans="5:8" hidden="1"/>
  </sheetData>
  <sheetProtection formatCells="0" formatColumns="0" formatRows="0" insertRows="0" deleteRows="0" autoFilter="0"/>
  <autoFilter ref="E23:AL260" xr:uid="{00000000-0009-0000-0000-00002B000000}"/>
  <mergeCells count="2">
    <mergeCell ref="I4:J4"/>
    <mergeCell ref="E125:H125"/>
  </mergeCells>
  <phoneticPr fontId="40"/>
  <dataValidations count="2">
    <dataValidation type="list" allowBlank="1" showInputMessage="1" showErrorMessage="1" sqref="G2" xr:uid="{00000000-0002-0000-2B00-000000000000}">
      <formula1>SOCIETE</formula1>
    </dataValidation>
    <dataValidation type="list" allowBlank="1" showInputMessage="1" showErrorMessage="1" sqref="G92:G114 F126:F129 F24:F115" xr:uid="{95F54E4D-1CCF-4D59-B64A-DDF4A070FC98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160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October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October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W42</v>
      </c>
      <c r="I9" s="61"/>
      <c r="J9" s="161" t="str">
        <f>+"from "&amp;G6&amp;" 1 until end of "&amp;G4</f>
        <v>from October 1 until end of W42</v>
      </c>
      <c r="K9" s="79"/>
      <c r="L9" s="167" t="str">
        <f>+G6</f>
        <v>October</v>
      </c>
      <c r="M9" s="80"/>
      <c r="N9" s="80"/>
      <c r="O9" s="172" t="str">
        <f>+G4</f>
        <v>W42</v>
      </c>
      <c r="P9" s="173" t="str">
        <f>+VLOOKUP(G4, parameters!$G$9:$I$61,3,0)</f>
        <v>W41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8841.8619257625323</v>
      </c>
      <c r="Q10" s="183">
        <f ca="1">O10-P10</f>
        <v>-8841.8619257625323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262.48965888800001</v>
      </c>
      <c r="Q11" s="184">
        <f t="shared" ref="Q11:Q12" ca="1" si="0">O11-P11</f>
        <v>-262.48965888800001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9104.3515846505325</v>
      </c>
      <c r="Q12" s="156">
        <f t="shared" ca="1" si="0"/>
        <v>-9104.3515846505325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2C000000}"/>
  <mergeCells count="1">
    <mergeCell ref="I4:J4"/>
  </mergeCells>
  <phoneticPr fontId="40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2C00-000000000000}">
      <formula1>SOCIETE</formula1>
    </dataValidation>
    <dataValidation type="list" allowBlank="1" showInputMessage="1" showErrorMessage="1" sqref="F24:F251" xr:uid="{5A9F0562-C398-4468-BC5A-38DEA370CF97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163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October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October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W43</v>
      </c>
      <c r="I9" s="61"/>
      <c r="J9" s="161" t="str">
        <f>+"from "&amp;G6&amp;" 1 until end of "&amp;G4</f>
        <v>from October 1 until end of W43</v>
      </c>
      <c r="K9" s="79"/>
      <c r="L9" s="167" t="str">
        <f>+G6</f>
        <v>October</v>
      </c>
      <c r="M9" s="80"/>
      <c r="N9" s="80"/>
      <c r="O9" s="172" t="str">
        <f>+G4</f>
        <v>W43</v>
      </c>
      <c r="P9" s="173" t="str">
        <f>+VLOOKUP(G4, parameters!$G$9:$I$61,3,0)</f>
        <v>W42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2D000000}"/>
  <mergeCells count="1">
    <mergeCell ref="I4:J4"/>
  </mergeCells>
  <phoneticPr fontId="40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2D00-000000000000}">
      <formula1>SOCIETE</formula1>
    </dataValidation>
    <dataValidation type="list" allowBlank="1" showInputMessage="1" showErrorMessage="1" sqref="F24:F251" xr:uid="{F711A4BF-D565-4392-B645-A29A848364D5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166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October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October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W44</v>
      </c>
      <c r="I9" s="61"/>
      <c r="J9" s="161" t="str">
        <f>+"from "&amp;G6&amp;" 1 until end of "&amp;G4</f>
        <v>from October 1 until end of W44</v>
      </c>
      <c r="K9" s="79"/>
      <c r="L9" s="167" t="str">
        <f>+G6</f>
        <v>October</v>
      </c>
      <c r="M9" s="80"/>
      <c r="N9" s="80"/>
      <c r="O9" s="172" t="str">
        <f>+G4</f>
        <v>W44</v>
      </c>
      <c r="P9" s="173" t="str">
        <f>+VLOOKUP(G4, parameters!$G$9:$I$61,3,0)</f>
        <v>W43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2E000000}"/>
  <mergeCells count="1">
    <mergeCell ref="I4:J4"/>
  </mergeCells>
  <phoneticPr fontId="40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2E00-000000000000}">
      <formula1>SOCIETE</formula1>
    </dataValidation>
    <dataValidation type="list" allowBlank="1" showInputMessage="1" showErrorMessage="1" sqref="F24:F251" xr:uid="{535959B6-463F-4C1B-AC18-B9B8F547544C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167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November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November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W45</v>
      </c>
      <c r="I9" s="61"/>
      <c r="J9" s="161" t="str">
        <f>+"from "&amp;G6&amp;" 1 until end of "&amp;G4</f>
        <v>from November 1 until end of W45</v>
      </c>
      <c r="K9" s="79"/>
      <c r="L9" s="167" t="str">
        <f>+G6</f>
        <v>November</v>
      </c>
      <c r="M9" s="80"/>
      <c r="N9" s="80"/>
      <c r="O9" s="172" t="str">
        <f>+G4</f>
        <v>W45</v>
      </c>
      <c r="P9" s="173" t="str">
        <f>+VLOOKUP(G4, parameters!$G$9:$I$61,3,0)</f>
        <v>W44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2F000000}"/>
  <mergeCells count="1">
    <mergeCell ref="I4:J4"/>
  </mergeCells>
  <phoneticPr fontId="40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2F00-000000000000}">
      <formula1>SOCIETE</formula1>
    </dataValidation>
    <dataValidation type="list" allowBlank="1" showInputMessage="1" showErrorMessage="1" sqref="F24:F251" xr:uid="{8533C4E3-9E5B-4A83-B1EA-F000796D33DD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168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November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November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W46</v>
      </c>
      <c r="I9" s="61"/>
      <c r="J9" s="161" t="str">
        <f>+"from "&amp;G6&amp;" 1 until end of "&amp;G4</f>
        <v>from November 1 until end of W46</v>
      </c>
      <c r="K9" s="79"/>
      <c r="L9" s="167" t="str">
        <f>+G6</f>
        <v>November</v>
      </c>
      <c r="M9" s="80"/>
      <c r="N9" s="80"/>
      <c r="O9" s="172" t="str">
        <f>+G4</f>
        <v>W46</v>
      </c>
      <c r="P9" s="173" t="str">
        <f>+VLOOKUP(G4, parameters!$G$9:$I$61,3,0)</f>
        <v>W45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0000000}"/>
  <mergeCells count="1">
    <mergeCell ref="I4:J4"/>
  </mergeCells>
  <phoneticPr fontId="40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000-000000000000}">
      <formula1>SOCIETE</formula1>
    </dataValidation>
    <dataValidation type="list" allowBlank="1" showInputMessage="1" showErrorMessage="1" sqref="F24:F251" xr:uid="{15ACB5A1-DA2C-4952-BDDC-AEFB88D24B83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169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November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November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W47</v>
      </c>
      <c r="I9" s="61"/>
      <c r="J9" s="161" t="str">
        <f>+"from "&amp;G6&amp;" 1 until end of "&amp;G4</f>
        <v>from November 1 until end of W47</v>
      </c>
      <c r="K9" s="79"/>
      <c r="L9" s="167" t="str">
        <f>+G6</f>
        <v>November</v>
      </c>
      <c r="M9" s="80"/>
      <c r="N9" s="80"/>
      <c r="O9" s="172" t="str">
        <f>+G4</f>
        <v>W47</v>
      </c>
      <c r="P9" s="173" t="str">
        <f>+VLOOKUP(G4, parameters!$G$9:$I$61,3,0)</f>
        <v>W46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1000000}"/>
  <mergeCells count="1">
    <mergeCell ref="I4:J4"/>
  </mergeCells>
  <phoneticPr fontId="40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100-000000000000}">
      <formula1>SOCIETE</formula1>
    </dataValidation>
    <dataValidation type="list" allowBlank="1" showInputMessage="1" showErrorMessage="1" sqref="F24:F251" xr:uid="{95CFFB26-2FD6-40D2-8E1C-5F7EB0F62527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170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November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November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W48</v>
      </c>
      <c r="I9" s="61"/>
      <c r="J9" s="161" t="str">
        <f>+"from "&amp;G6&amp;" 1 until end of "&amp;G4</f>
        <v>from November 1 until end of W48</v>
      </c>
      <c r="K9" s="79"/>
      <c r="L9" s="167" t="str">
        <f>+G6</f>
        <v>November</v>
      </c>
      <c r="M9" s="80"/>
      <c r="N9" s="80"/>
      <c r="O9" s="172" t="str">
        <f>+G4</f>
        <v>W48</v>
      </c>
      <c r="P9" s="173" t="str">
        <f>+VLOOKUP(G4, parameters!$G$9:$I$61,3,0)</f>
        <v>W47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2000000}"/>
  <mergeCells count="1">
    <mergeCell ref="I4:J4"/>
  </mergeCells>
  <phoneticPr fontId="40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200-000000000000}">
      <formula1>SOCIETE</formula1>
    </dataValidation>
    <dataValidation type="list" allowBlank="1" showInputMessage="1" showErrorMessage="1" sqref="F24:F251" xr:uid="{A3F77B7B-A941-434C-B136-8BF124B68D3A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171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December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December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W49</v>
      </c>
      <c r="I9" s="61"/>
      <c r="J9" s="161" t="str">
        <f>+"from "&amp;G6&amp;" 1 until end of "&amp;G4</f>
        <v>from December 1 until end of W49</v>
      </c>
      <c r="K9" s="79"/>
      <c r="L9" s="167" t="str">
        <f>+G6</f>
        <v>December</v>
      </c>
      <c r="M9" s="80"/>
      <c r="N9" s="80"/>
      <c r="O9" s="172" t="str">
        <f>+G4</f>
        <v>W49</v>
      </c>
      <c r="P9" s="173" t="str">
        <f>+VLOOKUP(G4, parameters!$G$9:$I$61,3,0)</f>
        <v>W48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3000000}"/>
  <mergeCells count="1">
    <mergeCell ref="I4:J4"/>
  </mergeCells>
  <phoneticPr fontId="40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300-000000000000}">
      <formula1>SOCIETE</formula1>
    </dataValidation>
    <dataValidation type="list" allowBlank="1" showInputMessage="1" showErrorMessage="1" sqref="F24:F251" xr:uid="{475C830A-4FC5-4228-A7C3-21F19FC2E643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172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December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December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W50</v>
      </c>
      <c r="I9" s="61"/>
      <c r="J9" s="161" t="str">
        <f>+"from "&amp;G6&amp;" 1 until end of "&amp;G4</f>
        <v>from December 1 until end of W50</v>
      </c>
      <c r="K9" s="79"/>
      <c r="L9" s="167" t="str">
        <f>+G6</f>
        <v>December</v>
      </c>
      <c r="M9" s="80"/>
      <c r="N9" s="80"/>
      <c r="O9" s="172" t="str">
        <f>+G4</f>
        <v>W50</v>
      </c>
      <c r="P9" s="173" t="str">
        <f>+VLOOKUP(G4, parameters!$G$9:$I$61,3,0)</f>
        <v>W49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4000000}"/>
  <mergeCells count="1">
    <mergeCell ref="I4:J4"/>
  </mergeCells>
  <phoneticPr fontId="40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400-000000000000}">
      <formula1>SOCIETE</formula1>
    </dataValidation>
    <dataValidation type="list" allowBlank="1" showInputMessage="1" showErrorMessage="1" sqref="F24:F251" xr:uid="{5C13D978-E277-46C1-8DE0-92A786FE7A68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173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December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December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W51</v>
      </c>
      <c r="I9" s="61"/>
      <c r="J9" s="161" t="str">
        <f>+"from "&amp;G6&amp;" 1 until end of "&amp;G4</f>
        <v>from December 1 until end of W51</v>
      </c>
      <c r="K9" s="79"/>
      <c r="L9" s="167" t="str">
        <f>+G6</f>
        <v>December</v>
      </c>
      <c r="M9" s="80"/>
      <c r="N9" s="80"/>
      <c r="O9" s="172" t="str">
        <f>+G4</f>
        <v>W51</v>
      </c>
      <c r="P9" s="173" t="str">
        <f>+VLOOKUP(G4, parameters!$G$9:$I$61,3,0)</f>
        <v>W50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5000000}"/>
  <mergeCells count="1">
    <mergeCell ref="I4:J4"/>
  </mergeCells>
  <phoneticPr fontId="40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500-000000000000}">
      <formula1>SOCIETE</formula1>
    </dataValidation>
    <dataValidation type="list" allowBlank="1" showInputMessage="1" showErrorMessage="1" sqref="F24:F251" xr:uid="{DFA80ECA-F0EB-486D-9A8E-111A837D3954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5"/>
  <cols>
    <col min="1" max="4" width="4" style="15" customWidth="1"/>
    <col min="5" max="5" width="36.140625" style="15" customWidth="1"/>
    <col min="6" max="6" width="14.28515625" style="61" customWidth="1"/>
    <col min="7" max="7" width="21.5703125" style="15" customWidth="1"/>
    <col min="8" max="8" width="16" style="54" customWidth="1"/>
    <col min="9" max="9" width="17.28515625" style="54" customWidth="1"/>
    <col min="10" max="10" width="14.85546875" style="54" customWidth="1"/>
    <col min="11" max="12" width="14.85546875" style="55" customWidth="1"/>
    <col min="13" max="13" width="1.85546875" style="55" customWidth="1"/>
    <col min="14" max="14" width="11.7109375" style="56" customWidth="1"/>
    <col min="15" max="24" width="12.140625" style="56" customWidth="1"/>
    <col min="25" max="25" width="12.140625" style="60" customWidth="1"/>
    <col min="26" max="26" width="3" style="15" customWidth="1"/>
    <col min="27" max="38" width="12.140625" style="15" customWidth="1"/>
    <col min="39" max="16384" width="8" style="15"/>
  </cols>
  <sheetData>
    <row r="1" spans="5:38" ht="7.9" customHeight="1">
      <c r="H1" s="61"/>
      <c r="I1" s="61"/>
      <c r="J1" s="61"/>
      <c r="P1" s="57"/>
      <c r="Q1" s="57"/>
      <c r="R1" s="59"/>
      <c r="W1" s="60"/>
      <c r="X1" s="60"/>
    </row>
    <row r="2" spans="5:38" s="62" customFormat="1" ht="25.5">
      <c r="E2" s="164" t="s">
        <v>215</v>
      </c>
      <c r="G2" s="162" t="str">
        <f>+parameters!D2</f>
        <v>Diam India</v>
      </c>
      <c r="H2" s="64"/>
      <c r="I2" s="53" t="s">
        <v>216</v>
      </c>
      <c r="L2" s="65"/>
      <c r="M2" s="65"/>
      <c r="N2" s="66"/>
      <c r="O2" s="66"/>
      <c r="P2" s="67"/>
      <c r="Q2" s="67"/>
      <c r="R2" s="68"/>
      <c r="S2" s="69"/>
      <c r="T2" s="66"/>
      <c r="U2" s="66"/>
      <c r="V2" s="66"/>
      <c r="W2" s="70"/>
      <c r="X2" s="70"/>
      <c r="Y2" s="70"/>
    </row>
    <row r="3" spans="5:38" ht="4.1500000000000004" customHeight="1">
      <c r="E3" s="17"/>
      <c r="G3" s="61"/>
      <c r="H3" s="61"/>
      <c r="I3" s="61"/>
      <c r="J3" s="61"/>
      <c r="P3" s="58"/>
      <c r="Q3" s="58"/>
      <c r="R3" s="72"/>
      <c r="S3" s="73"/>
      <c r="W3" s="60"/>
      <c r="X3" s="60"/>
    </row>
    <row r="4" spans="5:38" ht="19.5" customHeight="1">
      <c r="E4" s="164" t="s">
        <v>217</v>
      </c>
      <c r="G4" s="163" t="s">
        <v>174</v>
      </c>
      <c r="H4" s="61"/>
      <c r="I4" s="445" t="s">
        <v>218</v>
      </c>
      <c r="J4" s="445"/>
      <c r="N4" s="55"/>
      <c r="O4" s="74"/>
      <c r="P4" s="58"/>
      <c r="Q4" s="58"/>
      <c r="R4" s="72"/>
      <c r="S4" s="73"/>
      <c r="W4" s="60"/>
      <c r="X4" s="60"/>
    </row>
    <row r="5" spans="5:38" ht="4.1500000000000004" customHeight="1">
      <c r="E5" s="164"/>
      <c r="G5" s="61"/>
      <c r="H5" s="61"/>
      <c r="I5" s="64"/>
      <c r="J5" s="61"/>
      <c r="N5" s="55"/>
      <c r="O5" s="74"/>
      <c r="P5" s="58"/>
      <c r="Q5" s="58"/>
      <c r="R5" s="72"/>
      <c r="S5" s="73"/>
      <c r="W5" s="60"/>
      <c r="X5" s="60"/>
    </row>
    <row r="6" spans="5:38" ht="19.5" customHeight="1">
      <c r="E6" s="164" t="s">
        <v>219</v>
      </c>
      <c r="G6" s="163" t="str">
        <f>+VLOOKUP(G4, parameters!G:H, 2, 0)</f>
        <v>December</v>
      </c>
      <c r="H6" s="61"/>
      <c r="I6" s="61"/>
      <c r="J6" s="61"/>
      <c r="N6" s="55"/>
      <c r="O6" s="74"/>
      <c r="P6" s="58"/>
      <c r="Q6" s="58"/>
      <c r="R6" s="72"/>
      <c r="S6" s="73"/>
      <c r="W6" s="60"/>
      <c r="X6" s="60"/>
    </row>
    <row r="7" spans="5:38" ht="4.1500000000000004" customHeight="1" thickBot="1">
      <c r="E7" s="63"/>
      <c r="F7" s="75"/>
      <c r="G7" s="61"/>
      <c r="H7" s="61"/>
      <c r="I7" s="61"/>
      <c r="J7" s="61"/>
      <c r="N7" s="55"/>
      <c r="O7" s="74"/>
      <c r="P7" s="58"/>
      <c r="Q7" s="58"/>
      <c r="R7" s="72"/>
      <c r="S7" s="73"/>
      <c r="W7" s="60"/>
      <c r="X7" s="60"/>
    </row>
    <row r="8" spans="5:38" s="62" customFormat="1" ht="31.15" customHeight="1">
      <c r="E8" s="76" t="s">
        <v>197</v>
      </c>
      <c r="F8" s="178" t="str">
        <f>parameters!D4</f>
        <v>k€</v>
      </c>
      <c r="G8" s="64"/>
      <c r="H8" s="165" t="s">
        <v>220</v>
      </c>
      <c r="I8" s="61"/>
      <c r="J8" s="166" t="str">
        <f>+G6&amp;" Turnover"</f>
        <v>December Turnover</v>
      </c>
      <c r="K8" s="65"/>
      <c r="L8" s="166" t="s">
        <v>221</v>
      </c>
      <c r="M8" s="65"/>
      <c r="N8" s="65"/>
      <c r="O8" s="168" t="s">
        <v>222</v>
      </c>
      <c r="P8" s="169"/>
      <c r="Q8" s="169"/>
      <c r="R8" s="77"/>
      <c r="S8" s="66"/>
      <c r="T8" s="66"/>
      <c r="U8" s="66"/>
      <c r="V8" s="66"/>
      <c r="W8" s="66"/>
      <c r="X8" s="66"/>
      <c r="Y8" s="70"/>
    </row>
    <row r="9" spans="5:38" s="78" customFormat="1" ht="36" customHeight="1" thickBot="1">
      <c r="F9" s="61"/>
      <c r="G9" s="61"/>
      <c r="H9" s="160" t="str">
        <f>+"from January 1 until end of "&amp;G4</f>
        <v>from January 1 until end of W52</v>
      </c>
      <c r="I9" s="61"/>
      <c r="J9" s="161" t="str">
        <f>+"from "&amp;G6&amp;" 1 until end of "&amp;G4</f>
        <v>from December 1 until end of W52</v>
      </c>
      <c r="K9" s="79"/>
      <c r="L9" s="167" t="str">
        <f>+G6</f>
        <v>December</v>
      </c>
      <c r="M9" s="80"/>
      <c r="N9" s="80"/>
      <c r="O9" s="172" t="str">
        <f>+G4</f>
        <v>W52</v>
      </c>
      <c r="P9" s="173" t="str">
        <f>+VLOOKUP(G4, parameters!$G$9:$I$61,3,0)</f>
        <v>W51</v>
      </c>
      <c r="Q9" s="174" t="s">
        <v>184</v>
      </c>
      <c r="R9" s="81"/>
      <c r="S9" s="82"/>
      <c r="T9" s="82"/>
      <c r="U9" s="82"/>
      <c r="V9" s="82"/>
      <c r="W9" s="82"/>
      <c r="X9" s="82"/>
      <c r="Y9" s="83"/>
    </row>
    <row r="10" spans="5:38" ht="20.45" customHeight="1">
      <c r="E10" s="84" t="s">
        <v>223</v>
      </c>
      <c r="F10" s="85"/>
      <c r="G10" s="85"/>
      <c r="H10" s="159"/>
      <c r="I10" s="61"/>
      <c r="J10" s="159"/>
      <c r="L10" s="159"/>
      <c r="N10" s="55"/>
      <c r="O10" s="170">
        <f>+H10+K17</f>
        <v>0</v>
      </c>
      <c r="P10" s="171" cm="1">
        <f t="array" aca="1" ref="P10" ca="1">INDIRECT(ADDRESS(10,15,,,VLOOKUP($G$4,parameters!$G:$I,3,0)))</f>
        <v>0</v>
      </c>
      <c r="Q10" s="183">
        <f ca="1">O10-P10</f>
        <v>0</v>
      </c>
      <c r="R10" s="86"/>
    </row>
    <row r="11" spans="5:38" ht="20.45" customHeight="1">
      <c r="E11" s="87" t="s">
        <v>224</v>
      </c>
      <c r="F11" s="88"/>
      <c r="G11" s="89"/>
      <c r="H11" s="16"/>
      <c r="I11" s="61"/>
      <c r="J11" s="16"/>
      <c r="L11" s="16"/>
      <c r="N11" s="55"/>
      <c r="O11" s="152">
        <f>+H11+K18</f>
        <v>0</v>
      </c>
      <c r="P11" s="153" cm="1">
        <f t="array" aca="1" ref="P11" ca="1">INDIRECT(ADDRESS(11,15,,,VLOOKUP($G$4,parameters!$G:$I,3,0)))</f>
        <v>0</v>
      </c>
      <c r="Q11" s="184">
        <f t="shared" ref="Q11:Q12" ca="1" si="0">O11-P11</f>
        <v>0</v>
      </c>
      <c r="R11" s="86"/>
      <c r="S11" s="74" t="s">
        <v>225</v>
      </c>
    </row>
    <row r="12" spans="5:38" s="62" customFormat="1" ht="21" customHeight="1" thickBot="1">
      <c r="E12" s="90" t="s">
        <v>226</v>
      </c>
      <c r="F12" s="91"/>
      <c r="G12" s="92"/>
      <c r="H12" s="126">
        <f>SUM(H10:H11)</f>
        <v>0</v>
      </c>
      <c r="I12" s="61"/>
      <c r="J12" s="126">
        <f>SUM(J10:J11)</f>
        <v>0</v>
      </c>
      <c r="K12" s="65"/>
      <c r="L12" s="126">
        <f>SUM(L10:L11)</f>
        <v>0</v>
      </c>
      <c r="M12" s="65"/>
      <c r="N12" s="65"/>
      <c r="O12" s="154">
        <f>SUM(O10:O11)</f>
        <v>0</v>
      </c>
      <c r="P12" s="155">
        <f ca="1">SUM(P10:P11)</f>
        <v>0</v>
      </c>
      <c r="Q12" s="156">
        <f t="shared" ca="1" si="0"/>
        <v>0</v>
      </c>
      <c r="R12" s="77"/>
      <c r="S12" s="93" t="s">
        <v>227</v>
      </c>
      <c r="T12" s="66"/>
      <c r="U12" s="66"/>
      <c r="V12" s="66"/>
      <c r="W12" s="66"/>
      <c r="X12" s="66"/>
      <c r="Y12" s="70"/>
    </row>
    <row r="13" spans="5:38" ht="4.1500000000000004" customHeight="1">
      <c r="E13" s="71"/>
      <c r="G13" s="61"/>
      <c r="H13" s="61"/>
      <c r="I13" s="61"/>
      <c r="J13" s="61"/>
      <c r="N13" s="55"/>
      <c r="W13" s="60"/>
      <c r="X13" s="60"/>
    </row>
    <row r="14" spans="5:38" ht="4.1500000000000004" customHeight="1">
      <c r="E14" s="71"/>
      <c r="G14" s="61"/>
      <c r="H14" s="61"/>
      <c r="I14" s="61"/>
      <c r="J14" s="61"/>
      <c r="N14" s="55"/>
      <c r="W14" s="60"/>
      <c r="X14" s="60"/>
    </row>
    <row r="15" spans="5:38" ht="3.6" customHeight="1">
      <c r="G15" s="61"/>
      <c r="H15" s="61"/>
      <c r="I15" s="61"/>
      <c r="J15" s="61"/>
      <c r="W15" s="60"/>
      <c r="X15" s="60"/>
    </row>
    <row r="16" spans="5:38" ht="30.6" customHeight="1">
      <c r="E16" s="76" t="s">
        <v>228</v>
      </c>
      <c r="F16" s="178" t="str">
        <f>+F8</f>
        <v>k€</v>
      </c>
      <c r="G16" s="61"/>
      <c r="H16" s="61"/>
      <c r="I16" s="61"/>
      <c r="J16" s="94" t="s">
        <v>192</v>
      </c>
      <c r="K16" s="94" t="s">
        <v>229</v>
      </c>
      <c r="L16" s="94" t="s">
        <v>230</v>
      </c>
      <c r="M16" s="95"/>
      <c r="N16" s="96">
        <v>46023</v>
      </c>
      <c r="O16" s="96">
        <v>46054</v>
      </c>
      <c r="P16" s="96">
        <v>46082</v>
      </c>
      <c r="Q16" s="96">
        <v>46113</v>
      </c>
      <c r="R16" s="96">
        <v>46143</v>
      </c>
      <c r="S16" s="96">
        <v>46174</v>
      </c>
      <c r="T16" s="96">
        <v>46204</v>
      </c>
      <c r="U16" s="96">
        <v>46235</v>
      </c>
      <c r="V16" s="96">
        <v>46266</v>
      </c>
      <c r="W16" s="96">
        <v>46296</v>
      </c>
      <c r="X16" s="96">
        <v>46327</v>
      </c>
      <c r="Y16" s="96">
        <v>46357</v>
      </c>
      <c r="Z16" s="97"/>
      <c r="AA16" s="96">
        <v>46388</v>
      </c>
      <c r="AB16" s="96">
        <v>46419</v>
      </c>
      <c r="AC16" s="96">
        <v>46447</v>
      </c>
      <c r="AD16" s="96">
        <v>46478</v>
      </c>
      <c r="AE16" s="96">
        <v>46508</v>
      </c>
      <c r="AF16" s="96">
        <v>46539</v>
      </c>
      <c r="AG16" s="96">
        <v>46569</v>
      </c>
      <c r="AH16" s="96">
        <v>46600</v>
      </c>
      <c r="AI16" s="96">
        <v>46631</v>
      </c>
      <c r="AJ16" s="96">
        <v>46661</v>
      </c>
      <c r="AK16" s="96">
        <v>46692</v>
      </c>
      <c r="AL16" s="96">
        <v>46722</v>
      </c>
    </row>
    <row r="17" spans="4:38" ht="14.25">
      <c r="E17" s="120" t="s">
        <v>19</v>
      </c>
      <c r="F17" s="121"/>
      <c r="G17" s="121"/>
      <c r="H17" s="121"/>
      <c r="I17" s="121"/>
      <c r="J17" s="108">
        <f>+SUMIF($F$24:$F$251,"External",$J$24:$J$251)</f>
        <v>0</v>
      </c>
      <c r="K17" s="108">
        <f>+SUMIF($F$24:$F$251,"External",$K$24:$K$251)</f>
        <v>0</v>
      </c>
      <c r="L17" s="109">
        <f>+SUMIF($F$24:$F$251,"External",$L$24:$L$251)</f>
        <v>0</v>
      </c>
      <c r="M17" s="110"/>
      <c r="N17" s="111">
        <f t="shared" ref="N17:Y17" si="1">+SUMIF($F$24:$F$251,"External",N$24:N$251)</f>
        <v>0</v>
      </c>
      <c r="O17" s="111">
        <f t="shared" si="1"/>
        <v>0</v>
      </c>
      <c r="P17" s="111">
        <f t="shared" si="1"/>
        <v>0</v>
      </c>
      <c r="Q17" s="111">
        <f t="shared" si="1"/>
        <v>0</v>
      </c>
      <c r="R17" s="111">
        <f t="shared" si="1"/>
        <v>0</v>
      </c>
      <c r="S17" s="111">
        <f t="shared" si="1"/>
        <v>0</v>
      </c>
      <c r="T17" s="111">
        <f t="shared" si="1"/>
        <v>0</v>
      </c>
      <c r="U17" s="111">
        <f t="shared" si="1"/>
        <v>0</v>
      </c>
      <c r="V17" s="111">
        <f t="shared" si="1"/>
        <v>0</v>
      </c>
      <c r="W17" s="111">
        <f t="shared" si="1"/>
        <v>0</v>
      </c>
      <c r="X17" s="111">
        <f t="shared" si="1"/>
        <v>0</v>
      </c>
      <c r="Y17" s="111">
        <f t="shared" si="1"/>
        <v>0</v>
      </c>
      <c r="Z17" s="112"/>
      <c r="AA17" s="111">
        <f t="shared" ref="AA17:AL17" si="2">+SUMIF($F$24:$F$251,"External",AA$24:AA$251)</f>
        <v>0</v>
      </c>
      <c r="AB17" s="111">
        <f t="shared" si="2"/>
        <v>0</v>
      </c>
      <c r="AC17" s="111">
        <f t="shared" si="2"/>
        <v>0</v>
      </c>
      <c r="AD17" s="111">
        <f t="shared" si="2"/>
        <v>0</v>
      </c>
      <c r="AE17" s="111">
        <f t="shared" si="2"/>
        <v>0</v>
      </c>
      <c r="AF17" s="111">
        <f t="shared" si="2"/>
        <v>0</v>
      </c>
      <c r="AG17" s="111">
        <f t="shared" si="2"/>
        <v>0</v>
      </c>
      <c r="AH17" s="111">
        <f t="shared" si="2"/>
        <v>0</v>
      </c>
      <c r="AI17" s="111">
        <f t="shared" si="2"/>
        <v>0</v>
      </c>
      <c r="AJ17" s="111">
        <f t="shared" si="2"/>
        <v>0</v>
      </c>
      <c r="AK17" s="111">
        <f t="shared" si="2"/>
        <v>0</v>
      </c>
      <c r="AL17" s="111">
        <f t="shared" si="2"/>
        <v>0</v>
      </c>
    </row>
    <row r="18" spans="4:38" ht="14.25">
      <c r="E18" s="122" t="s">
        <v>17</v>
      </c>
      <c r="F18" s="123"/>
      <c r="G18" s="123"/>
      <c r="H18" s="123"/>
      <c r="I18" s="123"/>
      <c r="J18" s="113">
        <f>+SUMIF($F$24:$F$251,"Group",$J$24:$J$251)</f>
        <v>0</v>
      </c>
      <c r="K18" s="113">
        <f>+SUMIF($F$24:$F$251,"Group",$K$24:$K$251)</f>
        <v>0</v>
      </c>
      <c r="L18" s="114">
        <f>SUMIF($F$24:$F$251,"Group",$L$24:$L$251)</f>
        <v>0</v>
      </c>
      <c r="M18" s="110"/>
      <c r="N18" s="114">
        <f t="shared" ref="N18:Y18" si="3">+SUMIF($F$24:$F$251,"Group",N$24:N$251)</f>
        <v>0</v>
      </c>
      <c r="O18" s="114">
        <f t="shared" si="3"/>
        <v>0</v>
      </c>
      <c r="P18" s="114">
        <f t="shared" si="3"/>
        <v>0</v>
      </c>
      <c r="Q18" s="114">
        <f t="shared" si="3"/>
        <v>0</v>
      </c>
      <c r="R18" s="114">
        <f t="shared" si="3"/>
        <v>0</v>
      </c>
      <c r="S18" s="114">
        <f t="shared" si="3"/>
        <v>0</v>
      </c>
      <c r="T18" s="114">
        <f t="shared" si="3"/>
        <v>0</v>
      </c>
      <c r="U18" s="114">
        <f t="shared" si="3"/>
        <v>0</v>
      </c>
      <c r="V18" s="114">
        <f t="shared" si="3"/>
        <v>0</v>
      </c>
      <c r="W18" s="114">
        <f t="shared" si="3"/>
        <v>0</v>
      </c>
      <c r="X18" s="114">
        <f t="shared" si="3"/>
        <v>0</v>
      </c>
      <c r="Y18" s="114">
        <f t="shared" si="3"/>
        <v>0</v>
      </c>
      <c r="Z18" s="112"/>
      <c r="AA18" s="114">
        <f t="shared" ref="AA18:AL18" si="4">+SUMIF($F$24:$F$251,"Group",AA$24:AA$251)</f>
        <v>0</v>
      </c>
      <c r="AB18" s="114">
        <f t="shared" si="4"/>
        <v>0</v>
      </c>
      <c r="AC18" s="114">
        <f t="shared" si="4"/>
        <v>0</v>
      </c>
      <c r="AD18" s="114">
        <f t="shared" si="4"/>
        <v>0</v>
      </c>
      <c r="AE18" s="114">
        <f t="shared" si="4"/>
        <v>0</v>
      </c>
      <c r="AF18" s="114">
        <f t="shared" si="4"/>
        <v>0</v>
      </c>
      <c r="AG18" s="114">
        <f t="shared" si="4"/>
        <v>0</v>
      </c>
      <c r="AH18" s="114">
        <f t="shared" si="4"/>
        <v>0</v>
      </c>
      <c r="AI18" s="114">
        <f t="shared" si="4"/>
        <v>0</v>
      </c>
      <c r="AJ18" s="114">
        <f t="shared" si="4"/>
        <v>0</v>
      </c>
      <c r="AK18" s="114">
        <f t="shared" si="4"/>
        <v>0</v>
      </c>
      <c r="AL18" s="114">
        <f t="shared" si="4"/>
        <v>0</v>
      </c>
    </row>
    <row r="19" spans="4:38">
      <c r="E19" s="124" t="s">
        <v>226</v>
      </c>
      <c r="F19" s="125"/>
      <c r="G19" s="125"/>
      <c r="H19" s="125"/>
      <c r="I19" s="125"/>
      <c r="J19" s="115">
        <f>SUM(J17:J18)</f>
        <v>0</v>
      </c>
      <c r="K19" s="115">
        <f>SUM(K17:K18)</f>
        <v>0</v>
      </c>
      <c r="L19" s="116">
        <f>SUM(L17:L18)</f>
        <v>0</v>
      </c>
      <c r="M19" s="117"/>
      <c r="N19" s="116">
        <f>SUM(N17:N18)</f>
        <v>0</v>
      </c>
      <c r="O19" s="116">
        <f t="shared" ref="O19:Y19" si="5">SUM(O17:O18)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2"/>
      <c r="AA19" s="116">
        <f t="shared" ref="AA19:AL19" si="6">SUM(AA17:AA18)</f>
        <v>0</v>
      </c>
      <c r="AB19" s="116">
        <f t="shared" si="6"/>
        <v>0</v>
      </c>
      <c r="AC19" s="116">
        <f t="shared" si="6"/>
        <v>0</v>
      </c>
      <c r="AD19" s="116">
        <f t="shared" si="6"/>
        <v>0</v>
      </c>
      <c r="AE19" s="116">
        <f t="shared" si="6"/>
        <v>0</v>
      </c>
      <c r="AF19" s="116">
        <f t="shared" si="6"/>
        <v>0</v>
      </c>
      <c r="AG19" s="116">
        <f t="shared" si="6"/>
        <v>0</v>
      </c>
      <c r="AH19" s="116">
        <f t="shared" si="6"/>
        <v>0</v>
      </c>
      <c r="AI19" s="116">
        <f t="shared" si="6"/>
        <v>0</v>
      </c>
      <c r="AJ19" s="116">
        <f t="shared" si="6"/>
        <v>0</v>
      </c>
      <c r="AK19" s="116">
        <f t="shared" si="6"/>
        <v>0</v>
      </c>
      <c r="AL19" s="116">
        <f t="shared" si="6"/>
        <v>0</v>
      </c>
    </row>
    <row r="20" spans="4:38" ht="2.4500000000000002" customHeight="1">
      <c r="E20" s="17"/>
      <c r="F20" s="18"/>
      <c r="G20" s="18"/>
      <c r="H20" s="18"/>
      <c r="I20" s="18"/>
      <c r="J20" s="19"/>
      <c r="K20" s="19"/>
      <c r="L20" s="19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4:38" ht="18">
      <c r="E21" s="17"/>
      <c r="F21" s="18"/>
      <c r="G21" s="18"/>
      <c r="H21" s="18"/>
      <c r="I21" s="18" t="s">
        <v>231</v>
      </c>
      <c r="J21" s="25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19"/>
      <c r="L21" s="19"/>
      <c r="M21" s="20"/>
      <c r="N21" s="98">
        <v>2026</v>
      </c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100"/>
      <c r="Z21" s="101"/>
      <c r="AA21" s="102">
        <v>2027</v>
      </c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</row>
    <row r="22" spans="4:38" ht="2.4500000000000002" customHeight="1">
      <c r="E22" s="17"/>
      <c r="F22" s="18"/>
      <c r="G22" s="18"/>
      <c r="H22" s="18"/>
      <c r="I22" s="18"/>
      <c r="J22" s="19"/>
      <c r="K22" s="19"/>
      <c r="L22" s="19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4:38" s="105" customFormat="1" ht="40.5" customHeight="1">
      <c r="E23" s="106" t="s">
        <v>232</v>
      </c>
      <c r="F23" s="107" t="s">
        <v>188</v>
      </c>
      <c r="G23" s="94" t="s">
        <v>189</v>
      </c>
      <c r="H23" s="94" t="s">
        <v>190</v>
      </c>
      <c r="I23" s="94" t="s">
        <v>191</v>
      </c>
      <c r="J23" s="94" t="s">
        <v>192</v>
      </c>
      <c r="K23" s="94" t="s">
        <v>229</v>
      </c>
      <c r="L23" s="94" t="s">
        <v>229</v>
      </c>
      <c r="M23" s="95"/>
      <c r="N23" s="96">
        <v>46023</v>
      </c>
      <c r="O23" s="96">
        <v>46054</v>
      </c>
      <c r="P23" s="96">
        <v>46082</v>
      </c>
      <c r="Q23" s="96">
        <v>46113</v>
      </c>
      <c r="R23" s="96">
        <v>46143</v>
      </c>
      <c r="S23" s="96">
        <v>46174</v>
      </c>
      <c r="T23" s="96">
        <v>46204</v>
      </c>
      <c r="U23" s="96">
        <v>46235</v>
      </c>
      <c r="V23" s="96">
        <v>46266</v>
      </c>
      <c r="W23" s="96">
        <v>46296</v>
      </c>
      <c r="X23" s="96">
        <v>46327</v>
      </c>
      <c r="Y23" s="96">
        <v>46357</v>
      </c>
      <c r="Z23" s="97"/>
      <c r="AA23" s="96">
        <v>46388</v>
      </c>
      <c r="AB23" s="96">
        <v>46419</v>
      </c>
      <c r="AC23" s="96">
        <v>46447</v>
      </c>
      <c r="AD23" s="96">
        <v>46478</v>
      </c>
      <c r="AE23" s="96">
        <v>46508</v>
      </c>
      <c r="AF23" s="96">
        <v>46539</v>
      </c>
      <c r="AG23" s="96">
        <v>46569</v>
      </c>
      <c r="AH23" s="96">
        <v>46600</v>
      </c>
      <c r="AI23" s="96">
        <v>46631</v>
      </c>
      <c r="AJ23" s="96">
        <v>46661</v>
      </c>
      <c r="AK23" s="96">
        <v>46692</v>
      </c>
      <c r="AL23" s="96">
        <v>46722</v>
      </c>
    </row>
    <row r="24" spans="4:38">
      <c r="D24" s="151" t="s">
        <v>233</v>
      </c>
      <c r="E24" s="6"/>
      <c r="F24" s="7"/>
      <c r="G24" s="6"/>
      <c r="H24" s="8"/>
      <c r="I24" s="8"/>
      <c r="J24" s="118">
        <f t="shared" ref="J24" si="7">+K24+L24</f>
        <v>0</v>
      </c>
      <c r="K24" s="119">
        <f t="shared" ref="K24" si="8">SUM(N24:Y24)</f>
        <v>0</v>
      </c>
      <c r="L24" s="119">
        <f t="shared" ref="L24" si="9">SUM(AA24:AL24)</f>
        <v>0</v>
      </c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4:38">
      <c r="E25" s="6"/>
      <c r="F25" s="7"/>
      <c r="G25" s="6"/>
      <c r="H25" s="9"/>
      <c r="I25" s="9"/>
      <c r="J25" s="118">
        <f t="shared" ref="J25:J88" si="10">+K25+L25</f>
        <v>0</v>
      </c>
      <c r="K25" s="119">
        <f t="shared" ref="K25:K88" si="11">SUM(N25:Y25)</f>
        <v>0</v>
      </c>
      <c r="L25" s="119">
        <f t="shared" ref="L25:L88" si="12">SUM(AA25:AL25)</f>
        <v>0</v>
      </c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4:38" ht="15.75" customHeight="1">
      <c r="E26" s="6"/>
      <c r="F26" s="7"/>
      <c r="G26" s="6"/>
      <c r="H26" s="9"/>
      <c r="I26" s="9"/>
      <c r="J26" s="118">
        <f t="shared" si="10"/>
        <v>0</v>
      </c>
      <c r="K26" s="119">
        <f t="shared" si="11"/>
        <v>0</v>
      </c>
      <c r="L26" s="119">
        <f t="shared" si="12"/>
        <v>0</v>
      </c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4:38">
      <c r="E27" s="6"/>
      <c r="F27" s="7"/>
      <c r="G27" s="6"/>
      <c r="H27" s="9"/>
      <c r="I27" s="9"/>
      <c r="J27" s="118">
        <f t="shared" si="10"/>
        <v>0</v>
      </c>
      <c r="K27" s="119">
        <f t="shared" si="11"/>
        <v>0</v>
      </c>
      <c r="L27" s="119">
        <f t="shared" si="12"/>
        <v>0</v>
      </c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4:38">
      <c r="E28" s="6"/>
      <c r="F28" s="7"/>
      <c r="G28" s="6"/>
      <c r="H28" s="9"/>
      <c r="I28" s="9"/>
      <c r="J28" s="118">
        <f t="shared" si="10"/>
        <v>0</v>
      </c>
      <c r="K28" s="119">
        <f t="shared" si="11"/>
        <v>0</v>
      </c>
      <c r="L28" s="119">
        <f t="shared" si="12"/>
        <v>0</v>
      </c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4:38">
      <c r="E29" s="6"/>
      <c r="F29" s="7"/>
      <c r="G29" s="6"/>
      <c r="H29" s="10"/>
      <c r="I29" s="10"/>
      <c r="J29" s="118">
        <f t="shared" si="10"/>
        <v>0</v>
      </c>
      <c r="K29" s="119">
        <f t="shared" si="11"/>
        <v>0</v>
      </c>
      <c r="L29" s="119">
        <f t="shared" si="12"/>
        <v>0</v>
      </c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4:38">
      <c r="E30" s="6"/>
      <c r="F30" s="7"/>
      <c r="G30" s="6"/>
      <c r="H30" s="11"/>
      <c r="I30" s="11"/>
      <c r="J30" s="118">
        <f t="shared" si="10"/>
        <v>0</v>
      </c>
      <c r="K30" s="119">
        <f t="shared" si="11"/>
        <v>0</v>
      </c>
      <c r="L30" s="119">
        <f t="shared" si="12"/>
        <v>0</v>
      </c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4:38">
      <c r="E31" s="6"/>
      <c r="F31" s="7"/>
      <c r="G31" s="6"/>
      <c r="H31" s="11"/>
      <c r="I31" s="11"/>
      <c r="J31" s="118">
        <f t="shared" si="10"/>
        <v>0</v>
      </c>
      <c r="K31" s="119">
        <f t="shared" si="11"/>
        <v>0</v>
      </c>
      <c r="L31" s="119">
        <f t="shared" si="12"/>
        <v>0</v>
      </c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4:38">
      <c r="E32" s="6"/>
      <c r="F32" s="7"/>
      <c r="G32" s="6"/>
      <c r="H32" s="11"/>
      <c r="I32" s="11"/>
      <c r="J32" s="118">
        <f t="shared" si="10"/>
        <v>0</v>
      </c>
      <c r="K32" s="119">
        <f t="shared" si="11"/>
        <v>0</v>
      </c>
      <c r="L32" s="119">
        <f t="shared" si="12"/>
        <v>0</v>
      </c>
      <c r="M32" s="15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5:24">
      <c r="E33" s="6"/>
      <c r="F33" s="7"/>
      <c r="G33" s="6"/>
      <c r="H33" s="11"/>
      <c r="I33" s="11"/>
      <c r="J33" s="118">
        <f t="shared" si="10"/>
        <v>0</v>
      </c>
      <c r="K33" s="119">
        <f t="shared" si="11"/>
        <v>0</v>
      </c>
      <c r="L33" s="119">
        <f t="shared" si="12"/>
        <v>0</v>
      </c>
      <c r="M33" s="15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5:24">
      <c r="E34" s="6"/>
      <c r="F34" s="7"/>
      <c r="G34" s="6"/>
      <c r="H34" s="11"/>
      <c r="I34" s="11"/>
      <c r="J34" s="118">
        <f t="shared" si="10"/>
        <v>0</v>
      </c>
      <c r="K34" s="119">
        <f t="shared" si="11"/>
        <v>0</v>
      </c>
      <c r="L34" s="119">
        <f t="shared" si="12"/>
        <v>0</v>
      </c>
      <c r="M34" s="15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5:24">
      <c r="E35" s="6"/>
      <c r="F35" s="7"/>
      <c r="G35" s="6"/>
      <c r="H35" s="11"/>
      <c r="I35" s="11"/>
      <c r="J35" s="118">
        <f t="shared" si="10"/>
        <v>0</v>
      </c>
      <c r="K35" s="119">
        <f t="shared" si="11"/>
        <v>0</v>
      </c>
      <c r="L35" s="119">
        <f t="shared" si="12"/>
        <v>0</v>
      </c>
      <c r="M35" s="15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5:24">
      <c r="E36" s="6"/>
      <c r="F36" s="7"/>
      <c r="G36" s="6"/>
      <c r="H36" s="11"/>
      <c r="I36" s="11"/>
      <c r="J36" s="118">
        <f t="shared" si="10"/>
        <v>0</v>
      </c>
      <c r="K36" s="119">
        <f t="shared" si="11"/>
        <v>0</v>
      </c>
      <c r="L36" s="119">
        <f t="shared" si="12"/>
        <v>0</v>
      </c>
      <c r="M36" s="15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5:24">
      <c r="E37" s="6"/>
      <c r="F37" s="7"/>
      <c r="G37" s="6"/>
      <c r="H37" s="11"/>
      <c r="I37" s="11"/>
      <c r="J37" s="118">
        <f t="shared" si="10"/>
        <v>0</v>
      </c>
      <c r="K37" s="119">
        <f t="shared" si="11"/>
        <v>0</v>
      </c>
      <c r="L37" s="119">
        <f t="shared" si="12"/>
        <v>0</v>
      </c>
      <c r="M37" s="15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5:24">
      <c r="E38" s="6"/>
      <c r="F38" s="7"/>
      <c r="G38" s="6"/>
      <c r="H38" s="11"/>
      <c r="I38" s="11"/>
      <c r="J38" s="118">
        <f t="shared" si="10"/>
        <v>0</v>
      </c>
      <c r="K38" s="119">
        <f t="shared" si="11"/>
        <v>0</v>
      </c>
      <c r="L38" s="119">
        <f t="shared" si="12"/>
        <v>0</v>
      </c>
      <c r="M38" s="15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5:24">
      <c r="E39" s="6"/>
      <c r="F39" s="7"/>
      <c r="G39" s="6"/>
      <c r="H39" s="11"/>
      <c r="I39" s="11"/>
      <c r="J39" s="118">
        <f t="shared" si="10"/>
        <v>0</v>
      </c>
      <c r="K39" s="119">
        <f t="shared" si="11"/>
        <v>0</v>
      </c>
      <c r="L39" s="119">
        <f t="shared" si="12"/>
        <v>0</v>
      </c>
      <c r="M39" s="15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5:24">
      <c r="E40" s="6"/>
      <c r="F40" s="7"/>
      <c r="G40" s="6"/>
      <c r="H40" s="11"/>
      <c r="I40" s="11"/>
      <c r="J40" s="118">
        <f t="shared" si="10"/>
        <v>0</v>
      </c>
      <c r="K40" s="119">
        <f t="shared" si="11"/>
        <v>0</v>
      </c>
      <c r="L40" s="119">
        <f t="shared" si="12"/>
        <v>0</v>
      </c>
      <c r="M40" s="15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5:24">
      <c r="E41" s="6"/>
      <c r="F41" s="7"/>
      <c r="G41" s="6"/>
      <c r="H41" s="11"/>
      <c r="I41" s="11"/>
      <c r="J41" s="118">
        <f t="shared" si="10"/>
        <v>0</v>
      </c>
      <c r="K41" s="119">
        <f t="shared" si="11"/>
        <v>0</v>
      </c>
      <c r="L41" s="119">
        <f t="shared" si="12"/>
        <v>0</v>
      </c>
      <c r="M41" s="15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5:24">
      <c r="E42" s="6"/>
      <c r="F42" s="7"/>
      <c r="G42" s="6"/>
      <c r="H42" s="11"/>
      <c r="I42" s="11"/>
      <c r="J42" s="118">
        <f t="shared" si="10"/>
        <v>0</v>
      </c>
      <c r="K42" s="119">
        <f t="shared" si="11"/>
        <v>0</v>
      </c>
      <c r="L42" s="119">
        <f t="shared" si="12"/>
        <v>0</v>
      </c>
      <c r="M42" s="1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5:24">
      <c r="E43" s="6"/>
      <c r="F43" s="7"/>
      <c r="G43" s="6"/>
      <c r="H43" s="12"/>
      <c r="I43" s="12"/>
      <c r="J43" s="118">
        <f t="shared" si="10"/>
        <v>0</v>
      </c>
      <c r="K43" s="119">
        <f t="shared" si="11"/>
        <v>0</v>
      </c>
      <c r="L43" s="119">
        <f t="shared" si="12"/>
        <v>0</v>
      </c>
      <c r="M43" s="15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5:24">
      <c r="E44" s="6"/>
      <c r="F44" s="7"/>
      <c r="G44" s="6"/>
      <c r="H44" s="12"/>
      <c r="I44" s="12"/>
      <c r="J44" s="118">
        <f t="shared" si="10"/>
        <v>0</v>
      </c>
      <c r="K44" s="119">
        <f t="shared" si="11"/>
        <v>0</v>
      </c>
      <c r="L44" s="119">
        <f t="shared" si="12"/>
        <v>0</v>
      </c>
      <c r="M44" s="15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5:24">
      <c r="E45" s="13"/>
      <c r="F45" s="7"/>
      <c r="G45" s="6"/>
      <c r="H45" s="12"/>
      <c r="I45" s="12"/>
      <c r="J45" s="118">
        <f t="shared" si="10"/>
        <v>0</v>
      </c>
      <c r="K45" s="119">
        <f t="shared" si="11"/>
        <v>0</v>
      </c>
      <c r="L45" s="119">
        <f t="shared" si="12"/>
        <v>0</v>
      </c>
      <c r="M45" s="15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5:24">
      <c r="E46" s="6"/>
      <c r="F46" s="7"/>
      <c r="G46" s="6"/>
      <c r="H46" s="9"/>
      <c r="I46" s="9"/>
      <c r="J46" s="118">
        <f t="shared" si="10"/>
        <v>0</v>
      </c>
      <c r="K46" s="119">
        <f t="shared" si="11"/>
        <v>0</v>
      </c>
      <c r="L46" s="119">
        <f t="shared" si="12"/>
        <v>0</v>
      </c>
      <c r="M46" s="1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5:24">
      <c r="E47" s="6"/>
      <c r="F47" s="7"/>
      <c r="G47" s="6"/>
      <c r="H47" s="9"/>
      <c r="I47" s="9"/>
      <c r="J47" s="118">
        <f t="shared" si="10"/>
        <v>0</v>
      </c>
      <c r="K47" s="119">
        <f t="shared" si="11"/>
        <v>0</v>
      </c>
      <c r="L47" s="119">
        <f t="shared" si="12"/>
        <v>0</v>
      </c>
      <c r="M47" s="1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5:24">
      <c r="E48" s="6"/>
      <c r="F48" s="7"/>
      <c r="G48" s="6"/>
      <c r="H48" s="10"/>
      <c r="I48" s="10"/>
      <c r="J48" s="118">
        <f t="shared" si="10"/>
        <v>0</v>
      </c>
      <c r="K48" s="119">
        <f t="shared" si="11"/>
        <v>0</v>
      </c>
      <c r="L48" s="119">
        <f t="shared" si="12"/>
        <v>0</v>
      </c>
      <c r="M48" s="1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5:24">
      <c r="E49" s="6"/>
      <c r="F49" s="7"/>
      <c r="G49" s="6"/>
      <c r="H49" s="11"/>
      <c r="I49" s="11"/>
      <c r="J49" s="118">
        <f t="shared" si="10"/>
        <v>0</v>
      </c>
      <c r="K49" s="119">
        <f t="shared" si="11"/>
        <v>0</v>
      </c>
      <c r="L49" s="119">
        <f t="shared" si="12"/>
        <v>0</v>
      </c>
      <c r="M49" s="15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5:24">
      <c r="E50" s="6"/>
      <c r="F50" s="7"/>
      <c r="G50" s="6"/>
      <c r="H50" s="11"/>
      <c r="I50" s="11"/>
      <c r="J50" s="118">
        <f t="shared" si="10"/>
        <v>0</v>
      </c>
      <c r="K50" s="119">
        <f t="shared" si="11"/>
        <v>0</v>
      </c>
      <c r="L50" s="119">
        <f t="shared" si="12"/>
        <v>0</v>
      </c>
      <c r="M50" s="15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5:24">
      <c r="E51" s="6"/>
      <c r="F51" s="7"/>
      <c r="G51" s="6"/>
      <c r="H51" s="11"/>
      <c r="I51" s="11"/>
      <c r="J51" s="118">
        <f t="shared" si="10"/>
        <v>0</v>
      </c>
      <c r="K51" s="119">
        <f t="shared" si="11"/>
        <v>0</v>
      </c>
      <c r="L51" s="119">
        <f t="shared" si="12"/>
        <v>0</v>
      </c>
      <c r="M51" s="15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5:24">
      <c r="E52" s="6"/>
      <c r="F52" s="7"/>
      <c r="G52" s="6"/>
      <c r="H52" s="11"/>
      <c r="I52" s="11"/>
      <c r="J52" s="118">
        <f t="shared" si="10"/>
        <v>0</v>
      </c>
      <c r="K52" s="119">
        <f t="shared" si="11"/>
        <v>0</v>
      </c>
      <c r="L52" s="119">
        <f t="shared" si="12"/>
        <v>0</v>
      </c>
      <c r="M52" s="15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5:24">
      <c r="E53" s="6"/>
      <c r="F53" s="7"/>
      <c r="G53" s="6"/>
      <c r="H53" s="11"/>
      <c r="I53" s="11"/>
      <c r="J53" s="118">
        <f t="shared" si="10"/>
        <v>0</v>
      </c>
      <c r="K53" s="119">
        <f t="shared" si="11"/>
        <v>0</v>
      </c>
      <c r="L53" s="119">
        <f t="shared" si="12"/>
        <v>0</v>
      </c>
      <c r="M53" s="15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5:24">
      <c r="E54" s="6"/>
      <c r="F54" s="7"/>
      <c r="G54" s="6"/>
      <c r="H54" s="11"/>
      <c r="I54" s="11"/>
      <c r="J54" s="118">
        <f t="shared" si="10"/>
        <v>0</v>
      </c>
      <c r="K54" s="119">
        <f t="shared" si="11"/>
        <v>0</v>
      </c>
      <c r="L54" s="119">
        <f t="shared" si="12"/>
        <v>0</v>
      </c>
      <c r="M54" s="15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5:24">
      <c r="E55" s="6"/>
      <c r="F55" s="7"/>
      <c r="G55" s="6"/>
      <c r="H55" s="11"/>
      <c r="I55" s="11"/>
      <c r="J55" s="118">
        <f t="shared" si="10"/>
        <v>0</v>
      </c>
      <c r="K55" s="119">
        <f t="shared" si="11"/>
        <v>0</v>
      </c>
      <c r="L55" s="119">
        <f t="shared" si="12"/>
        <v>0</v>
      </c>
      <c r="M55" s="15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5:24">
      <c r="E56" s="6"/>
      <c r="F56" s="7"/>
      <c r="G56" s="6"/>
      <c r="H56" s="11"/>
      <c r="I56" s="11"/>
      <c r="J56" s="118">
        <f t="shared" si="10"/>
        <v>0</v>
      </c>
      <c r="K56" s="119">
        <f t="shared" si="11"/>
        <v>0</v>
      </c>
      <c r="L56" s="119">
        <f t="shared" si="12"/>
        <v>0</v>
      </c>
      <c r="M56" s="15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5:24">
      <c r="E57" s="6"/>
      <c r="F57" s="7"/>
      <c r="G57" s="6"/>
      <c r="H57" s="11"/>
      <c r="I57" s="11"/>
      <c r="J57" s="118">
        <f t="shared" si="10"/>
        <v>0</v>
      </c>
      <c r="K57" s="119">
        <f t="shared" si="11"/>
        <v>0</v>
      </c>
      <c r="L57" s="119">
        <f t="shared" si="12"/>
        <v>0</v>
      </c>
      <c r="M57" s="15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5:24">
      <c r="E58" s="6"/>
      <c r="F58" s="7"/>
      <c r="G58" s="6"/>
      <c r="H58" s="11"/>
      <c r="I58" s="11"/>
      <c r="J58" s="118">
        <f t="shared" si="10"/>
        <v>0</v>
      </c>
      <c r="K58" s="119">
        <f t="shared" si="11"/>
        <v>0</v>
      </c>
      <c r="L58" s="119">
        <f t="shared" si="12"/>
        <v>0</v>
      </c>
      <c r="M58" s="1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5:24">
      <c r="E59" s="6"/>
      <c r="F59" s="7"/>
      <c r="G59" s="6"/>
      <c r="H59" s="11"/>
      <c r="I59" s="11"/>
      <c r="J59" s="118">
        <f t="shared" si="10"/>
        <v>0</v>
      </c>
      <c r="K59" s="119">
        <f t="shared" si="11"/>
        <v>0</v>
      </c>
      <c r="L59" s="119">
        <f t="shared" si="12"/>
        <v>0</v>
      </c>
      <c r="M59" s="15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5:24">
      <c r="E60" s="6"/>
      <c r="F60" s="7"/>
      <c r="G60" s="6"/>
      <c r="H60" s="11"/>
      <c r="I60" s="11"/>
      <c r="J60" s="118">
        <f t="shared" si="10"/>
        <v>0</v>
      </c>
      <c r="K60" s="119">
        <f t="shared" si="11"/>
        <v>0</v>
      </c>
      <c r="L60" s="119">
        <f t="shared" si="12"/>
        <v>0</v>
      </c>
      <c r="M60" s="15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5:24">
      <c r="E61" s="6"/>
      <c r="F61" s="7"/>
      <c r="G61" s="6"/>
      <c r="H61" s="11"/>
      <c r="I61" s="11"/>
      <c r="J61" s="118">
        <f t="shared" si="10"/>
        <v>0</v>
      </c>
      <c r="K61" s="119">
        <f t="shared" si="11"/>
        <v>0</v>
      </c>
      <c r="L61" s="119">
        <f t="shared" si="12"/>
        <v>0</v>
      </c>
      <c r="M61" s="15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5:24">
      <c r="E62" s="6"/>
      <c r="F62" s="7"/>
      <c r="G62" s="6"/>
      <c r="H62" s="12"/>
      <c r="I62" s="12"/>
      <c r="J62" s="118">
        <f t="shared" si="10"/>
        <v>0</v>
      </c>
      <c r="K62" s="119">
        <f t="shared" si="11"/>
        <v>0</v>
      </c>
      <c r="L62" s="119">
        <f t="shared" si="12"/>
        <v>0</v>
      </c>
      <c r="M62" s="15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5:24">
      <c r="E63" s="6"/>
      <c r="F63" s="7"/>
      <c r="G63" s="6"/>
      <c r="H63" s="12"/>
      <c r="I63" s="12"/>
      <c r="J63" s="118">
        <f t="shared" si="10"/>
        <v>0</v>
      </c>
      <c r="K63" s="119">
        <f t="shared" si="11"/>
        <v>0</v>
      </c>
      <c r="L63" s="119">
        <f t="shared" si="12"/>
        <v>0</v>
      </c>
      <c r="M63" s="1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5:24">
      <c r="E64" s="13"/>
      <c r="F64" s="7"/>
      <c r="G64" s="6"/>
      <c r="H64" s="12"/>
      <c r="I64" s="12"/>
      <c r="J64" s="118">
        <f t="shared" si="10"/>
        <v>0</v>
      </c>
      <c r="K64" s="119">
        <f t="shared" si="11"/>
        <v>0</v>
      </c>
      <c r="L64" s="119">
        <f t="shared" si="12"/>
        <v>0</v>
      </c>
      <c r="M64" s="15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5:12">
      <c r="E65" s="6"/>
      <c r="F65" s="7"/>
      <c r="G65" s="6"/>
      <c r="H65" s="11"/>
      <c r="I65" s="11"/>
      <c r="J65" s="118">
        <f t="shared" si="10"/>
        <v>0</v>
      </c>
      <c r="K65" s="119">
        <f t="shared" si="11"/>
        <v>0</v>
      </c>
      <c r="L65" s="119">
        <f t="shared" si="12"/>
        <v>0</v>
      </c>
    </row>
    <row r="66" spans="5:12">
      <c r="E66" s="6"/>
      <c r="F66" s="7"/>
      <c r="G66" s="6"/>
      <c r="H66" s="11"/>
      <c r="I66" s="11"/>
      <c r="J66" s="118">
        <f t="shared" si="10"/>
        <v>0</v>
      </c>
      <c r="K66" s="119">
        <f t="shared" si="11"/>
        <v>0</v>
      </c>
      <c r="L66" s="119">
        <f t="shared" si="12"/>
        <v>0</v>
      </c>
    </row>
    <row r="67" spans="5:12">
      <c r="E67" s="6"/>
      <c r="F67" s="7"/>
      <c r="G67" s="6"/>
      <c r="H67" s="11"/>
      <c r="I67" s="11"/>
      <c r="J67" s="118">
        <f t="shared" si="10"/>
        <v>0</v>
      </c>
      <c r="K67" s="119">
        <f t="shared" si="11"/>
        <v>0</v>
      </c>
      <c r="L67" s="119">
        <f t="shared" si="12"/>
        <v>0</v>
      </c>
    </row>
    <row r="68" spans="5:12">
      <c r="E68" s="6"/>
      <c r="F68" s="7"/>
      <c r="G68" s="6"/>
      <c r="H68" s="11"/>
      <c r="I68" s="11"/>
      <c r="J68" s="118">
        <f t="shared" si="10"/>
        <v>0</v>
      </c>
      <c r="K68" s="119">
        <f t="shared" si="11"/>
        <v>0</v>
      </c>
      <c r="L68" s="119">
        <f t="shared" si="12"/>
        <v>0</v>
      </c>
    </row>
    <row r="69" spans="5:12">
      <c r="E69" s="6"/>
      <c r="F69" s="7"/>
      <c r="G69" s="6"/>
      <c r="H69" s="11"/>
      <c r="I69" s="11"/>
      <c r="J69" s="118">
        <f t="shared" si="10"/>
        <v>0</v>
      </c>
      <c r="K69" s="119">
        <f t="shared" si="11"/>
        <v>0</v>
      </c>
      <c r="L69" s="119">
        <f t="shared" si="12"/>
        <v>0</v>
      </c>
    </row>
    <row r="70" spans="5:12">
      <c r="E70" s="13"/>
      <c r="F70" s="7"/>
      <c r="G70" s="6"/>
      <c r="H70" s="11"/>
      <c r="I70" s="11"/>
      <c r="J70" s="118">
        <f t="shared" si="10"/>
        <v>0</v>
      </c>
      <c r="K70" s="119">
        <f t="shared" si="11"/>
        <v>0</v>
      </c>
      <c r="L70" s="119">
        <f t="shared" si="12"/>
        <v>0</v>
      </c>
    </row>
    <row r="71" spans="5:12">
      <c r="E71" s="6"/>
      <c r="F71" s="7"/>
      <c r="G71" s="6"/>
      <c r="H71" s="11"/>
      <c r="I71" s="11"/>
      <c r="J71" s="118">
        <f t="shared" si="10"/>
        <v>0</v>
      </c>
      <c r="K71" s="119">
        <f t="shared" si="11"/>
        <v>0</v>
      </c>
      <c r="L71" s="119">
        <f t="shared" si="12"/>
        <v>0</v>
      </c>
    </row>
    <row r="72" spans="5:12">
      <c r="E72" s="6"/>
      <c r="F72" s="7"/>
      <c r="G72" s="6"/>
      <c r="H72" s="11"/>
      <c r="I72" s="11"/>
      <c r="J72" s="118">
        <f t="shared" si="10"/>
        <v>0</v>
      </c>
      <c r="K72" s="119">
        <f t="shared" si="11"/>
        <v>0</v>
      </c>
      <c r="L72" s="119">
        <f t="shared" si="12"/>
        <v>0</v>
      </c>
    </row>
    <row r="73" spans="5:12">
      <c r="E73" s="6"/>
      <c r="F73" s="7"/>
      <c r="G73" s="6"/>
      <c r="H73" s="11"/>
      <c r="I73" s="11"/>
      <c r="J73" s="118">
        <f t="shared" si="10"/>
        <v>0</v>
      </c>
      <c r="K73" s="119">
        <f t="shared" si="11"/>
        <v>0</v>
      </c>
      <c r="L73" s="119">
        <f t="shared" si="12"/>
        <v>0</v>
      </c>
    </row>
    <row r="74" spans="5:12">
      <c r="E74" s="6"/>
      <c r="F74" s="7"/>
      <c r="G74" s="6"/>
      <c r="H74" s="9"/>
      <c r="I74" s="9"/>
      <c r="J74" s="118">
        <f t="shared" si="10"/>
        <v>0</v>
      </c>
      <c r="K74" s="119">
        <f t="shared" si="11"/>
        <v>0</v>
      </c>
      <c r="L74" s="119">
        <f t="shared" si="12"/>
        <v>0</v>
      </c>
    </row>
    <row r="75" spans="5:12">
      <c r="E75" s="6"/>
      <c r="F75" s="7"/>
      <c r="G75" s="6"/>
      <c r="H75" s="9"/>
      <c r="I75" s="9"/>
      <c r="J75" s="118">
        <f t="shared" si="10"/>
        <v>0</v>
      </c>
      <c r="K75" s="119">
        <f t="shared" si="11"/>
        <v>0</v>
      </c>
      <c r="L75" s="119">
        <f t="shared" si="12"/>
        <v>0</v>
      </c>
    </row>
    <row r="76" spans="5:12">
      <c r="E76" s="6"/>
      <c r="F76" s="7"/>
      <c r="G76" s="6"/>
      <c r="H76" s="10"/>
      <c r="I76" s="10"/>
      <c r="J76" s="118">
        <f t="shared" si="10"/>
        <v>0</v>
      </c>
      <c r="K76" s="119">
        <f t="shared" si="11"/>
        <v>0</v>
      </c>
      <c r="L76" s="119">
        <f t="shared" si="12"/>
        <v>0</v>
      </c>
    </row>
    <row r="77" spans="5:12">
      <c r="E77" s="6"/>
      <c r="F77" s="7"/>
      <c r="G77" s="6"/>
      <c r="H77" s="11"/>
      <c r="I77" s="11"/>
      <c r="J77" s="118">
        <f t="shared" si="10"/>
        <v>0</v>
      </c>
      <c r="K77" s="119">
        <f t="shared" si="11"/>
        <v>0</v>
      </c>
      <c r="L77" s="119">
        <f t="shared" si="12"/>
        <v>0</v>
      </c>
    </row>
    <row r="78" spans="5:12">
      <c r="E78" s="6"/>
      <c r="F78" s="7"/>
      <c r="G78" s="6"/>
      <c r="H78" s="11"/>
      <c r="I78" s="11"/>
      <c r="J78" s="118">
        <f t="shared" si="10"/>
        <v>0</v>
      </c>
      <c r="K78" s="119">
        <f t="shared" si="11"/>
        <v>0</v>
      </c>
      <c r="L78" s="119">
        <f t="shared" si="12"/>
        <v>0</v>
      </c>
    </row>
    <row r="79" spans="5:12">
      <c r="E79" s="6"/>
      <c r="F79" s="7"/>
      <c r="G79" s="6"/>
      <c r="H79" s="11"/>
      <c r="I79" s="11"/>
      <c r="J79" s="118">
        <f t="shared" si="10"/>
        <v>0</v>
      </c>
      <c r="K79" s="119">
        <f t="shared" si="11"/>
        <v>0</v>
      </c>
      <c r="L79" s="119">
        <f t="shared" si="12"/>
        <v>0</v>
      </c>
    </row>
    <row r="80" spans="5:12">
      <c r="E80" s="6"/>
      <c r="F80" s="7"/>
      <c r="G80" s="6"/>
      <c r="H80" s="11"/>
      <c r="I80" s="11"/>
      <c r="J80" s="118">
        <f t="shared" si="10"/>
        <v>0</v>
      </c>
      <c r="K80" s="119">
        <f t="shared" si="11"/>
        <v>0</v>
      </c>
      <c r="L80" s="119">
        <f t="shared" si="12"/>
        <v>0</v>
      </c>
    </row>
    <row r="81" spans="5:12">
      <c r="E81" s="6"/>
      <c r="F81" s="7"/>
      <c r="G81" s="6"/>
      <c r="H81" s="11"/>
      <c r="I81" s="11"/>
      <c r="J81" s="118">
        <f t="shared" si="10"/>
        <v>0</v>
      </c>
      <c r="K81" s="119">
        <f t="shared" si="11"/>
        <v>0</v>
      </c>
      <c r="L81" s="119">
        <f t="shared" si="12"/>
        <v>0</v>
      </c>
    </row>
    <row r="82" spans="5:12">
      <c r="E82" s="6"/>
      <c r="F82" s="7"/>
      <c r="G82" s="6"/>
      <c r="H82" s="11"/>
      <c r="I82" s="11"/>
      <c r="J82" s="118">
        <f t="shared" si="10"/>
        <v>0</v>
      </c>
      <c r="K82" s="119">
        <f t="shared" si="11"/>
        <v>0</v>
      </c>
      <c r="L82" s="119">
        <f t="shared" si="12"/>
        <v>0</v>
      </c>
    </row>
    <row r="83" spans="5:12">
      <c r="E83" s="6"/>
      <c r="F83" s="7"/>
      <c r="G83" s="6"/>
      <c r="H83" s="11"/>
      <c r="I83" s="11"/>
      <c r="J83" s="118">
        <f t="shared" si="10"/>
        <v>0</v>
      </c>
      <c r="K83" s="119">
        <f t="shared" si="11"/>
        <v>0</v>
      </c>
      <c r="L83" s="119">
        <f t="shared" si="12"/>
        <v>0</v>
      </c>
    </row>
    <row r="84" spans="5:12">
      <c r="E84" s="6"/>
      <c r="F84" s="7"/>
      <c r="G84" s="6"/>
      <c r="H84" s="11"/>
      <c r="I84" s="11"/>
      <c r="J84" s="118">
        <f t="shared" si="10"/>
        <v>0</v>
      </c>
      <c r="K84" s="119">
        <f t="shared" si="11"/>
        <v>0</v>
      </c>
      <c r="L84" s="119">
        <f t="shared" si="12"/>
        <v>0</v>
      </c>
    </row>
    <row r="85" spans="5:12">
      <c r="E85" s="6"/>
      <c r="F85" s="7"/>
      <c r="G85" s="6"/>
      <c r="H85" s="11"/>
      <c r="I85" s="11"/>
      <c r="J85" s="118">
        <f t="shared" si="10"/>
        <v>0</v>
      </c>
      <c r="K85" s="119">
        <f t="shared" si="11"/>
        <v>0</v>
      </c>
      <c r="L85" s="119">
        <f t="shared" si="12"/>
        <v>0</v>
      </c>
    </row>
    <row r="86" spans="5:12">
      <c r="E86" s="6"/>
      <c r="F86" s="7"/>
      <c r="G86" s="6"/>
      <c r="H86" s="11"/>
      <c r="I86" s="11"/>
      <c r="J86" s="118">
        <f t="shared" si="10"/>
        <v>0</v>
      </c>
      <c r="K86" s="119">
        <f t="shared" si="11"/>
        <v>0</v>
      </c>
      <c r="L86" s="119">
        <f t="shared" si="12"/>
        <v>0</v>
      </c>
    </row>
    <row r="87" spans="5:12">
      <c r="E87" s="6"/>
      <c r="F87" s="7"/>
      <c r="G87" s="6"/>
      <c r="H87" s="11"/>
      <c r="I87" s="11"/>
      <c r="J87" s="118">
        <f t="shared" si="10"/>
        <v>0</v>
      </c>
      <c r="K87" s="119">
        <f t="shared" si="11"/>
        <v>0</v>
      </c>
      <c r="L87" s="119">
        <f t="shared" si="12"/>
        <v>0</v>
      </c>
    </row>
    <row r="88" spans="5:12">
      <c r="E88" s="6"/>
      <c r="F88" s="7"/>
      <c r="G88" s="6"/>
      <c r="H88" s="11"/>
      <c r="I88" s="11"/>
      <c r="J88" s="118">
        <f t="shared" si="10"/>
        <v>0</v>
      </c>
      <c r="K88" s="119">
        <f t="shared" si="11"/>
        <v>0</v>
      </c>
      <c r="L88" s="119">
        <f t="shared" si="12"/>
        <v>0</v>
      </c>
    </row>
    <row r="89" spans="5:12">
      <c r="E89" s="6"/>
      <c r="F89" s="7"/>
      <c r="G89" s="6"/>
      <c r="H89" s="11"/>
      <c r="I89" s="11"/>
      <c r="J89" s="118">
        <f t="shared" ref="J89:J152" si="13">+K89+L89</f>
        <v>0</v>
      </c>
      <c r="K89" s="119">
        <f t="shared" ref="K89:K152" si="14">SUM(N89:Y89)</f>
        <v>0</v>
      </c>
      <c r="L89" s="119">
        <f t="shared" ref="L89:L152" si="15">SUM(AA89:AL89)</f>
        <v>0</v>
      </c>
    </row>
    <row r="90" spans="5:12">
      <c r="E90" s="6"/>
      <c r="F90" s="7"/>
      <c r="G90" s="6"/>
      <c r="H90" s="12"/>
      <c r="I90" s="12"/>
      <c r="J90" s="118">
        <f t="shared" si="13"/>
        <v>0</v>
      </c>
      <c r="K90" s="119">
        <f t="shared" si="14"/>
        <v>0</v>
      </c>
      <c r="L90" s="119">
        <f t="shared" si="15"/>
        <v>0</v>
      </c>
    </row>
    <row r="91" spans="5:12">
      <c r="E91" s="6"/>
      <c r="F91" s="7"/>
      <c r="G91" s="6"/>
      <c r="H91" s="12"/>
      <c r="I91" s="12"/>
      <c r="J91" s="118">
        <f t="shared" si="13"/>
        <v>0</v>
      </c>
      <c r="K91" s="119">
        <f t="shared" si="14"/>
        <v>0</v>
      </c>
      <c r="L91" s="119">
        <f t="shared" si="15"/>
        <v>0</v>
      </c>
    </row>
    <row r="92" spans="5:12">
      <c r="E92" s="13"/>
      <c r="F92" s="7"/>
      <c r="G92" s="6"/>
      <c r="H92" s="12"/>
      <c r="I92" s="12"/>
      <c r="J92" s="118">
        <f t="shared" si="13"/>
        <v>0</v>
      </c>
      <c r="K92" s="119">
        <f t="shared" si="14"/>
        <v>0</v>
      </c>
      <c r="L92" s="119">
        <f t="shared" si="15"/>
        <v>0</v>
      </c>
    </row>
    <row r="93" spans="5:12">
      <c r="E93" s="6"/>
      <c r="F93" s="7"/>
      <c r="G93" s="6"/>
      <c r="H93" s="9"/>
      <c r="I93" s="9"/>
      <c r="J93" s="118">
        <f t="shared" si="13"/>
        <v>0</v>
      </c>
      <c r="K93" s="119">
        <f t="shared" si="14"/>
        <v>0</v>
      </c>
      <c r="L93" s="119">
        <f t="shared" si="15"/>
        <v>0</v>
      </c>
    </row>
    <row r="94" spans="5:12">
      <c r="E94" s="6"/>
      <c r="F94" s="7"/>
      <c r="G94" s="6"/>
      <c r="H94" s="9"/>
      <c r="I94" s="9"/>
      <c r="J94" s="118">
        <f t="shared" si="13"/>
        <v>0</v>
      </c>
      <c r="K94" s="119">
        <f t="shared" si="14"/>
        <v>0</v>
      </c>
      <c r="L94" s="119">
        <f t="shared" si="15"/>
        <v>0</v>
      </c>
    </row>
    <row r="95" spans="5:12">
      <c r="E95" s="6"/>
      <c r="F95" s="7"/>
      <c r="G95" s="6"/>
      <c r="H95" s="10"/>
      <c r="I95" s="10"/>
      <c r="J95" s="118">
        <f t="shared" si="13"/>
        <v>0</v>
      </c>
      <c r="K95" s="119">
        <f t="shared" si="14"/>
        <v>0</v>
      </c>
      <c r="L95" s="119">
        <f t="shared" si="15"/>
        <v>0</v>
      </c>
    </row>
    <row r="96" spans="5:12">
      <c r="E96" s="6"/>
      <c r="F96" s="7"/>
      <c r="G96" s="6"/>
      <c r="H96" s="11"/>
      <c r="I96" s="11"/>
      <c r="J96" s="118">
        <f t="shared" si="13"/>
        <v>0</v>
      </c>
      <c r="K96" s="119">
        <f t="shared" si="14"/>
        <v>0</v>
      </c>
      <c r="L96" s="119">
        <f t="shared" si="15"/>
        <v>0</v>
      </c>
    </row>
    <row r="97" spans="5:12">
      <c r="E97" s="6"/>
      <c r="F97" s="7"/>
      <c r="G97" s="6"/>
      <c r="H97" s="11"/>
      <c r="I97" s="11"/>
      <c r="J97" s="118">
        <f t="shared" si="13"/>
        <v>0</v>
      </c>
      <c r="K97" s="119">
        <f t="shared" si="14"/>
        <v>0</v>
      </c>
      <c r="L97" s="119">
        <f t="shared" si="15"/>
        <v>0</v>
      </c>
    </row>
    <row r="98" spans="5:12">
      <c r="E98" s="6"/>
      <c r="F98" s="7"/>
      <c r="G98" s="6"/>
      <c r="H98" s="11"/>
      <c r="I98" s="11"/>
      <c r="J98" s="118">
        <f t="shared" si="13"/>
        <v>0</v>
      </c>
      <c r="K98" s="119">
        <f t="shared" si="14"/>
        <v>0</v>
      </c>
      <c r="L98" s="119">
        <f t="shared" si="15"/>
        <v>0</v>
      </c>
    </row>
    <row r="99" spans="5:12">
      <c r="E99" s="6"/>
      <c r="F99" s="7"/>
      <c r="G99" s="6"/>
      <c r="H99" s="11"/>
      <c r="I99" s="11"/>
      <c r="J99" s="118">
        <f t="shared" si="13"/>
        <v>0</v>
      </c>
      <c r="K99" s="119">
        <f t="shared" si="14"/>
        <v>0</v>
      </c>
      <c r="L99" s="119">
        <f t="shared" si="15"/>
        <v>0</v>
      </c>
    </row>
    <row r="100" spans="5:12">
      <c r="E100" s="6"/>
      <c r="F100" s="7"/>
      <c r="G100" s="6"/>
      <c r="H100" s="11"/>
      <c r="I100" s="11"/>
      <c r="J100" s="118">
        <f t="shared" si="13"/>
        <v>0</v>
      </c>
      <c r="K100" s="119">
        <f t="shared" si="14"/>
        <v>0</v>
      </c>
      <c r="L100" s="119">
        <f t="shared" si="15"/>
        <v>0</v>
      </c>
    </row>
    <row r="101" spans="5:12">
      <c r="E101" s="6"/>
      <c r="F101" s="7"/>
      <c r="G101" s="6"/>
      <c r="H101" s="11"/>
      <c r="I101" s="11"/>
      <c r="J101" s="118">
        <f t="shared" si="13"/>
        <v>0</v>
      </c>
      <c r="K101" s="119">
        <f t="shared" si="14"/>
        <v>0</v>
      </c>
      <c r="L101" s="119">
        <f t="shared" si="15"/>
        <v>0</v>
      </c>
    </row>
    <row r="102" spans="5:12">
      <c r="E102" s="6"/>
      <c r="F102" s="7"/>
      <c r="G102" s="6"/>
      <c r="H102" s="11"/>
      <c r="I102" s="11"/>
      <c r="J102" s="118">
        <f t="shared" si="13"/>
        <v>0</v>
      </c>
      <c r="K102" s="119">
        <f t="shared" si="14"/>
        <v>0</v>
      </c>
      <c r="L102" s="119">
        <f t="shared" si="15"/>
        <v>0</v>
      </c>
    </row>
    <row r="103" spans="5:12">
      <c r="E103" s="6"/>
      <c r="F103" s="7"/>
      <c r="G103" s="6"/>
      <c r="H103" s="11"/>
      <c r="I103" s="11"/>
      <c r="J103" s="118">
        <f t="shared" si="13"/>
        <v>0</v>
      </c>
      <c r="K103" s="119">
        <f t="shared" si="14"/>
        <v>0</v>
      </c>
      <c r="L103" s="119">
        <f t="shared" si="15"/>
        <v>0</v>
      </c>
    </row>
    <row r="104" spans="5:12">
      <c r="E104" s="6"/>
      <c r="F104" s="7"/>
      <c r="G104" s="6"/>
      <c r="H104" s="11"/>
      <c r="I104" s="11"/>
      <c r="J104" s="118">
        <f t="shared" si="13"/>
        <v>0</v>
      </c>
      <c r="K104" s="119">
        <f t="shared" si="14"/>
        <v>0</v>
      </c>
      <c r="L104" s="119">
        <f t="shared" si="15"/>
        <v>0</v>
      </c>
    </row>
    <row r="105" spans="5:12">
      <c r="E105" s="6"/>
      <c r="F105" s="7"/>
      <c r="G105" s="6"/>
      <c r="H105" s="11"/>
      <c r="I105" s="11"/>
      <c r="J105" s="118">
        <f t="shared" si="13"/>
        <v>0</v>
      </c>
      <c r="K105" s="119">
        <f t="shared" si="14"/>
        <v>0</v>
      </c>
      <c r="L105" s="119">
        <f t="shared" si="15"/>
        <v>0</v>
      </c>
    </row>
    <row r="106" spans="5:12">
      <c r="E106" s="6"/>
      <c r="F106" s="7"/>
      <c r="G106" s="6"/>
      <c r="H106" s="11"/>
      <c r="I106" s="11"/>
      <c r="J106" s="118">
        <f t="shared" si="13"/>
        <v>0</v>
      </c>
      <c r="K106" s="119">
        <f t="shared" si="14"/>
        <v>0</v>
      </c>
      <c r="L106" s="119">
        <f t="shared" si="15"/>
        <v>0</v>
      </c>
    </row>
    <row r="107" spans="5:12">
      <c r="E107" s="6"/>
      <c r="F107" s="7"/>
      <c r="G107" s="6"/>
      <c r="H107" s="11"/>
      <c r="I107" s="11"/>
      <c r="J107" s="118">
        <f t="shared" si="13"/>
        <v>0</v>
      </c>
      <c r="K107" s="119">
        <f t="shared" si="14"/>
        <v>0</v>
      </c>
      <c r="L107" s="119">
        <f t="shared" si="15"/>
        <v>0</v>
      </c>
    </row>
    <row r="108" spans="5:12">
      <c r="E108" s="6"/>
      <c r="F108" s="7"/>
      <c r="G108" s="6"/>
      <c r="H108" s="11"/>
      <c r="I108" s="11"/>
      <c r="J108" s="118">
        <f t="shared" si="13"/>
        <v>0</v>
      </c>
      <c r="K108" s="119">
        <f t="shared" si="14"/>
        <v>0</v>
      </c>
      <c r="L108" s="119">
        <f t="shared" si="15"/>
        <v>0</v>
      </c>
    </row>
    <row r="109" spans="5:12">
      <c r="E109" s="6"/>
      <c r="F109" s="7"/>
      <c r="G109" s="6"/>
      <c r="H109" s="12"/>
      <c r="I109" s="12"/>
      <c r="J109" s="118">
        <f t="shared" si="13"/>
        <v>0</v>
      </c>
      <c r="K109" s="119">
        <f t="shared" si="14"/>
        <v>0</v>
      </c>
      <c r="L109" s="119">
        <f t="shared" si="15"/>
        <v>0</v>
      </c>
    </row>
    <row r="110" spans="5:12">
      <c r="E110" s="6"/>
      <c r="F110" s="7"/>
      <c r="G110" s="6"/>
      <c r="H110" s="12"/>
      <c r="I110" s="12"/>
      <c r="J110" s="118">
        <f t="shared" si="13"/>
        <v>0</v>
      </c>
      <c r="K110" s="119">
        <f t="shared" si="14"/>
        <v>0</v>
      </c>
      <c r="L110" s="119">
        <f t="shared" si="15"/>
        <v>0</v>
      </c>
    </row>
    <row r="111" spans="5:12">
      <c r="E111" s="13"/>
      <c r="F111" s="7"/>
      <c r="G111" s="6"/>
      <c r="H111" s="12"/>
      <c r="I111" s="12"/>
      <c r="J111" s="118">
        <f t="shared" si="13"/>
        <v>0</v>
      </c>
      <c r="K111" s="119">
        <f t="shared" si="14"/>
        <v>0</v>
      </c>
      <c r="L111" s="119">
        <f t="shared" si="15"/>
        <v>0</v>
      </c>
    </row>
    <row r="112" spans="5:12">
      <c r="E112" s="6"/>
      <c r="F112" s="7"/>
      <c r="G112" s="6"/>
      <c r="H112" s="11"/>
      <c r="I112" s="11"/>
      <c r="J112" s="118">
        <f t="shared" si="13"/>
        <v>0</v>
      </c>
      <c r="K112" s="119">
        <f t="shared" si="14"/>
        <v>0</v>
      </c>
      <c r="L112" s="119">
        <f t="shared" si="15"/>
        <v>0</v>
      </c>
    </row>
    <row r="113" spans="5:12">
      <c r="E113" s="6"/>
      <c r="F113" s="7"/>
      <c r="G113" s="6"/>
      <c r="H113" s="11"/>
      <c r="I113" s="11"/>
      <c r="J113" s="118">
        <f t="shared" si="13"/>
        <v>0</v>
      </c>
      <c r="K113" s="119">
        <f t="shared" si="14"/>
        <v>0</v>
      </c>
      <c r="L113" s="119">
        <f t="shared" si="15"/>
        <v>0</v>
      </c>
    </row>
    <row r="114" spans="5:12">
      <c r="E114" s="6"/>
      <c r="F114" s="7"/>
      <c r="G114" s="6"/>
      <c r="H114" s="11"/>
      <c r="I114" s="11"/>
      <c r="J114" s="118">
        <f t="shared" si="13"/>
        <v>0</v>
      </c>
      <c r="K114" s="119">
        <f t="shared" si="14"/>
        <v>0</v>
      </c>
      <c r="L114" s="119">
        <f t="shared" si="15"/>
        <v>0</v>
      </c>
    </row>
    <row r="115" spans="5:12">
      <c r="E115" s="6"/>
      <c r="F115" s="7"/>
      <c r="G115" s="6"/>
      <c r="H115" s="11"/>
      <c r="I115" s="11"/>
      <c r="J115" s="118">
        <f t="shared" si="13"/>
        <v>0</v>
      </c>
      <c r="K115" s="119">
        <f t="shared" si="14"/>
        <v>0</v>
      </c>
      <c r="L115" s="119">
        <f t="shared" si="15"/>
        <v>0</v>
      </c>
    </row>
    <row r="116" spans="5:12">
      <c r="E116" s="6"/>
      <c r="F116" s="7"/>
      <c r="G116" s="6"/>
      <c r="H116" s="11"/>
      <c r="I116" s="11"/>
      <c r="J116" s="118">
        <f t="shared" si="13"/>
        <v>0</v>
      </c>
      <c r="K116" s="119">
        <f t="shared" si="14"/>
        <v>0</v>
      </c>
      <c r="L116" s="119">
        <f t="shared" si="15"/>
        <v>0</v>
      </c>
    </row>
    <row r="117" spans="5:12">
      <c r="E117" s="13"/>
      <c r="F117" s="7"/>
      <c r="G117" s="6"/>
      <c r="H117" s="11"/>
      <c r="I117" s="11"/>
      <c r="J117" s="118">
        <f t="shared" si="13"/>
        <v>0</v>
      </c>
      <c r="K117" s="119">
        <f t="shared" si="14"/>
        <v>0</v>
      </c>
      <c r="L117" s="119">
        <f t="shared" si="15"/>
        <v>0</v>
      </c>
    </row>
    <row r="118" spans="5:12">
      <c r="E118" s="6"/>
      <c r="F118" s="7"/>
      <c r="G118" s="6"/>
      <c r="H118" s="11"/>
      <c r="I118" s="11"/>
      <c r="J118" s="118">
        <f t="shared" si="13"/>
        <v>0</v>
      </c>
      <c r="K118" s="119">
        <f t="shared" si="14"/>
        <v>0</v>
      </c>
      <c r="L118" s="119">
        <f t="shared" si="15"/>
        <v>0</v>
      </c>
    </row>
    <row r="119" spans="5:12">
      <c r="E119" s="6"/>
      <c r="F119" s="7"/>
      <c r="G119" s="6"/>
      <c r="H119" s="11"/>
      <c r="I119" s="11"/>
      <c r="J119" s="118">
        <f t="shared" si="13"/>
        <v>0</v>
      </c>
      <c r="K119" s="119">
        <f t="shared" si="14"/>
        <v>0</v>
      </c>
      <c r="L119" s="119">
        <f t="shared" si="15"/>
        <v>0</v>
      </c>
    </row>
    <row r="120" spans="5:12">
      <c r="E120" s="6"/>
      <c r="F120" s="7"/>
      <c r="G120" s="6"/>
      <c r="H120" s="11"/>
      <c r="I120" s="11"/>
      <c r="J120" s="118">
        <f t="shared" si="13"/>
        <v>0</v>
      </c>
      <c r="K120" s="119">
        <f t="shared" si="14"/>
        <v>0</v>
      </c>
      <c r="L120" s="119">
        <f t="shared" si="15"/>
        <v>0</v>
      </c>
    </row>
    <row r="121" spans="5:12">
      <c r="E121" s="6"/>
      <c r="F121" s="7"/>
      <c r="G121" s="6"/>
      <c r="H121" s="11"/>
      <c r="I121" s="11"/>
      <c r="J121" s="118">
        <f t="shared" si="13"/>
        <v>0</v>
      </c>
      <c r="K121" s="119">
        <f t="shared" si="14"/>
        <v>0</v>
      </c>
      <c r="L121" s="119">
        <f t="shared" si="15"/>
        <v>0</v>
      </c>
    </row>
    <row r="122" spans="5:12">
      <c r="E122" s="6"/>
      <c r="F122" s="7"/>
      <c r="G122" s="6"/>
      <c r="H122" s="9"/>
      <c r="I122" s="9"/>
      <c r="J122" s="118">
        <f t="shared" si="13"/>
        <v>0</v>
      </c>
      <c r="K122" s="119">
        <f t="shared" si="14"/>
        <v>0</v>
      </c>
      <c r="L122" s="119">
        <f t="shared" si="15"/>
        <v>0</v>
      </c>
    </row>
    <row r="123" spans="5:12">
      <c r="E123" s="6"/>
      <c r="F123" s="7"/>
      <c r="G123" s="6"/>
      <c r="H123" s="9"/>
      <c r="I123" s="9"/>
      <c r="J123" s="118">
        <f t="shared" si="13"/>
        <v>0</v>
      </c>
      <c r="K123" s="119">
        <f t="shared" si="14"/>
        <v>0</v>
      </c>
      <c r="L123" s="119">
        <f t="shared" si="15"/>
        <v>0</v>
      </c>
    </row>
    <row r="124" spans="5:12">
      <c r="E124" s="6"/>
      <c r="F124" s="7"/>
      <c r="G124" s="6"/>
      <c r="H124" s="10"/>
      <c r="I124" s="10"/>
      <c r="J124" s="118">
        <f t="shared" si="13"/>
        <v>0</v>
      </c>
      <c r="K124" s="119">
        <f t="shared" si="14"/>
        <v>0</v>
      </c>
      <c r="L124" s="119">
        <f t="shared" si="15"/>
        <v>0</v>
      </c>
    </row>
    <row r="125" spans="5:12">
      <c r="E125" s="6"/>
      <c r="F125" s="7"/>
      <c r="G125" s="6"/>
      <c r="H125" s="11"/>
      <c r="I125" s="11"/>
      <c r="J125" s="118">
        <f t="shared" si="13"/>
        <v>0</v>
      </c>
      <c r="K125" s="119">
        <f t="shared" si="14"/>
        <v>0</v>
      </c>
      <c r="L125" s="119">
        <f t="shared" si="15"/>
        <v>0</v>
      </c>
    </row>
    <row r="126" spans="5:12">
      <c r="E126" s="6"/>
      <c r="F126" s="7"/>
      <c r="G126" s="6"/>
      <c r="H126" s="11"/>
      <c r="I126" s="11"/>
      <c r="J126" s="118">
        <f t="shared" si="13"/>
        <v>0</v>
      </c>
      <c r="K126" s="119">
        <f t="shared" si="14"/>
        <v>0</v>
      </c>
      <c r="L126" s="119">
        <f t="shared" si="15"/>
        <v>0</v>
      </c>
    </row>
    <row r="127" spans="5:12">
      <c r="E127" s="6"/>
      <c r="F127" s="7"/>
      <c r="G127" s="6"/>
      <c r="H127" s="11"/>
      <c r="I127" s="11"/>
      <c r="J127" s="118">
        <f t="shared" si="13"/>
        <v>0</v>
      </c>
      <c r="K127" s="119">
        <f t="shared" si="14"/>
        <v>0</v>
      </c>
      <c r="L127" s="119">
        <f t="shared" si="15"/>
        <v>0</v>
      </c>
    </row>
    <row r="128" spans="5:12">
      <c r="E128" s="6"/>
      <c r="F128" s="7"/>
      <c r="G128" s="6"/>
      <c r="H128" s="11"/>
      <c r="I128" s="11"/>
      <c r="J128" s="118">
        <f t="shared" si="13"/>
        <v>0</v>
      </c>
      <c r="K128" s="119">
        <f t="shared" si="14"/>
        <v>0</v>
      </c>
      <c r="L128" s="119">
        <f t="shared" si="15"/>
        <v>0</v>
      </c>
    </row>
    <row r="129" spans="5:12">
      <c r="E129" s="6"/>
      <c r="F129" s="7"/>
      <c r="G129" s="6"/>
      <c r="H129" s="11"/>
      <c r="I129" s="11"/>
      <c r="J129" s="118">
        <f t="shared" si="13"/>
        <v>0</v>
      </c>
      <c r="K129" s="119">
        <f t="shared" si="14"/>
        <v>0</v>
      </c>
      <c r="L129" s="119">
        <f t="shared" si="15"/>
        <v>0</v>
      </c>
    </row>
    <row r="130" spans="5:12">
      <c r="E130" s="6"/>
      <c r="F130" s="7"/>
      <c r="G130" s="6"/>
      <c r="H130" s="11"/>
      <c r="I130" s="11"/>
      <c r="J130" s="118">
        <f t="shared" si="13"/>
        <v>0</v>
      </c>
      <c r="K130" s="119">
        <f t="shared" si="14"/>
        <v>0</v>
      </c>
      <c r="L130" s="119">
        <f t="shared" si="15"/>
        <v>0</v>
      </c>
    </row>
    <row r="131" spans="5:12">
      <c r="E131" s="6"/>
      <c r="F131" s="7"/>
      <c r="G131" s="6"/>
      <c r="H131" s="11"/>
      <c r="I131" s="11"/>
      <c r="J131" s="118">
        <f t="shared" si="13"/>
        <v>0</v>
      </c>
      <c r="K131" s="119">
        <f t="shared" si="14"/>
        <v>0</v>
      </c>
      <c r="L131" s="119">
        <f t="shared" si="15"/>
        <v>0</v>
      </c>
    </row>
    <row r="132" spans="5:12">
      <c r="E132" s="6"/>
      <c r="F132" s="7"/>
      <c r="G132" s="6"/>
      <c r="H132" s="11"/>
      <c r="I132" s="11"/>
      <c r="J132" s="118">
        <f t="shared" si="13"/>
        <v>0</v>
      </c>
      <c r="K132" s="119">
        <f t="shared" si="14"/>
        <v>0</v>
      </c>
      <c r="L132" s="119">
        <f t="shared" si="15"/>
        <v>0</v>
      </c>
    </row>
    <row r="133" spans="5:12">
      <c r="E133" s="6"/>
      <c r="F133" s="7"/>
      <c r="G133" s="6"/>
      <c r="H133" s="11"/>
      <c r="I133" s="11"/>
      <c r="J133" s="118">
        <f t="shared" si="13"/>
        <v>0</v>
      </c>
      <c r="K133" s="119">
        <f t="shared" si="14"/>
        <v>0</v>
      </c>
      <c r="L133" s="119">
        <f t="shared" si="15"/>
        <v>0</v>
      </c>
    </row>
    <row r="134" spans="5:12">
      <c r="E134" s="6"/>
      <c r="F134" s="7"/>
      <c r="G134" s="6"/>
      <c r="H134" s="11"/>
      <c r="I134" s="11"/>
      <c r="J134" s="118">
        <f t="shared" si="13"/>
        <v>0</v>
      </c>
      <c r="K134" s="119">
        <f t="shared" si="14"/>
        <v>0</v>
      </c>
      <c r="L134" s="119">
        <f t="shared" si="15"/>
        <v>0</v>
      </c>
    </row>
    <row r="135" spans="5:12">
      <c r="E135" s="6"/>
      <c r="F135" s="7"/>
      <c r="G135" s="6"/>
      <c r="H135" s="11"/>
      <c r="I135" s="11"/>
      <c r="J135" s="118">
        <f t="shared" si="13"/>
        <v>0</v>
      </c>
      <c r="K135" s="119">
        <f t="shared" si="14"/>
        <v>0</v>
      </c>
      <c r="L135" s="119">
        <f t="shared" si="15"/>
        <v>0</v>
      </c>
    </row>
    <row r="136" spans="5:12">
      <c r="E136" s="6"/>
      <c r="F136" s="7"/>
      <c r="G136" s="6"/>
      <c r="H136" s="11"/>
      <c r="I136" s="11"/>
      <c r="J136" s="118">
        <f t="shared" si="13"/>
        <v>0</v>
      </c>
      <c r="K136" s="119">
        <f t="shared" si="14"/>
        <v>0</v>
      </c>
      <c r="L136" s="119">
        <f t="shared" si="15"/>
        <v>0</v>
      </c>
    </row>
    <row r="137" spans="5:12">
      <c r="E137" s="6"/>
      <c r="F137" s="7"/>
      <c r="G137" s="6"/>
      <c r="H137" s="11"/>
      <c r="I137" s="11"/>
      <c r="J137" s="118">
        <f t="shared" si="13"/>
        <v>0</v>
      </c>
      <c r="K137" s="119">
        <f t="shared" si="14"/>
        <v>0</v>
      </c>
      <c r="L137" s="119">
        <f t="shared" si="15"/>
        <v>0</v>
      </c>
    </row>
    <row r="138" spans="5:12">
      <c r="E138" s="6"/>
      <c r="F138" s="7"/>
      <c r="G138" s="6"/>
      <c r="H138" s="12"/>
      <c r="I138" s="12"/>
      <c r="J138" s="118">
        <f t="shared" si="13"/>
        <v>0</v>
      </c>
      <c r="K138" s="119">
        <f t="shared" si="14"/>
        <v>0</v>
      </c>
      <c r="L138" s="119">
        <f t="shared" si="15"/>
        <v>0</v>
      </c>
    </row>
    <row r="139" spans="5:12">
      <c r="E139" s="6"/>
      <c r="F139" s="7"/>
      <c r="G139" s="6"/>
      <c r="H139" s="12"/>
      <c r="I139" s="12"/>
      <c r="J139" s="118">
        <f t="shared" si="13"/>
        <v>0</v>
      </c>
      <c r="K139" s="119">
        <f t="shared" si="14"/>
        <v>0</v>
      </c>
      <c r="L139" s="119">
        <f t="shared" si="15"/>
        <v>0</v>
      </c>
    </row>
    <row r="140" spans="5:12">
      <c r="E140" s="13"/>
      <c r="F140" s="7"/>
      <c r="G140" s="6"/>
      <c r="H140" s="12"/>
      <c r="I140" s="12"/>
      <c r="J140" s="118">
        <f t="shared" si="13"/>
        <v>0</v>
      </c>
      <c r="K140" s="119">
        <f t="shared" si="14"/>
        <v>0</v>
      </c>
      <c r="L140" s="119">
        <f t="shared" si="15"/>
        <v>0</v>
      </c>
    </row>
    <row r="141" spans="5:12">
      <c r="E141" s="6"/>
      <c r="F141" s="7"/>
      <c r="G141" s="6"/>
      <c r="H141" s="9"/>
      <c r="I141" s="9"/>
      <c r="J141" s="118">
        <f t="shared" si="13"/>
        <v>0</v>
      </c>
      <c r="K141" s="119">
        <f t="shared" si="14"/>
        <v>0</v>
      </c>
      <c r="L141" s="119">
        <f t="shared" si="15"/>
        <v>0</v>
      </c>
    </row>
    <row r="142" spans="5:12">
      <c r="E142" s="6"/>
      <c r="F142" s="7"/>
      <c r="G142" s="6"/>
      <c r="H142" s="9"/>
      <c r="I142" s="9"/>
      <c r="J142" s="118">
        <f t="shared" si="13"/>
        <v>0</v>
      </c>
      <c r="K142" s="119">
        <f t="shared" si="14"/>
        <v>0</v>
      </c>
      <c r="L142" s="119">
        <f t="shared" si="15"/>
        <v>0</v>
      </c>
    </row>
    <row r="143" spans="5:12">
      <c r="E143" s="6"/>
      <c r="F143" s="7"/>
      <c r="G143" s="6"/>
      <c r="H143" s="10"/>
      <c r="I143" s="10"/>
      <c r="J143" s="118">
        <f t="shared" si="13"/>
        <v>0</v>
      </c>
      <c r="K143" s="119">
        <f t="shared" si="14"/>
        <v>0</v>
      </c>
      <c r="L143" s="119">
        <f t="shared" si="15"/>
        <v>0</v>
      </c>
    </row>
    <row r="144" spans="5:12">
      <c r="E144" s="6"/>
      <c r="F144" s="7"/>
      <c r="G144" s="6"/>
      <c r="H144" s="11"/>
      <c r="I144" s="11"/>
      <c r="J144" s="118">
        <f t="shared" si="13"/>
        <v>0</v>
      </c>
      <c r="K144" s="119">
        <f t="shared" si="14"/>
        <v>0</v>
      </c>
      <c r="L144" s="119">
        <f t="shared" si="15"/>
        <v>0</v>
      </c>
    </row>
    <row r="145" spans="5:12">
      <c r="E145" s="6"/>
      <c r="F145" s="7"/>
      <c r="G145" s="6"/>
      <c r="H145" s="11"/>
      <c r="I145" s="11"/>
      <c r="J145" s="118">
        <f t="shared" si="13"/>
        <v>0</v>
      </c>
      <c r="K145" s="119">
        <f t="shared" si="14"/>
        <v>0</v>
      </c>
      <c r="L145" s="119">
        <f t="shared" si="15"/>
        <v>0</v>
      </c>
    </row>
    <row r="146" spans="5:12">
      <c r="E146" s="6"/>
      <c r="F146" s="7"/>
      <c r="G146" s="6"/>
      <c r="H146" s="11"/>
      <c r="I146" s="11"/>
      <c r="J146" s="118">
        <f t="shared" si="13"/>
        <v>0</v>
      </c>
      <c r="K146" s="119">
        <f t="shared" si="14"/>
        <v>0</v>
      </c>
      <c r="L146" s="119">
        <f t="shared" si="15"/>
        <v>0</v>
      </c>
    </row>
    <row r="147" spans="5:12">
      <c r="E147" s="6"/>
      <c r="F147" s="7"/>
      <c r="G147" s="6"/>
      <c r="H147" s="11"/>
      <c r="I147" s="11"/>
      <c r="J147" s="118">
        <f t="shared" si="13"/>
        <v>0</v>
      </c>
      <c r="K147" s="119">
        <f t="shared" si="14"/>
        <v>0</v>
      </c>
      <c r="L147" s="119">
        <f t="shared" si="15"/>
        <v>0</v>
      </c>
    </row>
    <row r="148" spans="5:12">
      <c r="E148" s="6"/>
      <c r="F148" s="7"/>
      <c r="G148" s="6"/>
      <c r="H148" s="11"/>
      <c r="I148" s="11"/>
      <c r="J148" s="118">
        <f t="shared" si="13"/>
        <v>0</v>
      </c>
      <c r="K148" s="119">
        <f t="shared" si="14"/>
        <v>0</v>
      </c>
      <c r="L148" s="119">
        <f t="shared" si="15"/>
        <v>0</v>
      </c>
    </row>
    <row r="149" spans="5:12">
      <c r="E149" s="6"/>
      <c r="F149" s="7"/>
      <c r="G149" s="6"/>
      <c r="H149" s="11"/>
      <c r="I149" s="11"/>
      <c r="J149" s="118">
        <f t="shared" si="13"/>
        <v>0</v>
      </c>
      <c r="K149" s="119">
        <f t="shared" si="14"/>
        <v>0</v>
      </c>
      <c r="L149" s="119">
        <f t="shared" si="15"/>
        <v>0</v>
      </c>
    </row>
    <row r="150" spans="5:12">
      <c r="E150" s="6"/>
      <c r="F150" s="7"/>
      <c r="G150" s="6"/>
      <c r="H150" s="11"/>
      <c r="I150" s="11"/>
      <c r="J150" s="118">
        <f t="shared" si="13"/>
        <v>0</v>
      </c>
      <c r="K150" s="119">
        <f t="shared" si="14"/>
        <v>0</v>
      </c>
      <c r="L150" s="119">
        <f t="shared" si="15"/>
        <v>0</v>
      </c>
    </row>
    <row r="151" spans="5:12">
      <c r="E151" s="6"/>
      <c r="F151" s="7"/>
      <c r="G151" s="6"/>
      <c r="H151" s="11"/>
      <c r="I151" s="11"/>
      <c r="J151" s="118">
        <f t="shared" si="13"/>
        <v>0</v>
      </c>
      <c r="K151" s="119">
        <f t="shared" si="14"/>
        <v>0</v>
      </c>
      <c r="L151" s="119">
        <f t="shared" si="15"/>
        <v>0</v>
      </c>
    </row>
    <row r="152" spans="5:12">
      <c r="E152" s="6"/>
      <c r="F152" s="7"/>
      <c r="G152" s="6"/>
      <c r="H152" s="11"/>
      <c r="I152" s="11"/>
      <c r="J152" s="118">
        <f t="shared" si="13"/>
        <v>0</v>
      </c>
      <c r="K152" s="119">
        <f t="shared" si="14"/>
        <v>0</v>
      </c>
      <c r="L152" s="119">
        <f t="shared" si="15"/>
        <v>0</v>
      </c>
    </row>
    <row r="153" spans="5:12">
      <c r="E153" s="6"/>
      <c r="F153" s="7"/>
      <c r="G153" s="6"/>
      <c r="H153" s="11"/>
      <c r="I153" s="11"/>
      <c r="J153" s="118">
        <f t="shared" ref="J153:J216" si="16">+K153+L153</f>
        <v>0</v>
      </c>
      <c r="K153" s="119">
        <f t="shared" ref="K153:K216" si="17">SUM(N153:Y153)</f>
        <v>0</v>
      </c>
      <c r="L153" s="119">
        <f t="shared" ref="L153:L216" si="18">SUM(AA153:AL153)</f>
        <v>0</v>
      </c>
    </row>
    <row r="154" spans="5:12">
      <c r="E154" s="6"/>
      <c r="F154" s="7"/>
      <c r="G154" s="6"/>
      <c r="H154" s="11"/>
      <c r="I154" s="11"/>
      <c r="J154" s="118">
        <f t="shared" si="16"/>
        <v>0</v>
      </c>
      <c r="K154" s="119">
        <f t="shared" si="17"/>
        <v>0</v>
      </c>
      <c r="L154" s="119">
        <f t="shared" si="18"/>
        <v>0</v>
      </c>
    </row>
    <row r="155" spans="5:12">
      <c r="E155" s="6"/>
      <c r="F155" s="7"/>
      <c r="G155" s="6"/>
      <c r="H155" s="11"/>
      <c r="I155" s="11"/>
      <c r="J155" s="118">
        <f t="shared" si="16"/>
        <v>0</v>
      </c>
      <c r="K155" s="119">
        <f t="shared" si="17"/>
        <v>0</v>
      </c>
      <c r="L155" s="119">
        <f t="shared" si="18"/>
        <v>0</v>
      </c>
    </row>
    <row r="156" spans="5:12">
      <c r="E156" s="6"/>
      <c r="F156" s="7"/>
      <c r="G156" s="6"/>
      <c r="H156" s="11"/>
      <c r="I156" s="11"/>
      <c r="J156" s="118">
        <f t="shared" si="16"/>
        <v>0</v>
      </c>
      <c r="K156" s="119">
        <f t="shared" si="17"/>
        <v>0</v>
      </c>
      <c r="L156" s="119">
        <f t="shared" si="18"/>
        <v>0</v>
      </c>
    </row>
    <row r="157" spans="5:12">
      <c r="E157" s="6"/>
      <c r="F157" s="7"/>
      <c r="G157" s="6"/>
      <c r="H157" s="12"/>
      <c r="I157" s="12"/>
      <c r="J157" s="118">
        <f t="shared" si="16"/>
        <v>0</v>
      </c>
      <c r="K157" s="119">
        <f t="shared" si="17"/>
        <v>0</v>
      </c>
      <c r="L157" s="119">
        <f t="shared" si="18"/>
        <v>0</v>
      </c>
    </row>
    <row r="158" spans="5:12">
      <c r="E158" s="6"/>
      <c r="F158" s="7"/>
      <c r="G158" s="6"/>
      <c r="H158" s="12"/>
      <c r="I158" s="12"/>
      <c r="J158" s="118">
        <f t="shared" si="16"/>
        <v>0</v>
      </c>
      <c r="K158" s="119">
        <f t="shared" si="17"/>
        <v>0</v>
      </c>
      <c r="L158" s="119">
        <f t="shared" si="18"/>
        <v>0</v>
      </c>
    </row>
    <row r="159" spans="5:12">
      <c r="E159" s="13"/>
      <c r="F159" s="7"/>
      <c r="G159" s="6"/>
      <c r="H159" s="12"/>
      <c r="I159" s="12"/>
      <c r="J159" s="118">
        <f t="shared" si="16"/>
        <v>0</v>
      </c>
      <c r="K159" s="119">
        <f t="shared" si="17"/>
        <v>0</v>
      </c>
      <c r="L159" s="119">
        <f t="shared" si="18"/>
        <v>0</v>
      </c>
    </row>
    <row r="160" spans="5:12">
      <c r="E160" s="6"/>
      <c r="F160" s="7"/>
      <c r="G160" s="6"/>
      <c r="H160" s="11"/>
      <c r="I160" s="11"/>
      <c r="J160" s="118">
        <f t="shared" si="16"/>
        <v>0</v>
      </c>
      <c r="K160" s="119">
        <f t="shared" si="17"/>
        <v>0</v>
      </c>
      <c r="L160" s="119">
        <f t="shared" si="18"/>
        <v>0</v>
      </c>
    </row>
    <row r="161" spans="5:12">
      <c r="E161" s="6"/>
      <c r="F161" s="7"/>
      <c r="G161" s="6"/>
      <c r="H161" s="11"/>
      <c r="I161" s="11"/>
      <c r="J161" s="118">
        <f t="shared" si="16"/>
        <v>0</v>
      </c>
      <c r="K161" s="119">
        <f t="shared" si="17"/>
        <v>0</v>
      </c>
      <c r="L161" s="119">
        <f t="shared" si="18"/>
        <v>0</v>
      </c>
    </row>
    <row r="162" spans="5:12">
      <c r="E162" s="6"/>
      <c r="F162" s="7"/>
      <c r="G162" s="6"/>
      <c r="H162" s="11"/>
      <c r="I162" s="11"/>
      <c r="J162" s="118">
        <f t="shared" si="16"/>
        <v>0</v>
      </c>
      <c r="K162" s="119">
        <f t="shared" si="17"/>
        <v>0</v>
      </c>
      <c r="L162" s="119">
        <f t="shared" si="18"/>
        <v>0</v>
      </c>
    </row>
    <row r="163" spans="5:12">
      <c r="E163" s="6"/>
      <c r="F163" s="7"/>
      <c r="G163" s="6"/>
      <c r="H163" s="11"/>
      <c r="I163" s="11"/>
      <c r="J163" s="118">
        <f t="shared" si="16"/>
        <v>0</v>
      </c>
      <c r="K163" s="119">
        <f t="shared" si="17"/>
        <v>0</v>
      </c>
      <c r="L163" s="119">
        <f t="shared" si="18"/>
        <v>0</v>
      </c>
    </row>
    <row r="164" spans="5:12">
      <c r="E164" s="6"/>
      <c r="F164" s="7"/>
      <c r="G164" s="6"/>
      <c r="H164" s="11"/>
      <c r="I164" s="11"/>
      <c r="J164" s="118">
        <f t="shared" si="16"/>
        <v>0</v>
      </c>
      <c r="K164" s="119">
        <f t="shared" si="17"/>
        <v>0</v>
      </c>
      <c r="L164" s="119">
        <f t="shared" si="18"/>
        <v>0</v>
      </c>
    </row>
    <row r="165" spans="5:12">
      <c r="E165" s="13"/>
      <c r="F165" s="7"/>
      <c r="G165" s="6"/>
      <c r="H165" s="11"/>
      <c r="I165" s="11"/>
      <c r="J165" s="118">
        <f t="shared" si="16"/>
        <v>0</v>
      </c>
      <c r="K165" s="119">
        <f t="shared" si="17"/>
        <v>0</v>
      </c>
      <c r="L165" s="119">
        <f t="shared" si="18"/>
        <v>0</v>
      </c>
    </row>
    <row r="166" spans="5:12">
      <c r="E166" s="6"/>
      <c r="F166" s="7"/>
      <c r="G166" s="6"/>
      <c r="H166" s="11"/>
      <c r="I166" s="11"/>
      <c r="J166" s="118">
        <f t="shared" si="16"/>
        <v>0</v>
      </c>
      <c r="K166" s="119">
        <f t="shared" si="17"/>
        <v>0</v>
      </c>
      <c r="L166" s="119">
        <f t="shared" si="18"/>
        <v>0</v>
      </c>
    </row>
    <row r="167" spans="5:12">
      <c r="E167" s="6"/>
      <c r="F167" s="7"/>
      <c r="G167" s="6"/>
      <c r="H167" s="11"/>
      <c r="I167" s="11"/>
      <c r="J167" s="118">
        <f t="shared" si="16"/>
        <v>0</v>
      </c>
      <c r="K167" s="119">
        <f t="shared" si="17"/>
        <v>0</v>
      </c>
      <c r="L167" s="119">
        <f t="shared" si="18"/>
        <v>0</v>
      </c>
    </row>
    <row r="168" spans="5:12">
      <c r="E168" s="6"/>
      <c r="F168" s="7"/>
      <c r="G168" s="6"/>
      <c r="H168" s="11"/>
      <c r="I168" s="11"/>
      <c r="J168" s="118">
        <f t="shared" si="16"/>
        <v>0</v>
      </c>
      <c r="K168" s="119">
        <f t="shared" si="17"/>
        <v>0</v>
      </c>
      <c r="L168" s="119">
        <f t="shared" si="18"/>
        <v>0</v>
      </c>
    </row>
    <row r="169" spans="5:12">
      <c r="E169" s="6"/>
      <c r="F169" s="7"/>
      <c r="G169" s="6"/>
      <c r="H169" s="9"/>
      <c r="I169" s="9"/>
      <c r="J169" s="118">
        <f t="shared" si="16"/>
        <v>0</v>
      </c>
      <c r="K169" s="119">
        <f t="shared" si="17"/>
        <v>0</v>
      </c>
      <c r="L169" s="119">
        <f t="shared" si="18"/>
        <v>0</v>
      </c>
    </row>
    <row r="170" spans="5:12">
      <c r="E170" s="6"/>
      <c r="F170" s="7"/>
      <c r="G170" s="6"/>
      <c r="H170" s="9"/>
      <c r="I170" s="9"/>
      <c r="J170" s="118">
        <f t="shared" si="16"/>
        <v>0</v>
      </c>
      <c r="K170" s="119">
        <f t="shared" si="17"/>
        <v>0</v>
      </c>
      <c r="L170" s="119">
        <f t="shared" si="18"/>
        <v>0</v>
      </c>
    </row>
    <row r="171" spans="5:12">
      <c r="E171" s="6"/>
      <c r="F171" s="7"/>
      <c r="G171" s="6"/>
      <c r="H171" s="10"/>
      <c r="I171" s="10"/>
      <c r="J171" s="118">
        <f t="shared" si="16"/>
        <v>0</v>
      </c>
      <c r="K171" s="119">
        <f t="shared" si="17"/>
        <v>0</v>
      </c>
      <c r="L171" s="119">
        <f t="shared" si="18"/>
        <v>0</v>
      </c>
    </row>
    <row r="172" spans="5:12">
      <c r="E172" s="6"/>
      <c r="F172" s="7"/>
      <c r="G172" s="6"/>
      <c r="H172" s="11"/>
      <c r="I172" s="11"/>
      <c r="J172" s="118">
        <f t="shared" si="16"/>
        <v>0</v>
      </c>
      <c r="K172" s="119">
        <f t="shared" si="17"/>
        <v>0</v>
      </c>
      <c r="L172" s="119">
        <f t="shared" si="18"/>
        <v>0</v>
      </c>
    </row>
    <row r="173" spans="5:12">
      <c r="E173" s="6"/>
      <c r="F173" s="7"/>
      <c r="G173" s="6"/>
      <c r="H173" s="11"/>
      <c r="I173" s="11"/>
      <c r="J173" s="118">
        <f t="shared" si="16"/>
        <v>0</v>
      </c>
      <c r="K173" s="119">
        <f t="shared" si="17"/>
        <v>0</v>
      </c>
      <c r="L173" s="119">
        <f t="shared" si="18"/>
        <v>0</v>
      </c>
    </row>
    <row r="174" spans="5:12">
      <c r="E174" s="6"/>
      <c r="F174" s="7"/>
      <c r="G174" s="6"/>
      <c r="H174" s="11"/>
      <c r="I174" s="11"/>
      <c r="J174" s="118">
        <f t="shared" si="16"/>
        <v>0</v>
      </c>
      <c r="K174" s="119">
        <f t="shared" si="17"/>
        <v>0</v>
      </c>
      <c r="L174" s="119">
        <f t="shared" si="18"/>
        <v>0</v>
      </c>
    </row>
    <row r="175" spans="5:12">
      <c r="E175" s="6"/>
      <c r="F175" s="7"/>
      <c r="G175" s="6"/>
      <c r="H175" s="11"/>
      <c r="I175" s="11"/>
      <c r="J175" s="118">
        <f t="shared" si="16"/>
        <v>0</v>
      </c>
      <c r="K175" s="119">
        <f t="shared" si="17"/>
        <v>0</v>
      </c>
      <c r="L175" s="119">
        <f t="shared" si="18"/>
        <v>0</v>
      </c>
    </row>
    <row r="176" spans="5:12">
      <c r="E176" s="6"/>
      <c r="F176" s="7"/>
      <c r="G176" s="6"/>
      <c r="H176" s="11"/>
      <c r="I176" s="11"/>
      <c r="J176" s="118">
        <f t="shared" si="16"/>
        <v>0</v>
      </c>
      <c r="K176" s="119">
        <f t="shared" si="17"/>
        <v>0</v>
      </c>
      <c r="L176" s="119">
        <f t="shared" si="18"/>
        <v>0</v>
      </c>
    </row>
    <row r="177" spans="5:12">
      <c r="E177" s="6"/>
      <c r="F177" s="7"/>
      <c r="G177" s="6"/>
      <c r="H177" s="11"/>
      <c r="I177" s="11"/>
      <c r="J177" s="118">
        <f t="shared" si="16"/>
        <v>0</v>
      </c>
      <c r="K177" s="119">
        <f t="shared" si="17"/>
        <v>0</v>
      </c>
      <c r="L177" s="119">
        <f t="shared" si="18"/>
        <v>0</v>
      </c>
    </row>
    <row r="178" spans="5:12">
      <c r="E178" s="6"/>
      <c r="F178" s="7"/>
      <c r="G178" s="6"/>
      <c r="H178" s="11"/>
      <c r="I178" s="11"/>
      <c r="J178" s="118">
        <f t="shared" si="16"/>
        <v>0</v>
      </c>
      <c r="K178" s="119">
        <f t="shared" si="17"/>
        <v>0</v>
      </c>
      <c r="L178" s="119">
        <f t="shared" si="18"/>
        <v>0</v>
      </c>
    </row>
    <row r="179" spans="5:12">
      <c r="E179" s="6"/>
      <c r="F179" s="7"/>
      <c r="G179" s="6"/>
      <c r="H179" s="11"/>
      <c r="I179" s="11"/>
      <c r="J179" s="118">
        <f t="shared" si="16"/>
        <v>0</v>
      </c>
      <c r="K179" s="119">
        <f t="shared" si="17"/>
        <v>0</v>
      </c>
      <c r="L179" s="119">
        <f t="shared" si="18"/>
        <v>0</v>
      </c>
    </row>
    <row r="180" spans="5:12">
      <c r="E180" s="6"/>
      <c r="F180" s="7"/>
      <c r="G180" s="6"/>
      <c r="H180" s="11"/>
      <c r="I180" s="11"/>
      <c r="J180" s="118">
        <f t="shared" si="16"/>
        <v>0</v>
      </c>
      <c r="K180" s="119">
        <f t="shared" si="17"/>
        <v>0</v>
      </c>
      <c r="L180" s="119">
        <f t="shared" si="18"/>
        <v>0</v>
      </c>
    </row>
    <row r="181" spans="5:12">
      <c r="E181" s="6"/>
      <c r="F181" s="7"/>
      <c r="G181" s="6"/>
      <c r="H181" s="11"/>
      <c r="I181" s="11"/>
      <c r="J181" s="118">
        <f t="shared" si="16"/>
        <v>0</v>
      </c>
      <c r="K181" s="119">
        <f t="shared" si="17"/>
        <v>0</v>
      </c>
      <c r="L181" s="119">
        <f t="shared" si="18"/>
        <v>0</v>
      </c>
    </row>
    <row r="182" spans="5:12">
      <c r="E182" s="6"/>
      <c r="F182" s="7"/>
      <c r="G182" s="6"/>
      <c r="H182" s="11"/>
      <c r="I182" s="11"/>
      <c r="J182" s="118">
        <f t="shared" si="16"/>
        <v>0</v>
      </c>
      <c r="K182" s="119">
        <f t="shared" si="17"/>
        <v>0</v>
      </c>
      <c r="L182" s="119">
        <f t="shared" si="18"/>
        <v>0</v>
      </c>
    </row>
    <row r="183" spans="5:12">
      <c r="E183" s="6"/>
      <c r="F183" s="7"/>
      <c r="G183" s="6"/>
      <c r="H183" s="11"/>
      <c r="I183" s="11"/>
      <c r="J183" s="118">
        <f t="shared" si="16"/>
        <v>0</v>
      </c>
      <c r="K183" s="119">
        <f t="shared" si="17"/>
        <v>0</v>
      </c>
      <c r="L183" s="119">
        <f t="shared" si="18"/>
        <v>0</v>
      </c>
    </row>
    <row r="184" spans="5:12">
      <c r="E184" s="6"/>
      <c r="F184" s="7"/>
      <c r="G184" s="6"/>
      <c r="H184" s="11"/>
      <c r="I184" s="11"/>
      <c r="J184" s="118">
        <f t="shared" si="16"/>
        <v>0</v>
      </c>
      <c r="K184" s="119">
        <f t="shared" si="17"/>
        <v>0</v>
      </c>
      <c r="L184" s="119">
        <f t="shared" si="18"/>
        <v>0</v>
      </c>
    </row>
    <row r="185" spans="5:12">
      <c r="E185" s="6"/>
      <c r="F185" s="7"/>
      <c r="G185" s="6"/>
      <c r="H185" s="12"/>
      <c r="I185" s="12"/>
      <c r="J185" s="118">
        <f t="shared" si="16"/>
        <v>0</v>
      </c>
      <c r="K185" s="119">
        <f t="shared" si="17"/>
        <v>0</v>
      </c>
      <c r="L185" s="119">
        <f t="shared" si="18"/>
        <v>0</v>
      </c>
    </row>
    <row r="186" spans="5:12">
      <c r="E186" s="6"/>
      <c r="F186" s="7"/>
      <c r="G186" s="6"/>
      <c r="H186" s="12"/>
      <c r="I186" s="12"/>
      <c r="J186" s="118">
        <f t="shared" si="16"/>
        <v>0</v>
      </c>
      <c r="K186" s="119">
        <f t="shared" si="17"/>
        <v>0</v>
      </c>
      <c r="L186" s="119">
        <f t="shared" si="18"/>
        <v>0</v>
      </c>
    </row>
    <row r="187" spans="5:12">
      <c r="E187" s="13"/>
      <c r="F187" s="7"/>
      <c r="G187" s="6"/>
      <c r="H187" s="12"/>
      <c r="I187" s="12"/>
      <c r="J187" s="118">
        <f t="shared" si="16"/>
        <v>0</v>
      </c>
      <c r="K187" s="119">
        <f t="shared" si="17"/>
        <v>0</v>
      </c>
      <c r="L187" s="119">
        <f t="shared" si="18"/>
        <v>0</v>
      </c>
    </row>
    <row r="188" spans="5:12">
      <c r="E188" s="6"/>
      <c r="F188" s="7"/>
      <c r="G188" s="6"/>
      <c r="H188" s="9"/>
      <c r="I188" s="9"/>
      <c r="J188" s="118">
        <f t="shared" si="16"/>
        <v>0</v>
      </c>
      <c r="K188" s="119">
        <f t="shared" si="17"/>
        <v>0</v>
      </c>
      <c r="L188" s="119">
        <f t="shared" si="18"/>
        <v>0</v>
      </c>
    </row>
    <row r="189" spans="5:12">
      <c r="E189" s="6"/>
      <c r="F189" s="7"/>
      <c r="G189" s="6"/>
      <c r="H189" s="9"/>
      <c r="I189" s="9"/>
      <c r="J189" s="118">
        <f t="shared" si="16"/>
        <v>0</v>
      </c>
      <c r="K189" s="119">
        <f t="shared" si="17"/>
        <v>0</v>
      </c>
      <c r="L189" s="119">
        <f t="shared" si="18"/>
        <v>0</v>
      </c>
    </row>
    <row r="190" spans="5:12">
      <c r="E190" s="6"/>
      <c r="F190" s="7"/>
      <c r="G190" s="6"/>
      <c r="H190" s="10"/>
      <c r="I190" s="10"/>
      <c r="J190" s="118">
        <f t="shared" si="16"/>
        <v>0</v>
      </c>
      <c r="K190" s="119">
        <f t="shared" si="17"/>
        <v>0</v>
      </c>
      <c r="L190" s="119">
        <f t="shared" si="18"/>
        <v>0</v>
      </c>
    </row>
    <row r="191" spans="5:12">
      <c r="E191" s="6"/>
      <c r="F191" s="7"/>
      <c r="G191" s="6"/>
      <c r="H191" s="11"/>
      <c r="I191" s="11"/>
      <c r="J191" s="118">
        <f t="shared" si="16"/>
        <v>0</v>
      </c>
      <c r="K191" s="119">
        <f t="shared" si="17"/>
        <v>0</v>
      </c>
      <c r="L191" s="119">
        <f t="shared" si="18"/>
        <v>0</v>
      </c>
    </row>
    <row r="192" spans="5:12">
      <c r="E192" s="6"/>
      <c r="F192" s="7"/>
      <c r="G192" s="6"/>
      <c r="H192" s="11"/>
      <c r="I192" s="11"/>
      <c r="J192" s="118">
        <f t="shared" si="16"/>
        <v>0</v>
      </c>
      <c r="K192" s="119">
        <f t="shared" si="17"/>
        <v>0</v>
      </c>
      <c r="L192" s="119">
        <f t="shared" si="18"/>
        <v>0</v>
      </c>
    </row>
    <row r="193" spans="5:12">
      <c r="E193" s="6"/>
      <c r="F193" s="7"/>
      <c r="G193" s="6"/>
      <c r="H193" s="11"/>
      <c r="I193" s="11"/>
      <c r="J193" s="118">
        <f t="shared" si="16"/>
        <v>0</v>
      </c>
      <c r="K193" s="119">
        <f t="shared" si="17"/>
        <v>0</v>
      </c>
      <c r="L193" s="119">
        <f t="shared" si="18"/>
        <v>0</v>
      </c>
    </row>
    <row r="194" spans="5:12">
      <c r="E194" s="6"/>
      <c r="F194" s="7"/>
      <c r="G194" s="6"/>
      <c r="H194" s="11"/>
      <c r="I194" s="11"/>
      <c r="J194" s="118">
        <f t="shared" si="16"/>
        <v>0</v>
      </c>
      <c r="K194" s="119">
        <f t="shared" si="17"/>
        <v>0</v>
      </c>
      <c r="L194" s="119">
        <f t="shared" si="18"/>
        <v>0</v>
      </c>
    </row>
    <row r="195" spans="5:12">
      <c r="E195" s="6"/>
      <c r="F195" s="7"/>
      <c r="G195" s="6"/>
      <c r="H195" s="11"/>
      <c r="I195" s="11"/>
      <c r="J195" s="118">
        <f t="shared" si="16"/>
        <v>0</v>
      </c>
      <c r="K195" s="119">
        <f t="shared" si="17"/>
        <v>0</v>
      </c>
      <c r="L195" s="119">
        <f t="shared" si="18"/>
        <v>0</v>
      </c>
    </row>
    <row r="196" spans="5:12">
      <c r="E196" s="6"/>
      <c r="F196" s="7"/>
      <c r="G196" s="6"/>
      <c r="H196" s="11"/>
      <c r="I196" s="11"/>
      <c r="J196" s="118">
        <f t="shared" si="16"/>
        <v>0</v>
      </c>
      <c r="K196" s="119">
        <f t="shared" si="17"/>
        <v>0</v>
      </c>
      <c r="L196" s="119">
        <f t="shared" si="18"/>
        <v>0</v>
      </c>
    </row>
    <row r="197" spans="5:12">
      <c r="E197" s="6"/>
      <c r="F197" s="7"/>
      <c r="G197" s="6"/>
      <c r="H197" s="11"/>
      <c r="I197" s="11"/>
      <c r="J197" s="118">
        <f t="shared" si="16"/>
        <v>0</v>
      </c>
      <c r="K197" s="119">
        <f t="shared" si="17"/>
        <v>0</v>
      </c>
      <c r="L197" s="119">
        <f t="shared" si="18"/>
        <v>0</v>
      </c>
    </row>
    <row r="198" spans="5:12">
      <c r="E198" s="6"/>
      <c r="F198" s="7"/>
      <c r="G198" s="6"/>
      <c r="H198" s="11"/>
      <c r="I198" s="11"/>
      <c r="J198" s="118">
        <f t="shared" si="16"/>
        <v>0</v>
      </c>
      <c r="K198" s="119">
        <f t="shared" si="17"/>
        <v>0</v>
      </c>
      <c r="L198" s="119">
        <f t="shared" si="18"/>
        <v>0</v>
      </c>
    </row>
    <row r="199" spans="5:12">
      <c r="E199" s="6"/>
      <c r="F199" s="7"/>
      <c r="G199" s="6"/>
      <c r="H199" s="11"/>
      <c r="I199" s="11"/>
      <c r="J199" s="118">
        <f t="shared" si="16"/>
        <v>0</v>
      </c>
      <c r="K199" s="119">
        <f t="shared" si="17"/>
        <v>0</v>
      </c>
      <c r="L199" s="119">
        <f t="shared" si="18"/>
        <v>0</v>
      </c>
    </row>
    <row r="200" spans="5:12">
      <c r="E200" s="6"/>
      <c r="F200" s="7"/>
      <c r="G200" s="6"/>
      <c r="H200" s="11"/>
      <c r="I200" s="11"/>
      <c r="J200" s="118">
        <f t="shared" si="16"/>
        <v>0</v>
      </c>
      <c r="K200" s="119">
        <f t="shared" si="17"/>
        <v>0</v>
      </c>
      <c r="L200" s="119">
        <f t="shared" si="18"/>
        <v>0</v>
      </c>
    </row>
    <row r="201" spans="5:12">
      <c r="E201" s="6"/>
      <c r="F201" s="7"/>
      <c r="G201" s="6"/>
      <c r="H201" s="11"/>
      <c r="I201" s="11"/>
      <c r="J201" s="118">
        <f t="shared" si="16"/>
        <v>0</v>
      </c>
      <c r="K201" s="119">
        <f t="shared" si="17"/>
        <v>0</v>
      </c>
      <c r="L201" s="119">
        <f t="shared" si="18"/>
        <v>0</v>
      </c>
    </row>
    <row r="202" spans="5:12">
      <c r="E202" s="6"/>
      <c r="F202" s="7"/>
      <c r="G202" s="6"/>
      <c r="H202" s="11"/>
      <c r="I202" s="11"/>
      <c r="J202" s="118">
        <f t="shared" si="16"/>
        <v>0</v>
      </c>
      <c r="K202" s="119">
        <f t="shared" si="17"/>
        <v>0</v>
      </c>
      <c r="L202" s="119">
        <f t="shared" si="18"/>
        <v>0</v>
      </c>
    </row>
    <row r="203" spans="5:12">
      <c r="E203" s="6"/>
      <c r="F203" s="7"/>
      <c r="G203" s="6"/>
      <c r="H203" s="11"/>
      <c r="I203" s="11"/>
      <c r="J203" s="118">
        <f t="shared" si="16"/>
        <v>0</v>
      </c>
      <c r="K203" s="119">
        <f t="shared" si="17"/>
        <v>0</v>
      </c>
      <c r="L203" s="119">
        <f t="shared" si="18"/>
        <v>0</v>
      </c>
    </row>
    <row r="204" spans="5:12">
      <c r="E204" s="6"/>
      <c r="F204" s="7"/>
      <c r="G204" s="6"/>
      <c r="H204" s="12"/>
      <c r="I204" s="12"/>
      <c r="J204" s="118">
        <f t="shared" si="16"/>
        <v>0</v>
      </c>
      <c r="K204" s="119">
        <f t="shared" si="17"/>
        <v>0</v>
      </c>
      <c r="L204" s="119">
        <f t="shared" si="18"/>
        <v>0</v>
      </c>
    </row>
    <row r="205" spans="5:12">
      <c r="E205" s="6"/>
      <c r="F205" s="7"/>
      <c r="G205" s="6"/>
      <c r="H205" s="12"/>
      <c r="I205" s="12"/>
      <c r="J205" s="118">
        <f t="shared" si="16"/>
        <v>0</v>
      </c>
      <c r="K205" s="119">
        <f t="shared" si="17"/>
        <v>0</v>
      </c>
      <c r="L205" s="119">
        <f t="shared" si="18"/>
        <v>0</v>
      </c>
    </row>
    <row r="206" spans="5:12">
      <c r="E206" s="13"/>
      <c r="F206" s="7"/>
      <c r="G206" s="6"/>
      <c r="H206" s="12"/>
      <c r="I206" s="12"/>
      <c r="J206" s="118">
        <f t="shared" si="16"/>
        <v>0</v>
      </c>
      <c r="K206" s="119">
        <f t="shared" si="17"/>
        <v>0</v>
      </c>
      <c r="L206" s="119">
        <f t="shared" si="18"/>
        <v>0</v>
      </c>
    </row>
    <row r="207" spans="5:12">
      <c r="E207" s="6"/>
      <c r="F207" s="7"/>
      <c r="G207" s="6"/>
      <c r="H207" s="11"/>
      <c r="I207" s="11"/>
      <c r="J207" s="118">
        <f t="shared" si="16"/>
        <v>0</v>
      </c>
      <c r="K207" s="119">
        <f t="shared" si="17"/>
        <v>0</v>
      </c>
      <c r="L207" s="119">
        <f t="shared" si="18"/>
        <v>0</v>
      </c>
    </row>
    <row r="208" spans="5:12">
      <c r="E208" s="6"/>
      <c r="F208" s="7"/>
      <c r="G208" s="6"/>
      <c r="H208" s="11"/>
      <c r="I208" s="11"/>
      <c r="J208" s="118">
        <f t="shared" si="16"/>
        <v>0</v>
      </c>
      <c r="K208" s="119">
        <f t="shared" si="17"/>
        <v>0</v>
      </c>
      <c r="L208" s="119">
        <f t="shared" si="18"/>
        <v>0</v>
      </c>
    </row>
    <row r="209" spans="5:12">
      <c r="E209" s="6"/>
      <c r="F209" s="7"/>
      <c r="G209" s="6"/>
      <c r="H209" s="11"/>
      <c r="I209" s="11"/>
      <c r="J209" s="118">
        <f t="shared" si="16"/>
        <v>0</v>
      </c>
      <c r="K209" s="119">
        <f t="shared" si="17"/>
        <v>0</v>
      </c>
      <c r="L209" s="119">
        <f t="shared" si="18"/>
        <v>0</v>
      </c>
    </row>
    <row r="210" spans="5:12">
      <c r="E210" s="6"/>
      <c r="F210" s="7"/>
      <c r="G210" s="6"/>
      <c r="H210" s="11"/>
      <c r="I210" s="11"/>
      <c r="J210" s="118">
        <f t="shared" si="16"/>
        <v>0</v>
      </c>
      <c r="K210" s="119">
        <f t="shared" si="17"/>
        <v>0</v>
      </c>
      <c r="L210" s="119">
        <f t="shared" si="18"/>
        <v>0</v>
      </c>
    </row>
    <row r="211" spans="5:12">
      <c r="E211" s="6"/>
      <c r="F211" s="7"/>
      <c r="G211" s="6"/>
      <c r="H211" s="11"/>
      <c r="I211" s="11"/>
      <c r="J211" s="118">
        <f t="shared" si="16"/>
        <v>0</v>
      </c>
      <c r="K211" s="119">
        <f t="shared" si="17"/>
        <v>0</v>
      </c>
      <c r="L211" s="119">
        <f t="shared" si="18"/>
        <v>0</v>
      </c>
    </row>
    <row r="212" spans="5:12">
      <c r="E212" s="13"/>
      <c r="F212" s="7"/>
      <c r="G212" s="6"/>
      <c r="H212" s="11"/>
      <c r="I212" s="11"/>
      <c r="J212" s="118">
        <f t="shared" si="16"/>
        <v>0</v>
      </c>
      <c r="K212" s="119">
        <f t="shared" si="17"/>
        <v>0</v>
      </c>
      <c r="L212" s="119">
        <f t="shared" si="18"/>
        <v>0</v>
      </c>
    </row>
    <row r="213" spans="5:12">
      <c r="E213" s="6"/>
      <c r="F213" s="7"/>
      <c r="G213" s="6"/>
      <c r="H213" s="11"/>
      <c r="I213" s="11"/>
      <c r="J213" s="118">
        <f t="shared" si="16"/>
        <v>0</v>
      </c>
      <c r="K213" s="119">
        <f t="shared" si="17"/>
        <v>0</v>
      </c>
      <c r="L213" s="119">
        <f t="shared" si="18"/>
        <v>0</v>
      </c>
    </row>
    <row r="214" spans="5:12">
      <c r="E214" s="6"/>
      <c r="F214" s="7"/>
      <c r="G214" s="6"/>
      <c r="H214" s="11"/>
      <c r="I214" s="11"/>
      <c r="J214" s="118">
        <f t="shared" si="16"/>
        <v>0</v>
      </c>
      <c r="K214" s="119">
        <f t="shared" si="17"/>
        <v>0</v>
      </c>
      <c r="L214" s="119">
        <f t="shared" si="18"/>
        <v>0</v>
      </c>
    </row>
    <row r="215" spans="5:12">
      <c r="E215" s="6"/>
      <c r="F215" s="7"/>
      <c r="G215" s="6"/>
      <c r="H215" s="11"/>
      <c r="I215" s="11"/>
      <c r="J215" s="118">
        <f t="shared" si="16"/>
        <v>0</v>
      </c>
      <c r="K215" s="119">
        <f t="shared" si="17"/>
        <v>0</v>
      </c>
      <c r="L215" s="119">
        <f t="shared" si="18"/>
        <v>0</v>
      </c>
    </row>
    <row r="216" spans="5:12">
      <c r="E216" s="6"/>
      <c r="F216" s="7"/>
      <c r="G216" s="6"/>
      <c r="H216" s="11"/>
      <c r="I216" s="11"/>
      <c r="J216" s="118">
        <f t="shared" si="16"/>
        <v>0</v>
      </c>
      <c r="K216" s="119">
        <f t="shared" si="17"/>
        <v>0</v>
      </c>
      <c r="L216" s="119">
        <f t="shared" si="18"/>
        <v>0</v>
      </c>
    </row>
    <row r="217" spans="5:12">
      <c r="E217" s="6"/>
      <c r="F217" s="7"/>
      <c r="G217" s="6"/>
      <c r="H217" s="9"/>
      <c r="I217" s="9"/>
      <c r="J217" s="118">
        <f t="shared" ref="J217:J252" si="19">+K217+L217</f>
        <v>0</v>
      </c>
      <c r="K217" s="119">
        <f t="shared" ref="K217:K252" si="20">SUM(N217:Y217)</f>
        <v>0</v>
      </c>
      <c r="L217" s="119">
        <f t="shared" ref="L217:L252" si="21">SUM(AA217:AL217)</f>
        <v>0</v>
      </c>
    </row>
    <row r="218" spans="5:12">
      <c r="E218" s="6"/>
      <c r="F218" s="7"/>
      <c r="G218" s="6"/>
      <c r="H218" s="9"/>
      <c r="I218" s="9"/>
      <c r="J218" s="118">
        <f t="shared" si="19"/>
        <v>0</v>
      </c>
      <c r="K218" s="119">
        <f t="shared" si="20"/>
        <v>0</v>
      </c>
      <c r="L218" s="119">
        <f t="shared" si="21"/>
        <v>0</v>
      </c>
    </row>
    <row r="219" spans="5:12">
      <c r="E219" s="6"/>
      <c r="F219" s="7"/>
      <c r="G219" s="6"/>
      <c r="H219" s="10"/>
      <c r="I219" s="10"/>
      <c r="J219" s="118">
        <f t="shared" si="19"/>
        <v>0</v>
      </c>
      <c r="K219" s="119">
        <f t="shared" si="20"/>
        <v>0</v>
      </c>
      <c r="L219" s="119">
        <f t="shared" si="21"/>
        <v>0</v>
      </c>
    </row>
    <row r="220" spans="5:12">
      <c r="E220" s="6"/>
      <c r="F220" s="7"/>
      <c r="G220" s="6"/>
      <c r="H220" s="11"/>
      <c r="I220" s="11"/>
      <c r="J220" s="118">
        <f t="shared" si="19"/>
        <v>0</v>
      </c>
      <c r="K220" s="119">
        <f t="shared" si="20"/>
        <v>0</v>
      </c>
      <c r="L220" s="119">
        <f t="shared" si="21"/>
        <v>0</v>
      </c>
    </row>
    <row r="221" spans="5:12">
      <c r="E221" s="6"/>
      <c r="F221" s="7"/>
      <c r="G221" s="6"/>
      <c r="H221" s="11"/>
      <c r="I221" s="11"/>
      <c r="J221" s="118">
        <f t="shared" si="19"/>
        <v>0</v>
      </c>
      <c r="K221" s="119">
        <f t="shared" si="20"/>
        <v>0</v>
      </c>
      <c r="L221" s="119">
        <f t="shared" si="21"/>
        <v>0</v>
      </c>
    </row>
    <row r="222" spans="5:12">
      <c r="E222" s="6"/>
      <c r="F222" s="7"/>
      <c r="G222" s="6"/>
      <c r="H222" s="11"/>
      <c r="I222" s="11"/>
      <c r="J222" s="118">
        <f t="shared" si="19"/>
        <v>0</v>
      </c>
      <c r="K222" s="119">
        <f t="shared" si="20"/>
        <v>0</v>
      </c>
      <c r="L222" s="119">
        <f t="shared" si="21"/>
        <v>0</v>
      </c>
    </row>
    <row r="223" spans="5:12">
      <c r="E223" s="6"/>
      <c r="F223" s="7"/>
      <c r="G223" s="6"/>
      <c r="H223" s="11"/>
      <c r="I223" s="11"/>
      <c r="J223" s="118">
        <f t="shared" si="19"/>
        <v>0</v>
      </c>
      <c r="K223" s="119">
        <f t="shared" si="20"/>
        <v>0</v>
      </c>
      <c r="L223" s="119">
        <f t="shared" si="21"/>
        <v>0</v>
      </c>
    </row>
    <row r="224" spans="5:12">
      <c r="E224" s="6"/>
      <c r="F224" s="7"/>
      <c r="G224" s="6"/>
      <c r="H224" s="11"/>
      <c r="I224" s="11"/>
      <c r="J224" s="118">
        <f t="shared" si="19"/>
        <v>0</v>
      </c>
      <c r="K224" s="119">
        <f t="shared" si="20"/>
        <v>0</v>
      </c>
      <c r="L224" s="119">
        <f t="shared" si="21"/>
        <v>0</v>
      </c>
    </row>
    <row r="225" spans="5:12">
      <c r="E225" s="6"/>
      <c r="F225" s="7"/>
      <c r="G225" s="6"/>
      <c r="H225" s="11"/>
      <c r="I225" s="11"/>
      <c r="J225" s="118">
        <f t="shared" si="19"/>
        <v>0</v>
      </c>
      <c r="K225" s="119">
        <f t="shared" si="20"/>
        <v>0</v>
      </c>
      <c r="L225" s="119">
        <f t="shared" si="21"/>
        <v>0</v>
      </c>
    </row>
    <row r="226" spans="5:12">
      <c r="E226" s="6"/>
      <c r="F226" s="7"/>
      <c r="G226" s="6"/>
      <c r="H226" s="11"/>
      <c r="I226" s="11"/>
      <c r="J226" s="118">
        <f t="shared" si="19"/>
        <v>0</v>
      </c>
      <c r="K226" s="119">
        <f t="shared" si="20"/>
        <v>0</v>
      </c>
      <c r="L226" s="119">
        <f t="shared" si="21"/>
        <v>0</v>
      </c>
    </row>
    <row r="227" spans="5:12">
      <c r="E227" s="6"/>
      <c r="F227" s="7"/>
      <c r="G227" s="6"/>
      <c r="H227" s="11"/>
      <c r="I227" s="11"/>
      <c r="J227" s="118">
        <f t="shared" si="19"/>
        <v>0</v>
      </c>
      <c r="K227" s="119">
        <f t="shared" si="20"/>
        <v>0</v>
      </c>
      <c r="L227" s="119">
        <f t="shared" si="21"/>
        <v>0</v>
      </c>
    </row>
    <row r="228" spans="5:12">
      <c r="E228" s="6"/>
      <c r="F228" s="7"/>
      <c r="G228" s="6"/>
      <c r="H228" s="11"/>
      <c r="I228" s="11"/>
      <c r="J228" s="118">
        <f t="shared" si="19"/>
        <v>0</v>
      </c>
      <c r="K228" s="119">
        <f t="shared" si="20"/>
        <v>0</v>
      </c>
      <c r="L228" s="119">
        <f t="shared" si="21"/>
        <v>0</v>
      </c>
    </row>
    <row r="229" spans="5:12">
      <c r="E229" s="6"/>
      <c r="F229" s="7"/>
      <c r="G229" s="6"/>
      <c r="H229" s="11"/>
      <c r="I229" s="11"/>
      <c r="J229" s="118">
        <f t="shared" si="19"/>
        <v>0</v>
      </c>
      <c r="K229" s="119">
        <f t="shared" si="20"/>
        <v>0</v>
      </c>
      <c r="L229" s="119">
        <f t="shared" si="21"/>
        <v>0</v>
      </c>
    </row>
    <row r="230" spans="5:12">
      <c r="E230" s="6"/>
      <c r="F230" s="7"/>
      <c r="G230" s="6"/>
      <c r="H230" s="11"/>
      <c r="I230" s="11"/>
      <c r="J230" s="118">
        <f t="shared" si="19"/>
        <v>0</v>
      </c>
      <c r="K230" s="119">
        <f t="shared" si="20"/>
        <v>0</v>
      </c>
      <c r="L230" s="119">
        <f t="shared" si="21"/>
        <v>0</v>
      </c>
    </row>
    <row r="231" spans="5:12">
      <c r="E231" s="6"/>
      <c r="F231" s="7"/>
      <c r="G231" s="6"/>
      <c r="H231" s="11"/>
      <c r="I231" s="11"/>
      <c r="J231" s="118">
        <f t="shared" si="19"/>
        <v>0</v>
      </c>
      <c r="K231" s="119">
        <f t="shared" si="20"/>
        <v>0</v>
      </c>
      <c r="L231" s="119">
        <f t="shared" si="21"/>
        <v>0</v>
      </c>
    </row>
    <row r="232" spans="5:12">
      <c r="E232" s="6"/>
      <c r="F232" s="7"/>
      <c r="G232" s="6"/>
      <c r="H232" s="11"/>
      <c r="I232" s="11"/>
      <c r="J232" s="118">
        <f t="shared" si="19"/>
        <v>0</v>
      </c>
      <c r="K232" s="119">
        <f t="shared" si="20"/>
        <v>0</v>
      </c>
      <c r="L232" s="119">
        <f t="shared" si="21"/>
        <v>0</v>
      </c>
    </row>
    <row r="233" spans="5:12">
      <c r="E233" s="6"/>
      <c r="F233" s="7"/>
      <c r="G233" s="6"/>
      <c r="H233" s="11"/>
      <c r="I233" s="11"/>
      <c r="J233" s="118">
        <f t="shared" si="19"/>
        <v>0</v>
      </c>
      <c r="K233" s="119">
        <f t="shared" si="20"/>
        <v>0</v>
      </c>
      <c r="L233" s="119">
        <f t="shared" si="21"/>
        <v>0</v>
      </c>
    </row>
    <row r="234" spans="5:12">
      <c r="E234" s="6"/>
      <c r="F234" s="7"/>
      <c r="G234" s="6"/>
      <c r="H234" s="12"/>
      <c r="I234" s="12"/>
      <c r="J234" s="118">
        <f t="shared" si="19"/>
        <v>0</v>
      </c>
      <c r="K234" s="119">
        <f t="shared" si="20"/>
        <v>0</v>
      </c>
      <c r="L234" s="119">
        <f t="shared" si="21"/>
        <v>0</v>
      </c>
    </row>
    <row r="235" spans="5:12">
      <c r="E235" s="6"/>
      <c r="F235" s="7"/>
      <c r="G235" s="6"/>
      <c r="H235" s="12"/>
      <c r="I235" s="12"/>
      <c r="J235" s="118">
        <f t="shared" si="19"/>
        <v>0</v>
      </c>
      <c r="K235" s="119">
        <f t="shared" si="20"/>
        <v>0</v>
      </c>
      <c r="L235" s="119">
        <f t="shared" si="21"/>
        <v>0</v>
      </c>
    </row>
    <row r="236" spans="5:12">
      <c r="E236" s="13"/>
      <c r="F236" s="7"/>
      <c r="G236" s="6"/>
      <c r="H236" s="12"/>
      <c r="I236" s="12"/>
      <c r="J236" s="118">
        <f t="shared" si="19"/>
        <v>0</v>
      </c>
      <c r="K236" s="119">
        <f t="shared" si="20"/>
        <v>0</v>
      </c>
      <c r="L236" s="119">
        <f t="shared" si="21"/>
        <v>0</v>
      </c>
    </row>
    <row r="237" spans="5:12">
      <c r="E237" s="6"/>
      <c r="F237" s="7"/>
      <c r="G237" s="6"/>
      <c r="H237" s="11"/>
      <c r="I237" s="11"/>
      <c r="J237" s="118">
        <f t="shared" si="19"/>
        <v>0</v>
      </c>
      <c r="K237" s="119">
        <f t="shared" si="20"/>
        <v>0</v>
      </c>
      <c r="L237" s="119">
        <f t="shared" si="21"/>
        <v>0</v>
      </c>
    </row>
    <row r="238" spans="5:12">
      <c r="E238" s="6"/>
      <c r="F238" s="7"/>
      <c r="G238" s="6"/>
      <c r="H238" s="11"/>
      <c r="I238" s="11"/>
      <c r="J238" s="118">
        <f t="shared" si="19"/>
        <v>0</v>
      </c>
      <c r="K238" s="119">
        <f t="shared" si="20"/>
        <v>0</v>
      </c>
      <c r="L238" s="119">
        <f t="shared" si="21"/>
        <v>0</v>
      </c>
    </row>
    <row r="239" spans="5:12">
      <c r="E239" s="6"/>
      <c r="F239" s="7"/>
      <c r="G239" s="6"/>
      <c r="H239" s="11"/>
      <c r="I239" s="11"/>
      <c r="J239" s="118">
        <f t="shared" si="19"/>
        <v>0</v>
      </c>
      <c r="K239" s="119">
        <f t="shared" si="20"/>
        <v>0</v>
      </c>
      <c r="L239" s="119">
        <f t="shared" si="21"/>
        <v>0</v>
      </c>
    </row>
    <row r="240" spans="5:12">
      <c r="E240" s="6"/>
      <c r="F240" s="7"/>
      <c r="G240" s="6"/>
      <c r="H240" s="11"/>
      <c r="I240" s="11"/>
      <c r="J240" s="118">
        <f t="shared" si="19"/>
        <v>0</v>
      </c>
      <c r="K240" s="119">
        <f t="shared" si="20"/>
        <v>0</v>
      </c>
      <c r="L240" s="119">
        <f t="shared" si="21"/>
        <v>0</v>
      </c>
    </row>
    <row r="241" spans="5:12">
      <c r="E241" s="6"/>
      <c r="F241" s="7"/>
      <c r="G241" s="6"/>
      <c r="H241" s="11"/>
      <c r="I241" s="11"/>
      <c r="J241" s="118">
        <f t="shared" si="19"/>
        <v>0</v>
      </c>
      <c r="K241" s="119">
        <f t="shared" si="20"/>
        <v>0</v>
      </c>
      <c r="L241" s="119">
        <f t="shared" si="21"/>
        <v>0</v>
      </c>
    </row>
    <row r="242" spans="5:12">
      <c r="E242" s="13"/>
      <c r="F242" s="7"/>
      <c r="G242" s="6"/>
      <c r="H242" s="11"/>
      <c r="I242" s="11"/>
      <c r="J242" s="118">
        <f t="shared" si="19"/>
        <v>0</v>
      </c>
      <c r="K242" s="119">
        <f t="shared" si="20"/>
        <v>0</v>
      </c>
      <c r="L242" s="119">
        <f t="shared" si="21"/>
        <v>0</v>
      </c>
    </row>
    <row r="243" spans="5:12">
      <c r="E243" s="6"/>
      <c r="F243" s="7"/>
      <c r="G243" s="6"/>
      <c r="H243" s="11"/>
      <c r="I243" s="11"/>
      <c r="J243" s="118">
        <f t="shared" si="19"/>
        <v>0</v>
      </c>
      <c r="K243" s="119">
        <f t="shared" si="20"/>
        <v>0</v>
      </c>
      <c r="L243" s="119">
        <f t="shared" si="21"/>
        <v>0</v>
      </c>
    </row>
    <row r="244" spans="5:12">
      <c r="E244" s="6"/>
      <c r="F244" s="7"/>
      <c r="G244" s="6"/>
      <c r="H244" s="11"/>
      <c r="I244" s="11"/>
      <c r="J244" s="118">
        <f t="shared" si="19"/>
        <v>0</v>
      </c>
      <c r="K244" s="119">
        <f t="shared" si="20"/>
        <v>0</v>
      </c>
      <c r="L244" s="119">
        <f t="shared" si="21"/>
        <v>0</v>
      </c>
    </row>
    <row r="245" spans="5:12">
      <c r="E245" s="6"/>
      <c r="F245" s="7"/>
      <c r="G245" s="6"/>
      <c r="H245" s="11"/>
      <c r="I245" s="11"/>
      <c r="J245" s="118">
        <f t="shared" si="19"/>
        <v>0</v>
      </c>
      <c r="K245" s="119">
        <f t="shared" si="20"/>
        <v>0</v>
      </c>
      <c r="L245" s="119">
        <f t="shared" si="21"/>
        <v>0</v>
      </c>
    </row>
    <row r="246" spans="5:12">
      <c r="E246" s="6"/>
      <c r="F246" s="7"/>
      <c r="G246" s="6"/>
      <c r="H246" s="11"/>
      <c r="I246" s="11"/>
      <c r="J246" s="118">
        <f t="shared" si="19"/>
        <v>0</v>
      </c>
      <c r="K246" s="119">
        <f t="shared" si="20"/>
        <v>0</v>
      </c>
      <c r="L246" s="119">
        <f t="shared" si="21"/>
        <v>0</v>
      </c>
    </row>
    <row r="247" spans="5:12">
      <c r="E247" s="14"/>
      <c r="F247" s="7"/>
      <c r="G247" s="6"/>
      <c r="H247" s="11"/>
      <c r="I247" s="11"/>
      <c r="J247" s="118">
        <f t="shared" si="19"/>
        <v>0</v>
      </c>
      <c r="K247" s="119">
        <f t="shared" si="20"/>
        <v>0</v>
      </c>
      <c r="L247" s="119">
        <f t="shared" si="21"/>
        <v>0</v>
      </c>
    </row>
    <row r="248" spans="5:12">
      <c r="E248" s="14"/>
      <c r="F248" s="7"/>
      <c r="G248" s="6"/>
      <c r="H248" s="11"/>
      <c r="I248" s="11"/>
      <c r="J248" s="118">
        <f t="shared" si="19"/>
        <v>0</v>
      </c>
      <c r="K248" s="119">
        <f t="shared" si="20"/>
        <v>0</v>
      </c>
      <c r="L248" s="119">
        <f t="shared" si="21"/>
        <v>0</v>
      </c>
    </row>
    <row r="249" spans="5:12">
      <c r="E249" s="14"/>
      <c r="F249" s="7"/>
      <c r="G249" s="6"/>
      <c r="H249" s="11"/>
      <c r="I249" s="11"/>
      <c r="J249" s="118">
        <f t="shared" si="19"/>
        <v>0</v>
      </c>
      <c r="K249" s="119">
        <f t="shared" si="20"/>
        <v>0</v>
      </c>
      <c r="L249" s="119">
        <f t="shared" si="21"/>
        <v>0</v>
      </c>
    </row>
    <row r="250" spans="5:12">
      <c r="E250" s="14"/>
      <c r="F250" s="7"/>
      <c r="G250" s="6"/>
      <c r="H250" s="11"/>
      <c r="I250" s="11"/>
      <c r="J250" s="118">
        <f t="shared" si="19"/>
        <v>0</v>
      </c>
      <c r="K250" s="119">
        <f t="shared" si="20"/>
        <v>0</v>
      </c>
      <c r="L250" s="119">
        <f t="shared" si="21"/>
        <v>0</v>
      </c>
    </row>
    <row r="251" spans="5:12" s="22" customFormat="1">
      <c r="E251" s="14"/>
      <c r="F251" s="7"/>
      <c r="G251" s="6"/>
      <c r="H251" s="11"/>
      <c r="I251" s="11"/>
      <c r="J251" s="118">
        <f t="shared" si="19"/>
        <v>0</v>
      </c>
      <c r="K251" s="119">
        <f t="shared" si="20"/>
        <v>0</v>
      </c>
      <c r="L251" s="119">
        <f t="shared" si="21"/>
        <v>0</v>
      </c>
    </row>
    <row r="252" spans="5:12">
      <c r="J252" s="118">
        <f t="shared" si="19"/>
        <v>0</v>
      </c>
      <c r="K252" s="119">
        <f t="shared" si="20"/>
        <v>0</v>
      </c>
      <c r="L252" s="119">
        <f t="shared" si="21"/>
        <v>0</v>
      </c>
    </row>
  </sheetData>
  <sheetProtection formatCells="0" formatColumns="0" formatRows="0" insertRows="0" deleteRows="0" autoFilter="0"/>
  <autoFilter ref="E23:AL397" xr:uid="{00000000-0009-0000-0000-000036000000}"/>
  <mergeCells count="1">
    <mergeCell ref="I4:J4"/>
  </mergeCells>
  <phoneticPr fontId="40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 xr:uid="{00000000-0002-0000-3600-000000000000}">
      <formula1>SOCIETE</formula1>
    </dataValidation>
    <dataValidation type="list" allowBlank="1" showInputMessage="1" showErrorMessage="1" sqref="F24:F251" xr:uid="{B7FC2114-00B1-4C2E-9CE8-A0D49BDFF05F}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Manager/>
  <Company>DIAM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Dashboard@diaminter.com</dc:creator>
  <cp:keywords/>
  <dc:description/>
  <cp:lastModifiedBy>Rekha PATIL</cp:lastModifiedBy>
  <cp:revision/>
  <dcterms:created xsi:type="dcterms:W3CDTF">2009-06-17T14:53:00Z</dcterms:created>
  <dcterms:modified xsi:type="dcterms:W3CDTF">2026-10-09T17:58:41Z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