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showInkAnnotation="0" autoCompressPictures="0"/>
  <mc:AlternateContent xmlns:mc="http://schemas.openxmlformats.org/markup-compatibility/2006">
    <mc:Choice Requires="x15">
      <x15ac:absPath xmlns:x15ac="http://schemas.microsoft.com/office/spreadsheetml/2010/11/ac" url="/Users/AleoMok/Documents/Cornell Tech/Groundwork/"/>
    </mc:Choice>
  </mc:AlternateContent>
  <bookViews>
    <workbookView xWindow="0" yWindow="460" windowWidth="28800" windowHeight="17540" tabRatio="743" activeTab="5"/>
  </bookViews>
  <sheets>
    <sheet name="Disclaimer" sheetId="1" r:id="rId1"/>
    <sheet name="User Guide" sheetId="2" r:id="rId2"/>
    <sheet name="General Information" sheetId="3" r:id="rId3"/>
    <sheet name="Construction Quantities" sheetId="4" r:id="rId4"/>
    <sheet name="Construction Cost" sheetId="5" r:id="rId5"/>
    <sheet name="Maintenance Cost" sheetId="6" r:id="rId6"/>
    <sheet name="Rehabilitation Cost" sheetId="7" r:id="rId7"/>
  </sheets>
  <calcPr calcId="150001" concurrentCalc="0"/>
  <customWorkbookViews>
    <customWorkbookView name="Torres, Consol - Personal View" guid="{0151402A-CC2D-4B28-869C-70F7653010B1}" mergeInterval="0" personalView="1" maximized="1" windowWidth="1597" windowHeight="717" tabRatio="743" activeSheetId="2" showComments="commIndAndComment"/>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21" i="7" l="1"/>
  <c r="H37" i="6"/>
  <c r="C8" i="4"/>
  <c r="C9" i="4"/>
  <c r="C24" i="4"/>
  <c r="D19" i="4"/>
  <c r="D21" i="4"/>
  <c r="D22" i="4"/>
  <c r="D15" i="4"/>
  <c r="D16" i="4"/>
  <c r="D8" i="4"/>
  <c r="D9" i="4"/>
  <c r="D24" i="4"/>
  <c r="D37" i="4"/>
  <c r="D38" i="4"/>
  <c r="C29" i="4"/>
  <c r="C33" i="4"/>
  <c r="C34" i="4"/>
  <c r="C30" i="4"/>
  <c r="C35" i="4"/>
  <c r="C37" i="4"/>
  <c r="C38" i="4"/>
  <c r="C39" i="4"/>
  <c r="C16" i="3"/>
  <c r="C41" i="4"/>
  <c r="C43" i="4"/>
  <c r="C7" i="5"/>
  <c r="D7" i="5"/>
  <c r="E7" i="5"/>
  <c r="C8" i="5"/>
  <c r="E8" i="5"/>
  <c r="E9" i="5"/>
  <c r="C11" i="5"/>
  <c r="E11" i="5"/>
  <c r="C47" i="4"/>
  <c r="C12" i="5"/>
  <c r="E12" i="5"/>
  <c r="C48" i="4"/>
  <c r="C13" i="5"/>
  <c r="E13" i="5"/>
  <c r="C26" i="4"/>
  <c r="C14" i="5"/>
  <c r="E14" i="5"/>
  <c r="C16" i="5"/>
  <c r="E16" i="5"/>
  <c r="E18" i="5"/>
  <c r="C18" i="3"/>
  <c r="C23" i="3"/>
  <c r="D26" i="4"/>
  <c r="F14" i="5"/>
  <c r="D47" i="4"/>
  <c r="D48" i="4"/>
  <c r="F13" i="5"/>
  <c r="F12" i="5"/>
  <c r="D39" i="4"/>
  <c r="F8" i="5"/>
  <c r="D41" i="4"/>
  <c r="D43" i="4"/>
  <c r="F7" i="5"/>
  <c r="F16" i="5"/>
  <c r="F6" i="7"/>
  <c r="F46" i="7"/>
  <c r="E6" i="7"/>
  <c r="E46" i="7"/>
  <c r="F36" i="7"/>
  <c r="E36" i="7"/>
  <c r="F26" i="7"/>
  <c r="E26" i="7"/>
  <c r="F16" i="7"/>
  <c r="E16" i="7"/>
  <c r="E7" i="7"/>
  <c r="E8" i="6"/>
  <c r="F8" i="6"/>
  <c r="F10" i="6"/>
  <c r="F15" i="6"/>
  <c r="F17" i="6"/>
  <c r="F22" i="6"/>
  <c r="F24" i="6"/>
  <c r="F29" i="6"/>
  <c r="F31" i="6"/>
  <c r="F36" i="6"/>
  <c r="F38" i="6"/>
  <c r="F47" i="6"/>
  <c r="E10" i="6"/>
  <c r="E15" i="6"/>
  <c r="E17" i="6"/>
  <c r="E22" i="6"/>
  <c r="E24" i="6"/>
  <c r="E29" i="6"/>
  <c r="E31" i="6"/>
  <c r="E36" i="6"/>
  <c r="E38" i="6"/>
  <c r="E47" i="6"/>
  <c r="F7" i="7"/>
  <c r="F9" i="7"/>
  <c r="F12" i="7"/>
  <c r="F13" i="7"/>
  <c r="F17" i="7"/>
  <c r="F19" i="7"/>
  <c r="F22" i="7"/>
  <c r="F23" i="7"/>
  <c r="F27" i="7"/>
  <c r="F29" i="7"/>
  <c r="F32" i="7"/>
  <c r="F33" i="7"/>
  <c r="F37" i="7"/>
  <c r="F39" i="7"/>
  <c r="F42" i="7"/>
  <c r="F43" i="7"/>
  <c r="F47" i="7"/>
  <c r="F49" i="7"/>
  <c r="F52" i="7"/>
  <c r="F53" i="7"/>
  <c r="F55" i="7"/>
  <c r="D20" i="3"/>
  <c r="D25" i="3"/>
  <c r="D19" i="3"/>
  <c r="D24" i="3"/>
  <c r="E17" i="7"/>
  <c r="E19" i="7"/>
  <c r="E22" i="7"/>
  <c r="E23" i="7"/>
  <c r="E9" i="7"/>
  <c r="E12" i="7"/>
  <c r="E13" i="7"/>
  <c r="E27" i="7"/>
  <c r="E29" i="7"/>
  <c r="E32" i="7"/>
  <c r="E33" i="7"/>
  <c r="E37" i="7"/>
  <c r="E39" i="7"/>
  <c r="E42" i="7"/>
  <c r="E43" i="7"/>
  <c r="E47" i="7"/>
  <c r="E49" i="7"/>
  <c r="E52" i="7"/>
  <c r="E53" i="7"/>
  <c r="E55" i="7"/>
  <c r="C20" i="3"/>
  <c r="C25" i="3"/>
  <c r="C19" i="3"/>
  <c r="C24" i="3"/>
  <c r="D16" i="3"/>
  <c r="G7" i="5"/>
  <c r="H7" i="5"/>
  <c r="H8" i="5"/>
  <c r="H9" i="5"/>
  <c r="H16" i="5"/>
  <c r="H11" i="5"/>
  <c r="H12" i="5"/>
  <c r="H13" i="5"/>
  <c r="H14" i="5"/>
  <c r="H18" i="5"/>
  <c r="D18" i="3"/>
  <c r="D23" i="3"/>
  <c r="D26" i="3"/>
  <c r="C26" i="3"/>
  <c r="D21" i="3"/>
  <c r="C21" i="3"/>
  <c r="H19" i="5"/>
  <c r="E19" i="5"/>
</calcChain>
</file>

<file path=xl/comments1.xml><?xml version="1.0" encoding="utf-8"?>
<comments xmlns="http://schemas.openxmlformats.org/spreadsheetml/2006/main">
  <authors>
    <author>Ickes, Marcus J</author>
  </authors>
  <commentList>
    <comment ref="C7" authorId="0">
      <text>
        <r>
          <rPr>
            <sz val="8"/>
            <color indexed="81"/>
            <rFont val="Tahoma"/>
            <family val="2"/>
          </rPr>
          <t>Coarse Aggregate for Concrete Quantity Calculation:
Cubic Yards of Concrete * Weight of Coarse Aggregate Per Cubic Yard of Concrete / 2000</t>
        </r>
      </text>
    </comment>
    <comment ref="F7" authorId="0">
      <text>
        <r>
          <rPr>
            <sz val="8"/>
            <color indexed="81"/>
            <rFont val="Tahoma"/>
            <family val="2"/>
          </rPr>
          <t>Coarse Aggregate for Concrete Quantity Calculation:
Cubic Yards of Concrete * Weight of Coarse Aggregate Per Cubic Yard of Concrete / 2000</t>
        </r>
      </text>
    </comment>
    <comment ref="C8" authorId="0">
      <text>
        <r>
          <rPr>
            <sz val="8"/>
            <color indexed="81"/>
            <rFont val="Tahoma"/>
            <family val="2"/>
          </rPr>
          <t>Concrete w/o Coarse Aggregate Quantity Calculation:
(Pavement Width * Pavement Depth * 5280') - Volume of Reinforcement</t>
        </r>
      </text>
    </comment>
    <comment ref="D8" authorId="0">
      <text>
        <r>
          <rPr>
            <sz val="8"/>
            <color indexed="81"/>
            <rFont val="Tahoma"/>
            <family val="2"/>
          </rPr>
          <t>Concrete w/o Coarse Aggregate Unit Cost Calculation:
Cost of Concrete Per Cubic Yard - (Weight of Coarse Aggregate Per Cubic Yard of Concrete * Cost of Coarse Aggregate Per Ton)</t>
        </r>
      </text>
    </comment>
    <comment ref="F8" authorId="0">
      <text>
        <r>
          <rPr>
            <sz val="8"/>
            <color indexed="81"/>
            <rFont val="Tahoma"/>
            <family val="2"/>
          </rPr>
          <t>Concrete w/o Coarse Aggregate Quantity Calculation:
(Pavement Width * Pavement Depth * 5280') - Volume of Reinforcement</t>
        </r>
      </text>
    </comment>
    <comment ref="G8" authorId="0">
      <text>
        <r>
          <rPr>
            <sz val="8"/>
            <color indexed="81"/>
            <rFont val="Tahoma"/>
            <family val="2"/>
          </rPr>
          <t>Concrete w/o Coarse Aggregate Unit Cost Calculation:
Cost of Concrete Per Cubic Yard - (Weight of Coarse Aggregate Per Cubic Yard of Concrete * Cost of Coarse Aggregate Per Ton)</t>
        </r>
      </text>
    </comment>
    <comment ref="C11" authorId="0">
      <text>
        <r>
          <rPr>
            <sz val="8"/>
            <color indexed="81"/>
            <rFont val="Tahoma"/>
            <family val="2"/>
          </rPr>
          <t>Dowel Bar Quantity Calculation:
Number of Joints * Dowel Bars Per Joint
Note: Includes transverse joints only.</t>
        </r>
      </text>
    </comment>
    <comment ref="F11" authorId="0">
      <text>
        <r>
          <rPr>
            <sz val="8"/>
            <color indexed="81"/>
            <rFont val="Tahoma"/>
            <family val="2"/>
          </rPr>
          <t>Dowel Bars not required for CRCP.</t>
        </r>
      </text>
    </comment>
    <comment ref="C12" authorId="0">
      <text>
        <r>
          <rPr>
            <sz val="8"/>
            <color indexed="81"/>
            <rFont val="Tahoma"/>
            <family val="2"/>
          </rPr>
          <t>Sawcutting Quantity Calculation:
Number of Joints * Joint Length
Note: Includes transverse and longitudinal joints.</t>
        </r>
      </text>
    </comment>
    <comment ref="F12" authorId="0">
      <text>
        <r>
          <rPr>
            <sz val="8"/>
            <color indexed="81"/>
            <rFont val="Tahoma"/>
            <family val="2"/>
          </rPr>
          <t>Sawcutting Quantity Calculation:
Number of Joints * Joint Length
Note: Includes longitudinal joint only.</t>
        </r>
      </text>
    </comment>
    <comment ref="C13" authorId="0">
      <text>
        <r>
          <rPr>
            <sz val="8"/>
            <color indexed="81"/>
            <rFont val="Tahoma"/>
            <family val="2"/>
          </rPr>
          <t>Joint Clean &amp; Seal Quantity Calculation:
Number of Joints * Joint Length
Note: Includes transverse and longitudinal joints.</t>
        </r>
      </text>
    </comment>
    <comment ref="F13" authorId="0">
      <text>
        <r>
          <rPr>
            <sz val="8"/>
            <color indexed="81"/>
            <rFont val="Tahoma"/>
            <family val="2"/>
          </rPr>
          <t>Joint Clean &amp; Seal Quantity Calculation:
Number of Joints * Joint Length
Note: Includes longitudinal joint only.</t>
        </r>
      </text>
    </comment>
    <comment ref="C14" authorId="0">
      <text>
        <r>
          <rPr>
            <sz val="8"/>
            <color indexed="81"/>
            <rFont val="Tahoma"/>
            <family val="2"/>
          </rPr>
          <t>Steel Reinforcement Quantity Calculation:
Number of Slabs * Tie Bars Per Slab * Tie Bar Weight
Note: Includes longitudinal joints only.</t>
        </r>
      </text>
    </comment>
    <comment ref="F14" authorId="0">
      <text>
        <r>
          <rPr>
            <sz val="8"/>
            <color indexed="81"/>
            <rFont val="Tahoma"/>
            <family val="2"/>
          </rPr>
          <t>Steel Reinforcement Quantity Calculation:
Sum of Tie Bar, Longitudinal and Transverse Steel Weight
Tie Bars: Number of Tie Bars * Tie Bar Weight
Longitudinal &amp; Transverse Steel: Reference plans for quantity and spacing to determine total weight.</t>
        </r>
      </text>
    </comment>
  </commentList>
</comments>
</file>

<file path=xl/comments2.xml><?xml version="1.0" encoding="utf-8"?>
<comments xmlns="http://schemas.openxmlformats.org/spreadsheetml/2006/main">
  <authors>
    <author>Ickes, Marcus J</author>
    <author>Torres, Consol</author>
  </authors>
  <commentList>
    <comment ref="E5" authorId="0">
      <text>
        <r>
          <rPr>
            <sz val="8"/>
            <color indexed="81"/>
            <rFont val="Tahoma"/>
            <family val="2"/>
          </rPr>
          <t>Longitudinal Joint Clean &amp; Seal Quantity Calculation:
Number of Longitudinal Joints * 5280'</t>
        </r>
      </text>
    </comment>
    <comment ref="F5" authorId="0">
      <text>
        <r>
          <rPr>
            <sz val="8"/>
            <color indexed="81"/>
            <rFont val="Tahoma"/>
            <family val="2"/>
          </rPr>
          <t>Longitudinal Joint Clean &amp; Seal Quantity Calculation:
Number of Longitudinal Joints * 5280'</t>
        </r>
      </text>
    </comment>
    <comment ref="E6" authorId="0">
      <text>
        <r>
          <rPr>
            <sz val="8"/>
            <color indexed="81"/>
            <rFont val="Tahoma"/>
            <family val="2"/>
          </rPr>
          <t>Transverse Joints Quantity Calculation:
5280' / Joint Spacing</t>
        </r>
      </text>
    </comment>
    <comment ref="F6" authorId="0">
      <text>
        <r>
          <rPr>
            <sz val="8"/>
            <color indexed="81"/>
            <rFont val="Tahoma"/>
            <family val="2"/>
          </rPr>
          <t>No transverse joints in CRCP.</t>
        </r>
      </text>
    </comment>
    <comment ref="F7" authorId="0">
      <text>
        <r>
          <rPr>
            <sz val="8"/>
            <color indexed="81"/>
            <rFont val="Tahoma"/>
            <family val="2"/>
          </rPr>
          <t>No transverse joints in CRCP.</t>
        </r>
      </text>
    </comment>
    <comment ref="E15" authorId="1">
      <text>
        <r>
          <rPr>
            <b/>
            <sz val="9"/>
            <color indexed="81"/>
            <rFont val="Tahoma"/>
            <family val="2"/>
          </rPr>
          <t>Torres, Consol:</t>
        </r>
        <r>
          <rPr>
            <sz val="9"/>
            <color indexed="81"/>
            <rFont val="Tahoma"/>
            <family val="2"/>
          </rPr>
          <t xml:space="preserve">
13,704 (add comma?)</t>
        </r>
      </text>
    </comment>
  </commentList>
</comments>
</file>

<file path=xl/comments3.xml><?xml version="1.0" encoding="utf-8"?>
<comments xmlns="http://schemas.openxmlformats.org/spreadsheetml/2006/main">
  <authors>
    <author>Torres, Consol</author>
  </authors>
  <commentList>
    <comment ref="D6" authorId="0">
      <text>
        <r>
          <rPr>
            <b/>
            <sz val="9"/>
            <color indexed="81"/>
            <rFont val="Tahoma"/>
            <family val="2"/>
          </rPr>
          <t>Torres, Consol:</t>
        </r>
        <r>
          <rPr>
            <sz val="9"/>
            <color indexed="81"/>
            <rFont val="Tahoma"/>
            <family val="2"/>
          </rPr>
          <t xml:space="preserve">
Change all occurrences of y2 to yd²?( use superscript instead of plain text).</t>
        </r>
      </text>
    </comment>
  </commentList>
</comments>
</file>

<file path=xl/sharedStrings.xml><?xml version="1.0" encoding="utf-8"?>
<sst xmlns="http://schemas.openxmlformats.org/spreadsheetml/2006/main" count="460" uniqueCount="185">
  <si>
    <t>Sawcutting</t>
  </si>
  <si>
    <t>Joint Clean and Seal</t>
  </si>
  <si>
    <t>Trinity, Lockesburg, AR</t>
  </si>
  <si>
    <t>Dolese, Coleman, OK</t>
  </si>
  <si>
    <t>&gt; 5.5</t>
  </si>
  <si>
    <t>&lt; 5.5</t>
  </si>
  <si>
    <t>Concrete w/o Coarse Aggregate</t>
  </si>
  <si>
    <t>Dowel Bar</t>
  </si>
  <si>
    <t>Unit</t>
  </si>
  <si>
    <t>Quantity</t>
  </si>
  <si>
    <t>Unit Cost</t>
  </si>
  <si>
    <t>Total Cost</t>
  </si>
  <si>
    <t>Full Depth Repair Cost</t>
  </si>
  <si>
    <t>Asphalt Overlay Cost</t>
  </si>
  <si>
    <t>Project Location</t>
  </si>
  <si>
    <t>Mount Pleasant, Atlanta</t>
  </si>
  <si>
    <t>Rehab Cost Per Two Lane Mile</t>
  </si>
  <si>
    <t>RS Means Heavy Civil 2012</t>
  </si>
  <si>
    <t>Calculated</t>
  </si>
  <si>
    <r>
      <t>10</t>
    </r>
    <r>
      <rPr>
        <vertAlign val="superscript"/>
        <sz val="12"/>
        <color theme="1"/>
        <rFont val="Times New Roman"/>
        <family val="1"/>
      </rPr>
      <t>-6</t>
    </r>
    <r>
      <rPr>
        <sz val="12"/>
        <color theme="1"/>
        <rFont val="Times New Roman"/>
        <family val="1"/>
      </rPr>
      <t>/</t>
    </r>
    <r>
      <rPr>
        <vertAlign val="superscript"/>
        <sz val="12"/>
        <color theme="1"/>
        <rFont val="Times New Roman"/>
        <family val="1"/>
      </rPr>
      <t>o</t>
    </r>
    <r>
      <rPr>
        <sz val="12"/>
        <color theme="1"/>
        <rFont val="Times New Roman"/>
        <family val="1"/>
      </rPr>
      <t>F</t>
    </r>
  </si>
  <si>
    <t>RS Means Heavy Civil 2012; CPCD-94; CRCP(1)-11</t>
  </si>
  <si>
    <t>RS Means Heavy Civil 2012; CPCD-94</t>
  </si>
  <si>
    <t>Total Length for Clean &amp; Seal</t>
  </si>
  <si>
    <t>Full Depth Repair</t>
  </si>
  <si>
    <t>% of Area</t>
  </si>
  <si>
    <t>Total Area</t>
  </si>
  <si>
    <t>Area Repaired</t>
  </si>
  <si>
    <t>Asphalt Overlay</t>
  </si>
  <si>
    <t>Rehabilitation #1 Cost</t>
  </si>
  <si>
    <t>Rehabilitation #2 Cost</t>
  </si>
  <si>
    <t>each</t>
  </si>
  <si>
    <t>ton</t>
  </si>
  <si>
    <t>mile</t>
  </si>
  <si>
    <t>mile/ton</t>
  </si>
  <si>
    <t>Analysis Period</t>
  </si>
  <si>
    <t>year</t>
  </si>
  <si>
    <t>Coarse Aggregate CoTE</t>
  </si>
  <si>
    <t>CPCD w/ Local Coarse Aggregate</t>
  </si>
  <si>
    <t>CRCP w/ Imported Coarse Aggregate</t>
  </si>
  <si>
    <t>Description</t>
  </si>
  <si>
    <t>Coarse Aggregate Source</t>
  </si>
  <si>
    <t>Total Coarse Aggregate Cost</t>
  </si>
  <si>
    <t>General Information</t>
  </si>
  <si>
    <t>Quarry</t>
  </si>
  <si>
    <t>Coarse Aggregate for Concrete</t>
  </si>
  <si>
    <t>Total Concrete Cost</t>
  </si>
  <si>
    <t>Steel Reinforcement (#5, #6, Tie Bars)</t>
  </si>
  <si>
    <t>Labor, Equipment &amp; Overhead</t>
  </si>
  <si>
    <t>Cost References</t>
  </si>
  <si>
    <t>Calculated based on an average of $65/CY for concrete containing known coarse aggregate pricing of $20/ton</t>
  </si>
  <si>
    <t>Calculated by subtracting the concrete cost (CY at $65/CY) from the RS Means Heavy Civil 2012 paving cost</t>
  </si>
  <si>
    <t>Year</t>
  </si>
  <si>
    <t>Longitudinal Joint Clean &amp; Seal</t>
  </si>
  <si>
    <t>Transverse Joints</t>
  </si>
  <si>
    <t>Transverse Joint Length</t>
  </si>
  <si>
    <t>Joint Clean &amp; Seal Cost</t>
  </si>
  <si>
    <t>Rehabilitation #1</t>
  </si>
  <si>
    <t>Rehabilitation #2</t>
  </si>
  <si>
    <t>Total Full Depth Repair Cost</t>
  </si>
  <si>
    <t>Total Asphalt Overlay Cost</t>
  </si>
  <si>
    <t>Rehabilitation #3</t>
  </si>
  <si>
    <t>Rehabilitation #4</t>
  </si>
  <si>
    <t>Rehabilitation #5</t>
  </si>
  <si>
    <t>Total Construction Cost</t>
  </si>
  <si>
    <t>Unit Construction Cost</t>
  </si>
  <si>
    <t>Rehabilitation #3 Cost</t>
  </si>
  <si>
    <t>Rehabilitation #4 Cost</t>
  </si>
  <si>
    <t>Rehabilitation #5 Cost</t>
  </si>
  <si>
    <t>Assumption</t>
  </si>
  <si>
    <t>Calculated based on assumption and CPCD-94</t>
  </si>
  <si>
    <t>Hypothetical percentage provided by TxDOT</t>
  </si>
  <si>
    <t>Calculated based on assumption</t>
  </si>
  <si>
    <t>Statewide average bid prices for Item 361 Full Depth Repair of Concrete Series 2002 and 2013</t>
  </si>
  <si>
    <t>Hypothetical overlay thickness provided by TxDOT</t>
  </si>
  <si>
    <t>Series 2106 was the most commonly used Type D mix design statewide in the last 12 months</t>
  </si>
  <si>
    <t>Total Maintenance &amp; Rehabilitation Cost Present Value</t>
  </si>
  <si>
    <t>User Guide</t>
  </si>
  <si>
    <t>Joint Maintenance Cost #1</t>
  </si>
  <si>
    <t>Joint Maintenance #1</t>
  </si>
  <si>
    <t>Joint Maintenance #2</t>
  </si>
  <si>
    <t>Joint Maintenance Cost #2</t>
  </si>
  <si>
    <t>Joint Maintenance #3</t>
  </si>
  <si>
    <t>Joint Maintenance Cost #3</t>
  </si>
  <si>
    <t>Joint Maintenance #4</t>
  </si>
  <si>
    <t>Joint Maintenance Cost #4</t>
  </si>
  <si>
    <t>Joint Maintenance #5</t>
  </si>
  <si>
    <t>Joint Maintenance Cost #5</t>
  </si>
  <si>
    <t>Total Maintenance Cost</t>
  </si>
  <si>
    <t>Coarse Aggregate Transportation Cost</t>
  </si>
  <si>
    <t>Pavement Thickness</t>
  </si>
  <si>
    <t>inch</t>
  </si>
  <si>
    <t>Pavement Width</t>
  </si>
  <si>
    <t>feet</t>
  </si>
  <si>
    <t>Distance from Source to Site</t>
  </si>
  <si>
    <t>lane-feet</t>
  </si>
  <si>
    <t>yd2</t>
  </si>
  <si>
    <t>in/yd2</t>
  </si>
  <si>
    <t>Joint Maintenance #6</t>
  </si>
  <si>
    <t>Construction Cost Items and Resources</t>
  </si>
  <si>
    <t>Maintenance Cost Items and Resources</t>
  </si>
  <si>
    <t>Rehabilitation Cost Items and Resources</t>
  </si>
  <si>
    <t>Joint Maintenance Cost</t>
  </si>
  <si>
    <t>Pavement Construction Cost (Total Project)</t>
  </si>
  <si>
    <t>Pavement Maintenance Cost (Total Project)</t>
  </si>
  <si>
    <t>Pavement Rehabilitation Cost (Total Project)</t>
  </si>
  <si>
    <t>Pavement Life Cycle Cost (Total Project)</t>
  </si>
  <si>
    <t>Important Notes</t>
  </si>
  <si>
    <t>Step 1. Gather project information, costs components, and unit cost information.</t>
  </si>
  <si>
    <t>Step 4. Evaluate total project costs and select appropriate project.</t>
  </si>
  <si>
    <t>Step 3. Input project information into corresponding YELLOW cells.</t>
  </si>
  <si>
    <t>Total Project Length</t>
  </si>
  <si>
    <t>Coarse Aggregate FOB Cos</t>
  </si>
  <si>
    <t>Step 2. Locate potential sources of coarse aggregate. Determine the two coarse aggregate sources and the two project alternatives for comparison.</t>
  </si>
  <si>
    <t>2. There are three colors of cells used in the workbook: Yellow cells indicated required input values, Green cells inducted automatically calculated subtotals, Blue cells indicated automatically calculated sheet totals.</t>
  </si>
  <si>
    <t>4. There are up to six maintenance activities and up to five rehabilitation activities currently included in the workbook. The user can omit activities as appropriate. Additional activities can be added if needed.</t>
  </si>
  <si>
    <t>Pavement Construction Cost (per mile)</t>
  </si>
  <si>
    <t>Pavement Maintenance Cost (per mile)</t>
  </si>
  <si>
    <t>Pavement Rehabilitation Cost (per mile)</t>
  </si>
  <si>
    <t>Pavement Life Cycle Cost  (per mile)</t>
  </si>
  <si>
    <t>Construction Cost Per Mile</t>
  </si>
  <si>
    <t>Maintenance Cost Per Mile</t>
  </si>
  <si>
    <t>Maintenance Cost of Total Pavement Width</t>
  </si>
  <si>
    <t>Rehabilitation Cost Per Mile</t>
  </si>
  <si>
    <t>Rehabilitation Cost of Total Pavement Width</t>
  </si>
  <si>
    <t>Construction Quantities Per Mile</t>
  </si>
  <si>
    <t>Material</t>
  </si>
  <si>
    <t>CY</t>
  </si>
  <si>
    <t>Pavement Volume</t>
  </si>
  <si>
    <t>Reinforcement Volume</t>
  </si>
  <si>
    <t>%</t>
  </si>
  <si>
    <t>Concrete Volume</t>
  </si>
  <si>
    <t>Concrete Weight</t>
  </si>
  <si>
    <t>Concrete Density</t>
  </si>
  <si>
    <t>lb/CY</t>
  </si>
  <si>
    <t>Coarse Aggregate Content by Weight</t>
  </si>
  <si>
    <t>SY</t>
  </si>
  <si>
    <t>Dowel Bars Per Joint</t>
  </si>
  <si>
    <t>Total Dowel Bars</t>
  </si>
  <si>
    <t>Longitudinal Joints</t>
  </si>
  <si>
    <t>Total Saw Cutting</t>
  </si>
  <si>
    <t>Total Joint Clean &amp; Seal</t>
  </si>
  <si>
    <t>Reinforcement Density</t>
  </si>
  <si>
    <t>ton/CY</t>
  </si>
  <si>
    <t>Total Coarse Aggregate Weight</t>
  </si>
  <si>
    <t>Transverse Joint Spacing</t>
  </si>
  <si>
    <t>Dowel Bar Spacing</t>
  </si>
  <si>
    <t>Tie Bar Spacing</t>
  </si>
  <si>
    <t>Tie Bar Diameter</t>
  </si>
  <si>
    <t>Tie Bar Length</t>
  </si>
  <si>
    <t>Tie Bar Quantity</t>
  </si>
  <si>
    <t>Tie Bar Volume</t>
  </si>
  <si>
    <t>Longitudinal Reinforcement Bar Length</t>
  </si>
  <si>
    <t>Longitudinal Reinforcement Bar Quantity</t>
  </si>
  <si>
    <t>Longitudinal Reinforcement Bar Diameter</t>
  </si>
  <si>
    <t>Longitudinal Reinforcement Bar Overlap</t>
  </si>
  <si>
    <t>Longitudinal Reinforcement Bar Spacing</t>
  </si>
  <si>
    <t>Longitudinal Reinforcement Bar Volume</t>
  </si>
  <si>
    <t>Transverse Reinforcement Bar Diameter</t>
  </si>
  <si>
    <t>Transverse Reinforcement Bar Length</t>
  </si>
  <si>
    <t>Transverse Reinforcement Bar Spacing</t>
  </si>
  <si>
    <t>Transverse Reinforcement Bar Quantity</t>
  </si>
  <si>
    <t>Transverse Reinforcement Bar Volume</t>
  </si>
  <si>
    <t>Reinforcement Weight</t>
  </si>
  <si>
    <t>CPCD-94, CRCP(1)-11</t>
  </si>
  <si>
    <t>CRCP(1)-11</t>
  </si>
  <si>
    <t xml:space="preserve">Calculated </t>
  </si>
  <si>
    <t>CPCD-94</t>
  </si>
  <si>
    <t>Based on engineered plans (In the example scenario, only one is required)</t>
  </si>
  <si>
    <t>Based on engineered plans (In the example scenario, it is assumed there is one transverse joint every 15')</t>
  </si>
  <si>
    <t>References</t>
  </si>
  <si>
    <t>Assumed based on standard Class P mix design for concrete pavement (In Manuscript)</t>
  </si>
  <si>
    <t>Assumed based on standard Class P mix-design and calculated using known values for Ready Mix concrete (In Manuscript)</t>
  </si>
  <si>
    <t>1. The workbook is composted of six different sheets. Sheet 1 - User Guide (Purple Tab). Sheet 2 - General Information (Red Tab). Sheet 3 - Construction Quantities (Brown Tab). Sheet 4 - Construction Cost (Olive Green Tab). Sheet 5 - Maintenance Cost (Blue Tab). Sheet 6 - Rehabilitation Cost (Gray Tab)</t>
  </si>
  <si>
    <t>Tie Bar, Long.&amp; Trans. Reinforcement Volume</t>
  </si>
  <si>
    <t>Concrete Pavement Type Selection Workbook Based on Coarse Aggregate Availability and Costs</t>
  </si>
  <si>
    <t>$/ton</t>
  </si>
  <si>
    <t>$</t>
  </si>
  <si>
    <t>Dowel Bar Length</t>
  </si>
  <si>
    <t>Total Dowel Bar Volume</t>
  </si>
  <si>
    <t>Author’s Disclaimer – The contents of this product reflect the reviews of the author who is responsible for the facts and the accuracy of the data presented herein.  The contents do not necessarily reflect the official view or policies of the Federal Highway Administration (FHWA) or the Texas Department of Transportation (TxDOT).  This product does not constitute a standard, specification, or regulation.</t>
  </si>
  <si>
    <r>
      <t xml:space="preserve">3. This workbook is developed based on the construction of one two-lane mile (5280 </t>
    </r>
    <r>
      <rPr>
        <sz val="12"/>
        <color theme="1"/>
        <rFont val="Calibri"/>
        <family val="2"/>
      </rPr>
      <t>×</t>
    </r>
    <r>
      <rPr>
        <sz val="13.2"/>
        <color theme="1"/>
        <rFont val="Times New Roman"/>
        <family val="1"/>
      </rPr>
      <t xml:space="preserve"> </t>
    </r>
    <r>
      <rPr>
        <sz val="12"/>
        <color theme="1"/>
        <rFont val="Times New Roman"/>
        <family val="1"/>
      </rPr>
      <t>24') of 9" CRCP and 11" CPCD. Should the thickness and width of pavement section change, input parameters in Construction Cost, Maintenance Cost, and Rehabilitation Cost needed to be adjusted accordingly. Please refer to TxDOT document CPCD-94; CRCP(1)-11 for more details.</t>
    </r>
  </si>
  <si>
    <t>Tie Bar, Long. &amp; Trans. Reinforcement Volume</t>
  </si>
  <si>
    <t>Reinforcement, Tie Bar and Dowel Bar Volume</t>
  </si>
  <si>
    <r>
      <t>Standard</t>
    </r>
    <r>
      <rPr>
        <sz val="12"/>
        <color theme="1"/>
        <rFont val="Calibri"/>
        <family val="2"/>
      </rPr>
      <t>–</t>
    </r>
    <r>
      <rPr>
        <sz val="12"/>
        <color theme="1"/>
        <rFont val="Times New Roman"/>
        <family val="1"/>
      </rPr>
      <t>490 lbs/CF</t>
    </r>
  </si>
  <si>
    <t>Dowel Bar Diameter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</si>
</sst>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5" formatCode="&quot;$&quot;#,##0_);\(&quot;$&quot;#,##0\)"/>
    <numFmt numFmtId="164" formatCode="&quot;$&quot;#,##0.00"/>
    <numFmt numFmtId="165" formatCode="0.0"/>
    <numFmt numFmtId="166" formatCode="&quot;$&quot;#,##0"/>
    <numFmt numFmtId="167" formatCode="0.000"/>
  </numFmts>
  <fonts count="17" x14ac:knownFonts="1">
    <font>
      <sz val="12"/>
      <color theme="1"/>
      <name val="Calibri"/>
      <family val="2"/>
      <scheme val="minor"/>
    </font>
    <font>
      <sz val="8"/>
      <name val="Calibri"/>
      <family val="2"/>
      <scheme val="minor"/>
    </font>
    <font>
      <u/>
      <sz val="12"/>
      <color theme="10"/>
      <name val="Calibri"/>
      <family val="2"/>
      <scheme val="minor"/>
    </font>
    <font>
      <u/>
      <sz val="12"/>
      <color theme="11"/>
      <name val="Calibri"/>
      <family val="2"/>
      <scheme val="minor"/>
    </font>
    <font>
      <sz val="12"/>
      <color theme="1"/>
      <name val="Times New Roman"/>
      <family val="1"/>
    </font>
    <font>
      <sz val="12"/>
      <color rgb="FFFF0000"/>
      <name val="Times New Roman"/>
      <family val="1"/>
    </font>
    <font>
      <vertAlign val="superscript"/>
      <sz val="12"/>
      <color theme="1"/>
      <name val="Times New Roman"/>
      <family val="1"/>
    </font>
    <font>
      <b/>
      <sz val="12"/>
      <color theme="1"/>
      <name val="Times New Roman"/>
      <family val="1"/>
    </font>
    <font>
      <sz val="10"/>
      <color theme="1"/>
      <name val="Times New Roman"/>
      <family val="1"/>
    </font>
    <font>
      <b/>
      <sz val="14"/>
      <color theme="1"/>
      <name val="Times New Roman"/>
      <family val="1"/>
    </font>
    <font>
      <b/>
      <sz val="10"/>
      <color theme="1"/>
      <name val="Times New Roman"/>
      <family val="1"/>
    </font>
    <font>
      <sz val="8"/>
      <color indexed="81"/>
      <name val="Tahoma"/>
      <family val="2"/>
    </font>
    <font>
      <sz val="12"/>
      <color rgb="FF000000"/>
      <name val="Times New Roman"/>
      <family val="1"/>
    </font>
    <font>
      <sz val="12"/>
      <color theme="1"/>
      <name val="Calibri"/>
      <family val="2"/>
    </font>
    <font>
      <sz val="13.2"/>
      <color theme="1"/>
      <name val="Times New Roman"/>
      <family val="1"/>
    </font>
    <font>
      <sz val="9"/>
      <color indexed="81"/>
      <name val="Tahoma"/>
      <family val="2"/>
    </font>
    <font>
      <b/>
      <sz val="9"/>
      <color indexed="81"/>
      <name val="Tahoma"/>
      <family val="2"/>
    </font>
  </fonts>
  <fills count="7">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rgb="FF008000"/>
        <bgColor indexed="64"/>
      </patternFill>
    </fill>
    <fill>
      <patternFill patternType="solid">
        <fgColor rgb="FF0080FF"/>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s>
  <cellStyleXfs count="3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3">
    <xf numFmtId="0" fontId="0" fillId="0" borderId="0" xfId="0"/>
    <xf numFmtId="0" fontId="4" fillId="0" borderId="0" xfId="0" applyFont="1"/>
    <xf numFmtId="0" fontId="4" fillId="0" borderId="0" xfId="0" applyFont="1" applyAlignment="1">
      <alignment horizontal="center"/>
    </xf>
    <xf numFmtId="0" fontId="4" fillId="0" borderId="0" xfId="0" applyFont="1" applyAlignment="1"/>
    <xf numFmtId="2" fontId="4" fillId="0" borderId="0" xfId="0" applyNumberFormat="1" applyFont="1" applyAlignment="1">
      <alignment horizontal="center"/>
    </xf>
    <xf numFmtId="0" fontId="4" fillId="0" borderId="1" xfId="0" applyFont="1" applyBorder="1"/>
    <xf numFmtId="0" fontId="4" fillId="0" borderId="1" xfId="0" applyFont="1" applyBorder="1" applyAlignment="1">
      <alignment horizontal="center"/>
    </xf>
    <xf numFmtId="0" fontId="4" fillId="2" borderId="1" xfId="0" applyFont="1" applyFill="1" applyBorder="1" applyAlignment="1">
      <alignment horizontal="center"/>
    </xf>
    <xf numFmtId="166" fontId="4" fillId="3" borderId="1" xfId="0" applyNumberFormat="1" applyFont="1" applyFill="1" applyBorder="1" applyAlignment="1">
      <alignment horizontal="center"/>
    </xf>
    <xf numFmtId="164" fontId="4" fillId="3" borderId="1" xfId="0" applyNumberFormat="1" applyFont="1" applyFill="1" applyBorder="1" applyAlignment="1">
      <alignment horizontal="center"/>
    </xf>
    <xf numFmtId="0" fontId="4" fillId="0" borderId="1" xfId="0" applyFont="1" applyBorder="1" applyAlignment="1">
      <alignment horizontal="center"/>
    </xf>
    <xf numFmtId="0" fontId="4" fillId="3" borderId="1" xfId="0" applyFont="1" applyFill="1" applyBorder="1" applyAlignment="1">
      <alignment horizontal="center"/>
    </xf>
    <xf numFmtId="164" fontId="4" fillId="2" borderId="1" xfId="0" applyNumberFormat="1" applyFont="1" applyFill="1" applyBorder="1" applyAlignment="1">
      <alignment horizontal="center"/>
    </xf>
    <xf numFmtId="165" fontId="4" fillId="2" borderId="1" xfId="0" applyNumberFormat="1" applyFont="1" applyFill="1" applyBorder="1" applyAlignment="1">
      <alignment horizontal="center"/>
    </xf>
    <xf numFmtId="165" fontId="4" fillId="3" borderId="1" xfId="0" applyNumberFormat="1" applyFont="1" applyFill="1" applyBorder="1" applyAlignment="1">
      <alignment horizontal="center"/>
    </xf>
    <xf numFmtId="3" fontId="4" fillId="2" borderId="1" xfId="0" applyNumberFormat="1" applyFont="1" applyFill="1" applyBorder="1" applyAlignment="1">
      <alignment horizontal="center"/>
    </xf>
    <xf numFmtId="4" fontId="4" fillId="2" borderId="1" xfId="0" applyNumberFormat="1" applyFont="1" applyFill="1" applyBorder="1" applyAlignment="1">
      <alignment horizontal="center"/>
    </xf>
    <xf numFmtId="166" fontId="4" fillId="2" borderId="1" xfId="0" applyNumberFormat="1" applyFont="1" applyFill="1" applyBorder="1" applyAlignment="1">
      <alignment horizontal="center"/>
    </xf>
    <xf numFmtId="5" fontId="4" fillId="3" borderId="1" xfId="0" applyNumberFormat="1" applyFont="1" applyFill="1" applyBorder="1" applyAlignment="1">
      <alignment horizontal="center"/>
    </xf>
    <xf numFmtId="0" fontId="4" fillId="2" borderId="1" xfId="0" applyFont="1" applyFill="1" applyBorder="1" applyAlignment="1">
      <alignment horizontal="center"/>
    </xf>
    <xf numFmtId="3" fontId="4" fillId="2" borderId="1" xfId="0" applyNumberFormat="1" applyFont="1" applyFill="1" applyBorder="1" applyAlignment="1">
      <alignment horizontal="center"/>
    </xf>
    <xf numFmtId="0" fontId="4" fillId="0" borderId="1" xfId="0" applyFont="1" applyBorder="1" applyAlignment="1">
      <alignment horizontal="center"/>
    </xf>
    <xf numFmtId="0" fontId="4" fillId="0" borderId="5" xfId="0" applyFont="1" applyBorder="1" applyAlignment="1">
      <alignment horizontal="center"/>
    </xf>
    <xf numFmtId="0" fontId="4" fillId="0" borderId="1" xfId="0" applyFont="1" applyFill="1" applyBorder="1" applyAlignment="1">
      <alignment horizontal="center"/>
    </xf>
    <xf numFmtId="164" fontId="4" fillId="0" borderId="1" xfId="0" applyNumberFormat="1" applyFont="1" applyFill="1" applyBorder="1" applyAlignment="1">
      <alignment horizontal="center"/>
    </xf>
    <xf numFmtId="0" fontId="7" fillId="0" borderId="0" xfId="0" applyFont="1" applyAlignment="1">
      <alignment horizontal="center"/>
    </xf>
    <xf numFmtId="0" fontId="4" fillId="0" borderId="0" xfId="0" applyFont="1" applyBorder="1"/>
    <xf numFmtId="0" fontId="4" fillId="0" borderId="0" xfId="0" applyFont="1" applyBorder="1" applyAlignment="1">
      <alignment wrapText="1"/>
    </xf>
    <xf numFmtId="0" fontId="7" fillId="0" borderId="1" xfId="0" applyFont="1" applyBorder="1" applyAlignment="1">
      <alignment horizontal="center"/>
    </xf>
    <xf numFmtId="166" fontId="4" fillId="4" borderId="1" xfId="0" applyNumberFormat="1" applyFont="1" applyFill="1" applyBorder="1" applyAlignment="1">
      <alignment horizontal="center"/>
    </xf>
    <xf numFmtId="3" fontId="4" fillId="0" borderId="1" xfId="0" applyNumberFormat="1" applyFont="1" applyFill="1" applyBorder="1" applyAlignment="1">
      <alignment horizontal="center"/>
    </xf>
    <xf numFmtId="166" fontId="4" fillId="0" borderId="1" xfId="0" applyNumberFormat="1" applyFont="1" applyFill="1" applyBorder="1" applyAlignment="1">
      <alignment horizontal="center"/>
    </xf>
    <xf numFmtId="4" fontId="4" fillId="0" borderId="1" xfId="0" applyNumberFormat="1" applyFont="1" applyFill="1" applyBorder="1" applyAlignment="1">
      <alignment horizontal="center"/>
    </xf>
    <xf numFmtId="164" fontId="4" fillId="4" borderId="1" xfId="0" applyNumberFormat="1" applyFont="1" applyFill="1" applyBorder="1" applyAlignment="1">
      <alignment horizontal="center"/>
    </xf>
    <xf numFmtId="0" fontId="5" fillId="0" borderId="0" xfId="0" applyFont="1" applyAlignment="1"/>
    <xf numFmtId="0" fontId="9" fillId="0" borderId="0" xfId="0" applyFont="1" applyAlignment="1"/>
    <xf numFmtId="0" fontId="10" fillId="0" borderId="1" xfId="0" applyFont="1" applyBorder="1" applyAlignment="1">
      <alignment horizontal="center"/>
    </xf>
    <xf numFmtId="3" fontId="4" fillId="3" borderId="1" xfId="0" applyNumberFormat="1" applyFont="1" applyFill="1" applyBorder="1" applyAlignment="1">
      <alignment horizontal="center"/>
    </xf>
    <xf numFmtId="0" fontId="9" fillId="0" borderId="0" xfId="0" applyFont="1" applyAlignment="1">
      <alignment horizontal="center"/>
    </xf>
    <xf numFmtId="0" fontId="4" fillId="0" borderId="3" xfId="0" applyFont="1" applyBorder="1" applyAlignment="1">
      <alignment horizontal="center" vertical="center" wrapText="1"/>
    </xf>
    <xf numFmtId="0" fontId="4" fillId="5" borderId="1" xfId="0" applyFont="1" applyFill="1" applyBorder="1" applyAlignment="1">
      <alignment horizontal="center"/>
    </xf>
    <xf numFmtId="2" fontId="4" fillId="5" borderId="1" xfId="0" applyNumberFormat="1" applyFont="1" applyFill="1" applyBorder="1" applyAlignment="1">
      <alignment horizontal="center"/>
    </xf>
    <xf numFmtId="2" fontId="4" fillId="0" borderId="1" xfId="0" applyNumberFormat="1" applyFont="1" applyBorder="1" applyAlignment="1">
      <alignment horizontal="center"/>
    </xf>
    <xf numFmtId="1" fontId="4" fillId="2" borderId="1" xfId="0" applyNumberFormat="1" applyFont="1" applyFill="1" applyBorder="1" applyAlignment="1">
      <alignment horizontal="center"/>
    </xf>
    <xf numFmtId="2" fontId="4" fillId="2" borderId="1" xfId="0" applyNumberFormat="1" applyFont="1" applyFill="1" applyBorder="1" applyAlignment="1">
      <alignment horizontal="center"/>
    </xf>
    <xf numFmtId="1" fontId="4" fillId="5" borderId="1" xfId="0" applyNumberFormat="1" applyFont="1" applyFill="1" applyBorder="1" applyAlignment="1">
      <alignment horizontal="center"/>
    </xf>
    <xf numFmtId="167" fontId="4" fillId="2" borderId="1" xfId="0" applyNumberFormat="1" applyFont="1" applyFill="1" applyBorder="1" applyAlignment="1">
      <alignment horizontal="center"/>
    </xf>
    <xf numFmtId="1" fontId="4" fillId="0" borderId="1" xfId="0" applyNumberFormat="1" applyFont="1" applyBorder="1" applyAlignment="1">
      <alignment horizontal="center"/>
    </xf>
    <xf numFmtId="0" fontId="4" fillId="6" borderId="1" xfId="0" applyFont="1" applyFill="1" applyBorder="1" applyAlignment="1">
      <alignment horizontal="center"/>
    </xf>
    <xf numFmtId="0" fontId="4" fillId="0" borderId="1" xfId="0" applyFont="1" applyBorder="1" applyAlignment="1">
      <alignment horizontal="center" wrapText="1"/>
    </xf>
    <xf numFmtId="0" fontId="4" fillId="0" borderId="2" xfId="0" applyFont="1" applyBorder="1" applyAlignment="1">
      <alignment horizontal="center"/>
    </xf>
    <xf numFmtId="0" fontId="4" fillId="0" borderId="0" xfId="0" applyFont="1" applyAlignment="1">
      <alignment wrapText="1"/>
    </xf>
    <xf numFmtId="0" fontId="12" fillId="0" borderId="1" xfId="0" applyFont="1" applyBorder="1" applyAlignment="1">
      <alignment horizontal="center"/>
    </xf>
    <xf numFmtId="0" fontId="8" fillId="0" borderId="0" xfId="0" applyFont="1" applyAlignment="1">
      <alignment horizontal="center"/>
    </xf>
    <xf numFmtId="0" fontId="8" fillId="0" borderId="1" xfId="0" applyFont="1" applyBorder="1" applyAlignment="1">
      <alignment horizontal="center"/>
    </xf>
    <xf numFmtId="0" fontId="4" fillId="0" borderId="8" xfId="0" applyFont="1" applyBorder="1" applyAlignment="1">
      <alignment horizontal="center"/>
    </xf>
    <xf numFmtId="0" fontId="4" fillId="0" borderId="0" xfId="0" applyFont="1" applyBorder="1" applyAlignment="1">
      <alignment horizontal="center"/>
    </xf>
    <xf numFmtId="0" fontId="9" fillId="0" borderId="0" xfId="0" applyFont="1" applyAlignment="1">
      <alignment wrapText="1"/>
    </xf>
    <xf numFmtId="0" fontId="4" fillId="0" borderId="1" xfId="0" applyFont="1" applyBorder="1" applyAlignment="1">
      <alignment horizontal="center" shrinkToFit="1"/>
    </xf>
    <xf numFmtId="0" fontId="12" fillId="0" borderId="1" xfId="0" applyFont="1" applyBorder="1" applyAlignment="1">
      <alignment horizontal="center" wrapText="1"/>
    </xf>
    <xf numFmtId="164" fontId="4" fillId="0" borderId="0" xfId="0" applyNumberFormat="1" applyFont="1" applyBorder="1" applyAlignment="1">
      <alignment horizontal="center"/>
    </xf>
    <xf numFmtId="0" fontId="9" fillId="0" borderId="0" xfId="0" applyFont="1" applyAlignment="1">
      <alignment horizontal="center" wrapText="1"/>
    </xf>
    <xf numFmtId="0" fontId="4" fillId="0" borderId="0" xfId="0" applyFont="1" applyAlignment="1">
      <alignment horizontal="left" wrapText="1"/>
    </xf>
    <xf numFmtId="0" fontId="9" fillId="0" borderId="0" xfId="0" applyFont="1" applyAlignment="1">
      <alignment horizontal="center"/>
    </xf>
    <xf numFmtId="0" fontId="4" fillId="0" borderId="5" xfId="0" applyFont="1" applyBorder="1" applyAlignment="1">
      <alignment horizontal="center"/>
    </xf>
    <xf numFmtId="0" fontId="4" fillId="0" borderId="7" xfId="0" applyFont="1" applyBorder="1" applyAlignment="1">
      <alignment horizontal="center"/>
    </xf>
    <xf numFmtId="0" fontId="4" fillId="0" borderId="6" xfId="0" applyFont="1" applyBorder="1" applyAlignment="1">
      <alignment horizont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cellXfs>
  <cellStyles count="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7.bin"/><Relationship Id="rId2"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printerSettings" Target="../printerSettings/printerSettings9.bin"/><Relationship Id="rId2" Type="http://schemas.openxmlformats.org/officeDocument/2006/relationships/printerSettings" Target="../printerSettings/printerSettings10.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4" Type="http://schemas.openxmlformats.org/officeDocument/2006/relationships/comments" Target="../comments2.xml"/><Relationship Id="rId1" Type="http://schemas.openxmlformats.org/officeDocument/2006/relationships/printerSettings" Target="../printerSettings/printerSettings11.bin"/><Relationship Id="rId2" Type="http://schemas.openxmlformats.org/officeDocument/2006/relationships/printerSettings" Target="../printerSettings/printerSettings12.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4" Type="http://schemas.openxmlformats.org/officeDocument/2006/relationships/comments" Target="../comments3.xml"/><Relationship Id="rId1" Type="http://schemas.openxmlformats.org/officeDocument/2006/relationships/printerSettings" Target="../printerSettings/printerSettings13.bin"/><Relationship Id="rId2"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A12"/>
  <sheetViews>
    <sheetView workbookViewId="0">
      <selection activeCell="A17" sqref="A17"/>
    </sheetView>
  </sheetViews>
  <sheetFormatPr baseColWidth="10" defaultColWidth="8.83203125" defaultRowHeight="16" x14ac:dyDescent="0.2"/>
  <cols>
    <col min="1" max="1" width="105.5" customWidth="1"/>
  </cols>
  <sheetData>
    <row r="6" spans="1:1" ht="15.5" customHeight="1" x14ac:dyDescent="0.2">
      <c r="A6" s="61" t="s">
        <v>179</v>
      </c>
    </row>
    <row r="7" spans="1:1" ht="17.5" customHeight="1" x14ac:dyDescent="0.2">
      <c r="A7" s="61"/>
    </row>
    <row r="8" spans="1:1" ht="17.5" customHeight="1" x14ac:dyDescent="0.2">
      <c r="A8" s="61"/>
    </row>
    <row r="9" spans="1:1" ht="27.75" customHeight="1" x14ac:dyDescent="0.2">
      <c r="A9" s="61"/>
    </row>
    <row r="10" spans="1:1" ht="15.5" customHeight="1" x14ac:dyDescent="0.2">
      <c r="A10" s="57"/>
    </row>
    <row r="11" spans="1:1" ht="15.5" customHeight="1" x14ac:dyDescent="0.2">
      <c r="A11" s="57"/>
    </row>
    <row r="12" spans="1:1" ht="15.5" customHeight="1" x14ac:dyDescent="0.2">
      <c r="A12" s="57"/>
    </row>
  </sheetData>
  <customSheetViews>
    <customSheetView guid="{0151402A-CC2D-4B28-869C-70F7653010B1}">
      <selection activeCell="A6" sqref="A6:A9"/>
      <pageMargins left="0.7" right="0.7" top="0.75" bottom="0.75" header="0.3" footer="0.3"/>
      <pageSetup orientation="landscape" horizontalDpi="1200" verticalDpi="1200" r:id="rId1"/>
    </customSheetView>
  </customSheetViews>
  <mergeCells count="1">
    <mergeCell ref="A6:A9"/>
  </mergeCells>
  <pageMargins left="0.7" right="0.7" top="0.75" bottom="0.75" header="0.3" footer="0.3"/>
  <pageSetup orientation="landscape"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sheetPr>
  <dimension ref="A1:A20"/>
  <sheetViews>
    <sheetView zoomScale="110" zoomScaleNormal="110" workbookViewId="0">
      <selection activeCell="A5" sqref="A5"/>
    </sheetView>
  </sheetViews>
  <sheetFormatPr baseColWidth="10" defaultColWidth="9" defaultRowHeight="16" x14ac:dyDescent="0.2"/>
  <cols>
    <col min="1" max="1" width="136.5" style="1" customWidth="1"/>
    <col min="2" max="16384" width="9" style="1"/>
  </cols>
  <sheetData>
    <row r="1" spans="1:1" ht="18" x14ac:dyDescent="0.2">
      <c r="A1" s="38" t="s">
        <v>174</v>
      </c>
    </row>
    <row r="3" spans="1:1" x14ac:dyDescent="0.2">
      <c r="A3" s="25" t="s">
        <v>76</v>
      </c>
    </row>
    <row r="5" spans="1:1" x14ac:dyDescent="0.2">
      <c r="A5" s="1" t="s">
        <v>107</v>
      </c>
    </row>
    <row r="6" spans="1:1" ht="15.5" customHeight="1" x14ac:dyDescent="0.2">
      <c r="A6" s="51" t="s">
        <v>112</v>
      </c>
    </row>
    <row r="7" spans="1:1" x14ac:dyDescent="0.2">
      <c r="A7" s="1" t="s">
        <v>109</v>
      </c>
    </row>
    <row r="8" spans="1:1" x14ac:dyDescent="0.2">
      <c r="A8" s="1" t="s">
        <v>108</v>
      </c>
    </row>
    <row r="10" spans="1:1" x14ac:dyDescent="0.2">
      <c r="A10" s="25" t="s">
        <v>106</v>
      </c>
    </row>
    <row r="12" spans="1:1" x14ac:dyDescent="0.2">
      <c r="A12" s="62" t="s">
        <v>172</v>
      </c>
    </row>
    <row r="13" spans="1:1" x14ac:dyDescent="0.2">
      <c r="A13" s="62"/>
    </row>
    <row r="14" spans="1:1" x14ac:dyDescent="0.2">
      <c r="A14" s="62" t="s">
        <v>113</v>
      </c>
    </row>
    <row r="15" spans="1:1" x14ac:dyDescent="0.2">
      <c r="A15" s="62"/>
    </row>
    <row r="16" spans="1:1" ht="15.5" customHeight="1" x14ac:dyDescent="0.2">
      <c r="A16" s="62" t="s">
        <v>180</v>
      </c>
    </row>
    <row r="17" spans="1:1" x14ac:dyDescent="0.2">
      <c r="A17" s="62"/>
    </row>
    <row r="18" spans="1:1" x14ac:dyDescent="0.2">
      <c r="A18" s="62"/>
    </row>
    <row r="19" spans="1:1" x14ac:dyDescent="0.2">
      <c r="A19" s="62" t="s">
        <v>114</v>
      </c>
    </row>
    <row r="20" spans="1:1" x14ac:dyDescent="0.2">
      <c r="A20" s="62"/>
    </row>
  </sheetData>
  <customSheetViews>
    <customSheetView guid="{0151402A-CC2D-4B28-869C-70F7653010B1}" scale="110">
      <pageMargins left="0.7" right="0.7" top="0.75" bottom="0.75" header="0.3" footer="0.3"/>
      <pageSetup orientation="landscape" horizontalDpi="1200" verticalDpi="1200" r:id="rId1"/>
    </customSheetView>
  </customSheetViews>
  <mergeCells count="4">
    <mergeCell ref="A16:A18"/>
    <mergeCell ref="A12:A13"/>
    <mergeCell ref="A14:A15"/>
    <mergeCell ref="A19:A20"/>
  </mergeCells>
  <pageMargins left="0.7" right="0.7" top="0.75" bottom="0.75" header="0.3" footer="0.3"/>
  <pageSetup orientation="landscape" horizontalDpi="1200" verticalDpi="1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D26"/>
  <sheetViews>
    <sheetView topLeftCell="A7" workbookViewId="0">
      <selection activeCell="D11" sqref="D11"/>
    </sheetView>
  </sheetViews>
  <sheetFormatPr baseColWidth="10" defaultColWidth="11" defaultRowHeight="16" x14ac:dyDescent="0.2"/>
  <cols>
    <col min="1" max="1" width="38.5" style="1" customWidth="1"/>
    <col min="2" max="2" width="9" style="1" bestFit="1" customWidth="1"/>
    <col min="3" max="3" width="30.6640625" style="2" customWidth="1"/>
    <col min="4" max="4" width="32.5" style="2" customWidth="1"/>
    <col min="5" max="16384" width="11" style="1"/>
  </cols>
  <sheetData>
    <row r="1" spans="1:4" ht="18" x14ac:dyDescent="0.2">
      <c r="A1" s="63" t="s">
        <v>42</v>
      </c>
      <c r="B1" s="63"/>
      <c r="C1" s="63"/>
      <c r="D1" s="63"/>
    </row>
    <row r="3" spans="1:4" x14ac:dyDescent="0.2">
      <c r="A3" s="21" t="s">
        <v>39</v>
      </c>
      <c r="B3" s="10" t="s">
        <v>8</v>
      </c>
      <c r="C3" s="21" t="s">
        <v>37</v>
      </c>
      <c r="D3" s="21" t="s">
        <v>38</v>
      </c>
    </row>
    <row r="4" spans="1:4" x14ac:dyDescent="0.2">
      <c r="A4" s="21" t="s">
        <v>110</v>
      </c>
      <c r="B4" s="21" t="s">
        <v>32</v>
      </c>
      <c r="C4" s="19">
        <v>3</v>
      </c>
      <c r="D4" s="19">
        <v>3</v>
      </c>
    </row>
    <row r="5" spans="1:4" x14ac:dyDescent="0.2">
      <c r="A5" s="21" t="s">
        <v>89</v>
      </c>
      <c r="B5" s="21" t="s">
        <v>90</v>
      </c>
      <c r="C5" s="19">
        <v>11</v>
      </c>
      <c r="D5" s="19">
        <v>9</v>
      </c>
    </row>
    <row r="6" spans="1:4" x14ac:dyDescent="0.2">
      <c r="A6" s="21" t="s">
        <v>91</v>
      </c>
      <c r="B6" s="21" t="s">
        <v>92</v>
      </c>
      <c r="C6" s="20">
        <v>24</v>
      </c>
      <c r="D6" s="20">
        <v>24</v>
      </c>
    </row>
    <row r="7" spans="1:4" x14ac:dyDescent="0.2">
      <c r="A7" s="21"/>
      <c r="B7" s="21"/>
      <c r="C7" s="21"/>
      <c r="D7" s="21"/>
    </row>
    <row r="8" spans="1:4" x14ac:dyDescent="0.2">
      <c r="A8" s="21" t="s">
        <v>14</v>
      </c>
      <c r="B8" s="10"/>
      <c r="C8" s="19" t="s">
        <v>15</v>
      </c>
      <c r="D8" s="19" t="s">
        <v>15</v>
      </c>
    </row>
    <row r="9" spans="1:4" x14ac:dyDescent="0.2">
      <c r="A9" s="21" t="s">
        <v>34</v>
      </c>
      <c r="B9" s="21" t="s">
        <v>35</v>
      </c>
      <c r="C9" s="19">
        <v>50</v>
      </c>
      <c r="D9" s="19">
        <v>50</v>
      </c>
    </row>
    <row r="10" spans="1:4" x14ac:dyDescent="0.2">
      <c r="A10" s="21"/>
      <c r="B10" s="21"/>
      <c r="C10" s="23"/>
      <c r="D10" s="23"/>
    </row>
    <row r="11" spans="1:4" x14ac:dyDescent="0.2">
      <c r="A11" s="21" t="s">
        <v>40</v>
      </c>
      <c r="B11" s="10"/>
      <c r="C11" s="7" t="s">
        <v>2</v>
      </c>
      <c r="D11" s="7" t="s">
        <v>3</v>
      </c>
    </row>
    <row r="12" spans="1:4" ht="18" x14ac:dyDescent="0.2">
      <c r="A12" s="21" t="s">
        <v>36</v>
      </c>
      <c r="B12" s="10" t="s">
        <v>19</v>
      </c>
      <c r="C12" s="23" t="s">
        <v>4</v>
      </c>
      <c r="D12" s="23" t="s">
        <v>5</v>
      </c>
    </row>
    <row r="13" spans="1:4" x14ac:dyDescent="0.2">
      <c r="A13" s="21" t="s">
        <v>111</v>
      </c>
      <c r="B13" s="21" t="s">
        <v>31</v>
      </c>
      <c r="C13" s="12">
        <v>9.25</v>
      </c>
      <c r="D13" s="12">
        <v>7.55</v>
      </c>
    </row>
    <row r="14" spans="1:4" x14ac:dyDescent="0.2">
      <c r="A14" s="21" t="s">
        <v>93</v>
      </c>
      <c r="B14" s="21" t="s">
        <v>32</v>
      </c>
      <c r="C14" s="7">
        <v>67</v>
      </c>
      <c r="D14" s="7">
        <v>150</v>
      </c>
    </row>
    <row r="15" spans="1:4" x14ac:dyDescent="0.2">
      <c r="A15" s="21" t="s">
        <v>88</v>
      </c>
      <c r="B15" s="21" t="s">
        <v>33</v>
      </c>
      <c r="C15" s="12">
        <v>0.2</v>
      </c>
      <c r="D15" s="12">
        <v>0.15</v>
      </c>
    </row>
    <row r="16" spans="1:4" x14ac:dyDescent="0.2">
      <c r="A16" s="21" t="s">
        <v>41</v>
      </c>
      <c r="B16" s="21" t="s">
        <v>175</v>
      </c>
      <c r="C16" s="9">
        <f>C13+C14*C15</f>
        <v>22.65</v>
      </c>
      <c r="D16" s="9">
        <f>D13+D14*D15</f>
        <v>30.05</v>
      </c>
    </row>
    <row r="17" spans="1:4" x14ac:dyDescent="0.2">
      <c r="A17" s="21"/>
      <c r="B17" s="21"/>
      <c r="C17" s="24"/>
      <c r="D17" s="24"/>
    </row>
    <row r="18" spans="1:4" x14ac:dyDescent="0.2">
      <c r="A18" s="21" t="s">
        <v>115</v>
      </c>
      <c r="B18" s="21" t="s">
        <v>176</v>
      </c>
      <c r="C18" s="29">
        <f>'Construction Cost'!E18</f>
        <v>683839.08794449689</v>
      </c>
      <c r="D18" s="29">
        <f>'Construction Cost'!H18</f>
        <v>902172.06601327844</v>
      </c>
    </row>
    <row r="19" spans="1:4" x14ac:dyDescent="0.2">
      <c r="A19" s="21" t="s">
        <v>116</v>
      </c>
      <c r="B19" s="21" t="s">
        <v>176</v>
      </c>
      <c r="C19" s="29">
        <f>'Maintenance Cost'!E47</f>
        <v>134984.4</v>
      </c>
      <c r="D19" s="29">
        <f>'Maintenance Cost'!F47</f>
        <v>52008</v>
      </c>
    </row>
    <row r="20" spans="1:4" x14ac:dyDescent="0.2">
      <c r="A20" s="21" t="s">
        <v>117</v>
      </c>
      <c r="B20" s="21" t="s">
        <v>176</v>
      </c>
      <c r="C20" s="29">
        <f>'Rehabilitation Cost'!E55</f>
        <v>370253.31200000003</v>
      </c>
      <c r="D20" s="29">
        <f>'Rehabilitation Cost'!F55</f>
        <v>214082.17600000001</v>
      </c>
    </row>
    <row r="21" spans="1:4" x14ac:dyDescent="0.2">
      <c r="A21" s="21" t="s">
        <v>118</v>
      </c>
      <c r="B21" s="21" t="s">
        <v>176</v>
      </c>
      <c r="C21" s="29">
        <f>SUM(C18:C20)</f>
        <v>1189076.7999444969</v>
      </c>
      <c r="D21" s="29">
        <f>SUM(D18:D20)</f>
        <v>1168262.2420132784</v>
      </c>
    </row>
    <row r="22" spans="1:4" x14ac:dyDescent="0.2">
      <c r="A22" s="2"/>
    </row>
    <row r="23" spans="1:4" x14ac:dyDescent="0.2">
      <c r="A23" s="21" t="s">
        <v>102</v>
      </c>
      <c r="B23" s="21" t="s">
        <v>176</v>
      </c>
      <c r="C23" s="29">
        <f>C18*C$4</f>
        <v>2051517.2638334907</v>
      </c>
      <c r="D23" s="29">
        <f t="shared" ref="C23:D25" si="0">D18*D$4</f>
        <v>2706516.1980398353</v>
      </c>
    </row>
    <row r="24" spans="1:4" x14ac:dyDescent="0.2">
      <c r="A24" s="21" t="s">
        <v>103</v>
      </c>
      <c r="B24" s="21" t="s">
        <v>176</v>
      </c>
      <c r="C24" s="29">
        <f t="shared" si="0"/>
        <v>404953.19999999995</v>
      </c>
      <c r="D24" s="29">
        <f t="shared" si="0"/>
        <v>156024</v>
      </c>
    </row>
    <row r="25" spans="1:4" x14ac:dyDescent="0.2">
      <c r="A25" s="21" t="s">
        <v>104</v>
      </c>
      <c r="B25" s="21" t="s">
        <v>176</v>
      </c>
      <c r="C25" s="29">
        <f t="shared" si="0"/>
        <v>1110759.9360000002</v>
      </c>
      <c r="D25" s="29">
        <f t="shared" si="0"/>
        <v>642246.52800000005</v>
      </c>
    </row>
    <row r="26" spans="1:4" x14ac:dyDescent="0.2">
      <c r="A26" s="21" t="s">
        <v>105</v>
      </c>
      <c r="B26" s="21" t="s">
        <v>176</v>
      </c>
      <c r="C26" s="29">
        <f>SUM(C23:C25)</f>
        <v>3567230.3998334906</v>
      </c>
      <c r="D26" s="29">
        <f>SUM(D23:D25)</f>
        <v>3504786.7260398353</v>
      </c>
    </row>
  </sheetData>
  <customSheetViews>
    <customSheetView guid="{0151402A-CC2D-4B28-869C-70F7653010B1}">
      <selection activeCell="B28" sqref="B28"/>
      <pageMargins left="0.75" right="0.75" top="1" bottom="1" header="0.5" footer="0.5"/>
      <pageSetup orientation="landscape" horizontalDpi="4294967292" verticalDpi="4294967292" r:id="rId1"/>
    </customSheetView>
  </customSheetViews>
  <mergeCells count="1">
    <mergeCell ref="A1:D1"/>
  </mergeCells>
  <phoneticPr fontId="1" type="noConversion"/>
  <pageMargins left="0.75" right="0.75" top="1" bottom="1" header="0.5" footer="0.5"/>
  <pageSetup orientation="landscape" horizontalDpi="4294967292" verticalDpi="4294967292"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499984740745262"/>
  </sheetPr>
  <dimension ref="A1:I48"/>
  <sheetViews>
    <sheetView topLeftCell="D26" zoomScale="90" zoomScaleNormal="90" workbookViewId="0">
      <selection activeCell="G40" sqref="G40"/>
    </sheetView>
  </sheetViews>
  <sheetFormatPr baseColWidth="10" defaultColWidth="10.83203125" defaultRowHeight="16" x14ac:dyDescent="0.2"/>
  <cols>
    <col min="1" max="1" width="39.6640625" style="1" customWidth="1"/>
    <col min="2" max="2" width="8.6640625" style="2" customWidth="1"/>
    <col min="3" max="3" width="29.83203125" style="2" bestFit="1" customWidth="1"/>
    <col min="4" max="4" width="32.5" style="2" bestFit="1" customWidth="1"/>
    <col min="5" max="5" width="4.1640625" style="1" customWidth="1"/>
    <col min="6" max="6" width="37.1640625" style="1" customWidth="1"/>
    <col min="7" max="7" width="100.5" style="2" bestFit="1" customWidth="1"/>
    <col min="8" max="16384" width="10.83203125" style="1"/>
  </cols>
  <sheetData>
    <row r="1" spans="1:9" ht="18" x14ac:dyDescent="0.2">
      <c r="A1" s="63" t="s">
        <v>124</v>
      </c>
      <c r="B1" s="63"/>
      <c r="C1" s="63"/>
      <c r="D1" s="63"/>
      <c r="E1" s="35"/>
      <c r="F1" s="63" t="s">
        <v>124</v>
      </c>
      <c r="G1" s="63"/>
      <c r="H1" s="35"/>
      <c r="I1" s="35"/>
    </row>
    <row r="3" spans="1:9" x14ac:dyDescent="0.2">
      <c r="A3" s="21" t="s">
        <v>125</v>
      </c>
      <c r="B3" s="21" t="s">
        <v>8</v>
      </c>
      <c r="C3" s="21" t="s">
        <v>37</v>
      </c>
      <c r="D3" s="21" t="s">
        <v>38</v>
      </c>
    </row>
    <row r="4" spans="1:9" x14ac:dyDescent="0.2">
      <c r="A4" s="21"/>
      <c r="B4" s="21"/>
      <c r="C4" s="21"/>
      <c r="D4" s="21"/>
      <c r="F4" s="21"/>
      <c r="G4" s="28" t="s">
        <v>169</v>
      </c>
    </row>
    <row r="5" spans="1:9" x14ac:dyDescent="0.2">
      <c r="A5" s="21" t="s">
        <v>147</v>
      </c>
      <c r="B5" s="21" t="s">
        <v>90</v>
      </c>
      <c r="C5" s="19">
        <v>0.75</v>
      </c>
      <c r="D5" s="19">
        <v>0.75</v>
      </c>
      <c r="F5" s="21" t="s">
        <v>147</v>
      </c>
      <c r="G5" s="21" t="s">
        <v>163</v>
      </c>
    </row>
    <row r="6" spans="1:9" x14ac:dyDescent="0.2">
      <c r="A6" s="21" t="s">
        <v>148</v>
      </c>
      <c r="B6" s="21" t="s">
        <v>90</v>
      </c>
      <c r="C6" s="19">
        <v>50</v>
      </c>
      <c r="D6" s="19">
        <v>50</v>
      </c>
      <c r="F6" s="21" t="s">
        <v>148</v>
      </c>
      <c r="G6" s="21" t="s">
        <v>163</v>
      </c>
    </row>
    <row r="7" spans="1:9" x14ac:dyDescent="0.2">
      <c r="A7" s="21" t="s">
        <v>146</v>
      </c>
      <c r="B7" s="21" t="s">
        <v>90</v>
      </c>
      <c r="C7" s="19">
        <v>36</v>
      </c>
      <c r="D7" s="19">
        <v>48</v>
      </c>
      <c r="F7" s="21" t="s">
        <v>146</v>
      </c>
      <c r="G7" s="21" t="s">
        <v>163</v>
      </c>
    </row>
    <row r="8" spans="1:9" x14ac:dyDescent="0.2">
      <c r="A8" s="21" t="s">
        <v>149</v>
      </c>
      <c r="B8" s="21" t="s">
        <v>30</v>
      </c>
      <c r="C8" s="40">
        <f>5280/(C7/12)</f>
        <v>1760</v>
      </c>
      <c r="D8" s="40">
        <f>5280/(D7/12)</f>
        <v>1320</v>
      </c>
      <c r="F8" s="21" t="s">
        <v>149</v>
      </c>
      <c r="G8" s="21" t="s">
        <v>18</v>
      </c>
    </row>
    <row r="9" spans="1:9" x14ac:dyDescent="0.2">
      <c r="A9" s="21" t="s">
        <v>150</v>
      </c>
      <c r="B9" s="21" t="s">
        <v>126</v>
      </c>
      <c r="C9" s="41">
        <f>C8*(PI()*(C5/2)*(C5/2)*C6)/(36*36*36)</f>
        <v>0.83327351440701491</v>
      </c>
      <c r="D9" s="41">
        <f>D8*(PI()*(D5/2)*(D5/2)*D6)/(36*36*36)</f>
        <v>0.62495513580526119</v>
      </c>
      <c r="F9" s="21" t="s">
        <v>150</v>
      </c>
      <c r="G9" s="21" t="s">
        <v>18</v>
      </c>
    </row>
    <row r="10" spans="1:9" x14ac:dyDescent="0.2">
      <c r="A10" s="21"/>
      <c r="B10" s="21"/>
      <c r="C10" s="42"/>
      <c r="D10" s="42"/>
      <c r="F10" s="21"/>
      <c r="G10" s="21"/>
    </row>
    <row r="11" spans="1:9" x14ac:dyDescent="0.2">
      <c r="A11" s="21" t="s">
        <v>153</v>
      </c>
      <c r="B11" s="21" t="s">
        <v>90</v>
      </c>
      <c r="C11" s="43">
        <v>0</v>
      </c>
      <c r="D11" s="44">
        <v>0.75</v>
      </c>
      <c r="F11" s="21" t="s">
        <v>153</v>
      </c>
      <c r="G11" s="52" t="s">
        <v>164</v>
      </c>
    </row>
    <row r="12" spans="1:9" x14ac:dyDescent="0.2">
      <c r="A12" s="21" t="s">
        <v>151</v>
      </c>
      <c r="B12" s="21" t="s">
        <v>92</v>
      </c>
      <c r="C12" s="43">
        <v>0</v>
      </c>
      <c r="D12" s="43">
        <v>40</v>
      </c>
      <c r="F12" s="21" t="s">
        <v>151</v>
      </c>
      <c r="G12" s="52" t="s">
        <v>164</v>
      </c>
    </row>
    <row r="13" spans="1:9" x14ac:dyDescent="0.2">
      <c r="A13" s="21" t="s">
        <v>154</v>
      </c>
      <c r="B13" s="21" t="s">
        <v>90</v>
      </c>
      <c r="C13" s="43">
        <v>0</v>
      </c>
      <c r="D13" s="43">
        <v>25</v>
      </c>
      <c r="F13" s="21" t="s">
        <v>154</v>
      </c>
      <c r="G13" s="52" t="s">
        <v>164</v>
      </c>
    </row>
    <row r="14" spans="1:9" x14ac:dyDescent="0.2">
      <c r="A14" s="21" t="s">
        <v>155</v>
      </c>
      <c r="B14" s="21" t="s">
        <v>90</v>
      </c>
      <c r="C14" s="43">
        <v>0</v>
      </c>
      <c r="D14" s="43">
        <v>8</v>
      </c>
      <c r="F14" s="21" t="s">
        <v>155</v>
      </c>
      <c r="G14" s="52" t="s">
        <v>164</v>
      </c>
    </row>
    <row r="15" spans="1:9" x14ac:dyDescent="0.2">
      <c r="A15" s="21" t="s">
        <v>152</v>
      </c>
      <c r="B15" s="21" t="s">
        <v>30</v>
      </c>
      <c r="C15" s="45">
        <v>0</v>
      </c>
      <c r="D15" s="45">
        <f>((5280/D12)+(((5280/D12)*D13/12)/D12))*('General Information'!D6/(8/12))</f>
        <v>4999.5</v>
      </c>
      <c r="F15" s="21" t="s">
        <v>152</v>
      </c>
      <c r="G15" s="21" t="s">
        <v>18</v>
      </c>
    </row>
    <row r="16" spans="1:9" x14ac:dyDescent="0.2">
      <c r="A16" s="21" t="s">
        <v>156</v>
      </c>
      <c r="B16" s="21" t="s">
        <v>126</v>
      </c>
      <c r="C16" s="45">
        <v>0</v>
      </c>
      <c r="D16" s="41">
        <f>(D15*(PI()*(D11/2)*(D11/2)*(D12*12)))/(36*36*36)</f>
        <v>22.723368737879294</v>
      </c>
      <c r="F16" s="21" t="s">
        <v>156</v>
      </c>
      <c r="G16" s="21" t="s">
        <v>18</v>
      </c>
    </row>
    <row r="17" spans="1:7" x14ac:dyDescent="0.2">
      <c r="A17" s="21"/>
      <c r="B17" s="21"/>
      <c r="C17" s="42"/>
      <c r="D17" s="21"/>
      <c r="F17" s="21"/>
      <c r="G17" s="21"/>
    </row>
    <row r="18" spans="1:7" x14ac:dyDescent="0.2">
      <c r="A18" s="21" t="s">
        <v>157</v>
      </c>
      <c r="B18" s="21" t="s">
        <v>90</v>
      </c>
      <c r="C18" s="43">
        <v>0</v>
      </c>
      <c r="D18" s="46">
        <v>0.625</v>
      </c>
      <c r="F18" s="21" t="s">
        <v>157</v>
      </c>
      <c r="G18" s="52" t="s">
        <v>164</v>
      </c>
    </row>
    <row r="19" spans="1:7" x14ac:dyDescent="0.2">
      <c r="A19" s="21" t="s">
        <v>158</v>
      </c>
      <c r="B19" s="21" t="s">
        <v>92</v>
      </c>
      <c r="C19" s="43">
        <v>0</v>
      </c>
      <c r="D19" s="43">
        <f>'General Information'!D6-1</f>
        <v>23</v>
      </c>
      <c r="F19" s="21" t="s">
        <v>158</v>
      </c>
      <c r="G19" s="52" t="s">
        <v>164</v>
      </c>
    </row>
    <row r="20" spans="1:7" x14ac:dyDescent="0.2">
      <c r="A20" s="21" t="s">
        <v>159</v>
      </c>
      <c r="B20" s="21" t="s">
        <v>90</v>
      </c>
      <c r="C20" s="43">
        <v>0</v>
      </c>
      <c r="D20" s="43">
        <v>48</v>
      </c>
      <c r="F20" s="21" t="s">
        <v>159</v>
      </c>
      <c r="G20" s="52" t="s">
        <v>164</v>
      </c>
    </row>
    <row r="21" spans="1:7" x14ac:dyDescent="0.2">
      <c r="A21" s="21" t="s">
        <v>160</v>
      </c>
      <c r="B21" s="21" t="s">
        <v>30</v>
      </c>
      <c r="C21" s="45">
        <v>0</v>
      </c>
      <c r="D21" s="45">
        <f>D19*(5280/D20)</f>
        <v>2530</v>
      </c>
      <c r="F21" s="21" t="s">
        <v>160</v>
      </c>
      <c r="G21" s="52" t="s">
        <v>18</v>
      </c>
    </row>
    <row r="22" spans="1:7" x14ac:dyDescent="0.2">
      <c r="A22" s="21" t="s">
        <v>161</v>
      </c>
      <c r="B22" s="21" t="s">
        <v>126</v>
      </c>
      <c r="C22" s="45">
        <v>0</v>
      </c>
      <c r="D22" s="41">
        <f>(D21*(PI()*(D18/2)*(D18/2)*(D19*12)))/(36*36*36)</f>
        <v>4.5916842616803226</v>
      </c>
      <c r="F22" s="21" t="s">
        <v>161</v>
      </c>
      <c r="G22" s="21" t="s">
        <v>18</v>
      </c>
    </row>
    <row r="23" spans="1:7" x14ac:dyDescent="0.2">
      <c r="A23" s="21"/>
      <c r="B23" s="21"/>
      <c r="C23" s="47"/>
      <c r="D23" s="42"/>
      <c r="F23" s="21"/>
      <c r="G23" s="21"/>
    </row>
    <row r="24" spans="1:7" x14ac:dyDescent="0.2">
      <c r="A24" s="21" t="s">
        <v>181</v>
      </c>
      <c r="B24" s="21" t="s">
        <v>126</v>
      </c>
      <c r="C24" s="41">
        <f>SUM(C9)</f>
        <v>0.83327351440701491</v>
      </c>
      <c r="D24" s="41">
        <f>SUM(D9+D16+D22)</f>
        <v>27.940008135364877</v>
      </c>
      <c r="F24" s="58" t="s">
        <v>173</v>
      </c>
      <c r="G24" s="21" t="s">
        <v>18</v>
      </c>
    </row>
    <row r="25" spans="1:7" x14ac:dyDescent="0.2">
      <c r="A25" s="21" t="s">
        <v>141</v>
      </c>
      <c r="B25" s="21" t="s">
        <v>142</v>
      </c>
      <c r="C25" s="44">
        <v>6.62</v>
      </c>
      <c r="D25" s="44">
        <v>6.62</v>
      </c>
      <c r="F25" s="21" t="s">
        <v>141</v>
      </c>
      <c r="G25" s="21" t="s">
        <v>183</v>
      </c>
    </row>
    <row r="26" spans="1:7" x14ac:dyDescent="0.2">
      <c r="A26" s="21" t="s">
        <v>162</v>
      </c>
      <c r="B26" s="21" t="s">
        <v>31</v>
      </c>
      <c r="C26" s="41">
        <f>C24*C25</f>
        <v>5.5162706653744387</v>
      </c>
      <c r="D26" s="41">
        <f>D24*D25</f>
        <v>184.96285385611549</v>
      </c>
      <c r="F26" s="21" t="s">
        <v>162</v>
      </c>
      <c r="G26" s="21" t="s">
        <v>18</v>
      </c>
    </row>
    <row r="27" spans="1:7" x14ac:dyDescent="0.2">
      <c r="A27" s="21"/>
      <c r="B27" s="21"/>
      <c r="C27" s="21"/>
      <c r="D27" s="21"/>
      <c r="F27" s="21"/>
      <c r="G27" s="21"/>
    </row>
    <row r="28" spans="1:7" x14ac:dyDescent="0.2">
      <c r="A28" s="21" t="s">
        <v>144</v>
      </c>
      <c r="B28" s="21" t="s">
        <v>92</v>
      </c>
      <c r="C28" s="19">
        <v>15</v>
      </c>
      <c r="D28" s="19">
        <v>0</v>
      </c>
      <c r="F28" s="21" t="s">
        <v>144</v>
      </c>
      <c r="G28" s="21" t="s">
        <v>166</v>
      </c>
    </row>
    <row r="29" spans="1:7" x14ac:dyDescent="0.2">
      <c r="A29" s="21" t="s">
        <v>53</v>
      </c>
      <c r="B29" s="21" t="s">
        <v>30</v>
      </c>
      <c r="C29" s="40">
        <f>5280/C28-1</f>
        <v>351</v>
      </c>
      <c r="D29" s="40">
        <v>0</v>
      </c>
      <c r="F29" s="21" t="s">
        <v>53</v>
      </c>
      <c r="G29" s="21" t="s">
        <v>18</v>
      </c>
    </row>
    <row r="30" spans="1:7" x14ac:dyDescent="0.2">
      <c r="A30" s="21" t="s">
        <v>184</v>
      </c>
      <c r="B30" s="21" t="s">
        <v>90</v>
      </c>
      <c r="C30" s="19">
        <f>1+3/8</f>
        <v>1.375</v>
      </c>
      <c r="D30" s="19">
        <v>0</v>
      </c>
      <c r="F30" s="21" t="s">
        <v>184</v>
      </c>
      <c r="G30" s="21" t="s">
        <v>166</v>
      </c>
    </row>
    <row r="31" spans="1:7" x14ac:dyDescent="0.2">
      <c r="A31" s="21" t="s">
        <v>177</v>
      </c>
      <c r="B31" s="21" t="s">
        <v>90</v>
      </c>
      <c r="C31" s="19">
        <v>18</v>
      </c>
      <c r="D31" s="19">
        <v>0</v>
      </c>
      <c r="F31" s="21" t="s">
        <v>177</v>
      </c>
      <c r="G31" s="21" t="s">
        <v>166</v>
      </c>
    </row>
    <row r="32" spans="1:7" x14ac:dyDescent="0.2">
      <c r="A32" s="21" t="s">
        <v>145</v>
      </c>
      <c r="B32" s="21" t="s">
        <v>92</v>
      </c>
      <c r="C32" s="19">
        <v>1</v>
      </c>
      <c r="D32" s="19">
        <v>0</v>
      </c>
      <c r="F32" s="21" t="s">
        <v>145</v>
      </c>
      <c r="G32" s="21" t="s">
        <v>166</v>
      </c>
    </row>
    <row r="33" spans="1:7" x14ac:dyDescent="0.2">
      <c r="A33" s="21" t="s">
        <v>136</v>
      </c>
      <c r="B33" s="21" t="s">
        <v>30</v>
      </c>
      <c r="C33" s="20">
        <f>'General Information'!C6-2</f>
        <v>22</v>
      </c>
      <c r="D33" s="19">
        <v>0</v>
      </c>
      <c r="F33" s="21" t="s">
        <v>136</v>
      </c>
      <c r="G33" s="21" t="s">
        <v>166</v>
      </c>
    </row>
    <row r="34" spans="1:7" x14ac:dyDescent="0.2">
      <c r="A34" s="21" t="s">
        <v>137</v>
      </c>
      <c r="B34" s="21" t="s">
        <v>30</v>
      </c>
      <c r="C34" s="40">
        <f>C29*C33</f>
        <v>7722</v>
      </c>
      <c r="D34" s="40">
        <v>0</v>
      </c>
      <c r="F34" s="21" t="s">
        <v>137</v>
      </c>
      <c r="G34" s="21" t="s">
        <v>18</v>
      </c>
    </row>
    <row r="35" spans="1:7" x14ac:dyDescent="0.2">
      <c r="A35" s="21" t="s">
        <v>178</v>
      </c>
      <c r="B35" s="21" t="s">
        <v>126</v>
      </c>
      <c r="C35" s="41">
        <f>C34*(3.1416*C30^2/4*C31)/36^3</f>
        <v>4.4237552734375001</v>
      </c>
      <c r="D35" s="40">
        <v>0</v>
      </c>
      <c r="F35" s="21" t="s">
        <v>178</v>
      </c>
      <c r="G35" s="21" t="s">
        <v>18</v>
      </c>
    </row>
    <row r="36" spans="1:7" x14ac:dyDescent="0.2">
      <c r="A36" s="21"/>
      <c r="B36" s="21"/>
      <c r="C36" s="21"/>
      <c r="D36" s="21"/>
      <c r="F36" s="21"/>
      <c r="G36" s="21"/>
    </row>
    <row r="37" spans="1:7" x14ac:dyDescent="0.2">
      <c r="A37" s="21" t="s">
        <v>127</v>
      </c>
      <c r="B37" s="21" t="s">
        <v>126</v>
      </c>
      <c r="C37" s="45">
        <f>(('General Information'!C5/12)*'General Information'!C6*5280)/27</f>
        <v>4302.2222222222226</v>
      </c>
      <c r="D37" s="40">
        <f>(('General Information'!D5/12)*'General Information'!D6*5280)/27</f>
        <v>3520</v>
      </c>
      <c r="F37" s="21" t="s">
        <v>127</v>
      </c>
      <c r="G37" s="21" t="s">
        <v>18</v>
      </c>
    </row>
    <row r="38" spans="1:7" x14ac:dyDescent="0.2">
      <c r="A38" s="21" t="s">
        <v>182</v>
      </c>
      <c r="B38" s="21" t="s">
        <v>129</v>
      </c>
      <c r="C38" s="41">
        <f>100*(C24+C35)/C37</f>
        <v>0.12219333442820411</v>
      </c>
      <c r="D38" s="41">
        <f>100*(D24+D35)/D37</f>
        <v>0.79375023111832044</v>
      </c>
      <c r="F38" s="21" t="s">
        <v>128</v>
      </c>
      <c r="G38" s="21" t="s">
        <v>165</v>
      </c>
    </row>
    <row r="39" spans="1:7" x14ac:dyDescent="0.2">
      <c r="A39" s="21" t="s">
        <v>130</v>
      </c>
      <c r="B39" s="21" t="s">
        <v>126</v>
      </c>
      <c r="C39" s="45">
        <f>C37-(C37*(C38/100))</f>
        <v>4296.9651934343783</v>
      </c>
      <c r="D39" s="45">
        <f>D37-(D37*(D38/100))</f>
        <v>3492.0599918646353</v>
      </c>
      <c r="F39" s="21" t="s">
        <v>130</v>
      </c>
      <c r="G39" s="21" t="s">
        <v>18</v>
      </c>
    </row>
    <row r="40" spans="1:7" x14ac:dyDescent="0.2">
      <c r="A40" s="21" t="s">
        <v>132</v>
      </c>
      <c r="B40" s="21" t="s">
        <v>133</v>
      </c>
      <c r="C40" s="43">
        <v>3987</v>
      </c>
      <c r="D40" s="19">
        <v>3987</v>
      </c>
      <c r="F40" s="21" t="s">
        <v>132</v>
      </c>
      <c r="G40" s="58" t="s">
        <v>171</v>
      </c>
    </row>
    <row r="41" spans="1:7" x14ac:dyDescent="0.2">
      <c r="A41" s="21" t="s">
        <v>131</v>
      </c>
      <c r="B41" s="21" t="s">
        <v>31</v>
      </c>
      <c r="C41" s="45">
        <f>C39*C40/2000</f>
        <v>8566.0001131114332</v>
      </c>
      <c r="D41" s="45">
        <f>D39*D40/2000</f>
        <v>6961.42159378215</v>
      </c>
      <c r="F41" s="21" t="s">
        <v>131</v>
      </c>
      <c r="G41" s="21" t="s">
        <v>18</v>
      </c>
    </row>
    <row r="42" spans="1:7" x14ac:dyDescent="0.2">
      <c r="A42" s="21" t="s">
        <v>134</v>
      </c>
      <c r="B42" s="21" t="s">
        <v>129</v>
      </c>
      <c r="C42" s="43">
        <v>42</v>
      </c>
      <c r="D42" s="19">
        <v>42</v>
      </c>
      <c r="F42" s="21" t="s">
        <v>134</v>
      </c>
      <c r="G42" s="58" t="s">
        <v>170</v>
      </c>
    </row>
    <row r="43" spans="1:7" x14ac:dyDescent="0.2">
      <c r="A43" s="21" t="s">
        <v>143</v>
      </c>
      <c r="B43" s="21" t="s">
        <v>31</v>
      </c>
      <c r="C43" s="45">
        <f>C41*C42/100</f>
        <v>3597.7200475068016</v>
      </c>
      <c r="D43" s="45">
        <f>D41*D42/100</f>
        <v>2923.7970693885027</v>
      </c>
      <c r="F43" s="21" t="s">
        <v>143</v>
      </c>
      <c r="G43" s="21" t="s">
        <v>18</v>
      </c>
    </row>
    <row r="44" spans="1:7" x14ac:dyDescent="0.2">
      <c r="A44" s="21"/>
      <c r="B44" s="21"/>
      <c r="C44" s="21"/>
      <c r="D44" s="21"/>
      <c r="F44" s="21"/>
      <c r="G44" s="21"/>
    </row>
    <row r="45" spans="1:7" x14ac:dyDescent="0.2">
      <c r="A45" s="21" t="s">
        <v>138</v>
      </c>
      <c r="B45" s="21" t="s">
        <v>30</v>
      </c>
      <c r="C45" s="19">
        <v>1</v>
      </c>
      <c r="D45" s="19">
        <v>1</v>
      </c>
      <c r="F45" s="21" t="s">
        <v>138</v>
      </c>
      <c r="G45" s="21" t="s">
        <v>167</v>
      </c>
    </row>
    <row r="46" spans="1:7" x14ac:dyDescent="0.2">
      <c r="A46" s="21" t="s">
        <v>53</v>
      </c>
      <c r="B46" s="21" t="s">
        <v>30</v>
      </c>
      <c r="C46" s="19">
        <v>351</v>
      </c>
      <c r="D46" s="19">
        <v>0</v>
      </c>
      <c r="F46" s="21" t="s">
        <v>53</v>
      </c>
      <c r="G46" s="58" t="s">
        <v>168</v>
      </c>
    </row>
    <row r="47" spans="1:7" x14ac:dyDescent="0.2">
      <c r="A47" s="21" t="s">
        <v>139</v>
      </c>
      <c r="B47" s="21" t="s">
        <v>94</v>
      </c>
      <c r="C47" s="48">
        <f>(C45*5280)+(C46*'General Information'!C6)</f>
        <v>13704</v>
      </c>
      <c r="D47" s="48">
        <f>D45*5280</f>
        <v>5280</v>
      </c>
      <c r="F47" s="21" t="s">
        <v>139</v>
      </c>
      <c r="G47" s="21" t="s">
        <v>18</v>
      </c>
    </row>
    <row r="48" spans="1:7" x14ac:dyDescent="0.2">
      <c r="A48" s="21" t="s">
        <v>140</v>
      </c>
      <c r="B48" s="21" t="s">
        <v>94</v>
      </c>
      <c r="C48" s="48">
        <f>C47</f>
        <v>13704</v>
      </c>
      <c r="D48" s="48">
        <f>D47</f>
        <v>5280</v>
      </c>
      <c r="F48" s="21" t="s">
        <v>140</v>
      </c>
      <c r="G48" s="21" t="s">
        <v>18</v>
      </c>
    </row>
  </sheetData>
  <customSheetViews>
    <customSheetView guid="{0151402A-CC2D-4B28-869C-70F7653010B1}" scale="80">
      <selection activeCell="F14" sqref="F14"/>
      <pageMargins left="0.75" right="0.75" top="1" bottom="1" header="0.5" footer="0.5"/>
      <pageSetup orientation="landscape" horizontalDpi="4294967292" verticalDpi="4294967292" r:id="rId1"/>
    </customSheetView>
  </customSheetViews>
  <mergeCells count="2">
    <mergeCell ref="A1:D1"/>
    <mergeCell ref="F1:G1"/>
  </mergeCells>
  <pageMargins left="0.75" right="0.75" top="1" bottom="1" header="0.5" footer="0.5"/>
  <pageSetup orientation="landscape" horizontalDpi="4294967292" verticalDpi="4294967292"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6" tint="-0.499984740745262"/>
  </sheetPr>
  <dimension ref="A1:K31"/>
  <sheetViews>
    <sheetView zoomScale="90" zoomScaleNormal="90" workbookViewId="0">
      <selection activeCell="G43" sqref="G43"/>
    </sheetView>
  </sheetViews>
  <sheetFormatPr baseColWidth="10" defaultColWidth="11" defaultRowHeight="16" x14ac:dyDescent="0.2"/>
  <cols>
    <col min="1" max="1" width="31.83203125" style="1" customWidth="1"/>
    <col min="2" max="2" width="8.83203125" style="2" customWidth="1"/>
    <col min="3" max="8" width="10.6640625" style="2" customWidth="1"/>
    <col min="9" max="9" width="6.1640625" style="1" customWidth="1"/>
    <col min="10" max="10" width="32.6640625" style="2" bestFit="1" customWidth="1"/>
    <col min="11" max="11" width="90.6640625" style="2" bestFit="1" customWidth="1"/>
    <col min="12" max="16384" width="11" style="1"/>
  </cols>
  <sheetData>
    <row r="1" spans="1:11" ht="18" x14ac:dyDescent="0.2">
      <c r="A1" s="63" t="s">
        <v>119</v>
      </c>
      <c r="B1" s="63"/>
      <c r="C1" s="63"/>
      <c r="D1" s="63"/>
      <c r="E1" s="63"/>
      <c r="F1" s="63"/>
      <c r="G1" s="63"/>
      <c r="H1" s="63"/>
      <c r="J1" s="63" t="s">
        <v>98</v>
      </c>
      <c r="K1" s="63"/>
    </row>
    <row r="3" spans="1:11" x14ac:dyDescent="0.2">
      <c r="A3" s="5"/>
      <c r="B3" s="5"/>
      <c r="C3" s="64" t="s">
        <v>37</v>
      </c>
      <c r="D3" s="65"/>
      <c r="E3" s="66"/>
      <c r="F3" s="64" t="s">
        <v>38</v>
      </c>
      <c r="G3" s="65"/>
      <c r="H3" s="66"/>
      <c r="J3" s="53"/>
      <c r="K3" s="53"/>
    </row>
    <row r="4" spans="1:11" x14ac:dyDescent="0.2">
      <c r="A4" s="5"/>
      <c r="B4" s="5"/>
      <c r="C4" s="22"/>
      <c r="D4" s="21"/>
      <c r="E4" s="21"/>
      <c r="F4" s="21"/>
      <c r="G4" s="21"/>
      <c r="H4" s="21"/>
      <c r="J4" s="53"/>
      <c r="K4" s="53"/>
    </row>
    <row r="5" spans="1:11" x14ac:dyDescent="0.2">
      <c r="A5" s="21"/>
      <c r="B5" s="6" t="s">
        <v>8</v>
      </c>
      <c r="C5" s="21" t="s">
        <v>9</v>
      </c>
      <c r="D5" s="6" t="s">
        <v>10</v>
      </c>
      <c r="E5" s="6" t="s">
        <v>11</v>
      </c>
      <c r="F5" s="21" t="s">
        <v>9</v>
      </c>
      <c r="G5" s="21" t="s">
        <v>10</v>
      </c>
      <c r="H5" s="21" t="s">
        <v>11</v>
      </c>
      <c r="I5" s="26"/>
      <c r="J5" s="54"/>
      <c r="K5" s="36" t="s">
        <v>48</v>
      </c>
    </row>
    <row r="6" spans="1:11" x14ac:dyDescent="0.2">
      <c r="A6" s="21"/>
      <c r="B6" s="21"/>
      <c r="C6" s="21"/>
      <c r="D6" s="21"/>
      <c r="E6" s="21"/>
      <c r="F6" s="21"/>
      <c r="G6" s="21"/>
      <c r="H6" s="21"/>
      <c r="I6" s="26"/>
      <c r="J6" s="54"/>
      <c r="K6" s="36"/>
    </row>
    <row r="7" spans="1:11" x14ac:dyDescent="0.2">
      <c r="A7" s="49" t="s">
        <v>44</v>
      </c>
      <c r="B7" s="21" t="s">
        <v>31</v>
      </c>
      <c r="C7" s="15">
        <f>'Construction Quantities'!C43</f>
        <v>3597.7200475068016</v>
      </c>
      <c r="D7" s="9">
        <f>'General Information'!C16</f>
        <v>22.65</v>
      </c>
      <c r="E7" s="8">
        <f>C7*D7</f>
        <v>81488.359076029054</v>
      </c>
      <c r="F7" s="20">
        <f>'Construction Quantities'!D43</f>
        <v>2923.7970693885027</v>
      </c>
      <c r="G7" s="9">
        <f>'General Information'!D16</f>
        <v>30.05</v>
      </c>
      <c r="H7" s="8">
        <f>F7*G7</f>
        <v>87860.101935124505</v>
      </c>
      <c r="I7" s="27"/>
      <c r="J7" s="49" t="s">
        <v>44</v>
      </c>
      <c r="K7" s="21" t="s">
        <v>43</v>
      </c>
    </row>
    <row r="8" spans="1:11" ht="15.75" customHeight="1" x14ac:dyDescent="0.2">
      <c r="A8" s="49" t="s">
        <v>6</v>
      </c>
      <c r="B8" s="10" t="s">
        <v>126</v>
      </c>
      <c r="C8" s="15">
        <f>'Construction Quantities'!C39</f>
        <v>4296.9651934343783</v>
      </c>
      <c r="D8" s="12">
        <v>45</v>
      </c>
      <c r="E8" s="8">
        <f>C8*D8</f>
        <v>193363.43370454703</v>
      </c>
      <c r="F8" s="20">
        <f>'Construction Quantities'!D39</f>
        <v>3492.0599918646353</v>
      </c>
      <c r="G8" s="12">
        <v>45</v>
      </c>
      <c r="H8" s="8">
        <f>F8*G8</f>
        <v>157142.6996339086</v>
      </c>
      <c r="I8" s="27"/>
      <c r="J8" s="49" t="s">
        <v>6</v>
      </c>
      <c r="K8" s="21" t="s">
        <v>49</v>
      </c>
    </row>
    <row r="9" spans="1:11" ht="15.75" customHeight="1" x14ac:dyDescent="0.2">
      <c r="A9" s="49" t="s">
        <v>45</v>
      </c>
      <c r="B9" s="10" t="s">
        <v>126</v>
      </c>
      <c r="C9" s="30"/>
      <c r="D9" s="24"/>
      <c r="E9" s="8">
        <f>E7+E8</f>
        <v>274851.7927805761</v>
      </c>
      <c r="F9" s="30"/>
      <c r="G9" s="24"/>
      <c r="H9" s="8">
        <f>H7+H8</f>
        <v>245002.80156903312</v>
      </c>
      <c r="I9" s="27"/>
      <c r="J9" s="49" t="s">
        <v>45</v>
      </c>
      <c r="K9" s="21" t="s">
        <v>18</v>
      </c>
    </row>
    <row r="10" spans="1:11" ht="15.75" customHeight="1" x14ac:dyDescent="0.2">
      <c r="A10" s="49"/>
      <c r="B10" s="21"/>
      <c r="C10" s="30"/>
      <c r="D10" s="24"/>
      <c r="E10" s="31"/>
      <c r="F10" s="30"/>
      <c r="G10" s="24"/>
      <c r="H10" s="31"/>
      <c r="I10" s="27"/>
      <c r="J10" s="49"/>
      <c r="K10" s="21"/>
    </row>
    <row r="11" spans="1:11" x14ac:dyDescent="0.2">
      <c r="A11" s="21" t="s">
        <v>7</v>
      </c>
      <c r="B11" s="21" t="s">
        <v>30</v>
      </c>
      <c r="C11" s="15">
        <f>'Construction Quantities'!C34</f>
        <v>7722</v>
      </c>
      <c r="D11" s="12">
        <v>11.25</v>
      </c>
      <c r="E11" s="8">
        <f>C11*D11</f>
        <v>86872.5</v>
      </c>
      <c r="F11" s="20">
        <v>0</v>
      </c>
      <c r="G11" s="12">
        <v>0</v>
      </c>
      <c r="H11" s="8">
        <f>F11*G11</f>
        <v>0</v>
      </c>
      <c r="I11" s="26"/>
      <c r="J11" s="21" t="s">
        <v>7</v>
      </c>
      <c r="K11" s="21" t="s">
        <v>21</v>
      </c>
    </row>
    <row r="12" spans="1:11" x14ac:dyDescent="0.2">
      <c r="A12" s="21" t="s">
        <v>0</v>
      </c>
      <c r="B12" s="10" t="s">
        <v>94</v>
      </c>
      <c r="C12" s="15">
        <f>'Construction Quantities'!C47</f>
        <v>13704</v>
      </c>
      <c r="D12" s="12">
        <v>4.96</v>
      </c>
      <c r="E12" s="8">
        <f>C12*D12</f>
        <v>67971.839999999997</v>
      </c>
      <c r="F12" s="20">
        <f>'Construction Quantities'!D47</f>
        <v>5280</v>
      </c>
      <c r="G12" s="12">
        <v>4.96</v>
      </c>
      <c r="H12" s="8">
        <f>F12*G12</f>
        <v>26188.799999999999</v>
      </c>
      <c r="I12" s="26"/>
      <c r="J12" s="21" t="s">
        <v>0</v>
      </c>
      <c r="K12" s="21" t="s">
        <v>21</v>
      </c>
    </row>
    <row r="13" spans="1:11" x14ac:dyDescent="0.2">
      <c r="A13" s="21" t="s">
        <v>1</v>
      </c>
      <c r="B13" s="21" t="s">
        <v>94</v>
      </c>
      <c r="C13" s="15">
        <f>'Construction Quantities'!C48</f>
        <v>13704</v>
      </c>
      <c r="D13" s="12">
        <v>1.97</v>
      </c>
      <c r="E13" s="8">
        <f>C13*D13</f>
        <v>26996.880000000001</v>
      </c>
      <c r="F13" s="20">
        <f>'Construction Quantities'!D48</f>
        <v>5280</v>
      </c>
      <c r="G13" s="12">
        <v>1.97</v>
      </c>
      <c r="H13" s="8">
        <f>F13*G13</f>
        <v>10401.6</v>
      </c>
      <c r="I13" s="26"/>
      <c r="J13" s="21" t="s">
        <v>1</v>
      </c>
      <c r="K13" s="21" t="s">
        <v>21</v>
      </c>
    </row>
    <row r="14" spans="1:11" x14ac:dyDescent="0.2">
      <c r="A14" s="21" t="s">
        <v>46</v>
      </c>
      <c r="B14" s="21" t="s">
        <v>31</v>
      </c>
      <c r="C14" s="16">
        <f>'Construction Quantities'!C26</f>
        <v>5.5162706653744387</v>
      </c>
      <c r="D14" s="17">
        <v>2125</v>
      </c>
      <c r="E14" s="8">
        <f>D14*C14</f>
        <v>11722.075163920683</v>
      </c>
      <c r="F14" s="16">
        <f>'Construction Quantities'!D26</f>
        <v>184.96285385611549</v>
      </c>
      <c r="G14" s="17">
        <v>2125</v>
      </c>
      <c r="H14" s="8">
        <f>G14*F14</f>
        <v>393046.06444424542</v>
      </c>
      <c r="I14" s="26"/>
      <c r="J14" s="21" t="s">
        <v>46</v>
      </c>
      <c r="K14" s="21" t="s">
        <v>20</v>
      </c>
    </row>
    <row r="15" spans="1:11" x14ac:dyDescent="0.2">
      <c r="A15" s="21"/>
      <c r="B15" s="21"/>
      <c r="C15" s="32"/>
      <c r="D15" s="31"/>
      <c r="E15" s="31"/>
      <c r="F15" s="32"/>
      <c r="G15" s="31"/>
      <c r="H15" s="31"/>
      <c r="I15" s="26"/>
      <c r="J15" s="21"/>
      <c r="K15" s="21"/>
    </row>
    <row r="16" spans="1:11" x14ac:dyDescent="0.2">
      <c r="A16" s="21" t="s">
        <v>47</v>
      </c>
      <c r="B16" s="10" t="s">
        <v>135</v>
      </c>
      <c r="C16" s="37">
        <f>(5280*'General Information'!C6)/9</f>
        <v>14080</v>
      </c>
      <c r="D16" s="12">
        <v>15.3</v>
      </c>
      <c r="E16" s="8">
        <f>C16*D16</f>
        <v>215424</v>
      </c>
      <c r="F16" s="37">
        <f>(5280*'General Information'!D6)/9</f>
        <v>14080</v>
      </c>
      <c r="G16" s="12">
        <v>16.16</v>
      </c>
      <c r="H16" s="8">
        <f>F16*G16</f>
        <v>227532.79999999999</v>
      </c>
      <c r="I16" s="26"/>
      <c r="J16" s="21" t="s">
        <v>47</v>
      </c>
      <c r="K16" s="59" t="s">
        <v>50</v>
      </c>
    </row>
    <row r="17" spans="1:11" x14ac:dyDescent="0.2">
      <c r="A17" s="21"/>
      <c r="B17" s="21"/>
      <c r="C17" s="30"/>
      <c r="D17" s="24"/>
      <c r="E17" s="31"/>
      <c r="F17" s="30"/>
      <c r="G17" s="24"/>
      <c r="H17" s="31"/>
      <c r="I17" s="26"/>
      <c r="J17" s="21"/>
      <c r="K17" s="59"/>
    </row>
    <row r="18" spans="1:11" x14ac:dyDescent="0.2">
      <c r="A18" s="21" t="s">
        <v>63</v>
      </c>
      <c r="B18" s="10"/>
      <c r="C18" s="6"/>
      <c r="D18" s="6"/>
      <c r="E18" s="29">
        <f>SUM(E9,E11:E14,E16)</f>
        <v>683839.08794449689</v>
      </c>
      <c r="F18" s="21"/>
      <c r="G18" s="21"/>
      <c r="H18" s="29">
        <f>SUM(H9,H11:H14,H16)</f>
        <v>902172.06601327844</v>
      </c>
      <c r="I18" s="26"/>
      <c r="J18" s="21" t="s">
        <v>63</v>
      </c>
      <c r="K18" s="21" t="s">
        <v>18</v>
      </c>
    </row>
    <row r="19" spans="1:11" x14ac:dyDescent="0.2">
      <c r="A19" s="21" t="s">
        <v>64</v>
      </c>
      <c r="B19" s="21" t="s">
        <v>135</v>
      </c>
      <c r="C19" s="6"/>
      <c r="D19" s="6"/>
      <c r="E19" s="33">
        <f>E18/14080</f>
        <v>48.568117041512565</v>
      </c>
      <c r="F19" s="21"/>
      <c r="G19" s="21"/>
      <c r="H19" s="33">
        <f>H18/14080</f>
        <v>64.074720597533982</v>
      </c>
      <c r="I19" s="26"/>
      <c r="J19" s="21" t="s">
        <v>64</v>
      </c>
      <c r="K19" s="21" t="s">
        <v>18</v>
      </c>
    </row>
    <row r="22" spans="1:11" x14ac:dyDescent="0.2">
      <c r="D22" s="4"/>
    </row>
    <row r="26" spans="1:11" x14ac:dyDescent="0.2">
      <c r="H26" s="1"/>
    </row>
    <row r="27" spans="1:11" x14ac:dyDescent="0.2">
      <c r="H27" s="1"/>
    </row>
    <row r="28" spans="1:11" x14ac:dyDescent="0.2">
      <c r="H28" s="1"/>
    </row>
    <row r="29" spans="1:11" x14ac:dyDescent="0.2">
      <c r="H29" s="1"/>
    </row>
    <row r="30" spans="1:11" x14ac:dyDescent="0.2">
      <c r="H30" s="1"/>
    </row>
    <row r="31" spans="1:11" x14ac:dyDescent="0.2">
      <c r="H31" s="1"/>
    </row>
  </sheetData>
  <customSheetViews>
    <customSheetView guid="{0151402A-CC2D-4B28-869C-70F7653010B1}">
      <selection activeCell="K20" sqref="K20"/>
      <pageMargins left="0.75" right="0.75" top="1" bottom="1" header="0.5" footer="0.5"/>
      <pageSetup orientation="landscape" verticalDpi="1200" r:id="rId1"/>
    </customSheetView>
  </customSheetViews>
  <mergeCells count="4">
    <mergeCell ref="A1:H1"/>
    <mergeCell ref="C3:E3"/>
    <mergeCell ref="F3:H3"/>
    <mergeCell ref="J1:K1"/>
  </mergeCells>
  <pageMargins left="0.75" right="0.75" top="1" bottom="1" header="0.5" footer="0.5"/>
  <pageSetup orientation="landscape" verticalDpi="1200"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070C0"/>
  </sheetPr>
  <dimension ref="A1:N47"/>
  <sheetViews>
    <sheetView tabSelected="1" workbookViewId="0">
      <selection activeCell="H38" sqref="H38"/>
    </sheetView>
  </sheetViews>
  <sheetFormatPr baseColWidth="10" defaultColWidth="11" defaultRowHeight="16" x14ac:dyDescent="0.2"/>
  <cols>
    <col min="1" max="1" width="13" style="1" customWidth="1"/>
    <col min="2" max="2" width="6.1640625" style="1" customWidth="1"/>
    <col min="3" max="3" width="31.6640625" style="1" customWidth="1"/>
    <col min="4" max="4" width="8.1640625" style="1" customWidth="1"/>
    <col min="5" max="5" width="24.83203125" style="2" customWidth="1"/>
    <col min="6" max="6" width="24.6640625" style="2" customWidth="1"/>
    <col min="7" max="7" width="6.1640625" style="1" customWidth="1"/>
    <col min="8" max="8" width="28.33203125" style="2" bestFit="1" customWidth="1"/>
    <col min="9" max="9" width="59.5" style="2" customWidth="1"/>
    <col min="10" max="16384" width="11" style="1"/>
  </cols>
  <sheetData>
    <row r="1" spans="1:14" ht="18" x14ac:dyDescent="0.2">
      <c r="A1" s="63" t="s">
        <v>120</v>
      </c>
      <c r="B1" s="63"/>
      <c r="C1" s="63"/>
      <c r="D1" s="63"/>
      <c r="E1" s="63"/>
      <c r="F1" s="63"/>
      <c r="H1" s="63" t="s">
        <v>99</v>
      </c>
      <c r="I1" s="63"/>
      <c r="J1" s="35"/>
      <c r="K1" s="35"/>
      <c r="L1" s="35"/>
      <c r="M1" s="35"/>
      <c r="N1" s="35"/>
    </row>
    <row r="2" spans="1:14" x14ac:dyDescent="0.2">
      <c r="A2" s="2"/>
      <c r="B2" s="2"/>
      <c r="C2" s="2"/>
      <c r="D2" s="2"/>
    </row>
    <row r="3" spans="1:14" ht="33" customHeight="1" x14ac:dyDescent="0.2">
      <c r="A3" s="21"/>
      <c r="B3" s="49" t="s">
        <v>51</v>
      </c>
      <c r="C3" s="49" t="s">
        <v>121</v>
      </c>
      <c r="D3" s="49" t="s">
        <v>8</v>
      </c>
      <c r="E3" s="49" t="s">
        <v>37</v>
      </c>
      <c r="F3" s="49" t="s">
        <v>38</v>
      </c>
      <c r="G3" s="3"/>
      <c r="H3" s="21" t="s">
        <v>16</v>
      </c>
      <c r="I3" s="28" t="s">
        <v>48</v>
      </c>
      <c r="J3" s="3"/>
      <c r="K3" s="3"/>
      <c r="L3" s="3"/>
    </row>
    <row r="4" spans="1:14" x14ac:dyDescent="0.2">
      <c r="A4" s="50"/>
      <c r="B4" s="50"/>
      <c r="C4" s="21"/>
      <c r="D4" s="21"/>
      <c r="E4" s="21"/>
      <c r="F4" s="21"/>
      <c r="G4" s="3"/>
      <c r="H4" s="21"/>
      <c r="I4" s="21"/>
      <c r="J4" s="3"/>
      <c r="K4" s="3"/>
      <c r="L4" s="3"/>
    </row>
    <row r="5" spans="1:14" x14ac:dyDescent="0.2">
      <c r="A5" s="67" t="s">
        <v>78</v>
      </c>
      <c r="B5" s="70">
        <v>10</v>
      </c>
      <c r="C5" s="21" t="s">
        <v>52</v>
      </c>
      <c r="D5" s="21" t="s">
        <v>94</v>
      </c>
      <c r="E5" s="19">
        <v>5280</v>
      </c>
      <c r="F5" s="19">
        <v>5280</v>
      </c>
      <c r="G5" s="3"/>
      <c r="H5" s="21" t="s">
        <v>52</v>
      </c>
      <c r="I5" s="21" t="s">
        <v>68</v>
      </c>
      <c r="J5" s="3"/>
      <c r="K5" s="3"/>
      <c r="L5" s="3"/>
    </row>
    <row r="6" spans="1:14" ht="15.75" customHeight="1" x14ac:dyDescent="0.2">
      <c r="A6" s="68"/>
      <c r="B6" s="71"/>
      <c r="C6" s="21" t="s">
        <v>53</v>
      </c>
      <c r="D6" s="21" t="s">
        <v>30</v>
      </c>
      <c r="E6" s="19">
        <v>351</v>
      </c>
      <c r="F6" s="19">
        <v>0</v>
      </c>
      <c r="H6" s="21" t="s">
        <v>53</v>
      </c>
      <c r="I6" s="21" t="s">
        <v>69</v>
      </c>
    </row>
    <row r="7" spans="1:14" x14ac:dyDescent="0.2">
      <c r="A7" s="68"/>
      <c r="B7" s="71"/>
      <c r="C7" s="21" t="s">
        <v>54</v>
      </c>
      <c r="D7" s="21" t="s">
        <v>94</v>
      </c>
      <c r="E7" s="19">
        <v>24</v>
      </c>
      <c r="F7" s="19">
        <v>0</v>
      </c>
      <c r="H7" s="21" t="s">
        <v>54</v>
      </c>
      <c r="I7" s="21" t="s">
        <v>69</v>
      </c>
    </row>
    <row r="8" spans="1:14" x14ac:dyDescent="0.2">
      <c r="A8" s="68"/>
      <c r="B8" s="71"/>
      <c r="C8" s="21" t="s">
        <v>22</v>
      </c>
      <c r="D8" s="21" t="s">
        <v>94</v>
      </c>
      <c r="E8" s="11">
        <f>(E6*E7)+E5</f>
        <v>13704</v>
      </c>
      <c r="F8" s="11">
        <f>(F6*F7)+F5</f>
        <v>5280</v>
      </c>
      <c r="H8" s="21" t="s">
        <v>22</v>
      </c>
      <c r="I8" s="21" t="s">
        <v>18</v>
      </c>
    </row>
    <row r="9" spans="1:14" x14ac:dyDescent="0.2">
      <c r="A9" s="68"/>
      <c r="B9" s="71"/>
      <c r="C9" s="21" t="s">
        <v>55</v>
      </c>
      <c r="D9" s="21" t="s">
        <v>94</v>
      </c>
      <c r="E9" s="12">
        <v>1.97</v>
      </c>
      <c r="F9" s="12">
        <v>1.97</v>
      </c>
      <c r="H9" s="21" t="s">
        <v>55</v>
      </c>
      <c r="I9" s="21" t="s">
        <v>17</v>
      </c>
    </row>
    <row r="10" spans="1:14" x14ac:dyDescent="0.2">
      <c r="A10" s="69"/>
      <c r="B10" s="72"/>
      <c r="C10" s="21" t="s">
        <v>77</v>
      </c>
      <c r="D10" s="21"/>
      <c r="E10" s="8">
        <f>(E8*E9)</f>
        <v>26996.880000000001</v>
      </c>
      <c r="F10" s="8">
        <f>(F8*F9)</f>
        <v>10401.6</v>
      </c>
      <c r="H10" s="21" t="s">
        <v>101</v>
      </c>
      <c r="I10" s="21" t="s">
        <v>18</v>
      </c>
    </row>
    <row r="11" spans="1:14" x14ac:dyDescent="0.2">
      <c r="A11" s="21"/>
      <c r="B11" s="21"/>
      <c r="C11" s="21"/>
      <c r="D11" s="21"/>
      <c r="E11" s="21"/>
      <c r="F11" s="21"/>
      <c r="H11" s="55"/>
      <c r="I11" s="55"/>
    </row>
    <row r="12" spans="1:14" x14ac:dyDescent="0.2">
      <c r="A12" s="67" t="s">
        <v>79</v>
      </c>
      <c r="B12" s="70">
        <v>20</v>
      </c>
      <c r="C12" s="21" t="s">
        <v>52</v>
      </c>
      <c r="D12" s="21" t="s">
        <v>94</v>
      </c>
      <c r="E12" s="19">
        <v>5280</v>
      </c>
      <c r="F12" s="19">
        <v>5280</v>
      </c>
      <c r="G12" s="3"/>
      <c r="H12" s="56"/>
      <c r="I12" s="56"/>
    </row>
    <row r="13" spans="1:14" x14ac:dyDescent="0.2">
      <c r="A13" s="68"/>
      <c r="B13" s="71"/>
      <c r="C13" s="21" t="s">
        <v>53</v>
      </c>
      <c r="D13" s="21" t="s">
        <v>30</v>
      </c>
      <c r="E13" s="19">
        <v>351</v>
      </c>
      <c r="F13" s="19">
        <v>0</v>
      </c>
      <c r="H13" s="56"/>
      <c r="I13" s="56"/>
    </row>
    <row r="14" spans="1:14" x14ac:dyDescent="0.2">
      <c r="A14" s="68"/>
      <c r="B14" s="71"/>
      <c r="C14" s="21" t="s">
        <v>54</v>
      </c>
      <c r="D14" s="21" t="s">
        <v>94</v>
      </c>
      <c r="E14" s="19">
        <v>24</v>
      </c>
      <c r="F14" s="19">
        <v>0</v>
      </c>
      <c r="H14" s="56"/>
      <c r="I14" s="56"/>
    </row>
    <row r="15" spans="1:14" x14ac:dyDescent="0.2">
      <c r="A15" s="68"/>
      <c r="B15" s="71"/>
      <c r="C15" s="21" t="s">
        <v>22</v>
      </c>
      <c r="D15" s="21" t="s">
        <v>94</v>
      </c>
      <c r="E15" s="11">
        <f>(E13*E14)+E12</f>
        <v>13704</v>
      </c>
      <c r="F15" s="11">
        <f>(F13*F14)+F12</f>
        <v>5280</v>
      </c>
      <c r="H15" s="56"/>
      <c r="I15" s="56"/>
    </row>
    <row r="16" spans="1:14" x14ac:dyDescent="0.2">
      <c r="A16" s="68"/>
      <c r="B16" s="71"/>
      <c r="C16" s="21" t="s">
        <v>55</v>
      </c>
      <c r="D16" s="21" t="s">
        <v>94</v>
      </c>
      <c r="E16" s="12">
        <v>1.97</v>
      </c>
      <c r="F16" s="12">
        <v>1.97</v>
      </c>
      <c r="H16" s="56"/>
      <c r="I16" s="56"/>
    </row>
    <row r="17" spans="1:9" x14ac:dyDescent="0.2">
      <c r="A17" s="69"/>
      <c r="B17" s="72"/>
      <c r="C17" s="21" t="s">
        <v>80</v>
      </c>
      <c r="D17" s="21"/>
      <c r="E17" s="8">
        <f>(E15*E16)</f>
        <v>26996.880000000001</v>
      </c>
      <c r="F17" s="8">
        <f>(F15*F16)</f>
        <v>10401.6</v>
      </c>
      <c r="H17" s="56"/>
      <c r="I17" s="56"/>
    </row>
    <row r="18" spans="1:9" x14ac:dyDescent="0.2">
      <c r="A18" s="21"/>
      <c r="B18" s="21"/>
      <c r="C18" s="21"/>
      <c r="D18" s="21"/>
      <c r="E18" s="21"/>
      <c r="F18" s="21"/>
      <c r="H18" s="56"/>
      <c r="I18" s="56"/>
    </row>
    <row r="19" spans="1:9" x14ac:dyDescent="0.2">
      <c r="A19" s="67" t="s">
        <v>81</v>
      </c>
      <c r="B19" s="70">
        <v>30</v>
      </c>
      <c r="C19" s="21" t="s">
        <v>52</v>
      </c>
      <c r="D19" s="21" t="s">
        <v>94</v>
      </c>
      <c r="E19" s="19">
        <v>5280</v>
      </c>
      <c r="F19" s="19">
        <v>5280</v>
      </c>
      <c r="G19" s="3"/>
      <c r="H19" s="56"/>
      <c r="I19" s="56"/>
    </row>
    <row r="20" spans="1:9" x14ac:dyDescent="0.2">
      <c r="A20" s="68"/>
      <c r="B20" s="71"/>
      <c r="C20" s="21" t="s">
        <v>53</v>
      </c>
      <c r="D20" s="21" t="s">
        <v>30</v>
      </c>
      <c r="E20" s="19">
        <v>351</v>
      </c>
      <c r="F20" s="19">
        <v>0</v>
      </c>
      <c r="H20" s="56"/>
      <c r="I20" s="56"/>
    </row>
    <row r="21" spans="1:9" x14ac:dyDescent="0.2">
      <c r="A21" s="68"/>
      <c r="B21" s="71"/>
      <c r="C21" s="21" t="s">
        <v>54</v>
      </c>
      <c r="D21" s="21" t="s">
        <v>94</v>
      </c>
      <c r="E21" s="19">
        <v>24</v>
      </c>
      <c r="F21" s="19">
        <v>0</v>
      </c>
      <c r="H21" s="56"/>
      <c r="I21" s="56"/>
    </row>
    <row r="22" spans="1:9" x14ac:dyDescent="0.2">
      <c r="A22" s="68"/>
      <c r="B22" s="71"/>
      <c r="C22" s="21" t="s">
        <v>22</v>
      </c>
      <c r="D22" s="21" t="s">
        <v>94</v>
      </c>
      <c r="E22" s="11">
        <f>(E20*E21)+E19</f>
        <v>13704</v>
      </c>
      <c r="F22" s="11">
        <f>(F20*F21)+F19</f>
        <v>5280</v>
      </c>
      <c r="H22" s="56"/>
      <c r="I22" s="56"/>
    </row>
    <row r="23" spans="1:9" x14ac:dyDescent="0.2">
      <c r="A23" s="68"/>
      <c r="B23" s="71"/>
      <c r="C23" s="21" t="s">
        <v>55</v>
      </c>
      <c r="D23" s="21" t="s">
        <v>94</v>
      </c>
      <c r="E23" s="12">
        <v>1.97</v>
      </c>
      <c r="F23" s="12">
        <v>1.97</v>
      </c>
      <c r="H23" s="56"/>
      <c r="I23" s="56"/>
    </row>
    <row r="24" spans="1:9" x14ac:dyDescent="0.2">
      <c r="A24" s="69"/>
      <c r="B24" s="72"/>
      <c r="C24" s="21" t="s">
        <v>82</v>
      </c>
      <c r="D24" s="21"/>
      <c r="E24" s="8">
        <f>(E22*E23)</f>
        <v>26996.880000000001</v>
      </c>
      <c r="F24" s="8">
        <f>(F22*F23)</f>
        <v>10401.6</v>
      </c>
      <c r="H24" s="56"/>
      <c r="I24" s="56"/>
    </row>
    <row r="25" spans="1:9" x14ac:dyDescent="0.2">
      <c r="A25" s="21"/>
      <c r="B25" s="21"/>
      <c r="C25" s="21"/>
      <c r="D25" s="21"/>
      <c r="E25" s="21"/>
      <c r="F25" s="21"/>
      <c r="H25" s="56"/>
      <c r="I25" s="56"/>
    </row>
    <row r="26" spans="1:9" x14ac:dyDescent="0.2">
      <c r="A26" s="67" t="s">
        <v>83</v>
      </c>
      <c r="B26" s="70">
        <v>40</v>
      </c>
      <c r="C26" s="21" t="s">
        <v>52</v>
      </c>
      <c r="D26" s="21" t="s">
        <v>94</v>
      </c>
      <c r="E26" s="19">
        <v>5280</v>
      </c>
      <c r="F26" s="19">
        <v>5280</v>
      </c>
      <c r="G26" s="3"/>
      <c r="H26" s="56"/>
      <c r="I26" s="56"/>
    </row>
    <row r="27" spans="1:9" x14ac:dyDescent="0.2">
      <c r="A27" s="68"/>
      <c r="B27" s="71"/>
      <c r="C27" s="21" t="s">
        <v>53</v>
      </c>
      <c r="D27" s="21" t="s">
        <v>30</v>
      </c>
      <c r="E27" s="19">
        <v>351</v>
      </c>
      <c r="F27" s="19">
        <v>0</v>
      </c>
      <c r="H27" s="56"/>
      <c r="I27" s="56"/>
    </row>
    <row r="28" spans="1:9" x14ac:dyDescent="0.2">
      <c r="A28" s="68"/>
      <c r="B28" s="71"/>
      <c r="C28" s="21" t="s">
        <v>54</v>
      </c>
      <c r="D28" s="21" t="s">
        <v>94</v>
      </c>
      <c r="E28" s="19">
        <v>24</v>
      </c>
      <c r="F28" s="19">
        <v>0</v>
      </c>
      <c r="H28" s="56"/>
      <c r="I28" s="56"/>
    </row>
    <row r="29" spans="1:9" x14ac:dyDescent="0.2">
      <c r="A29" s="68"/>
      <c r="B29" s="71"/>
      <c r="C29" s="21" t="s">
        <v>22</v>
      </c>
      <c r="D29" s="21" t="s">
        <v>94</v>
      </c>
      <c r="E29" s="11">
        <f>(E27*E28)+E26</f>
        <v>13704</v>
      </c>
      <c r="F29" s="11">
        <f>(F27*F28)+F26</f>
        <v>5280</v>
      </c>
      <c r="H29" s="56"/>
      <c r="I29" s="56"/>
    </row>
    <row r="30" spans="1:9" x14ac:dyDescent="0.2">
      <c r="A30" s="68"/>
      <c r="B30" s="71"/>
      <c r="C30" s="21" t="s">
        <v>55</v>
      </c>
      <c r="D30" s="21" t="s">
        <v>94</v>
      </c>
      <c r="E30" s="12">
        <v>1.97</v>
      </c>
      <c r="F30" s="12">
        <v>1.97</v>
      </c>
      <c r="H30" s="56"/>
      <c r="I30" s="56"/>
    </row>
    <row r="31" spans="1:9" x14ac:dyDescent="0.2">
      <c r="A31" s="69"/>
      <c r="B31" s="72"/>
      <c r="C31" s="21" t="s">
        <v>84</v>
      </c>
      <c r="D31" s="21"/>
      <c r="E31" s="8">
        <f>(E29*E30)</f>
        <v>26996.880000000001</v>
      </c>
      <c r="F31" s="8">
        <f>(F29*F30)</f>
        <v>10401.6</v>
      </c>
      <c r="H31" s="56"/>
      <c r="I31" s="56"/>
    </row>
    <row r="32" spans="1:9" x14ac:dyDescent="0.2">
      <c r="A32" s="21"/>
      <c r="B32" s="21"/>
      <c r="C32" s="21"/>
      <c r="D32" s="21"/>
      <c r="E32" s="21"/>
      <c r="F32" s="21"/>
      <c r="H32" s="56"/>
      <c r="I32" s="56"/>
    </row>
    <row r="33" spans="1:9" x14ac:dyDescent="0.2">
      <c r="A33" s="67" t="s">
        <v>85</v>
      </c>
      <c r="B33" s="70">
        <v>50</v>
      </c>
      <c r="C33" s="21" t="s">
        <v>52</v>
      </c>
      <c r="D33" s="21" t="s">
        <v>94</v>
      </c>
      <c r="E33" s="19">
        <v>5280</v>
      </c>
      <c r="F33" s="19">
        <v>5280</v>
      </c>
      <c r="G33" s="3"/>
      <c r="H33" s="56"/>
      <c r="I33" s="56"/>
    </row>
    <row r="34" spans="1:9" x14ac:dyDescent="0.2">
      <c r="A34" s="68"/>
      <c r="B34" s="71"/>
      <c r="C34" s="21" t="s">
        <v>53</v>
      </c>
      <c r="D34" s="21" t="s">
        <v>30</v>
      </c>
      <c r="E34" s="19">
        <v>351</v>
      </c>
      <c r="F34" s="19">
        <v>0</v>
      </c>
      <c r="H34" s="56"/>
      <c r="I34" s="56"/>
    </row>
    <row r="35" spans="1:9" x14ac:dyDescent="0.2">
      <c r="A35" s="68"/>
      <c r="B35" s="71"/>
      <c r="C35" s="21" t="s">
        <v>54</v>
      </c>
      <c r="D35" s="21" t="s">
        <v>94</v>
      </c>
      <c r="E35" s="19">
        <v>24</v>
      </c>
      <c r="F35" s="19">
        <v>0</v>
      </c>
      <c r="H35" s="56"/>
      <c r="I35" s="56"/>
    </row>
    <row r="36" spans="1:9" x14ac:dyDescent="0.2">
      <c r="A36" s="68"/>
      <c r="B36" s="71"/>
      <c r="C36" s="21" t="s">
        <v>22</v>
      </c>
      <c r="D36" s="21" t="s">
        <v>94</v>
      </c>
      <c r="E36" s="11">
        <f>(E34*E35)+E33</f>
        <v>13704</v>
      </c>
      <c r="F36" s="11">
        <f>(F34*F35)+F33</f>
        <v>5280</v>
      </c>
      <c r="H36" s="56"/>
      <c r="I36" s="56"/>
    </row>
    <row r="37" spans="1:9" x14ac:dyDescent="0.2">
      <c r="A37" s="68"/>
      <c r="B37" s="71"/>
      <c r="C37" s="21" t="s">
        <v>55</v>
      </c>
      <c r="D37" s="21" t="s">
        <v>94</v>
      </c>
      <c r="E37" s="12">
        <v>1.97</v>
      </c>
      <c r="F37" s="12">
        <v>1.97</v>
      </c>
      <c r="H37" s="60">
        <f>E37/12/10</f>
        <v>1.6416666666666666E-2</v>
      </c>
      <c r="I37" s="60"/>
    </row>
    <row r="38" spans="1:9" x14ac:dyDescent="0.2">
      <c r="A38" s="69"/>
      <c r="B38" s="72"/>
      <c r="C38" s="21" t="s">
        <v>86</v>
      </c>
      <c r="D38" s="21"/>
      <c r="E38" s="8">
        <f>(E36*E37)</f>
        <v>26996.880000000001</v>
      </c>
      <c r="F38" s="8">
        <f>(F36*F37)</f>
        <v>10401.6</v>
      </c>
      <c r="H38" s="60"/>
      <c r="I38" s="60"/>
    </row>
    <row r="39" spans="1:9" x14ac:dyDescent="0.2">
      <c r="A39" s="21"/>
      <c r="B39" s="21"/>
      <c r="C39" s="21"/>
      <c r="D39" s="21"/>
      <c r="E39" s="21"/>
      <c r="F39" s="21"/>
      <c r="H39" s="56"/>
      <c r="I39" s="56"/>
    </row>
    <row r="40" spans="1:9" x14ac:dyDescent="0.2">
      <c r="A40" s="67" t="s">
        <v>97</v>
      </c>
      <c r="B40" s="70"/>
      <c r="C40" s="21"/>
      <c r="D40" s="21"/>
      <c r="E40" s="19"/>
      <c r="F40" s="19"/>
      <c r="G40" s="3"/>
      <c r="H40" s="56"/>
      <c r="I40" s="56"/>
    </row>
    <row r="41" spans="1:9" x14ac:dyDescent="0.2">
      <c r="A41" s="68"/>
      <c r="B41" s="71"/>
      <c r="C41" s="21"/>
      <c r="D41" s="21"/>
      <c r="E41" s="19"/>
      <c r="F41" s="19"/>
      <c r="H41" s="56"/>
      <c r="I41" s="56"/>
    </row>
    <row r="42" spans="1:9" x14ac:dyDescent="0.2">
      <c r="A42" s="68"/>
      <c r="B42" s="71"/>
      <c r="C42" s="21"/>
      <c r="D42" s="21"/>
      <c r="E42" s="19"/>
      <c r="F42" s="19"/>
      <c r="H42" s="56"/>
      <c r="I42" s="56"/>
    </row>
    <row r="43" spans="1:9" x14ac:dyDescent="0.2">
      <c r="A43" s="68"/>
      <c r="B43" s="71"/>
      <c r="C43" s="21"/>
      <c r="D43" s="21"/>
      <c r="E43" s="11"/>
      <c r="F43" s="11"/>
      <c r="H43" s="56"/>
      <c r="I43" s="56"/>
    </row>
    <row r="44" spans="1:9" x14ac:dyDescent="0.2">
      <c r="A44" s="68"/>
      <c r="B44" s="71"/>
      <c r="C44" s="21"/>
      <c r="D44" s="21"/>
      <c r="E44" s="12"/>
      <c r="F44" s="12"/>
      <c r="H44" s="56"/>
      <c r="I44" s="56"/>
    </row>
    <row r="45" spans="1:9" x14ac:dyDescent="0.2">
      <c r="A45" s="69"/>
      <c r="B45" s="72"/>
      <c r="C45" s="21"/>
      <c r="D45" s="21"/>
      <c r="E45" s="8"/>
      <c r="F45" s="8"/>
      <c r="H45" s="56"/>
      <c r="I45" s="56"/>
    </row>
    <row r="46" spans="1:9" x14ac:dyDescent="0.2">
      <c r="A46" s="64"/>
      <c r="B46" s="65"/>
      <c r="C46" s="66"/>
      <c r="D46" s="21"/>
      <c r="E46" s="31"/>
      <c r="F46" s="31"/>
      <c r="H46" s="56"/>
      <c r="I46" s="56"/>
    </row>
    <row r="47" spans="1:9" x14ac:dyDescent="0.2">
      <c r="A47" s="64" t="s">
        <v>87</v>
      </c>
      <c r="B47" s="65"/>
      <c r="C47" s="66"/>
      <c r="D47" s="21"/>
      <c r="E47" s="29">
        <f>SUM(E10,E17,E24,E31,E38,E45)</f>
        <v>134984.4</v>
      </c>
      <c r="F47" s="29">
        <f>SUM(F10,F17,F24,F31,F38,F45)</f>
        <v>52008</v>
      </c>
      <c r="H47" s="56"/>
      <c r="I47" s="56"/>
    </row>
  </sheetData>
  <customSheetViews>
    <customSheetView guid="{0151402A-CC2D-4B28-869C-70F7653010B1}">
      <selection activeCell="H2" sqref="H1:I1048576"/>
      <pageMargins left="0.7" right="0.7" top="0.75" bottom="0.75" header="0.3" footer="0.3"/>
      <pageSetup orientation="landscape" horizontalDpi="1200" verticalDpi="1200" r:id="rId1"/>
    </customSheetView>
  </customSheetViews>
  <mergeCells count="16">
    <mergeCell ref="H1:I1"/>
    <mergeCell ref="A1:F1"/>
    <mergeCell ref="A5:A10"/>
    <mergeCell ref="B5:B10"/>
    <mergeCell ref="A47:C47"/>
    <mergeCell ref="A12:A17"/>
    <mergeCell ref="B12:B17"/>
    <mergeCell ref="A19:A24"/>
    <mergeCell ref="B19:B24"/>
    <mergeCell ref="A26:A31"/>
    <mergeCell ref="B26:B31"/>
    <mergeCell ref="A33:A38"/>
    <mergeCell ref="B33:B38"/>
    <mergeCell ref="A46:C46"/>
    <mergeCell ref="A40:A45"/>
    <mergeCell ref="B40:B45"/>
  </mergeCells>
  <pageMargins left="0.7" right="0.7" top="0.75" bottom="0.75" header="0.3" footer="0.3"/>
  <pageSetup orientation="landscape" horizontalDpi="1200" verticalDpi="1200"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0" tint="-0.499984740745262"/>
  </sheetPr>
  <dimension ref="A1:L57"/>
  <sheetViews>
    <sheetView workbookViewId="0">
      <selection activeCell="H22" sqref="H22"/>
    </sheetView>
  </sheetViews>
  <sheetFormatPr baseColWidth="10" defaultColWidth="11" defaultRowHeight="16" x14ac:dyDescent="0.2"/>
  <cols>
    <col min="1" max="1" width="12.1640625" style="1" customWidth="1"/>
    <col min="2" max="2" width="7.1640625" style="1" customWidth="1"/>
    <col min="3" max="3" width="28.5" style="1" customWidth="1"/>
    <col min="4" max="4" width="9.1640625" style="1" bestFit="1" customWidth="1"/>
    <col min="5" max="5" width="25.83203125" style="2" customWidth="1"/>
    <col min="6" max="6" width="24.6640625" style="2" customWidth="1"/>
    <col min="7" max="7" width="6.1640625" style="1" customWidth="1"/>
    <col min="8" max="8" width="27.1640625" style="2" customWidth="1"/>
    <col min="9" max="9" width="78.1640625" style="2" bestFit="1" customWidth="1"/>
    <col min="10" max="16384" width="11" style="1"/>
  </cols>
  <sheetData>
    <row r="1" spans="1:12" ht="18" x14ac:dyDescent="0.2">
      <c r="A1" s="63" t="s">
        <v>122</v>
      </c>
      <c r="B1" s="63"/>
      <c r="C1" s="63"/>
      <c r="D1" s="63"/>
      <c r="E1" s="63"/>
      <c r="F1" s="63"/>
      <c r="H1" s="63" t="s">
        <v>100</v>
      </c>
      <c r="I1" s="63"/>
    </row>
    <row r="3" spans="1:12" ht="32" x14ac:dyDescent="0.2">
      <c r="A3" s="49"/>
      <c r="B3" s="49" t="s">
        <v>51</v>
      </c>
      <c r="C3" s="49" t="s">
        <v>123</v>
      </c>
      <c r="D3" s="49" t="s">
        <v>8</v>
      </c>
      <c r="E3" s="49" t="s">
        <v>37</v>
      </c>
      <c r="F3" s="49" t="s">
        <v>38</v>
      </c>
      <c r="G3" s="3"/>
      <c r="H3" s="49" t="s">
        <v>123</v>
      </c>
      <c r="I3" s="28" t="s">
        <v>48</v>
      </c>
      <c r="J3" s="3"/>
      <c r="K3" s="3"/>
      <c r="L3" s="3"/>
    </row>
    <row r="4" spans="1:12" x14ac:dyDescent="0.2">
      <c r="A4" s="50"/>
      <c r="B4" s="50"/>
      <c r="C4" s="21"/>
      <c r="D4" s="21"/>
      <c r="E4" s="21"/>
      <c r="F4" s="21"/>
      <c r="G4" s="3"/>
      <c r="H4" s="21"/>
      <c r="I4" s="21"/>
      <c r="J4" s="3"/>
      <c r="K4" s="3"/>
      <c r="L4" s="3"/>
    </row>
    <row r="5" spans="1:12" ht="15.75" customHeight="1" x14ac:dyDescent="0.2">
      <c r="A5" s="67" t="s">
        <v>56</v>
      </c>
      <c r="B5" s="70">
        <v>15</v>
      </c>
      <c r="C5" s="21" t="s">
        <v>23</v>
      </c>
      <c r="D5" s="21" t="s">
        <v>24</v>
      </c>
      <c r="E5" s="13">
        <v>2</v>
      </c>
      <c r="F5" s="13">
        <v>1.5</v>
      </c>
      <c r="H5" s="21" t="s">
        <v>23</v>
      </c>
      <c r="I5" s="21" t="s">
        <v>70</v>
      </c>
    </row>
    <row r="6" spans="1:12" x14ac:dyDescent="0.2">
      <c r="A6" s="68"/>
      <c r="B6" s="71"/>
      <c r="C6" s="21" t="s">
        <v>25</v>
      </c>
      <c r="D6" s="21" t="s">
        <v>95</v>
      </c>
      <c r="E6" s="11">
        <f>('General Information'!C6*5280)/9</f>
        <v>14080</v>
      </c>
      <c r="F6" s="11">
        <f>('General Information'!D6*5280)/9</f>
        <v>14080</v>
      </c>
      <c r="H6" s="21" t="s">
        <v>25</v>
      </c>
      <c r="I6" s="21" t="s">
        <v>71</v>
      </c>
    </row>
    <row r="7" spans="1:12" x14ac:dyDescent="0.2">
      <c r="A7" s="68"/>
      <c r="B7" s="71"/>
      <c r="C7" s="21" t="s">
        <v>26</v>
      </c>
      <c r="D7" s="21" t="s">
        <v>95</v>
      </c>
      <c r="E7" s="14">
        <f>E6*E5/100</f>
        <v>281.60000000000002</v>
      </c>
      <c r="F7" s="14">
        <f>F6*F5/100</f>
        <v>211.2</v>
      </c>
      <c r="H7" s="21" t="s">
        <v>26</v>
      </c>
      <c r="I7" s="21" t="s">
        <v>18</v>
      </c>
    </row>
    <row r="8" spans="1:12" x14ac:dyDescent="0.2">
      <c r="A8" s="68"/>
      <c r="B8" s="71"/>
      <c r="C8" s="21" t="s">
        <v>12</v>
      </c>
      <c r="D8" s="21" t="s">
        <v>95</v>
      </c>
      <c r="E8" s="12">
        <v>157.41</v>
      </c>
      <c r="F8" s="12">
        <v>173.49</v>
      </c>
      <c r="H8" s="21" t="s">
        <v>12</v>
      </c>
      <c r="I8" s="21" t="s">
        <v>72</v>
      </c>
    </row>
    <row r="9" spans="1:12" x14ac:dyDescent="0.2">
      <c r="A9" s="68"/>
      <c r="B9" s="71"/>
      <c r="C9" s="21" t="s">
        <v>58</v>
      </c>
      <c r="D9" s="21"/>
      <c r="E9" s="8">
        <f>E7*E8</f>
        <v>44326.656000000003</v>
      </c>
      <c r="F9" s="8">
        <f>F7*F8</f>
        <v>36641.088000000003</v>
      </c>
      <c r="H9" s="21" t="s">
        <v>58</v>
      </c>
      <c r="I9" s="21" t="s">
        <v>18</v>
      </c>
    </row>
    <row r="10" spans="1:12" x14ac:dyDescent="0.2">
      <c r="A10" s="68"/>
      <c r="B10" s="71"/>
      <c r="C10" s="21" t="s">
        <v>27</v>
      </c>
      <c r="D10" s="21" t="s">
        <v>90</v>
      </c>
      <c r="E10" s="20">
        <v>4</v>
      </c>
      <c r="F10" s="20">
        <v>2</v>
      </c>
      <c r="H10" s="21" t="s">
        <v>27</v>
      </c>
      <c r="I10" s="21" t="s">
        <v>73</v>
      </c>
    </row>
    <row r="11" spans="1:12" x14ac:dyDescent="0.2">
      <c r="A11" s="68"/>
      <c r="B11" s="71"/>
      <c r="C11" s="21" t="s">
        <v>13</v>
      </c>
      <c r="D11" s="21" t="s">
        <v>96</v>
      </c>
      <c r="E11" s="12">
        <v>2.5</v>
      </c>
      <c r="F11" s="12">
        <v>2.5</v>
      </c>
      <c r="H11" s="21" t="s">
        <v>13</v>
      </c>
      <c r="I11" s="21" t="s">
        <v>74</v>
      </c>
    </row>
    <row r="12" spans="1:12" x14ac:dyDescent="0.2">
      <c r="A12" s="68"/>
      <c r="B12" s="71"/>
      <c r="C12" s="21" t="s">
        <v>59</v>
      </c>
      <c r="D12" s="21"/>
      <c r="E12" s="18">
        <f>E6*E10*E11</f>
        <v>140800</v>
      </c>
      <c r="F12" s="18">
        <f>F6*F10*F11</f>
        <v>70400</v>
      </c>
      <c r="H12" s="21" t="s">
        <v>59</v>
      </c>
      <c r="I12" s="21" t="s">
        <v>18</v>
      </c>
    </row>
    <row r="13" spans="1:12" x14ac:dyDescent="0.2">
      <c r="A13" s="69"/>
      <c r="B13" s="72"/>
      <c r="C13" s="21" t="s">
        <v>28</v>
      </c>
      <c r="D13" s="21"/>
      <c r="E13" s="18">
        <f>E9+E12</f>
        <v>185126.65600000002</v>
      </c>
      <c r="F13" s="18">
        <f>F9+F12</f>
        <v>107041.088</v>
      </c>
      <c r="H13" s="21" t="s">
        <v>28</v>
      </c>
      <c r="I13" s="21" t="s">
        <v>18</v>
      </c>
    </row>
    <row r="14" spans="1:12" x14ac:dyDescent="0.2">
      <c r="A14" s="39"/>
      <c r="B14" s="39"/>
      <c r="C14" s="21"/>
      <c r="D14" s="21"/>
      <c r="E14" s="31"/>
      <c r="F14" s="31"/>
      <c r="H14" s="55"/>
      <c r="I14" s="55"/>
    </row>
    <row r="15" spans="1:12" x14ac:dyDescent="0.2">
      <c r="A15" s="67" t="s">
        <v>57</v>
      </c>
      <c r="B15" s="70">
        <v>30</v>
      </c>
      <c r="C15" s="21" t="s">
        <v>23</v>
      </c>
      <c r="D15" s="21" t="s">
        <v>24</v>
      </c>
      <c r="E15" s="13">
        <v>2</v>
      </c>
      <c r="F15" s="13">
        <v>1.5</v>
      </c>
      <c r="H15" s="56"/>
      <c r="I15" s="56"/>
    </row>
    <row r="16" spans="1:12" x14ac:dyDescent="0.2">
      <c r="A16" s="68"/>
      <c r="B16" s="71"/>
      <c r="C16" s="21" t="s">
        <v>25</v>
      </c>
      <c r="D16" s="21" t="s">
        <v>95</v>
      </c>
      <c r="E16" s="11">
        <f>E6</f>
        <v>14080</v>
      </c>
      <c r="F16" s="11">
        <f>F6</f>
        <v>14080</v>
      </c>
      <c r="H16" s="56"/>
      <c r="I16" s="56"/>
    </row>
    <row r="17" spans="1:9" x14ac:dyDescent="0.2">
      <c r="A17" s="68"/>
      <c r="B17" s="71"/>
      <c r="C17" s="21" t="s">
        <v>26</v>
      </c>
      <c r="D17" s="21" t="s">
        <v>95</v>
      </c>
      <c r="E17" s="14">
        <f>E16*E15/100</f>
        <v>281.60000000000002</v>
      </c>
      <c r="F17" s="14">
        <f>F16*F15/100</f>
        <v>211.2</v>
      </c>
      <c r="H17" s="56"/>
      <c r="I17" s="56"/>
    </row>
    <row r="18" spans="1:9" x14ac:dyDescent="0.2">
      <c r="A18" s="68"/>
      <c r="B18" s="71"/>
      <c r="C18" s="21" t="s">
        <v>12</v>
      </c>
      <c r="D18" s="21" t="s">
        <v>95</v>
      </c>
      <c r="E18" s="12">
        <v>157.41</v>
      </c>
      <c r="F18" s="12">
        <v>173.49</v>
      </c>
      <c r="H18" s="56"/>
      <c r="I18" s="56"/>
    </row>
    <row r="19" spans="1:9" x14ac:dyDescent="0.2">
      <c r="A19" s="68"/>
      <c r="B19" s="71"/>
      <c r="C19" s="21" t="s">
        <v>58</v>
      </c>
      <c r="D19" s="21"/>
      <c r="E19" s="8">
        <f>E17*E18</f>
        <v>44326.656000000003</v>
      </c>
      <c r="F19" s="8">
        <f>F17*F18</f>
        <v>36641.088000000003</v>
      </c>
      <c r="H19" s="56"/>
      <c r="I19" s="56"/>
    </row>
    <row r="20" spans="1:9" x14ac:dyDescent="0.2">
      <c r="A20" s="68"/>
      <c r="B20" s="71"/>
      <c r="C20" s="21" t="s">
        <v>27</v>
      </c>
      <c r="D20" s="21" t="s">
        <v>90</v>
      </c>
      <c r="E20" s="20">
        <v>4</v>
      </c>
      <c r="F20" s="20">
        <v>2</v>
      </c>
      <c r="H20" s="56"/>
      <c r="I20" s="56"/>
    </row>
    <row r="21" spans="1:9" x14ac:dyDescent="0.2">
      <c r="A21" s="68"/>
      <c r="B21" s="71"/>
      <c r="C21" s="21" t="s">
        <v>13</v>
      </c>
      <c r="D21" s="21" t="s">
        <v>96</v>
      </c>
      <c r="E21" s="12">
        <v>2.5</v>
      </c>
      <c r="F21" s="12">
        <v>2.5</v>
      </c>
      <c r="H21" s="60">
        <f>E21/12/15</f>
        <v>1.388888888888889E-2</v>
      </c>
      <c r="I21" s="56"/>
    </row>
    <row r="22" spans="1:9" x14ac:dyDescent="0.2">
      <c r="A22" s="68"/>
      <c r="B22" s="71"/>
      <c r="C22" s="21" t="s">
        <v>59</v>
      </c>
      <c r="D22" s="21"/>
      <c r="E22" s="18">
        <f>E16*E20*E21</f>
        <v>140800</v>
      </c>
      <c r="F22" s="18">
        <f>F16*F20*F21</f>
        <v>70400</v>
      </c>
      <c r="H22" s="56"/>
      <c r="I22" s="56"/>
    </row>
    <row r="23" spans="1:9" x14ac:dyDescent="0.2">
      <c r="A23" s="69"/>
      <c r="B23" s="72"/>
      <c r="C23" s="21" t="s">
        <v>29</v>
      </c>
      <c r="D23" s="21"/>
      <c r="E23" s="18">
        <f>E19+E22</f>
        <v>185126.65600000002</v>
      </c>
      <c r="F23" s="18">
        <f>F19+F22</f>
        <v>107041.088</v>
      </c>
      <c r="H23" s="56"/>
      <c r="I23" s="56"/>
    </row>
    <row r="24" spans="1:9" x14ac:dyDescent="0.2">
      <c r="A24" s="39"/>
      <c r="B24" s="39"/>
      <c r="C24" s="21"/>
      <c r="D24" s="21"/>
      <c r="E24" s="31"/>
      <c r="F24" s="31"/>
      <c r="H24" s="56"/>
      <c r="I24" s="56"/>
    </row>
    <row r="25" spans="1:9" x14ac:dyDescent="0.2">
      <c r="A25" s="67" t="s">
        <v>60</v>
      </c>
      <c r="B25" s="70"/>
      <c r="C25" s="21" t="s">
        <v>23</v>
      </c>
      <c r="D25" s="21" t="s">
        <v>24</v>
      </c>
      <c r="E25" s="13"/>
      <c r="F25" s="13"/>
      <c r="H25" s="56"/>
      <c r="I25" s="56"/>
    </row>
    <row r="26" spans="1:9" x14ac:dyDescent="0.2">
      <c r="A26" s="68"/>
      <c r="B26" s="71"/>
      <c r="C26" s="21" t="s">
        <v>25</v>
      </c>
      <c r="D26" s="21" t="s">
        <v>95</v>
      </c>
      <c r="E26" s="11">
        <f>E6</f>
        <v>14080</v>
      </c>
      <c r="F26" s="11">
        <f>F6</f>
        <v>14080</v>
      </c>
      <c r="H26" s="56"/>
      <c r="I26" s="56"/>
    </row>
    <row r="27" spans="1:9" x14ac:dyDescent="0.2">
      <c r="A27" s="68"/>
      <c r="B27" s="71"/>
      <c r="C27" s="21" t="s">
        <v>26</v>
      </c>
      <c r="D27" s="21" t="s">
        <v>95</v>
      </c>
      <c r="E27" s="14">
        <f>E26*E25/100</f>
        <v>0</v>
      </c>
      <c r="F27" s="14">
        <f>F26*F25/100</f>
        <v>0</v>
      </c>
      <c r="H27" s="56"/>
      <c r="I27" s="56"/>
    </row>
    <row r="28" spans="1:9" x14ac:dyDescent="0.2">
      <c r="A28" s="68"/>
      <c r="B28" s="71"/>
      <c r="C28" s="21" t="s">
        <v>12</v>
      </c>
      <c r="D28" s="21" t="s">
        <v>95</v>
      </c>
      <c r="E28" s="12"/>
      <c r="F28" s="12"/>
      <c r="H28" s="56"/>
      <c r="I28" s="56"/>
    </row>
    <row r="29" spans="1:9" x14ac:dyDescent="0.2">
      <c r="A29" s="68"/>
      <c r="B29" s="71"/>
      <c r="C29" s="21" t="s">
        <v>58</v>
      </c>
      <c r="D29" s="21"/>
      <c r="E29" s="8">
        <f>E27*E28</f>
        <v>0</v>
      </c>
      <c r="F29" s="8">
        <f>F27*F28</f>
        <v>0</v>
      </c>
      <c r="H29" s="56"/>
      <c r="I29" s="56"/>
    </row>
    <row r="30" spans="1:9" x14ac:dyDescent="0.2">
      <c r="A30" s="68"/>
      <c r="B30" s="71"/>
      <c r="C30" s="21" t="s">
        <v>27</v>
      </c>
      <c r="D30" s="21" t="s">
        <v>90</v>
      </c>
      <c r="E30" s="20"/>
      <c r="F30" s="20"/>
      <c r="H30" s="56"/>
      <c r="I30" s="56"/>
    </row>
    <row r="31" spans="1:9" x14ac:dyDescent="0.2">
      <c r="A31" s="68"/>
      <c r="B31" s="71"/>
      <c r="C31" s="21" t="s">
        <v>13</v>
      </c>
      <c r="D31" s="21" t="s">
        <v>96</v>
      </c>
      <c r="E31" s="12"/>
      <c r="F31" s="12"/>
      <c r="H31" s="56"/>
      <c r="I31" s="56"/>
    </row>
    <row r="32" spans="1:9" x14ac:dyDescent="0.2">
      <c r="A32" s="68"/>
      <c r="B32" s="71"/>
      <c r="C32" s="21" t="s">
        <v>59</v>
      </c>
      <c r="D32" s="21"/>
      <c r="E32" s="18">
        <f>E26*E30*E31</f>
        <v>0</v>
      </c>
      <c r="F32" s="18">
        <f>F26*F30*F31</f>
        <v>0</v>
      </c>
      <c r="H32" s="56"/>
      <c r="I32" s="56"/>
    </row>
    <row r="33" spans="1:9" x14ac:dyDescent="0.2">
      <c r="A33" s="69"/>
      <c r="B33" s="72"/>
      <c r="C33" s="21" t="s">
        <v>65</v>
      </c>
      <c r="D33" s="21"/>
      <c r="E33" s="18">
        <f>E29+E32</f>
        <v>0</v>
      </c>
      <c r="F33" s="18">
        <f>F29+F32</f>
        <v>0</v>
      </c>
      <c r="H33" s="56"/>
      <c r="I33" s="56"/>
    </row>
    <row r="34" spans="1:9" x14ac:dyDescent="0.2">
      <c r="A34" s="39"/>
      <c r="B34" s="39"/>
      <c r="C34" s="21"/>
      <c r="D34" s="21"/>
      <c r="E34" s="31"/>
      <c r="F34" s="31"/>
      <c r="H34" s="56"/>
      <c r="I34" s="56"/>
    </row>
    <row r="35" spans="1:9" x14ac:dyDescent="0.2">
      <c r="A35" s="67" t="s">
        <v>61</v>
      </c>
      <c r="B35" s="70"/>
      <c r="C35" s="21" t="s">
        <v>23</v>
      </c>
      <c r="D35" s="21" t="s">
        <v>24</v>
      </c>
      <c r="E35" s="13"/>
      <c r="F35" s="13"/>
      <c r="H35" s="56"/>
      <c r="I35" s="56"/>
    </row>
    <row r="36" spans="1:9" x14ac:dyDescent="0.2">
      <c r="A36" s="68"/>
      <c r="B36" s="71"/>
      <c r="C36" s="21" t="s">
        <v>25</v>
      </c>
      <c r="D36" s="21" t="s">
        <v>95</v>
      </c>
      <c r="E36" s="11">
        <f>E6</f>
        <v>14080</v>
      </c>
      <c r="F36" s="11">
        <f>F6</f>
        <v>14080</v>
      </c>
      <c r="H36" s="56"/>
      <c r="I36" s="56"/>
    </row>
    <row r="37" spans="1:9" x14ac:dyDescent="0.2">
      <c r="A37" s="68"/>
      <c r="B37" s="71"/>
      <c r="C37" s="21" t="s">
        <v>26</v>
      </c>
      <c r="D37" s="21" t="s">
        <v>95</v>
      </c>
      <c r="E37" s="14">
        <f>E36*E35/100</f>
        <v>0</v>
      </c>
      <c r="F37" s="14">
        <f>F36*F35/100</f>
        <v>0</v>
      </c>
      <c r="H37" s="56"/>
      <c r="I37" s="56"/>
    </row>
    <row r="38" spans="1:9" x14ac:dyDescent="0.2">
      <c r="A38" s="68"/>
      <c r="B38" s="71"/>
      <c r="C38" s="21" t="s">
        <v>12</v>
      </c>
      <c r="D38" s="21" t="s">
        <v>95</v>
      </c>
      <c r="E38" s="12"/>
      <c r="F38" s="12"/>
      <c r="H38" s="56"/>
      <c r="I38" s="56"/>
    </row>
    <row r="39" spans="1:9" x14ac:dyDescent="0.2">
      <c r="A39" s="68"/>
      <c r="B39" s="71"/>
      <c r="C39" s="21" t="s">
        <v>58</v>
      </c>
      <c r="D39" s="21"/>
      <c r="E39" s="8">
        <f>E37*E38</f>
        <v>0</v>
      </c>
      <c r="F39" s="8">
        <f>F37*F38</f>
        <v>0</v>
      </c>
      <c r="H39" s="56"/>
      <c r="I39" s="56"/>
    </row>
    <row r="40" spans="1:9" x14ac:dyDescent="0.2">
      <c r="A40" s="68"/>
      <c r="B40" s="71"/>
      <c r="C40" s="21" t="s">
        <v>27</v>
      </c>
      <c r="D40" s="21" t="s">
        <v>90</v>
      </c>
      <c r="E40" s="20"/>
      <c r="F40" s="20"/>
      <c r="H40" s="56"/>
      <c r="I40" s="56"/>
    </row>
    <row r="41" spans="1:9" x14ac:dyDescent="0.2">
      <c r="A41" s="68"/>
      <c r="B41" s="71"/>
      <c r="C41" s="21" t="s">
        <v>13</v>
      </c>
      <c r="D41" s="21" t="s">
        <v>96</v>
      </c>
      <c r="E41" s="12"/>
      <c r="F41" s="12"/>
      <c r="H41" s="56"/>
      <c r="I41" s="56"/>
    </row>
    <row r="42" spans="1:9" x14ac:dyDescent="0.2">
      <c r="A42" s="68"/>
      <c r="B42" s="71"/>
      <c r="C42" s="21" t="s">
        <v>59</v>
      </c>
      <c r="D42" s="21"/>
      <c r="E42" s="18">
        <f>E36*E40*E41</f>
        <v>0</v>
      </c>
      <c r="F42" s="18">
        <f>F36*F40*F41</f>
        <v>0</v>
      </c>
      <c r="H42" s="56"/>
      <c r="I42" s="56"/>
    </row>
    <row r="43" spans="1:9" x14ac:dyDescent="0.2">
      <c r="A43" s="69"/>
      <c r="B43" s="72"/>
      <c r="C43" s="21" t="s">
        <v>66</v>
      </c>
      <c r="D43" s="21"/>
      <c r="E43" s="18">
        <f>E39+E42</f>
        <v>0</v>
      </c>
      <c r="F43" s="18">
        <f>F39+F42</f>
        <v>0</v>
      </c>
      <c r="H43" s="56"/>
      <c r="I43" s="56"/>
    </row>
    <row r="44" spans="1:9" x14ac:dyDescent="0.2">
      <c r="A44" s="39"/>
      <c r="B44" s="39"/>
      <c r="C44" s="21"/>
      <c r="D44" s="21"/>
      <c r="E44" s="31"/>
      <c r="F44" s="31"/>
      <c r="H44" s="56"/>
      <c r="I44" s="56"/>
    </row>
    <row r="45" spans="1:9" x14ac:dyDescent="0.2">
      <c r="A45" s="67" t="s">
        <v>62</v>
      </c>
      <c r="B45" s="70"/>
      <c r="C45" s="21" t="s">
        <v>23</v>
      </c>
      <c r="D45" s="21" t="s">
        <v>24</v>
      </c>
      <c r="E45" s="13"/>
      <c r="F45" s="13"/>
      <c r="H45" s="56"/>
      <c r="I45" s="56"/>
    </row>
    <row r="46" spans="1:9" x14ac:dyDescent="0.2">
      <c r="A46" s="68"/>
      <c r="B46" s="71"/>
      <c r="C46" s="21" t="s">
        <v>25</v>
      </c>
      <c r="D46" s="21" t="s">
        <v>95</v>
      </c>
      <c r="E46" s="11">
        <f>E6</f>
        <v>14080</v>
      </c>
      <c r="F46" s="11">
        <f>F6</f>
        <v>14080</v>
      </c>
      <c r="H46" s="56"/>
      <c r="I46" s="56"/>
    </row>
    <row r="47" spans="1:9" x14ac:dyDescent="0.2">
      <c r="A47" s="68"/>
      <c r="B47" s="71"/>
      <c r="C47" s="21" t="s">
        <v>26</v>
      </c>
      <c r="D47" s="21" t="s">
        <v>95</v>
      </c>
      <c r="E47" s="14">
        <f>E46*E45/100</f>
        <v>0</v>
      </c>
      <c r="F47" s="14">
        <f>F46*F45/100</f>
        <v>0</v>
      </c>
      <c r="H47" s="56"/>
      <c r="I47" s="56"/>
    </row>
    <row r="48" spans="1:9" x14ac:dyDescent="0.2">
      <c r="A48" s="68"/>
      <c r="B48" s="71"/>
      <c r="C48" s="21" t="s">
        <v>12</v>
      </c>
      <c r="D48" s="21" t="s">
        <v>95</v>
      </c>
      <c r="E48" s="12"/>
      <c r="F48" s="12"/>
      <c r="H48" s="56"/>
      <c r="I48" s="56"/>
    </row>
    <row r="49" spans="1:9" x14ac:dyDescent="0.2">
      <c r="A49" s="68"/>
      <c r="B49" s="71"/>
      <c r="C49" s="21" t="s">
        <v>58</v>
      </c>
      <c r="D49" s="21"/>
      <c r="E49" s="8">
        <f>E47*E48</f>
        <v>0</v>
      </c>
      <c r="F49" s="8">
        <f>F47*F48</f>
        <v>0</v>
      </c>
      <c r="H49" s="56"/>
      <c r="I49" s="56"/>
    </row>
    <row r="50" spans="1:9" x14ac:dyDescent="0.2">
      <c r="A50" s="68"/>
      <c r="B50" s="71"/>
      <c r="C50" s="21" t="s">
        <v>27</v>
      </c>
      <c r="D50" s="21" t="s">
        <v>90</v>
      </c>
      <c r="E50" s="20"/>
      <c r="F50" s="20"/>
      <c r="H50" s="56"/>
      <c r="I50" s="56"/>
    </row>
    <row r="51" spans="1:9" x14ac:dyDescent="0.2">
      <c r="A51" s="68"/>
      <c r="B51" s="71"/>
      <c r="C51" s="21" t="s">
        <v>13</v>
      </c>
      <c r="D51" s="21" t="s">
        <v>96</v>
      </c>
      <c r="E51" s="12"/>
      <c r="F51" s="12"/>
      <c r="H51" s="56"/>
      <c r="I51" s="56"/>
    </row>
    <row r="52" spans="1:9" x14ac:dyDescent="0.2">
      <c r="A52" s="68"/>
      <c r="B52" s="71"/>
      <c r="C52" s="21" t="s">
        <v>59</v>
      </c>
      <c r="D52" s="21"/>
      <c r="E52" s="18">
        <f>E46*E50*E51</f>
        <v>0</v>
      </c>
      <c r="F52" s="18">
        <f>F46*F50*F51</f>
        <v>0</v>
      </c>
      <c r="H52" s="56"/>
      <c r="I52" s="56"/>
    </row>
    <row r="53" spans="1:9" x14ac:dyDescent="0.2">
      <c r="A53" s="69"/>
      <c r="B53" s="72"/>
      <c r="C53" s="21" t="s">
        <v>67</v>
      </c>
      <c r="D53" s="21"/>
      <c r="E53" s="18">
        <f>E49+E52</f>
        <v>0</v>
      </c>
      <c r="F53" s="18">
        <f>F49+F52</f>
        <v>0</v>
      </c>
      <c r="H53" s="56"/>
      <c r="I53" s="56"/>
    </row>
    <row r="54" spans="1:9" x14ac:dyDescent="0.2">
      <c r="A54" s="64"/>
      <c r="B54" s="65"/>
      <c r="C54" s="66"/>
      <c r="D54" s="21"/>
      <c r="E54" s="31"/>
      <c r="F54" s="31"/>
    </row>
    <row r="55" spans="1:9" x14ac:dyDescent="0.2">
      <c r="A55" s="64" t="s">
        <v>75</v>
      </c>
      <c r="B55" s="65"/>
      <c r="C55" s="66"/>
      <c r="D55" s="21"/>
      <c r="E55" s="29">
        <f>SUM(E13,E23,E33,E43,E53)</f>
        <v>370253.31200000003</v>
      </c>
      <c r="F55" s="29">
        <f>SUM(F13,F23,F33,F43,F53)</f>
        <v>214082.17600000001</v>
      </c>
    </row>
    <row r="57" spans="1:9" x14ac:dyDescent="0.2">
      <c r="E57" s="34"/>
      <c r="F57" s="34"/>
    </row>
  </sheetData>
  <customSheetViews>
    <customSheetView guid="{0151402A-CC2D-4B28-869C-70F7653010B1}">
      <selection activeCell="H16" sqref="H16"/>
      <pageMargins left="0.75" right="0.75" top="1" bottom="1" header="0.5" footer="0.5"/>
      <pageSetup orientation="landscape" horizontalDpi="1200" verticalDpi="1200" r:id="rId1"/>
    </customSheetView>
  </customSheetViews>
  <mergeCells count="14">
    <mergeCell ref="H1:I1"/>
    <mergeCell ref="A1:F1"/>
    <mergeCell ref="A5:A13"/>
    <mergeCell ref="B5:B13"/>
    <mergeCell ref="A54:C54"/>
    <mergeCell ref="A55:C55"/>
    <mergeCell ref="A45:A53"/>
    <mergeCell ref="B45:B53"/>
    <mergeCell ref="A15:A23"/>
    <mergeCell ref="B15:B23"/>
    <mergeCell ref="A25:A33"/>
    <mergeCell ref="B25:B33"/>
    <mergeCell ref="A35:A43"/>
    <mergeCell ref="B35:B43"/>
  </mergeCells>
  <pageMargins left="0.75" right="0.75" top="1" bottom="1" header="0.5" footer="0.5"/>
  <pageSetup orientation="landscape" horizontalDpi="1200" verticalDpi="1200"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Disclaimer</vt:lpstr>
      <vt:lpstr>User Guide</vt:lpstr>
      <vt:lpstr>General Information</vt:lpstr>
      <vt:lpstr>Construction Quantities</vt:lpstr>
      <vt:lpstr>Construction Cost</vt:lpstr>
      <vt:lpstr>Maintenance Cost</vt:lpstr>
      <vt:lpstr>Rehabilitation Cost</vt:lpstr>
    </vt:vector>
  </TitlesOfParts>
  <Company>Texas State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Humphries</dc:creator>
  <cp:lastModifiedBy>Microsoft Office User</cp:lastModifiedBy>
  <cp:lastPrinted>2012-11-29T19:47:36Z</cp:lastPrinted>
  <dcterms:created xsi:type="dcterms:W3CDTF">2012-08-08T19:37:17Z</dcterms:created>
  <dcterms:modified xsi:type="dcterms:W3CDTF">2018-04-23T14:38:39Z</dcterms:modified>
</cp:coreProperties>
</file>