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CarolineZiegler\Studium_DCU\8. Semester\Business Analytics Portfolio\Portfolio\04_Excel\Stategic Initiatives\"/>
    </mc:Choice>
  </mc:AlternateContent>
  <xr:revisionPtr revIDLastSave="0" documentId="13_ncr:1_{A44608EB-47A5-41B2-BA8F-EAE79F003905}" xr6:coauthVersionLast="47" xr6:coauthVersionMax="47" xr10:uidLastSave="{00000000-0000-0000-0000-000000000000}"/>
  <bookViews>
    <workbookView xWindow="-98" yWindow="-98" windowWidth="20715" windowHeight="13276" activeTab="1" xr2:uid="{17114BC5-DE65-4797-AC63-03D650BD3FF6}"/>
  </bookViews>
  <sheets>
    <sheet name="Overview" sheetId="1" r:id="rId1"/>
    <sheet name="Dashboard" sheetId="5" r:id="rId2"/>
    <sheet name="Recommendation 1" sheetId="2" r:id="rId3"/>
    <sheet name="Recommendation 2" sheetId="3" r:id="rId4"/>
    <sheet name="Recommendation 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3" l="1"/>
  <c r="B97" i="2"/>
  <c r="C27" i="3"/>
  <c r="G81" i="4"/>
  <c r="H81" i="4"/>
  <c r="H69" i="4"/>
  <c r="G69" i="4"/>
  <c r="F69" i="4"/>
  <c r="E69" i="4"/>
  <c r="D69" i="4"/>
  <c r="C69" i="4"/>
  <c r="D55" i="3"/>
  <c r="E36" i="2"/>
  <c r="B38" i="3"/>
  <c r="E58" i="2"/>
  <c r="B19" i="4"/>
  <c r="B18" i="4"/>
  <c r="B17" i="4"/>
  <c r="B20" i="4" s="1"/>
  <c r="B34" i="4" s="1"/>
  <c r="D78" i="4" s="1"/>
  <c r="B71" i="4"/>
  <c r="B72" i="4" s="1"/>
  <c r="E78" i="4" l="1"/>
  <c r="K48" i="4"/>
  <c r="L47" i="4" s="1"/>
  <c r="B45" i="4" s="1"/>
  <c r="B46" i="4" s="1"/>
  <c r="C54" i="4"/>
  <c r="B31" i="4"/>
  <c r="B13" i="4"/>
  <c r="B25" i="4"/>
  <c r="B46" i="3"/>
  <c r="B47" i="3" s="1"/>
  <c r="B39" i="3"/>
  <c r="B40" i="3" s="1"/>
  <c r="C38" i="3"/>
  <c r="D38" i="3" s="1"/>
  <c r="E38" i="3" s="1"/>
  <c r="F38" i="3" s="1"/>
  <c r="G38" i="3" s="1"/>
  <c r="H38" i="3" s="1"/>
  <c r="H39" i="3" s="1"/>
  <c r="H40" i="3" s="1"/>
  <c r="C24" i="3"/>
  <c r="C11" i="3"/>
  <c r="C19" i="3"/>
  <c r="C18" i="3"/>
  <c r="C17" i="3"/>
  <c r="C16" i="3"/>
  <c r="C15" i="3"/>
  <c r="E84" i="2"/>
  <c r="F84" i="2"/>
  <c r="G84" i="2"/>
  <c r="H84" i="2"/>
  <c r="D84" i="2"/>
  <c r="C84" i="2"/>
  <c r="B84" i="2"/>
  <c r="E37" i="2"/>
  <c r="B90" i="2"/>
  <c r="C90" i="2" s="1"/>
  <c r="D90" i="2" s="1"/>
  <c r="E90" i="2" s="1"/>
  <c r="F90" i="2" s="1"/>
  <c r="G90" i="2" s="1"/>
  <c r="H90" i="2" s="1"/>
  <c r="B89" i="2"/>
  <c r="C89" i="2" s="1"/>
  <c r="B87" i="2"/>
  <c r="C87" i="2" s="1"/>
  <c r="D87" i="2" s="1"/>
  <c r="E87" i="2" s="1"/>
  <c r="F87" i="2" s="1"/>
  <c r="G87" i="2" s="1"/>
  <c r="H87" i="2" s="1"/>
  <c r="B86" i="2"/>
  <c r="C81" i="2"/>
  <c r="D81" i="2"/>
  <c r="E81" i="2"/>
  <c r="F81" i="2"/>
  <c r="G81" i="2"/>
  <c r="H81" i="2"/>
  <c r="B81" i="2"/>
  <c r="E60" i="2"/>
  <c r="G31" i="2"/>
  <c r="I31" i="2"/>
  <c r="B20" i="2"/>
  <c r="C20" i="2" s="1"/>
  <c r="D20" i="2" s="1"/>
  <c r="E20" i="2" s="1"/>
  <c r="F20" i="2" s="1"/>
  <c r="G20" i="2" s="1"/>
  <c r="H20" i="2" s="1"/>
  <c r="I20" i="2" s="1"/>
  <c r="J20" i="2" s="1"/>
  <c r="K20" i="2" s="1"/>
  <c r="B19" i="2"/>
  <c r="C19" i="2" s="1"/>
  <c r="D19" i="2" s="1"/>
  <c r="E19" i="2" s="1"/>
  <c r="F19" i="2" s="1"/>
  <c r="G19" i="2" s="1"/>
  <c r="H19" i="2" s="1"/>
  <c r="I19" i="2" s="1"/>
  <c r="J19" i="2" s="1"/>
  <c r="K19" i="2" s="1"/>
  <c r="B18" i="2"/>
  <c r="C18" i="2" s="1"/>
  <c r="D18" i="2" s="1"/>
  <c r="E18" i="2" s="1"/>
  <c r="F18" i="2" s="1"/>
  <c r="G18" i="2" s="1"/>
  <c r="H18" i="2" s="1"/>
  <c r="I18" i="2" s="1"/>
  <c r="J18" i="2" s="1"/>
  <c r="K18" i="2" s="1"/>
  <c r="B17" i="2"/>
  <c r="C17" i="2" s="1"/>
  <c r="D17" i="2" s="1"/>
  <c r="E17" i="2" s="1"/>
  <c r="F17" i="2" s="1"/>
  <c r="G17" i="2" s="1"/>
  <c r="H17" i="2" s="1"/>
  <c r="I17" i="2" s="1"/>
  <c r="J17" i="2" s="1"/>
  <c r="K17" i="2" s="1"/>
  <c r="B16" i="2"/>
  <c r="C16" i="2" s="1"/>
  <c r="D16" i="2" s="1"/>
  <c r="E16" i="2" s="1"/>
  <c r="F16" i="2" s="1"/>
  <c r="G16" i="2" s="1"/>
  <c r="H16" i="2" s="1"/>
  <c r="I16" i="2" s="1"/>
  <c r="J16" i="2" s="1"/>
  <c r="K16" i="2" s="1"/>
  <c r="B15" i="2"/>
  <c r="C15" i="2" s="1"/>
  <c r="D15" i="2" s="1"/>
  <c r="E15" i="2" s="1"/>
  <c r="F15" i="2" s="1"/>
  <c r="G15" i="2" s="1"/>
  <c r="H15" i="2" s="1"/>
  <c r="I15" i="2" s="1"/>
  <c r="J15" i="2" s="1"/>
  <c r="K15" i="2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B13" i="2"/>
  <c r="C13" i="2" s="1"/>
  <c r="D13" i="2" s="1"/>
  <c r="E13" i="2" s="1"/>
  <c r="F13" i="2" s="1"/>
  <c r="G13" i="2" s="1"/>
  <c r="H13" i="2" s="1"/>
  <c r="I13" i="2" s="1"/>
  <c r="J13" i="2" s="1"/>
  <c r="K13" i="2" s="1"/>
  <c r="B12" i="2"/>
  <c r="C12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F78" i="4" l="1"/>
  <c r="F31" i="2"/>
  <c r="D58" i="2"/>
  <c r="J31" i="2"/>
  <c r="F58" i="2"/>
  <c r="C45" i="4"/>
  <c r="C46" i="4" s="1"/>
  <c r="C71" i="4"/>
  <c r="C72" i="4" s="1"/>
  <c r="B33" i="4"/>
  <c r="B78" i="4" s="1"/>
  <c r="C78" i="4" s="1"/>
  <c r="L46" i="4"/>
  <c r="B51" i="4" s="1"/>
  <c r="B52" i="4" s="1"/>
  <c r="L45" i="4"/>
  <c r="B48" i="4" s="1"/>
  <c r="B49" i="4" s="1"/>
  <c r="D54" i="4"/>
  <c r="H46" i="3"/>
  <c r="H47" i="3" s="1"/>
  <c r="H48" i="3" s="1"/>
  <c r="H54" i="3" s="1"/>
  <c r="E46" i="3"/>
  <c r="E47" i="3" s="1"/>
  <c r="D46" i="3"/>
  <c r="D47" i="3" s="1"/>
  <c r="D48" i="3" s="1"/>
  <c r="F46" i="3"/>
  <c r="F47" i="3" s="1"/>
  <c r="F48" i="3" s="1"/>
  <c r="C46" i="3"/>
  <c r="C47" i="3" s="1"/>
  <c r="C48" i="3" s="1"/>
  <c r="B48" i="3"/>
  <c r="B54" i="3" s="1"/>
  <c r="B56" i="3" s="1"/>
  <c r="G46" i="3"/>
  <c r="G47" i="3" s="1"/>
  <c r="G48" i="3" s="1"/>
  <c r="G39" i="3"/>
  <c r="G40" i="3" s="1"/>
  <c r="C39" i="3"/>
  <c r="C40" i="3" s="1"/>
  <c r="F39" i="3"/>
  <c r="F40" i="3" s="1"/>
  <c r="E39" i="3"/>
  <c r="E40" i="3" s="1"/>
  <c r="D39" i="3"/>
  <c r="D40" i="3" s="1"/>
  <c r="E48" i="3"/>
  <c r="C20" i="3"/>
  <c r="B85" i="2"/>
  <c r="C86" i="2"/>
  <c r="F86" i="2"/>
  <c r="E85" i="2"/>
  <c r="D89" i="2"/>
  <c r="C88" i="2"/>
  <c r="B88" i="2"/>
  <c r="E72" i="2"/>
  <c r="E74" i="2" s="1"/>
  <c r="D12" i="2"/>
  <c r="C21" i="2"/>
  <c r="B21" i="2"/>
  <c r="G78" i="4" l="1"/>
  <c r="K31" i="2"/>
  <c r="G58" i="2"/>
  <c r="E31" i="2"/>
  <c r="C58" i="2"/>
  <c r="C60" i="2" s="1"/>
  <c r="B53" i="4"/>
  <c r="B77" i="4" s="1"/>
  <c r="B79" i="4" s="1"/>
  <c r="C48" i="4"/>
  <c r="C49" i="4" s="1"/>
  <c r="C51" i="4"/>
  <c r="C52" i="4" s="1"/>
  <c r="D51" i="4"/>
  <c r="D52" i="4" s="1"/>
  <c r="D71" i="4"/>
  <c r="D72" i="4" s="1"/>
  <c r="E54" i="4"/>
  <c r="D45" i="4"/>
  <c r="D46" i="4" s="1"/>
  <c r="D48" i="4"/>
  <c r="D49" i="4" s="1"/>
  <c r="F54" i="3"/>
  <c r="D54" i="3"/>
  <c r="C54" i="3"/>
  <c r="C56" i="3" s="1"/>
  <c r="G54" i="3"/>
  <c r="E54" i="3"/>
  <c r="C26" i="3"/>
  <c r="B91" i="2"/>
  <c r="C85" i="2"/>
  <c r="C91" i="2" s="1"/>
  <c r="D86" i="2"/>
  <c r="D85" i="2" s="1"/>
  <c r="F85" i="2"/>
  <c r="G86" i="2"/>
  <c r="E89" i="2"/>
  <c r="D88" i="2"/>
  <c r="F60" i="2"/>
  <c r="F72" i="2"/>
  <c r="F74" i="2" s="1"/>
  <c r="G60" i="2"/>
  <c r="G72" i="2"/>
  <c r="G74" i="2" s="1"/>
  <c r="C72" i="2"/>
  <c r="C74" i="2" s="1"/>
  <c r="D60" i="2"/>
  <c r="D72" i="2"/>
  <c r="D74" i="2" s="1"/>
  <c r="E12" i="2"/>
  <c r="D21" i="2"/>
  <c r="H78" i="4" l="1"/>
  <c r="D31" i="2"/>
  <c r="C31" i="2" s="1"/>
  <c r="B31" i="2" s="1"/>
  <c r="B58" i="2"/>
  <c r="H58" i="2"/>
  <c r="H72" i="2" s="1"/>
  <c r="H74" i="2" s="1"/>
  <c r="C53" i="4"/>
  <c r="C77" i="4" s="1"/>
  <c r="C79" i="4" s="1"/>
  <c r="E51" i="4"/>
  <c r="E52" i="4" s="1"/>
  <c r="E71" i="4"/>
  <c r="E72" i="4" s="1"/>
  <c r="D53" i="4"/>
  <c r="D77" i="4" s="1"/>
  <c r="D79" i="4" s="1"/>
  <c r="F54" i="4"/>
  <c r="E45" i="4"/>
  <c r="E46" i="4" s="1"/>
  <c r="E48" i="4"/>
  <c r="E49" i="4" s="1"/>
  <c r="D56" i="3"/>
  <c r="D91" i="2"/>
  <c r="G85" i="2"/>
  <c r="H86" i="2"/>
  <c r="H85" i="2" s="1"/>
  <c r="F89" i="2"/>
  <c r="E88" i="2"/>
  <c r="E91" i="2" s="1"/>
  <c r="F12" i="2"/>
  <c r="E21" i="2"/>
  <c r="B57" i="2" s="1"/>
  <c r="B60" i="2" l="1"/>
  <c r="B72" i="2"/>
  <c r="B74" i="2" s="1"/>
  <c r="H60" i="2"/>
  <c r="E53" i="4"/>
  <c r="E77" i="4" s="1"/>
  <c r="E79" i="4" s="1"/>
  <c r="F51" i="4"/>
  <c r="F52" i="4" s="1"/>
  <c r="F71" i="4"/>
  <c r="F72" i="4" s="1"/>
  <c r="G54" i="4"/>
  <c r="F45" i="4"/>
  <c r="F46" i="4" s="1"/>
  <c r="F48" i="4"/>
  <c r="F49" i="4" s="1"/>
  <c r="F55" i="3"/>
  <c r="E56" i="3"/>
  <c r="G89" i="2"/>
  <c r="F88" i="2"/>
  <c r="F91" i="2" s="1"/>
  <c r="B59" i="2"/>
  <c r="B61" i="2" s="1"/>
  <c r="B71" i="2"/>
  <c r="B73" i="2" s="1"/>
  <c r="G12" i="2"/>
  <c r="F21" i="2"/>
  <c r="C57" i="2" s="1"/>
  <c r="G51" i="4" l="1"/>
  <c r="G52" i="4" s="1"/>
  <c r="G71" i="4"/>
  <c r="G72" i="4" s="1"/>
  <c r="F53" i="4"/>
  <c r="F77" i="4" s="1"/>
  <c r="F79" i="4" s="1"/>
  <c r="G45" i="4"/>
  <c r="G46" i="4" s="1"/>
  <c r="G48" i="4"/>
  <c r="G49" i="4" s="1"/>
  <c r="H54" i="4"/>
  <c r="F56" i="3"/>
  <c r="G55" i="3"/>
  <c r="H89" i="2"/>
  <c r="H88" i="2" s="1"/>
  <c r="H91" i="2" s="1"/>
  <c r="G88" i="2"/>
  <c r="G91" i="2" s="1"/>
  <c r="B75" i="2"/>
  <c r="C59" i="2"/>
  <c r="C61" i="2" s="1"/>
  <c r="C71" i="2"/>
  <c r="H12" i="2"/>
  <c r="G21" i="2"/>
  <c r="D57" i="2" s="1"/>
  <c r="B99" i="2" l="1"/>
  <c r="H51" i="4"/>
  <c r="H52" i="4" s="1"/>
  <c r="H71" i="4"/>
  <c r="H72" i="4" s="1"/>
  <c r="G53" i="4"/>
  <c r="G77" i="4" s="1"/>
  <c r="G79" i="4" s="1"/>
  <c r="H45" i="4"/>
  <c r="H46" i="4" s="1"/>
  <c r="H48" i="4"/>
  <c r="H49" i="4" s="1"/>
  <c r="H55" i="3"/>
  <c r="H56" i="3" s="1"/>
  <c r="G56" i="3"/>
  <c r="C73" i="2"/>
  <c r="C75" i="2" s="1"/>
  <c r="C97" i="2" s="1"/>
  <c r="C99" i="2" s="1"/>
  <c r="D59" i="2"/>
  <c r="D61" i="2" s="1"/>
  <c r="D71" i="2"/>
  <c r="D73" i="2" s="1"/>
  <c r="D75" i="2" s="1"/>
  <c r="I12" i="2"/>
  <c r="H21" i="2"/>
  <c r="E57" i="2" s="1"/>
  <c r="H53" i="4" l="1"/>
  <c r="H77" i="4" s="1"/>
  <c r="H79" i="4" s="1"/>
  <c r="D97" i="2"/>
  <c r="D99" i="2" s="1"/>
  <c r="E59" i="2"/>
  <c r="E61" i="2" s="1"/>
  <c r="E71" i="2"/>
  <c r="E73" i="2" s="1"/>
  <c r="E75" i="2" s="1"/>
  <c r="J12" i="2"/>
  <c r="I21" i="2"/>
  <c r="F57" i="2" s="1"/>
  <c r="E97" i="2" l="1"/>
  <c r="E99" i="2" s="1"/>
  <c r="F59" i="2"/>
  <c r="F61" i="2" s="1"/>
  <c r="F71" i="2"/>
  <c r="F73" i="2" s="1"/>
  <c r="F75" i="2" s="1"/>
  <c r="K12" i="2"/>
  <c r="K21" i="2" s="1"/>
  <c r="H57" i="2" s="1"/>
  <c r="J21" i="2"/>
  <c r="G57" i="2" s="1"/>
  <c r="F97" i="2" l="1"/>
  <c r="F99" i="2" s="1"/>
  <c r="G59" i="2"/>
  <c r="G61" i="2" s="1"/>
  <c r="G71" i="2"/>
  <c r="G73" i="2" s="1"/>
  <c r="G75" i="2" s="1"/>
  <c r="H59" i="2"/>
  <c r="H61" i="2" s="1"/>
  <c r="H71" i="2"/>
  <c r="H73" i="2" s="1"/>
  <c r="H75" i="2" s="1"/>
  <c r="G97" i="2" l="1"/>
  <c r="G99" i="2" s="1"/>
  <c r="H97" i="2"/>
  <c r="H99" i="2" s="1"/>
</calcChain>
</file>

<file path=xl/sharedStrings.xml><?xml version="1.0" encoding="utf-8"?>
<sst xmlns="http://schemas.openxmlformats.org/spreadsheetml/2006/main" count="228" uniqueCount="150">
  <si>
    <t>Contents</t>
  </si>
  <si>
    <t>Analysis of the Three Recommendations</t>
  </si>
  <si>
    <r>
      <rPr>
        <b/>
        <sz val="11"/>
        <color theme="1"/>
        <rFont val="Times New Roman"/>
        <family val="1"/>
        <scheme val="minor"/>
      </rPr>
      <t>Goal</t>
    </r>
    <r>
      <rPr>
        <sz val="11"/>
        <color theme="1"/>
        <rFont val="Times New Roman"/>
        <family val="2"/>
        <scheme val="minor"/>
      </rPr>
      <t>: Calculate the costs and value-add for Deezer per Recommendation</t>
    </r>
  </si>
  <si>
    <t>1. First Recommendation: Differentiated Market Penetration Strategy</t>
  </si>
  <si>
    <t>Differentiated Market Penetration Strategy</t>
  </si>
  <si>
    <t>The top 10 markets</t>
  </si>
  <si>
    <t>CAGR until 2030</t>
  </si>
  <si>
    <t>USA</t>
  </si>
  <si>
    <t>Japan</t>
  </si>
  <si>
    <t>UK</t>
  </si>
  <si>
    <t>Germany</t>
  </si>
  <si>
    <t>France</t>
  </si>
  <si>
    <t>China</t>
  </si>
  <si>
    <t>South Korea</t>
  </si>
  <si>
    <t>Canada</t>
  </si>
  <si>
    <t>Australia</t>
  </si>
  <si>
    <t>Italy</t>
  </si>
  <si>
    <t>Revenue 2021 ($ billion)</t>
  </si>
  <si>
    <t>Total</t>
  </si>
  <si>
    <t>Online Marketing Emerging Markets (B2C)</t>
  </si>
  <si>
    <t>Campaign for older generation (B2C)</t>
  </si>
  <si>
    <t>Establishment of strategic partnership (B2B)</t>
  </si>
  <si>
    <t>MENA and Africa</t>
  </si>
  <si>
    <t>1. Large Attractive Markets Penetration</t>
  </si>
  <si>
    <t>2. Emerging Markets Penetration MENA &amp; Africa</t>
  </si>
  <si>
    <t>3. Costs of Recommendation</t>
  </si>
  <si>
    <t>Global Market Share of Deezer as of 2023</t>
  </si>
  <si>
    <t>2. Second Recommendation: Implement Customer-entricity in App and Marketing</t>
  </si>
  <si>
    <t xml:space="preserve">Implement Customer-Centricity in App and Marketing </t>
  </si>
  <si>
    <t>Large Attractive Markets</t>
  </si>
  <si>
    <t>Emerging Markets</t>
  </si>
  <si>
    <t xml:space="preserve">6 countries </t>
  </si>
  <si>
    <t>Saudi Arabia &amp; South Africa</t>
  </si>
  <si>
    <t>2 new employees</t>
  </si>
  <si>
    <t>Content Marketing</t>
  </si>
  <si>
    <t>Social Media Marketing</t>
  </si>
  <si>
    <t>E-Mail Marketing</t>
  </si>
  <si>
    <t>per month</t>
  </si>
  <si>
    <t>Source: Glassdoor, 2024</t>
  </si>
  <si>
    <t>Source: Goldman Sachs, 2022</t>
  </si>
  <si>
    <t>Source: WebFX</t>
  </si>
  <si>
    <t>Source: WebFX; Lister, 2023</t>
  </si>
  <si>
    <t>per year</t>
  </si>
  <si>
    <t>4. Overview Costs and Value-Add Deezer</t>
  </si>
  <si>
    <t>Forecasted Global Market Share until 2030</t>
  </si>
  <si>
    <t>Top 10 Markets</t>
  </si>
  <si>
    <t>MENA &amp; Africa</t>
  </si>
  <si>
    <t>Revenue Deezer Top 10</t>
  </si>
  <si>
    <t>Revenue Deezer MENA &amp; Africa</t>
  </si>
  <si>
    <t>Global Market Share until 2030</t>
  </si>
  <si>
    <t>Market Share top 10 Markets</t>
  </si>
  <si>
    <t>Market Share MENA &amp; Africa</t>
  </si>
  <si>
    <t>(12% Brazil + 1,5% average)/2</t>
  </si>
  <si>
    <t>*on-top of current costs</t>
  </si>
  <si>
    <t>4.3 Additional Costs per Year*</t>
  </si>
  <si>
    <t>4.4 Value-Add</t>
  </si>
  <si>
    <t>Revenue Difference through Recommendation</t>
  </si>
  <si>
    <t>Additional costs</t>
  </si>
  <si>
    <t>multiplied by 10 for the largest countries</t>
  </si>
  <si>
    <t>Targetting the 5 fastest growing (multiplying by 5)</t>
  </si>
  <si>
    <t>Financial Value-Add</t>
  </si>
  <si>
    <t>Marketing Employees (new hires)</t>
  </si>
  <si>
    <r>
      <rPr>
        <b/>
        <sz val="11"/>
        <color theme="1"/>
        <rFont val="Times New Roman"/>
        <family val="1"/>
        <scheme val="minor"/>
      </rPr>
      <t>Goal:</t>
    </r>
    <r>
      <rPr>
        <sz val="11"/>
        <color theme="1"/>
        <rFont val="Times New Roman"/>
        <family val="2"/>
        <scheme val="minor"/>
      </rPr>
      <t xml:space="preserve"> Differentiated market penetration to fully utilize the strengths of hybrid market development - B2B focus on 10 largest markets and B2C focus on Gen X and Boomers as well as B2B in Saudi Arabia and South Africa and B2C online marketing in the 5 fastest growing emerging countries </t>
    </r>
  </si>
  <si>
    <t>Source for Revenue 2021 and CAGR: Goldman Sachs, 2022</t>
  </si>
  <si>
    <t>1. Costs of Recommendation</t>
  </si>
  <si>
    <t>Targetting Deezer's 10 largest markets (multiplying by 10)</t>
  </si>
  <si>
    <t>"Value" Marketing Campaign 2024-2025</t>
  </si>
  <si>
    <t>Improving Buttons</t>
  </si>
  <si>
    <t xml:space="preserve">Improving Exact Search </t>
  </si>
  <si>
    <t>Comprehension of Equalizer function</t>
  </si>
  <si>
    <t>Expansion of Picture Library</t>
  </si>
  <si>
    <t xml:space="preserve">Optimize Music Quiz </t>
  </si>
  <si>
    <t>15% to 20% of the original development cost per year</t>
  </si>
  <si>
    <t>Estimated Initial Costs</t>
  </si>
  <si>
    <t>Revision Costs</t>
  </si>
  <si>
    <t>App Interface Optimization Features</t>
  </si>
  <si>
    <t>Development costs 50,000$ - 500,000$ depending on feature complexity</t>
  </si>
  <si>
    <t>Source: Couchbase, 2023</t>
  </si>
  <si>
    <t>New Hires for App Imrpovement</t>
  </si>
  <si>
    <t>App developer</t>
  </si>
  <si>
    <t>Two Developers to support existing team</t>
  </si>
  <si>
    <t>Total Costs (Year 2024)</t>
  </si>
  <si>
    <t>2. Value Add</t>
  </si>
  <si>
    <t>Expect to raise forecasted market share by +1%</t>
  </si>
  <si>
    <t>2.2 Second Scenario (market share of 2,2%)</t>
  </si>
  <si>
    <t>2.3 Value-Add</t>
  </si>
  <si>
    <t>in billion</t>
  </si>
  <si>
    <t>2.1 First Scenario (forecast share 1,7%)</t>
  </si>
  <si>
    <r>
      <rPr>
        <b/>
        <sz val="11"/>
        <color theme="1"/>
        <rFont val="Times New Roman"/>
        <family val="1"/>
        <scheme val="minor"/>
      </rPr>
      <t>Goal:</t>
    </r>
    <r>
      <rPr>
        <sz val="11"/>
        <color theme="1"/>
        <rFont val="Times New Roman"/>
        <family val="2"/>
        <scheme val="minor"/>
      </rPr>
      <t xml:space="preserve"> Focus app and marketing on customer-centricity to emphasize and better communicate the value of Deezer</t>
    </r>
  </si>
  <si>
    <t>Global Revenue</t>
  </si>
  <si>
    <t xml:space="preserve">Revenue Deezer </t>
  </si>
  <si>
    <t>"Meet an Artist"</t>
  </si>
  <si>
    <t>VR Concerts</t>
  </si>
  <si>
    <t>Exchange Platform for fans</t>
  </si>
  <si>
    <t>New Hires for Feature development</t>
  </si>
  <si>
    <t>5 new hires to support team or as a new core team</t>
  </si>
  <si>
    <t>App and Paying Integration of new bundles</t>
  </si>
  <si>
    <t>Payment integration</t>
  </si>
  <si>
    <t>App integration</t>
  </si>
  <si>
    <t>Indirect costs</t>
  </si>
  <si>
    <t>Source: Medium, 2023; Couchbase, 2023</t>
  </si>
  <si>
    <t>Source: Medium, 2023</t>
  </si>
  <si>
    <t>Total (per year)</t>
  </si>
  <si>
    <t>Feature Development 2024/25</t>
  </si>
  <si>
    <t>2. Value-Add (only B2C)</t>
  </si>
  <si>
    <t>Premium (Single)</t>
  </si>
  <si>
    <t>Premium (Family)</t>
  </si>
  <si>
    <t>Premium (Student)</t>
  </si>
  <si>
    <t>Revenue Single</t>
  </si>
  <si>
    <t>Revenue Family</t>
  </si>
  <si>
    <t>Revenue Student</t>
  </si>
  <si>
    <t>Total Revenue</t>
  </si>
  <si>
    <t>Total Subscribers</t>
  </si>
  <si>
    <t>Assumption: market growth of CAGR 12% also for subscribers</t>
  </si>
  <si>
    <t>Assumption: Distribution based on survey results regarding subscription model usage</t>
  </si>
  <si>
    <t xml:space="preserve">Premium (Family)        </t>
  </si>
  <si>
    <t xml:space="preserve">Premium (Student)       </t>
  </si>
  <si>
    <t xml:space="preserve">Premium (Individual)     </t>
  </si>
  <si>
    <t>Subscribers worldwide (Student)</t>
  </si>
  <si>
    <t>Subscribers worldwide (Single)</t>
  </si>
  <si>
    <t>Subscribers worldwide (Family)</t>
  </si>
  <si>
    <t>2.1 Revenue with Current Pricing</t>
  </si>
  <si>
    <t>2.2 Revenue with additional Exclusive Bundle</t>
  </si>
  <si>
    <t>Subscribers to Exclusive Bundle</t>
  </si>
  <si>
    <t>Price Exclusive Bundle</t>
  </si>
  <si>
    <t>Revenue Exclusive Bundle</t>
  </si>
  <si>
    <t>Maintenance Costs (beginning 2026)</t>
  </si>
  <si>
    <t>Total costs (2024/25)</t>
  </si>
  <si>
    <t>Total costs (from 2026 onwards)</t>
  </si>
  <si>
    <t>Development costs 50,000€ - 500,000€ depending on feature complexity</t>
  </si>
  <si>
    <r>
      <rPr>
        <b/>
        <sz val="11"/>
        <color theme="1"/>
        <rFont val="Times New Roman"/>
        <family val="1"/>
        <scheme val="minor"/>
      </rPr>
      <t>Goal:</t>
    </r>
    <r>
      <rPr>
        <sz val="11"/>
        <color theme="1"/>
        <rFont val="Times New Roman"/>
        <family val="2"/>
        <scheme val="minor"/>
      </rPr>
      <t xml:space="preserve"> Feature-based selling, allowing customers to decide which future features they want or don't want, promoting customer-centricity and feature-alignment</t>
    </r>
  </si>
  <si>
    <t>2024 (in € billion)</t>
  </si>
  <si>
    <t>Exchange Rate USD/EUR</t>
  </si>
  <si>
    <t>New Marketing Hires</t>
  </si>
  <si>
    <t>Team of 5</t>
  </si>
  <si>
    <t>4.1 First Scenario (Revenue with forecasted market share)</t>
  </si>
  <si>
    <t>4.2 Second Scenario (Revenue with recommendation market share)</t>
  </si>
  <si>
    <t>Source: Couchbase, 2023; conversations with employees from Accenture and Asana</t>
  </si>
  <si>
    <t xml:space="preserve">Feature-Based Selling </t>
  </si>
  <si>
    <t>3. Third Recommendation: Feature-Based Selling</t>
  </si>
  <si>
    <t>Expect that around 20% of customers would buy exclusive bundle in a pessimistic scenario (Goldman Sachs, 2022)</t>
  </si>
  <si>
    <t>Total Costs (2026 onwards)</t>
  </si>
  <si>
    <t>Visualization Dashboard of the Three Recommendations</t>
  </si>
  <si>
    <t>Showing the Difference between Non-Implementation and Implementation Revenue</t>
  </si>
  <si>
    <t>Recommendation 1</t>
  </si>
  <si>
    <r>
      <rPr>
        <sz val="11"/>
        <color theme="1"/>
        <rFont val="Times New Roman"/>
        <family val="2"/>
        <scheme val="minor"/>
      </rPr>
      <t>Strategic Assessment and Consultation of Deezer</t>
    </r>
    <r>
      <rPr>
        <sz val="11"/>
        <color theme="1"/>
        <rFont val="Times New Roman"/>
        <family val="1"/>
        <scheme val="minor"/>
      </rPr>
      <t xml:space="preserve"> S.A.</t>
    </r>
  </si>
  <si>
    <t>Revenue in billion$</t>
  </si>
  <si>
    <t>in billion €</t>
  </si>
  <si>
    <t>Recommendation 2</t>
  </si>
  <si>
    <t>Recommendation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</si>
</sst>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%"/>
    <numFmt numFmtId="166" formatCode="_-* #,##0.00\ [$€-407]_-;\-* #,##0.00\ [$€-407]_-;_-* &quot;-&quot;??\ [$€-407]_-;_-@_-"/>
    <numFmt numFmtId="167" formatCode="_-[$$-409]* #,##0.000_ ;_-[$$-409]* \-#,##0.000\ ;_-[$$-409]* &quot;-&quot;??_ ;_-@_ "/>
    <numFmt numFmtId="168" formatCode="_-[$$-409]* #,##0.0_ ;_-[$$-409]* \-#,##0.0\ ;_-[$$-409]* &quot;-&quot;??_ ;_-@_ "/>
    <numFmt numFmtId="169" formatCode="_-* #,##0.0000\ [$€-407]_-;\-* #,##0.0000\ [$€-407]_-;_-* &quot;-&quot;??\ [$€-407]_-;_-@_-"/>
    <numFmt numFmtId="170" formatCode="#,##0.00\ &quot;€&quot;"/>
  </numFmts>
  <fonts count="11" x14ac:knownFonts="1">
    <font>
      <sz val="11"/>
      <color theme="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b/>
      <sz val="16"/>
      <color theme="1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sz val="11"/>
      <color theme="1"/>
      <name val="Times New Roman"/>
      <family val="1"/>
      <scheme val="minor"/>
    </font>
    <font>
      <u/>
      <sz val="11"/>
      <color theme="10"/>
      <name val="Times New Roman"/>
      <family val="2"/>
      <scheme val="minor"/>
    </font>
    <font>
      <u/>
      <sz val="11"/>
      <color theme="1"/>
      <name val="Times New Roman"/>
      <family val="2"/>
      <scheme val="minor"/>
    </font>
    <font>
      <sz val="8"/>
      <name val="Times New Roman"/>
      <family val="2"/>
      <scheme val="minor"/>
    </font>
    <font>
      <b/>
      <sz val="11"/>
      <color theme="4"/>
      <name val="Times New Roman"/>
      <family val="1"/>
      <scheme val="minor"/>
    </font>
    <font>
      <sz val="8"/>
      <color theme="1"/>
      <name val="Times New Roman"/>
      <family val="2"/>
      <scheme val="minor"/>
    </font>
    <font>
      <b/>
      <sz val="11"/>
      <color theme="6"/>
      <name val="Times New Roman"/>
      <family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/>
    <xf numFmtId="0" fontId="6" fillId="0" borderId="0" xfId="2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2" fontId="4" fillId="0" borderId="0" xfId="0" applyNumberFormat="1" applyFont="1"/>
    <xf numFmtId="0" fontId="4" fillId="0" borderId="1" xfId="0" applyFont="1" applyBorder="1"/>
    <xf numFmtId="2" fontId="0" fillId="0" borderId="1" xfId="0" applyNumberFormat="1" applyBorder="1"/>
    <xf numFmtId="10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6" fontId="0" fillId="0" borderId="0" xfId="0" applyNumberFormat="1"/>
    <xf numFmtId="167" fontId="0" fillId="0" borderId="0" xfId="0" applyNumberFormat="1"/>
    <xf numFmtId="0" fontId="4" fillId="0" borderId="2" xfId="0" applyFont="1" applyBorder="1"/>
    <xf numFmtId="2" fontId="0" fillId="0" borderId="2" xfId="0" applyNumberFormat="1" applyBorder="1"/>
    <xf numFmtId="0" fontId="4" fillId="0" borderId="3" xfId="0" applyFont="1" applyBorder="1"/>
    <xf numFmtId="2" fontId="4" fillId="0" borderId="3" xfId="0" applyNumberFormat="1" applyFont="1" applyBorder="1"/>
    <xf numFmtId="0" fontId="4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right"/>
    </xf>
    <xf numFmtId="168" fontId="0" fillId="0" borderId="0" xfId="0" applyNumberFormat="1"/>
    <xf numFmtId="0" fontId="3" fillId="0" borderId="1" xfId="0" applyFont="1" applyBorder="1" applyAlignment="1">
      <alignment horizontal="left" indent="1"/>
    </xf>
    <xf numFmtId="0" fontId="4" fillId="0" borderId="0" xfId="0" applyFont="1" applyAlignment="1">
      <alignment horizontal="left"/>
    </xf>
    <xf numFmtId="0" fontId="0" fillId="0" borderId="2" xfId="0" applyBorder="1"/>
    <xf numFmtId="0" fontId="8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quotePrefix="1"/>
    <xf numFmtId="165" fontId="0" fillId="0" borderId="0" xfId="1" applyNumberFormat="1" applyFont="1"/>
    <xf numFmtId="166" fontId="0" fillId="0" borderId="0" xfId="0" applyNumberFormat="1" applyAlignment="1">
      <alignment horizontal="right"/>
    </xf>
    <xf numFmtId="166" fontId="0" fillId="0" borderId="1" xfId="0" applyNumberFormat="1" applyBorder="1"/>
    <xf numFmtId="166" fontId="4" fillId="0" borderId="1" xfId="0" applyNumberFormat="1" applyFont="1" applyBorder="1"/>
    <xf numFmtId="166" fontId="4" fillId="0" borderId="0" xfId="0" applyNumberFormat="1" applyFont="1"/>
    <xf numFmtId="16" fontId="8" fillId="0" borderId="0" xfId="0" applyNumberFormat="1" applyFont="1"/>
    <xf numFmtId="0" fontId="4" fillId="0" borderId="0" xfId="0" quotePrefix="1" applyFont="1"/>
    <xf numFmtId="166" fontId="3" fillId="0" borderId="0" xfId="0" applyNumberFormat="1" applyFont="1"/>
    <xf numFmtId="166" fontId="10" fillId="0" borderId="0" xfId="0" applyNumberFormat="1" applyFont="1"/>
    <xf numFmtId="169" fontId="0" fillId="0" borderId="1" xfId="0" applyNumberFormat="1" applyBorder="1"/>
    <xf numFmtId="169" fontId="4" fillId="0" borderId="0" xfId="0" applyNumberFormat="1" applyFont="1"/>
    <xf numFmtId="170" fontId="4" fillId="0" borderId="0" xfId="0" applyNumberFormat="1" applyFont="1"/>
    <xf numFmtId="166" fontId="0" fillId="0" borderId="2" xfId="0" applyNumberFormat="1" applyBorder="1"/>
    <xf numFmtId="169" fontId="10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Revenue</a:t>
            </a:r>
            <a:r>
              <a:rPr lang="fr-FR" sz="1200" baseline="0"/>
              <a:t> Difference of Recommendation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Recommendation Market Share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'Recommendation 1'!$B$70:$H$70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1'!$B$75:$H$75</c:f>
              <c:numCache>
                <c:formatCode>0.00</c:formatCode>
                <c:ptCount val="7"/>
                <c:pt idx="0">
                  <c:v>0.38483022901958408</c:v>
                </c:pt>
                <c:pt idx="1">
                  <c:v>0.67137372971403297</c:v>
                </c:pt>
                <c:pt idx="2">
                  <c:v>1.029207757262129</c:v>
                </c:pt>
                <c:pt idx="3">
                  <c:v>1.1668622586935846</c:v>
                </c:pt>
                <c:pt idx="4">
                  <c:v>1.3172268977368151</c:v>
                </c:pt>
                <c:pt idx="5">
                  <c:v>1.4874760213692331</c:v>
                </c:pt>
                <c:pt idx="6">
                  <c:v>1.6803234173084527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8-4993-B362-60E94C79D086}"/>
            </c:ext>
          </c:extLst>
        </c:ser>
        <c:ser>
          <c:idx val="1"/>
          <c:order val="1"/>
          <c:tx>
            <c:v>Revenue Forecast Marketshare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'Recommendation 1'!$B$61:$H$61</c:f>
              <c:numCache>
                <c:formatCode>0.00</c:formatCode>
                <c:ptCount val="7"/>
                <c:pt idx="0">
                  <c:v>0.32710569466664646</c:v>
                </c:pt>
                <c:pt idx="1">
                  <c:v>0.36906722558301874</c:v>
                </c:pt>
                <c:pt idx="2">
                  <c:v>0.41665072763640482</c:v>
                </c:pt>
                <c:pt idx="3">
                  <c:v>0.47065785994477349</c:v>
                </c:pt>
                <c:pt idx="4">
                  <c:v>0.53006680073814649</c:v>
                </c:pt>
                <c:pt idx="5">
                  <c:v>0.59712635399952418</c:v>
                </c:pt>
                <c:pt idx="6">
                  <c:v>0.67284742726902524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8-4993-B362-60E94C79D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932704"/>
        <c:axId val="550929104"/>
      </c:barChart>
      <c:catAx>
        <c:axId val="5509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929104"/>
        <c:crosses val="autoZero"/>
        <c:auto val="1"/>
        <c:lblAlgn val="ctr"/>
        <c:lblOffset val="100"/>
        <c:noMultiLvlLbl val="0"/>
      </c:catAx>
      <c:valAx>
        <c:axId val="5509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9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Financial Value Add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'Recommendation 3'!$B$76:$H$76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3'!$B$79:$H$79</c:f>
              <c:numCache>
                <c:formatCode>_-* #,##0.00\ [$€-407]_-;\-* #,##0.00\ [$€-407]_-;_-* "-"??\ [$€-407]_-;_-@_-</c:formatCode>
                <c:ptCount val="7"/>
                <c:pt idx="0">
                  <c:v>-14600000</c:v>
                </c:pt>
                <c:pt idx="1">
                  <c:v>-9919520</c:v>
                </c:pt>
                <c:pt idx="2">
                  <c:v>2342137.599999994</c:v>
                </c:pt>
                <c:pt idx="3">
                  <c:v>2971194.1120000184</c:v>
                </c:pt>
                <c:pt idx="4">
                  <c:v>3675737.4054400325</c:v>
                </c:pt>
                <c:pt idx="5">
                  <c:v>4464825.8940927982</c:v>
                </c:pt>
                <c:pt idx="6">
                  <c:v>5348605.0013839602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F-4E75-8DD6-0DDF99EAB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009816"/>
        <c:axId val="909003336"/>
      </c:lineChart>
      <c:catAx>
        <c:axId val="90900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003336"/>
        <c:crosses val="autoZero"/>
        <c:auto val="1"/>
        <c:lblAlgn val="ctr"/>
        <c:lblOffset val="100"/>
        <c:noMultiLvlLbl val="0"/>
      </c:catAx>
      <c:valAx>
        <c:axId val="9090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07]_-;\-* #,##0.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00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Percentage Share of Costs in Additional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Revenue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'Recommendation 1'!$B$96:$H$96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1'!$B$97:$H$97</c:f>
              <c:numCache>
                <c:formatCode>_-* #,##0.00\ [$€-407]_-;\-* #,##0.00\ [$€-407]_-;_-* "-"??\ [$€-407]_-;_-@_-</c:formatCode>
                <c:ptCount val="7"/>
                <c:pt idx="0">
                  <c:v>5.7724534352937618E-2</c:v>
                </c:pt>
                <c:pt idx="1">
                  <c:v>0.30230650413101423</c:v>
                </c:pt>
                <c:pt idx="2">
                  <c:v>0.61255702962572411</c:v>
                </c:pt>
                <c:pt idx="3">
                  <c:v>0.69620439874881113</c:v>
                </c:pt>
                <c:pt idx="4">
                  <c:v>0.78716009699866862</c:v>
                </c:pt>
                <c:pt idx="5">
                  <c:v>0.89034966736970889</c:v>
                </c:pt>
                <c:pt idx="6">
                  <c:v>1.0074759900394274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A-4829-A1FD-DF3B998626BD}"/>
            </c:ext>
          </c:extLst>
        </c:ser>
        <c:ser>
          <c:idx val="1"/>
          <c:order val="1"/>
          <c:tx>
            <c:v>Costs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'Recommendation 1'!$B$96:$H$96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1'!$B$98:$H$98</c:f>
              <c:numCache>
                <c:formatCode>_-* #,##0.0000\ [$€-407]_-;\-* #,##0.0000\ [$€-407]_-;_-* "-"??\ [$€-407]_-;_-@_-</c:formatCode>
                <c:ptCount val="7"/>
                <c:pt idx="0">
                  <c:v>2.8999999999999998E-3</c:v>
                </c:pt>
                <c:pt idx="1">
                  <c:v>2.8999999999999998E-3</c:v>
                </c:pt>
                <c:pt idx="2">
                  <c:v>3.5000000000000001E-3</c:v>
                </c:pt>
                <c:pt idx="3">
                  <c:v>3.5000000000000001E-3</c:v>
                </c:pt>
                <c:pt idx="4">
                  <c:v>3.5000000000000001E-3</c:v>
                </c:pt>
                <c:pt idx="5">
                  <c:v>3.5000000000000001E-3</c:v>
                </c:pt>
                <c:pt idx="6">
                  <c:v>3.5000000000000001E-3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A-4829-A1FD-DF3B9986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697824"/>
        <c:axId val="782701424"/>
      </c:barChart>
      <c:catAx>
        <c:axId val="7826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701424"/>
        <c:crosses val="autoZero"/>
        <c:auto val="1"/>
        <c:lblAlgn val="ctr"/>
        <c:lblOffset val="100"/>
        <c:noMultiLvlLbl val="0"/>
      </c:catAx>
      <c:valAx>
        <c:axId val="7827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6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Costs of Recommendation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Estabilshment of B2B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'Recommendation 1'!$B$80:$H$80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1'!$B$81:$H$81</c:f>
              <c:numCache>
                <c:formatCode>_-* #,##0.00\ [$€-407]_-;\-* #,##0.00\ [$€-407]_-;_-* "-"??\ [$€-407]_-;_-@_-</c:formatCode>
                <c:ptCount val="7"/>
                <c:pt idx="0">
                  <c:v>170000</c:v>
                </c:pt>
                <c:pt idx="1">
                  <c:v>170000</c:v>
                </c:pt>
                <c:pt idx="2">
                  <c:v>340000</c:v>
                </c:pt>
                <c:pt idx="3">
                  <c:v>340000</c:v>
                </c:pt>
                <c:pt idx="4">
                  <c:v>340000</c:v>
                </c:pt>
                <c:pt idx="5">
                  <c:v>340000</c:v>
                </c:pt>
                <c:pt idx="6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C-43DE-B7CD-4F5D6608F9AF}"/>
            </c:ext>
          </c:extLst>
        </c:ser>
        <c:ser>
          <c:idx val="1"/>
          <c:order val="1"/>
          <c:tx>
            <c:v>Employees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'Recommendation 1'!$B$80:$H$80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1'!$B$84:$H$84</c:f>
              <c:numCache>
                <c:formatCode>_-* #,##0.00\ [$€-407]_-;\-* #,##0.00\ [$€-407]_-;_-* "-"??\ [$€-407]_-;_-@_-</c:formatCode>
                <c:ptCount val="7"/>
                <c:pt idx="0">
                  <c:v>425000</c:v>
                </c:pt>
                <c:pt idx="1">
                  <c:v>425000</c:v>
                </c:pt>
                <c:pt idx="2">
                  <c:v>850000</c:v>
                </c:pt>
                <c:pt idx="3">
                  <c:v>850000</c:v>
                </c:pt>
                <c:pt idx="4">
                  <c:v>850000</c:v>
                </c:pt>
                <c:pt idx="5">
                  <c:v>850000</c:v>
                </c:pt>
                <c:pt idx="6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C-43DE-B7CD-4F5D6608F9AF}"/>
            </c:ext>
          </c:extLst>
        </c:ser>
        <c:ser>
          <c:idx val="2"/>
          <c:order val="2"/>
          <c:tx>
            <c:v>B2C Campaign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'Recommendation 1'!$B$80:$H$80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1'!$B$85:$H$85</c:f>
              <c:numCache>
                <c:formatCode>_-* #,##0.00\ [$€-407]_-;\-* #,##0.00\ [$€-407]_-;_-* "-"??\ [$€-407]_-;_-@_-</c:formatCode>
                <c:ptCount val="7"/>
                <c:pt idx="0">
                  <c:v>1320000</c:v>
                </c:pt>
                <c:pt idx="1">
                  <c:v>1320000</c:v>
                </c:pt>
                <c:pt idx="2">
                  <c:v>1320000</c:v>
                </c:pt>
                <c:pt idx="3">
                  <c:v>1320000</c:v>
                </c:pt>
                <c:pt idx="4">
                  <c:v>1320000</c:v>
                </c:pt>
                <c:pt idx="5">
                  <c:v>1320000</c:v>
                </c:pt>
                <c:pt idx="6">
                  <c:v>1320000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C-43DE-B7CD-4F5D6608F9AF}"/>
            </c:ext>
          </c:extLst>
        </c:ser>
        <c:ser>
          <c:idx val="3"/>
          <c:order val="3"/>
          <c:tx>
            <c:v>B2C Online Marketing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'Recommendation 1'!$B$88:$H$88</c:f>
              <c:numCache>
                <c:formatCode>_-* #,##0.00\ [$€-407]_-;\-* #,##0.00\ [$€-407]_-;_-* "-"??\ [$€-407]_-;_-@_-</c:formatCode>
                <c:ptCount val="7"/>
                <c:pt idx="0">
                  <c:v>960000</c:v>
                </c:pt>
                <c:pt idx="1">
                  <c:v>960000</c:v>
                </c:pt>
                <c:pt idx="2">
                  <c:v>960000</c:v>
                </c:pt>
                <c:pt idx="3">
                  <c:v>960000</c:v>
                </c:pt>
                <c:pt idx="4">
                  <c:v>960000</c:v>
                </c:pt>
                <c:pt idx="5">
                  <c:v>960000</c:v>
                </c:pt>
                <c:pt idx="6">
                  <c:v>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C-43DE-B7CD-4F5D6608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3845240"/>
        <c:axId val="783846680"/>
      </c:barChart>
      <c:catAx>
        <c:axId val="78384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846680"/>
        <c:crosses val="autoZero"/>
        <c:auto val="1"/>
        <c:lblAlgn val="ctr"/>
        <c:lblOffset val="100"/>
        <c:noMultiLvlLbl val="0"/>
      </c:catAx>
      <c:valAx>
        <c:axId val="78384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07]_-;\-* #,##0.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84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Financial Value Add (in billion 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Financial Value Add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'Recommendation 1'!$B$96:$H$96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1'!$B$99:$H$99</c:f>
              <c:numCache>
                <c:formatCode>_-* #,##0.0000\ [$€-407]_-;\-* #,##0.0000\ [$€-407]_-;_-* "-"??\ [$€-407]_-;_-@_-</c:formatCode>
                <c:ptCount val="7"/>
                <c:pt idx="0">
                  <c:v>5.4824534352937618E-2</c:v>
                </c:pt>
                <c:pt idx="1">
                  <c:v>0.29940650413101422</c:v>
                </c:pt>
                <c:pt idx="2">
                  <c:v>0.60905702962572417</c:v>
                </c:pt>
                <c:pt idx="3">
                  <c:v>0.69270439874881118</c:v>
                </c:pt>
                <c:pt idx="4">
                  <c:v>0.78366009699866868</c:v>
                </c:pt>
                <c:pt idx="5">
                  <c:v>0.88684966736970894</c:v>
                </c:pt>
                <c:pt idx="6">
                  <c:v>1.0039759900394274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6-40A2-AB7A-663C114B1D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8992176"/>
        <c:axId val="908999016"/>
      </c:lineChart>
      <c:catAx>
        <c:axId val="9089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999016"/>
        <c:crosses val="autoZero"/>
        <c:auto val="1"/>
        <c:lblAlgn val="ctr"/>
        <c:lblOffset val="100"/>
        <c:noMultiLvlLbl val="0"/>
      </c:catAx>
      <c:valAx>
        <c:axId val="9089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\ [$€-407]_-;\-* #,##0.00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9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Revenue</a:t>
            </a:r>
            <a:r>
              <a:rPr lang="fr-FR" sz="1200" baseline="0"/>
              <a:t> Difference of Recommendation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Recommendation 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'Recommendation 2'!$B$45:$H$45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2'!$B$47:$H$47</c:f>
              <c:numCache>
                <c:formatCode>_-* #,##0.00\ [$€-407]_-;\-* #,##0.00\ [$€-407]_-;_-* "-"??\ [$€-407]_-;_-@_-</c:formatCode>
                <c:ptCount val="7"/>
                <c:pt idx="0">
                  <c:v>0.41758800000000001</c:v>
                </c:pt>
                <c:pt idx="1">
                  <c:v>0.5502336000000001</c:v>
                </c:pt>
                <c:pt idx="2">
                  <c:v>0.67788779520000009</c:v>
                </c:pt>
                <c:pt idx="3">
                  <c:v>0.75923433062400014</c:v>
                </c:pt>
                <c:pt idx="4">
                  <c:v>0.85034245029888023</c:v>
                </c:pt>
                <c:pt idx="5">
                  <c:v>0.95238354433474603</c:v>
                </c:pt>
                <c:pt idx="6">
                  <c:v>1.0666695696549156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E-41CA-B654-31EE44F435F1}"/>
            </c:ext>
          </c:extLst>
        </c:ser>
        <c:ser>
          <c:idx val="1"/>
          <c:order val="1"/>
          <c:tx>
            <c:v>Revenue without Recommendation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'Recommendation 2'!$B$45:$H$45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2'!$B$39:$H$39</c:f>
              <c:numCache>
                <c:formatCode>_-* #,##0.00\ [$€-407]_-;\-* #,##0.00\ [$€-407]_-;_-* "-"??\ [$€-407]_-;_-@_-</c:formatCode>
                <c:ptCount val="7"/>
                <c:pt idx="0">
                  <c:v>0.41758800000000001</c:v>
                </c:pt>
                <c:pt idx="1">
                  <c:v>0.46769856000000004</c:v>
                </c:pt>
                <c:pt idx="2">
                  <c:v>0.52382238720000007</c:v>
                </c:pt>
                <c:pt idx="3">
                  <c:v>0.58668107366400013</c:v>
                </c:pt>
                <c:pt idx="4">
                  <c:v>0.65708280250368023</c:v>
                </c:pt>
                <c:pt idx="5">
                  <c:v>0.73593273880412202</c:v>
                </c:pt>
                <c:pt idx="6">
                  <c:v>0.82424466746061664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E-41CA-B654-31EE44F43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997936"/>
        <c:axId val="909001176"/>
      </c:barChart>
      <c:catAx>
        <c:axId val="9089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001176"/>
        <c:crosses val="autoZero"/>
        <c:auto val="1"/>
        <c:lblAlgn val="ctr"/>
        <c:lblOffset val="100"/>
        <c:noMultiLvlLbl val="0"/>
      </c:catAx>
      <c:valAx>
        <c:axId val="9090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07]_-;\-* #,##0.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9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Financial Value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'Recommendation 2'!$B$53:$H$53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2'!$B$56:$H$56</c:f>
              <c:numCache>
                <c:formatCode>_-* #,##0.0000\ [$€-407]_-;\-* #,##0.0000\ [$€-407]_-;_-* "-"??\ [$€-407]_-;_-@_-</c:formatCode>
                <c:ptCount val="7"/>
                <c:pt idx="0">
                  <c:v>-2.3999999999999998E-3</c:v>
                </c:pt>
                <c:pt idx="1">
                  <c:v>8.013504000000006E-2</c:v>
                </c:pt>
                <c:pt idx="2">
                  <c:v>0.15361790800000003</c:v>
                </c:pt>
                <c:pt idx="3">
                  <c:v>0.17210575696000002</c:v>
                </c:pt>
                <c:pt idx="4">
                  <c:v>0.19281214779520001</c:v>
                </c:pt>
                <c:pt idx="5">
                  <c:v>0.21600330553062402</c:v>
                </c:pt>
                <c:pt idx="6">
                  <c:v>0.24197740219429892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6-4B68-8895-CD170F47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836064"/>
        <c:axId val="914836424"/>
      </c:lineChart>
      <c:catAx>
        <c:axId val="9148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836424"/>
        <c:crosses val="autoZero"/>
        <c:auto val="1"/>
        <c:lblAlgn val="ctr"/>
        <c:lblOffset val="100"/>
        <c:noMultiLvlLbl val="0"/>
      </c:catAx>
      <c:valAx>
        <c:axId val="91483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\ [$€-407]_-;\-* #,##0.00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8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Revenue Difference of Recommendation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Recommendation Revenue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'Recommendation 3'!$B$59:$H$59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3'!$B$72:$H$72</c:f>
              <c:numCache>
                <c:formatCode>_-* #,##0.00\ [$€-407]_-;\-* #,##0.00\ [$€-407]_-;_-* "-"??\ [$€-407]_-;_-@_-</c:formatCode>
                <c:ptCount val="7"/>
                <c:pt idx="0">
                  <c:v>170617222.22222221</c:v>
                </c:pt>
                <c:pt idx="1">
                  <c:v>195771768.8888889</c:v>
                </c:pt>
                <c:pt idx="2">
                  <c:v>219264381.15555558</c:v>
                </c:pt>
                <c:pt idx="3">
                  <c:v>245576106.89422229</c:v>
                </c:pt>
                <c:pt idx="4">
                  <c:v>275045239.72152901</c:v>
                </c:pt>
                <c:pt idx="5">
                  <c:v>308050668.48811251</c:v>
                </c:pt>
                <c:pt idx="6">
                  <c:v>345016748.70668596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D-421A-9934-B52F18178E57}"/>
            </c:ext>
          </c:extLst>
        </c:ser>
        <c:ser>
          <c:idx val="0"/>
          <c:order val="1"/>
          <c:tx>
            <c:v>Revenue without Recommendation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'Recommendation 3'!$B$53:$H$53</c:f>
              <c:numCache>
                <c:formatCode>_-* #,##0.00\ [$€-407]_-;\-* #,##0.00\ [$€-407]_-;_-* "-"??\ [$€-407]_-;_-@_-</c:formatCode>
                <c:ptCount val="7"/>
                <c:pt idx="0">
                  <c:v>170617222.22222221</c:v>
                </c:pt>
                <c:pt idx="1">
                  <c:v>191091288.8888889</c:v>
                </c:pt>
                <c:pt idx="2">
                  <c:v>214022243.55555558</c:v>
                </c:pt>
                <c:pt idx="3">
                  <c:v>239704912.78222227</c:v>
                </c:pt>
                <c:pt idx="4">
                  <c:v>268469502.31608897</c:v>
                </c:pt>
                <c:pt idx="5">
                  <c:v>300685842.59401971</c:v>
                </c:pt>
                <c:pt idx="6">
                  <c:v>336768143.705302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D-421A-9934-B52F18178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284848"/>
        <c:axId val="365285568"/>
      </c:barChart>
      <c:catAx>
        <c:axId val="3652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285568"/>
        <c:crosses val="autoZero"/>
        <c:auto val="1"/>
        <c:lblAlgn val="ctr"/>
        <c:lblOffset val="100"/>
        <c:noMultiLvlLbl val="0"/>
      </c:catAx>
      <c:valAx>
        <c:axId val="3652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07]_-;\-* #,##0.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2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Financial Value Add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'Recommendation 3'!$B$76:$H$76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'Recommendation 3'!$B$79:$H$79</c:f>
              <c:numCache>
                <c:formatCode>_-* #,##0.00\ [$€-407]_-;\-* #,##0.00\ [$€-407]_-;_-* "-"??\ [$€-407]_-;_-@_-</c:formatCode>
                <c:ptCount val="7"/>
                <c:pt idx="0">
                  <c:v>-14600000</c:v>
                </c:pt>
                <c:pt idx="1">
                  <c:v>-9919520</c:v>
                </c:pt>
                <c:pt idx="2">
                  <c:v>2342137.599999994</c:v>
                </c:pt>
                <c:pt idx="3">
                  <c:v>2971194.1120000184</c:v>
                </c:pt>
                <c:pt idx="4">
                  <c:v>3675737.4054400325</c:v>
                </c:pt>
                <c:pt idx="5">
                  <c:v>4464825.8940927982</c:v>
                </c:pt>
                <c:pt idx="6">
                  <c:v>5348605.0013839602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E-42DA-AFC0-32DB7D89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009816"/>
        <c:axId val="909003336"/>
      </c:lineChart>
      <c:catAx>
        <c:axId val="90900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003336"/>
        <c:crosses val="autoZero"/>
        <c:auto val="1"/>
        <c:lblAlgn val="ctr"/>
        <c:lblOffset val="100"/>
        <c:noMultiLvlLbl val="0"/>
      </c:catAx>
      <c:valAx>
        <c:axId val="9090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07]_-;\-* #,##0.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00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Revenue</a:t>
            </a:r>
            <a:r>
              <a:rPr lang="fr-FR" baseline="0"/>
              <a:t> Forecast for the 10 Largest Markets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'Recommendation 1'!$B$10:$K$10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'Recommendation 1'!$B$11:$K$11</c:f>
              <c:numCache>
                <c:formatCode>0.00</c:formatCode>
                <c:ptCount val="10"/>
                <c:pt idx="0">
                  <c:v>6.4353600000000002</c:v>
                </c:pt>
                <c:pt idx="1">
                  <c:v>7.2076032000000012</c:v>
                </c:pt>
                <c:pt idx="2">
                  <c:v>8.0725155840000014</c:v>
                </c:pt>
                <c:pt idx="3">
                  <c:v>9.0412174540800017</c:v>
                </c:pt>
                <c:pt idx="4">
                  <c:v>10.126163548569602</c:v>
                </c:pt>
                <c:pt idx="5">
                  <c:v>11.341303174397956</c:v>
                </c:pt>
                <c:pt idx="6">
                  <c:v>12.702259555325712</c:v>
                </c:pt>
                <c:pt idx="7">
                  <c:v>14.2265307019648</c:v>
                </c:pt>
                <c:pt idx="8">
                  <c:v>15.933714386200577</c:v>
                </c:pt>
                <c:pt idx="9">
                  <c:v>17.845760112544649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F-4D87-9F48-C4E087657936}"/>
            </c:ext>
          </c:extLst>
        </c:ser>
        <c:ser>
          <c:idx val="1"/>
          <c:order val="1"/>
          <c:tx>
            <c:v>Japan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'Recommendation 1'!$B$10:$K$10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'Recommendation 1'!$B$12:$K$12</c:f>
              <c:numCache>
                <c:formatCode>0.00</c:formatCode>
                <c:ptCount val="10"/>
                <c:pt idx="0">
                  <c:v>2.0404800000000001</c:v>
                </c:pt>
                <c:pt idx="1">
                  <c:v>2.2853376000000001</c:v>
                </c:pt>
                <c:pt idx="2">
                  <c:v>2.5595781120000005</c:v>
                </c:pt>
                <c:pt idx="3">
                  <c:v>2.8667274854400007</c:v>
                </c:pt>
                <c:pt idx="4">
                  <c:v>3.2107347836928009</c:v>
                </c:pt>
                <c:pt idx="5">
                  <c:v>3.5960229577359373</c:v>
                </c:pt>
                <c:pt idx="6">
                  <c:v>4.0275457126642502</c:v>
                </c:pt>
                <c:pt idx="7">
                  <c:v>4.5108511981839605</c:v>
                </c:pt>
                <c:pt idx="8">
                  <c:v>5.0521533419660365</c:v>
                </c:pt>
                <c:pt idx="9">
                  <c:v>5.6584117430019614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F-4D87-9F48-C4E087657936}"/>
            </c:ext>
          </c:extLst>
        </c:ser>
        <c:ser>
          <c:idx val="2"/>
          <c:order val="2"/>
          <c:tx>
            <c:v>UK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'Recommendation 1'!$B$10:$K$10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'Recommendation 1'!$B$13:$K$13</c:f>
              <c:numCache>
                <c:formatCode>0.00</c:formatCode>
                <c:ptCount val="10"/>
                <c:pt idx="0">
                  <c:v>1.18374</c:v>
                </c:pt>
                <c:pt idx="1">
                  <c:v>1.3257888000000002</c:v>
                </c:pt>
                <c:pt idx="2">
                  <c:v>1.4848834560000004</c:v>
                </c:pt>
                <c:pt idx="3">
                  <c:v>1.6630694707200007</c:v>
                </c:pt>
                <c:pt idx="4">
                  <c:v>1.8626378072064009</c:v>
                </c:pt>
                <c:pt idx="5">
                  <c:v>2.0861543440711694</c:v>
                </c:pt>
                <c:pt idx="6">
                  <c:v>2.3364928653597099</c:v>
                </c:pt>
                <c:pt idx="7">
                  <c:v>2.6168720092028752</c:v>
                </c:pt>
                <c:pt idx="8">
                  <c:v>2.9308966503072207</c:v>
                </c:pt>
                <c:pt idx="9">
                  <c:v>3.2826042483440876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F-4D87-9F48-C4E087657936}"/>
            </c:ext>
          </c:extLst>
        </c:ser>
        <c:ser>
          <c:idx val="3"/>
          <c:order val="3"/>
          <c:tx>
            <c:v>Germany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'Recommendation 1'!$B$10:$K$10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'Recommendation 1'!$B$14:$K$14</c:f>
              <c:numCache>
                <c:formatCode>0.00</c:formatCode>
                <c:ptCount val="10"/>
                <c:pt idx="0">
                  <c:v>1.0464</c:v>
                </c:pt>
                <c:pt idx="1">
                  <c:v>1.1719680000000001</c:v>
                </c:pt>
                <c:pt idx="2">
                  <c:v>1.3126041600000002</c:v>
                </c:pt>
                <c:pt idx="3">
                  <c:v>1.4701166592000003</c:v>
                </c:pt>
                <c:pt idx="4">
                  <c:v>1.6465306583040005</c:v>
                </c:pt>
                <c:pt idx="5">
                  <c:v>1.8441143373004807</c:v>
                </c:pt>
                <c:pt idx="6">
                  <c:v>2.0654080577765384</c:v>
                </c:pt>
                <c:pt idx="7">
                  <c:v>2.3132570247097233</c:v>
                </c:pt>
                <c:pt idx="8">
                  <c:v>2.5908478676748903</c:v>
                </c:pt>
                <c:pt idx="9">
                  <c:v>2.9017496117958772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F-4D87-9F48-C4E087657936}"/>
            </c:ext>
          </c:extLst>
        </c:ser>
        <c:ser>
          <c:idx val="4"/>
          <c:order val="4"/>
          <c:tx>
            <c:v>France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'Recommendation 1'!$B$10:$K$10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'Recommendation 1'!$B$15:$K$15</c:f>
              <c:numCache>
                <c:formatCode>0.00</c:formatCode>
                <c:ptCount val="10"/>
                <c:pt idx="0">
                  <c:v>0.73902000000000001</c:v>
                </c:pt>
                <c:pt idx="1">
                  <c:v>0.82770240000000006</c:v>
                </c:pt>
                <c:pt idx="2">
                  <c:v>0.92702668800000021</c:v>
                </c:pt>
                <c:pt idx="3">
                  <c:v>1.0382698905600003</c:v>
                </c:pt>
                <c:pt idx="4">
                  <c:v>1.1628622774272004</c:v>
                </c:pt>
                <c:pt idx="5">
                  <c:v>1.3024057507184645</c:v>
                </c:pt>
                <c:pt idx="6">
                  <c:v>1.4586944408046805</c:v>
                </c:pt>
                <c:pt idx="7">
                  <c:v>1.6337377737012422</c:v>
                </c:pt>
                <c:pt idx="8">
                  <c:v>1.8297863065453914</c:v>
                </c:pt>
                <c:pt idx="9">
                  <c:v>2.0493606633308388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F-4D87-9F48-C4E087657936}"/>
            </c:ext>
          </c:extLst>
        </c:ser>
        <c:ser>
          <c:idx val="5"/>
          <c:order val="5"/>
          <c:tx>
            <c:v>China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'Recommendation 1'!$B$10:$K$10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'Recommendation 1'!$B$16:$K$16</c:f>
              <c:numCache>
                <c:formatCode>0.00</c:formatCode>
                <c:ptCount val="10"/>
                <c:pt idx="0">
                  <c:v>0.69324000000000008</c:v>
                </c:pt>
                <c:pt idx="1">
                  <c:v>0.77642880000000014</c:v>
                </c:pt>
                <c:pt idx="2">
                  <c:v>0.86960025600000024</c:v>
                </c:pt>
                <c:pt idx="3">
                  <c:v>0.97395228672000034</c:v>
                </c:pt>
                <c:pt idx="4">
                  <c:v>1.0908265611264005</c:v>
                </c:pt>
                <c:pt idx="5">
                  <c:v>1.2217257484615687</c:v>
                </c:pt>
                <c:pt idx="6">
                  <c:v>1.3683328382769571</c:v>
                </c:pt>
                <c:pt idx="7">
                  <c:v>1.5325327788701921</c:v>
                </c:pt>
                <c:pt idx="8">
                  <c:v>1.7164367123346154</c:v>
                </c:pt>
                <c:pt idx="9">
                  <c:v>1.9224091178147693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F-4D87-9F48-C4E087657936}"/>
            </c:ext>
          </c:extLst>
        </c:ser>
        <c:ser>
          <c:idx val="6"/>
          <c:order val="6"/>
          <c:tx>
            <c:v>South Korea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'Recommendation 1'!$B$10:$K$10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'Recommendation 1'!$B$17:$K$17</c:f>
              <c:numCache>
                <c:formatCode>0.00</c:formatCode>
                <c:ptCount val="10"/>
                <c:pt idx="0">
                  <c:v>0.5297400000000001</c:v>
                </c:pt>
                <c:pt idx="1">
                  <c:v>0.59330880000000019</c:v>
                </c:pt>
                <c:pt idx="2">
                  <c:v>0.66450585600000023</c:v>
                </c:pt>
                <c:pt idx="3">
                  <c:v>0.74424655872000034</c:v>
                </c:pt>
                <c:pt idx="4">
                  <c:v>0.83355614576640047</c:v>
                </c:pt>
                <c:pt idx="5">
                  <c:v>0.93358288325836858</c:v>
                </c:pt>
                <c:pt idx="6">
                  <c:v>1.0456128292493729</c:v>
                </c:pt>
                <c:pt idx="7">
                  <c:v>1.1710863687592978</c:v>
                </c:pt>
                <c:pt idx="8">
                  <c:v>1.3116167330104136</c:v>
                </c:pt>
                <c:pt idx="9">
                  <c:v>1.4690107409716633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F-4D87-9F48-C4E087657936}"/>
            </c:ext>
          </c:extLst>
        </c:ser>
        <c:ser>
          <c:idx val="7"/>
          <c:order val="7"/>
          <c:tx>
            <c:v>Canada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'Recommendation 1'!$B$10:$K$10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'Recommendation 1'!$B$18:$K$18</c:f>
              <c:numCache>
                <c:formatCode>0.00</c:formatCode>
                <c:ptCount val="10"/>
                <c:pt idx="0">
                  <c:v>0.37931999999999999</c:v>
                </c:pt>
                <c:pt idx="1">
                  <c:v>0.4248384</c:v>
                </c:pt>
                <c:pt idx="2">
                  <c:v>0.47581900800000004</c:v>
                </c:pt>
                <c:pt idx="3">
                  <c:v>0.53291728896000012</c:v>
                </c:pt>
                <c:pt idx="4">
                  <c:v>0.59686736363520021</c:v>
                </c:pt>
                <c:pt idx="5">
                  <c:v>0.66849144727142429</c:v>
                </c:pt>
                <c:pt idx="6">
                  <c:v>0.74871042094399531</c:v>
                </c:pt>
                <c:pt idx="7">
                  <c:v>0.83855567145727483</c:v>
                </c:pt>
                <c:pt idx="8">
                  <c:v>0.93918235203214795</c:v>
                </c:pt>
                <c:pt idx="9">
                  <c:v>1.0518842342760057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6F-4D87-9F48-C4E087657936}"/>
            </c:ext>
          </c:extLst>
        </c:ser>
        <c:ser>
          <c:idx val="8"/>
          <c:order val="8"/>
          <c:tx>
            <c:v>Australia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'Recommendation 1'!$B$10:$K$10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'Recommendation 1'!$B$19:$K$19</c:f>
              <c:numCache>
                <c:formatCode>0.00</c:formatCode>
                <c:ptCount val="10"/>
                <c:pt idx="0">
                  <c:v>0.30737999999999999</c:v>
                </c:pt>
                <c:pt idx="1">
                  <c:v>0.3442656</c:v>
                </c:pt>
                <c:pt idx="2">
                  <c:v>0.38557747200000003</c:v>
                </c:pt>
                <c:pt idx="3">
                  <c:v>0.4318467686400001</c:v>
                </c:pt>
                <c:pt idx="4">
                  <c:v>0.48366838087680014</c:v>
                </c:pt>
                <c:pt idx="5">
                  <c:v>0.54170858658201626</c:v>
                </c:pt>
                <c:pt idx="6">
                  <c:v>0.60671361697185822</c:v>
                </c:pt>
                <c:pt idx="7">
                  <c:v>0.67951925100848132</c:v>
                </c:pt>
                <c:pt idx="8">
                  <c:v>0.76106156112949919</c:v>
                </c:pt>
                <c:pt idx="9">
                  <c:v>0.85238894846503921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6F-4D87-9F48-C4E087657936}"/>
            </c:ext>
          </c:extLst>
        </c:ser>
        <c:ser>
          <c:idx val="9"/>
          <c:order val="9"/>
          <c:tx>
            <c:v>Italy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'Recommendation 1'!$B$10:$K$10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'Recommendation 1'!$B$20:$K$20</c:f>
              <c:numCache>
                <c:formatCode>0.00</c:formatCode>
                <c:ptCount val="10"/>
                <c:pt idx="0">
                  <c:v>0.25506000000000001</c:v>
                </c:pt>
                <c:pt idx="1">
                  <c:v>0.28566720000000001</c:v>
                </c:pt>
                <c:pt idx="2">
                  <c:v>0.31994726400000006</c:v>
                </c:pt>
                <c:pt idx="3">
                  <c:v>0.35834093568000008</c:v>
                </c:pt>
                <c:pt idx="4">
                  <c:v>0.40134184796160011</c:v>
                </c:pt>
                <c:pt idx="5">
                  <c:v>0.44950286971699216</c:v>
                </c:pt>
                <c:pt idx="6">
                  <c:v>0.50344321408303128</c:v>
                </c:pt>
                <c:pt idx="7">
                  <c:v>0.56385639977299506</c:v>
                </c:pt>
                <c:pt idx="8">
                  <c:v>0.63151916774575456</c:v>
                </c:pt>
                <c:pt idx="9">
                  <c:v>0.70730146787524517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6F-4D87-9F48-C4E08765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372648"/>
        <c:axId val="783373008"/>
      </c:lineChart>
      <c:catAx>
        <c:axId val="7833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373008"/>
        <c:crosses val="autoZero"/>
        <c:auto val="1"/>
        <c:lblAlgn val="ctr"/>
        <c:lblOffset val="100"/>
        <c:noMultiLvlLbl val="0"/>
      </c:catAx>
      <c:valAx>
        <c:axId val="7833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3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5</xdr:row>
      <xdr:rowOff>142874</xdr:rowOff>
    </xdr:from>
    <xdr:to>
      <xdr:col>6</xdr:col>
      <xdr:colOff>538163</xdr:colOff>
      <xdr:row>21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B949A-B490-4745-95CD-79787BE90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5</xdr:row>
      <xdr:rowOff>138112</xdr:rowOff>
    </xdr:from>
    <xdr:to>
      <xdr:col>14</xdr:col>
      <xdr:colOff>380769</xdr:colOff>
      <xdr:row>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5AE70-28EE-48A6-BD0A-7FD8DFE23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520700</xdr:colOff>
      <xdr:row>5</xdr:row>
      <xdr:rowOff>114300</xdr:rowOff>
    </xdr:from>
    <xdr:to>
      <xdr:col>23</xdr:col>
      <xdr:colOff>98402</xdr:colOff>
      <xdr:row>21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09856E-A825-4F4C-A2A7-6C1A933ED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282522</xdr:colOff>
      <xdr:row>5</xdr:row>
      <xdr:rowOff>104936</xdr:rowOff>
    </xdr:from>
    <xdr:to>
      <xdr:col>30</xdr:col>
      <xdr:colOff>560200</xdr:colOff>
      <xdr:row>21</xdr:row>
      <xdr:rowOff>6780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07348A-5755-4423-8148-22756A154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104937</xdr:colOff>
      <xdr:row>25</xdr:row>
      <xdr:rowOff>169513</xdr:rowOff>
    </xdr:from>
    <xdr:to>
      <xdr:col>7</xdr:col>
      <xdr:colOff>382615</xdr:colOff>
      <xdr:row>41</xdr:row>
      <xdr:rowOff>71357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353EDB-3840-4AA1-9C79-E3DCAD7D1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540825</xdr:colOff>
      <xdr:row>26</xdr:row>
      <xdr:rowOff>8071</xdr:rowOff>
    </xdr:from>
    <xdr:to>
      <xdr:col>15</xdr:col>
      <xdr:colOff>195971</xdr:colOff>
      <xdr:row>41</xdr:row>
      <xdr:rowOff>66418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C2EA34-DE65-4490-BBCC-2CAAB0484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80872</xdr:colOff>
      <xdr:row>46</xdr:row>
      <xdr:rowOff>0</xdr:rowOff>
    </xdr:from>
    <xdr:to>
      <xdr:col>9</xdr:col>
      <xdr:colOff>107829</xdr:colOff>
      <xdr:row>61</xdr:row>
      <xdr:rowOff>47445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DA4834-7158-4C81-91E0-E82F8D0D7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242617</xdr:colOff>
      <xdr:row>45</xdr:row>
      <xdr:rowOff>161745</xdr:rowOff>
    </xdr:from>
    <xdr:to>
      <xdr:col>16</xdr:col>
      <xdr:colOff>537353</xdr:colOff>
      <xdr:row>61</xdr:row>
      <xdr:rowOff>29473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1D4FB3-A07C-4A80-9394-B4576013D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382401</xdr:colOff>
      <xdr:row>5</xdr:row>
      <xdr:rowOff>81662</xdr:rowOff>
    </xdr:from>
    <xdr:to>
      <xdr:col>23</xdr:col>
      <xdr:colOff>413216</xdr:colOff>
      <xdr:row>22</xdr:row>
      <xdr:rowOff>105054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C1459-DAD4-05A7-ACD8-6DFD0754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778173</xdr:colOff>
      <xdr:row>58</xdr:row>
      <xdr:rowOff>164980</xdr:rowOff>
    </xdr:from>
    <xdr:to>
      <xdr:col>16</xdr:col>
      <xdr:colOff>336070</xdr:colOff>
      <xdr:row>74</xdr:row>
      <xdr:rowOff>32709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5BA31-BCAA-4A02-C2B6-4BCEFF81E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1">
  <a:themeElements>
    <a:clrScheme name="Custom 6">
      <a:dk1>
        <a:sysClr val="windowText" lastClr="000000"/>
      </a:dk1>
      <a:lt1>
        <a:sysClr val="window" lastClr="FFFFFF"/>
      </a:lt1>
      <a:dk2>
        <a:srgbClr val="3A3838"/>
      </a:dk2>
      <a:lt2>
        <a:srgbClr val="E7E6E6"/>
      </a:lt2>
      <a:accent1>
        <a:srgbClr val="6E00D2"/>
      </a:accent1>
      <a:accent2>
        <a:srgbClr val="A238FF"/>
      </a:accent2>
      <a:accent3>
        <a:srgbClr val="F88D18"/>
      </a:accent3>
      <a:accent4>
        <a:srgbClr val="FBBD79"/>
      </a:accent4>
      <a:accent5>
        <a:srgbClr val="6EBB39"/>
      </a:accent5>
      <a:accent6>
        <a:srgbClr val="A5D981"/>
      </a:accent6>
      <a:hlink>
        <a:srgbClr val="B1AEAE"/>
      </a:hlink>
      <a:folHlink>
        <a:srgbClr val="8A8686"/>
      </a:folHlink>
    </a:clrScheme>
    <a:fontScheme name="Custom 1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1" id="{2E618F0D-C186-433D-8187-479949BEF7C9}" vid="{307B9621-980D-47FA-8022-161788892FA5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DDAB-20D4-4FD5-99DD-97EBC2505720}">
  <sheetPr>
    <tabColor theme="3" tint="0.79998168889431442"/>
  </sheetPr>
  <dimension ref="A1:A14"/>
  <sheetViews>
    <sheetView showGridLines="0" workbookViewId="0">
      <selection activeCell="I14" sqref="I14"/>
    </sheetView>
  </sheetViews>
  <sheetFormatPr defaultRowHeight="13.9" x14ac:dyDescent="0.4"/>
  <sheetData>
    <row r="1" spans="1:1" ht="19.899999999999999" x14ac:dyDescent="0.5">
      <c r="A1" s="1" t="s">
        <v>1</v>
      </c>
    </row>
    <row r="2" spans="1:1" x14ac:dyDescent="0.4">
      <c r="A2" t="s">
        <v>145</v>
      </c>
    </row>
    <row r="3" spans="1:1" s="3" customFormat="1" ht="14.25" thickBot="1" x14ac:dyDescent="0.45"/>
    <row r="4" spans="1:1" ht="14.25" thickTop="1" x14ac:dyDescent="0.4"/>
    <row r="5" spans="1:1" x14ac:dyDescent="0.4">
      <c r="A5" s="2" t="s">
        <v>2</v>
      </c>
    </row>
    <row r="6" spans="1:1" x14ac:dyDescent="0.4">
      <c r="A6" s="2"/>
    </row>
    <row r="8" spans="1:1" x14ac:dyDescent="0.4">
      <c r="A8" s="4" t="s">
        <v>0</v>
      </c>
    </row>
    <row r="10" spans="1:1" x14ac:dyDescent="0.4">
      <c r="A10" s="5" t="s">
        <v>3</v>
      </c>
    </row>
    <row r="12" spans="1:1" x14ac:dyDescent="0.4">
      <c r="A12" s="5" t="s">
        <v>27</v>
      </c>
    </row>
    <row r="14" spans="1:1" x14ac:dyDescent="0.4">
      <c r="A14" s="5" t="s">
        <v>139</v>
      </c>
    </row>
  </sheetData>
  <hyperlinks>
    <hyperlink ref="A10" location="'Recommendation 1'!A1" display="1. First Recommendation: Differentiated Market Penetration Strategy" xr:uid="{6BFE4F1A-15D3-4220-BCCA-905A28468C4F}"/>
    <hyperlink ref="A12" location="'Recommendation 2'!A1" display="2. Second Recommendation: Profitability-Focused Selling " xr:uid="{8CA8DD08-5B24-41B5-A92D-0D1FAAB6F630}"/>
    <hyperlink ref="A14" location="'Recommendation 3'!A1" display="3. Third Recommendation: Implement Customer-Centricity in App and Marketing" xr:uid="{51E7ED50-F7B2-4666-AE84-63BE190F3B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9614-ED76-4F32-AE79-E1F7E609A955}">
  <sheetPr>
    <tabColor theme="3" tint="0.59999389629810485"/>
  </sheetPr>
  <dimension ref="A1:A45"/>
  <sheetViews>
    <sheetView showGridLines="0" tabSelected="1" zoomScale="53" workbookViewId="0">
      <selection activeCell="V39" sqref="V39"/>
    </sheetView>
  </sheetViews>
  <sheetFormatPr defaultRowHeight="13.9" x14ac:dyDescent="0.4"/>
  <sheetData>
    <row r="1" spans="1:1" ht="19.899999999999999" x14ac:dyDescent="0.5">
      <c r="A1" s="1" t="s">
        <v>142</v>
      </c>
    </row>
    <row r="2" spans="1:1" x14ac:dyDescent="0.4">
      <c r="A2" s="2" t="s">
        <v>143</v>
      </c>
    </row>
    <row r="3" spans="1:1" s="3" customFormat="1" ht="14.25" thickBot="1" x14ac:dyDescent="0.45"/>
    <row r="4" spans="1:1" ht="14.25" thickTop="1" x14ac:dyDescent="0.4"/>
    <row r="5" spans="1:1" x14ac:dyDescent="0.4">
      <c r="A5" s="4" t="s">
        <v>144</v>
      </c>
    </row>
    <row r="6" spans="1:1" x14ac:dyDescent="0.4">
      <c r="A6" s="2"/>
    </row>
    <row r="8" spans="1:1" x14ac:dyDescent="0.4">
      <c r="A8" s="4"/>
    </row>
    <row r="10" spans="1:1" x14ac:dyDescent="0.4">
      <c r="A10" s="5"/>
    </row>
    <row r="12" spans="1:1" x14ac:dyDescent="0.4">
      <c r="A12" s="5"/>
    </row>
    <row r="14" spans="1:1" x14ac:dyDescent="0.4">
      <c r="A14" s="5"/>
    </row>
    <row r="23" spans="1:1" s="28" customFormat="1" x14ac:dyDescent="0.4"/>
    <row r="25" spans="1:1" x14ac:dyDescent="0.4">
      <c r="A25" s="4" t="s">
        <v>148</v>
      </c>
    </row>
    <row r="43" spans="1:1" s="28" customFormat="1" x14ac:dyDescent="0.4"/>
    <row r="45" spans="1:1" x14ac:dyDescent="0.4">
      <c r="A45" s="4" t="s">
        <v>149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7254-E2BA-4EB9-82C0-C2C9E96ED3E1}">
  <sheetPr>
    <tabColor theme="4"/>
  </sheetPr>
  <dimension ref="A1:L100"/>
  <sheetViews>
    <sheetView showGridLines="0" zoomScale="54" zoomScaleNormal="130" workbookViewId="0">
      <selection activeCell="R82" sqref="R82"/>
    </sheetView>
  </sheetViews>
  <sheetFormatPr defaultRowHeight="13.9" x14ac:dyDescent="0.4"/>
  <cols>
    <col min="1" max="1" width="45.35546875" customWidth="1"/>
    <col min="2" max="2" width="24.2109375" customWidth="1"/>
    <col min="3" max="3" width="27.42578125" customWidth="1"/>
    <col min="4" max="4" width="16.2109375" customWidth="1"/>
    <col min="5" max="8" width="15.0703125" bestFit="1" customWidth="1"/>
    <col min="9" max="11" width="9.78515625" bestFit="1" customWidth="1"/>
  </cols>
  <sheetData>
    <row r="1" spans="1:12" ht="19.899999999999999" x14ac:dyDescent="0.5">
      <c r="A1" s="1" t="s">
        <v>4</v>
      </c>
    </row>
    <row r="3" spans="1:12" x14ac:dyDescent="0.4">
      <c r="A3" s="2" t="s">
        <v>62</v>
      </c>
    </row>
    <row r="4" spans="1:12" s="3" customFormat="1" ht="14.25" thickBot="1" x14ac:dyDescent="0.45"/>
    <row r="5" spans="1:12" ht="14.25" thickTop="1" x14ac:dyDescent="0.4"/>
    <row r="6" spans="1:12" x14ac:dyDescent="0.4">
      <c r="A6" s="29" t="s">
        <v>23</v>
      </c>
    </row>
    <row r="8" spans="1:12" x14ac:dyDescent="0.4">
      <c r="A8" t="s">
        <v>6</v>
      </c>
      <c r="B8" s="6">
        <v>0.12</v>
      </c>
    </row>
    <row r="10" spans="1:12" s="4" customFormat="1" ht="13.5" x14ac:dyDescent="0.35">
      <c r="A10" s="4" t="s">
        <v>5</v>
      </c>
      <c r="B10" s="24">
        <v>2021</v>
      </c>
      <c r="C10" s="4">
        <v>2022</v>
      </c>
      <c r="D10" s="4">
        <v>2023</v>
      </c>
      <c r="E10" s="4">
        <v>2024</v>
      </c>
      <c r="F10" s="4">
        <v>2025</v>
      </c>
      <c r="G10" s="4">
        <v>2026</v>
      </c>
      <c r="H10" s="4">
        <v>2027</v>
      </c>
      <c r="I10" s="4">
        <v>2028</v>
      </c>
      <c r="J10" s="4">
        <v>2029</v>
      </c>
      <c r="K10" s="4">
        <v>2030</v>
      </c>
      <c r="L10" s="4" t="s">
        <v>146</v>
      </c>
    </row>
    <row r="11" spans="1:12" x14ac:dyDescent="0.4">
      <c r="A11" s="4" t="s">
        <v>7</v>
      </c>
      <c r="B11" s="8">
        <f xml:space="preserve"> 9.84*0.654</f>
        <v>6.4353600000000002</v>
      </c>
      <c r="C11" s="8">
        <f>B11*1.12</f>
        <v>7.2076032000000012</v>
      </c>
      <c r="D11" s="8">
        <f>C11*1.12</f>
        <v>8.0725155840000014</v>
      </c>
      <c r="E11" s="8">
        <f t="shared" ref="E11:K11" si="0">D11*1.12</f>
        <v>9.0412174540800017</v>
      </c>
      <c r="F11" s="8">
        <f t="shared" si="0"/>
        <v>10.126163548569602</v>
      </c>
      <c r="G11" s="8">
        <f t="shared" si="0"/>
        <v>11.341303174397956</v>
      </c>
      <c r="H11" s="8">
        <f t="shared" si="0"/>
        <v>12.702259555325712</v>
      </c>
      <c r="I11" s="8">
        <f t="shared" si="0"/>
        <v>14.2265307019648</v>
      </c>
      <c r="J11" s="8">
        <f t="shared" si="0"/>
        <v>15.933714386200577</v>
      </c>
      <c r="K11" s="8">
        <f t="shared" si="0"/>
        <v>17.845760112544649</v>
      </c>
    </row>
    <row r="12" spans="1:12" x14ac:dyDescent="0.4">
      <c r="A12" s="4" t="s">
        <v>8</v>
      </c>
      <c r="B12" s="8">
        <f xml:space="preserve"> 3.12*0.654</f>
        <v>2.0404800000000001</v>
      </c>
      <c r="C12" s="8">
        <f t="shared" ref="C12:C20" si="1">B12*1.12</f>
        <v>2.2853376000000001</v>
      </c>
      <c r="D12" s="8">
        <f t="shared" ref="D12:K12" si="2">C12*1.12</f>
        <v>2.5595781120000005</v>
      </c>
      <c r="E12" s="8">
        <f t="shared" si="2"/>
        <v>2.8667274854400007</v>
      </c>
      <c r="F12" s="8">
        <f t="shared" si="2"/>
        <v>3.2107347836928009</v>
      </c>
      <c r="G12" s="8">
        <f t="shared" si="2"/>
        <v>3.5960229577359373</v>
      </c>
      <c r="H12" s="8">
        <f t="shared" si="2"/>
        <v>4.0275457126642502</v>
      </c>
      <c r="I12" s="8">
        <f t="shared" si="2"/>
        <v>4.5108511981839605</v>
      </c>
      <c r="J12" s="8">
        <f t="shared" si="2"/>
        <v>5.0521533419660365</v>
      </c>
      <c r="K12" s="8">
        <f t="shared" si="2"/>
        <v>5.6584117430019614</v>
      </c>
    </row>
    <row r="13" spans="1:12" x14ac:dyDescent="0.4">
      <c r="A13" s="4" t="s">
        <v>9</v>
      </c>
      <c r="B13" s="8">
        <f xml:space="preserve"> 1.81*0.654</f>
        <v>1.18374</v>
      </c>
      <c r="C13" s="8">
        <f t="shared" si="1"/>
        <v>1.3257888000000002</v>
      </c>
      <c r="D13" s="8">
        <f t="shared" ref="D13:K13" si="3">C13*1.12</f>
        <v>1.4848834560000004</v>
      </c>
      <c r="E13" s="8">
        <f t="shared" si="3"/>
        <v>1.6630694707200007</v>
      </c>
      <c r="F13" s="8">
        <f t="shared" si="3"/>
        <v>1.8626378072064009</v>
      </c>
      <c r="G13" s="8">
        <f t="shared" si="3"/>
        <v>2.0861543440711694</v>
      </c>
      <c r="H13" s="8">
        <f t="shared" si="3"/>
        <v>2.3364928653597099</v>
      </c>
      <c r="I13" s="8">
        <f t="shared" si="3"/>
        <v>2.6168720092028752</v>
      </c>
      <c r="J13" s="8">
        <f t="shared" si="3"/>
        <v>2.9308966503072207</v>
      </c>
      <c r="K13" s="8">
        <f t="shared" si="3"/>
        <v>3.2826042483440876</v>
      </c>
    </row>
    <row r="14" spans="1:12" x14ac:dyDescent="0.4">
      <c r="A14" s="4" t="s">
        <v>10</v>
      </c>
      <c r="B14" s="8">
        <f xml:space="preserve"> 1.6*0.654</f>
        <v>1.0464</v>
      </c>
      <c r="C14" s="8">
        <f t="shared" si="1"/>
        <v>1.1719680000000001</v>
      </c>
      <c r="D14" s="8">
        <f t="shared" ref="D14:K20" si="4">C14*1.12</f>
        <v>1.3126041600000002</v>
      </c>
      <c r="E14" s="8">
        <f t="shared" si="4"/>
        <v>1.4701166592000003</v>
      </c>
      <c r="F14" s="8">
        <f t="shared" si="4"/>
        <v>1.6465306583040005</v>
      </c>
      <c r="G14" s="8">
        <f t="shared" si="4"/>
        <v>1.8441143373004807</v>
      </c>
      <c r="H14" s="8">
        <f t="shared" si="4"/>
        <v>2.0654080577765384</v>
      </c>
      <c r="I14" s="8">
        <f t="shared" si="4"/>
        <v>2.3132570247097233</v>
      </c>
      <c r="J14" s="8">
        <f t="shared" si="4"/>
        <v>2.5908478676748903</v>
      </c>
      <c r="K14" s="8">
        <f t="shared" si="4"/>
        <v>2.9017496117958772</v>
      </c>
    </row>
    <row r="15" spans="1:12" x14ac:dyDescent="0.4">
      <c r="A15" s="4" t="s">
        <v>11</v>
      </c>
      <c r="B15" s="8">
        <f xml:space="preserve"> 1.13*0.654</f>
        <v>0.73902000000000001</v>
      </c>
      <c r="C15" s="8">
        <f t="shared" si="1"/>
        <v>0.82770240000000006</v>
      </c>
      <c r="D15" s="8">
        <f t="shared" si="4"/>
        <v>0.92702668800000021</v>
      </c>
      <c r="E15" s="8">
        <f t="shared" si="4"/>
        <v>1.0382698905600003</v>
      </c>
      <c r="F15" s="8">
        <f t="shared" si="4"/>
        <v>1.1628622774272004</v>
      </c>
      <c r="G15" s="8">
        <f t="shared" si="4"/>
        <v>1.3024057507184645</v>
      </c>
      <c r="H15" s="8">
        <f t="shared" si="4"/>
        <v>1.4586944408046805</v>
      </c>
      <c r="I15" s="8">
        <f t="shared" si="4"/>
        <v>1.6337377737012422</v>
      </c>
      <c r="J15" s="8">
        <f t="shared" si="4"/>
        <v>1.8297863065453914</v>
      </c>
      <c r="K15" s="8">
        <f t="shared" si="4"/>
        <v>2.0493606633308388</v>
      </c>
    </row>
    <row r="16" spans="1:12" x14ac:dyDescent="0.4">
      <c r="A16" s="4" t="s">
        <v>12</v>
      </c>
      <c r="B16" s="8">
        <f>1.06*0.654</f>
        <v>0.69324000000000008</v>
      </c>
      <c r="C16" s="8">
        <f t="shared" si="1"/>
        <v>0.77642880000000014</v>
      </c>
      <c r="D16" s="8">
        <f t="shared" si="4"/>
        <v>0.86960025600000024</v>
      </c>
      <c r="E16" s="8">
        <f t="shared" si="4"/>
        <v>0.97395228672000034</v>
      </c>
      <c r="F16" s="8">
        <f t="shared" si="4"/>
        <v>1.0908265611264005</v>
      </c>
      <c r="G16" s="8">
        <f t="shared" si="4"/>
        <v>1.2217257484615687</v>
      </c>
      <c r="H16" s="8">
        <f t="shared" si="4"/>
        <v>1.3683328382769571</v>
      </c>
      <c r="I16" s="8">
        <f t="shared" si="4"/>
        <v>1.5325327788701921</v>
      </c>
      <c r="J16" s="8">
        <f t="shared" si="4"/>
        <v>1.7164367123346154</v>
      </c>
      <c r="K16" s="8">
        <f t="shared" si="4"/>
        <v>1.9224091178147693</v>
      </c>
    </row>
    <row r="17" spans="1:11" x14ac:dyDescent="0.4">
      <c r="A17" s="4" t="s">
        <v>13</v>
      </c>
      <c r="B17" s="8">
        <f>0.81*0.654</f>
        <v>0.5297400000000001</v>
      </c>
      <c r="C17" s="8">
        <f t="shared" si="1"/>
        <v>0.59330880000000019</v>
      </c>
      <c r="D17" s="8">
        <f t="shared" si="4"/>
        <v>0.66450585600000023</v>
      </c>
      <c r="E17" s="8">
        <f t="shared" si="4"/>
        <v>0.74424655872000034</v>
      </c>
      <c r="F17" s="8">
        <f t="shared" si="4"/>
        <v>0.83355614576640047</v>
      </c>
      <c r="G17" s="8">
        <f t="shared" si="4"/>
        <v>0.93358288325836858</v>
      </c>
      <c r="H17" s="8">
        <f t="shared" si="4"/>
        <v>1.0456128292493729</v>
      </c>
      <c r="I17" s="8">
        <f t="shared" si="4"/>
        <v>1.1710863687592978</v>
      </c>
      <c r="J17" s="8">
        <f t="shared" si="4"/>
        <v>1.3116167330104136</v>
      </c>
      <c r="K17" s="8">
        <f t="shared" si="4"/>
        <v>1.4690107409716633</v>
      </c>
    </row>
    <row r="18" spans="1:11" x14ac:dyDescent="0.4">
      <c r="A18" s="4" t="s">
        <v>14</v>
      </c>
      <c r="B18" s="8">
        <f>0.58*0.654</f>
        <v>0.37931999999999999</v>
      </c>
      <c r="C18" s="8">
        <f t="shared" si="1"/>
        <v>0.4248384</v>
      </c>
      <c r="D18" s="8">
        <f t="shared" si="4"/>
        <v>0.47581900800000004</v>
      </c>
      <c r="E18" s="8">
        <f t="shared" si="4"/>
        <v>0.53291728896000012</v>
      </c>
      <c r="F18" s="8">
        <f t="shared" si="4"/>
        <v>0.59686736363520021</v>
      </c>
      <c r="G18" s="8">
        <f t="shared" si="4"/>
        <v>0.66849144727142429</v>
      </c>
      <c r="H18" s="8">
        <f t="shared" si="4"/>
        <v>0.74871042094399531</v>
      </c>
      <c r="I18" s="8">
        <f t="shared" si="4"/>
        <v>0.83855567145727483</v>
      </c>
      <c r="J18" s="8">
        <f t="shared" si="4"/>
        <v>0.93918235203214795</v>
      </c>
      <c r="K18" s="8">
        <f t="shared" si="4"/>
        <v>1.0518842342760057</v>
      </c>
    </row>
    <row r="19" spans="1:11" x14ac:dyDescent="0.4">
      <c r="A19" s="4" t="s">
        <v>15</v>
      </c>
      <c r="B19" s="8">
        <f>0.47*0.654</f>
        <v>0.30737999999999999</v>
      </c>
      <c r="C19" s="8">
        <f t="shared" si="1"/>
        <v>0.3442656</v>
      </c>
      <c r="D19" s="8">
        <f t="shared" si="4"/>
        <v>0.38557747200000003</v>
      </c>
      <c r="E19" s="8">
        <f t="shared" si="4"/>
        <v>0.4318467686400001</v>
      </c>
      <c r="F19" s="8">
        <f t="shared" si="4"/>
        <v>0.48366838087680014</v>
      </c>
      <c r="G19" s="8">
        <f t="shared" si="4"/>
        <v>0.54170858658201626</v>
      </c>
      <c r="H19" s="8">
        <f t="shared" si="4"/>
        <v>0.60671361697185822</v>
      </c>
      <c r="I19" s="8">
        <f t="shared" si="4"/>
        <v>0.67951925100848132</v>
      </c>
      <c r="J19" s="8">
        <f t="shared" si="4"/>
        <v>0.76106156112949919</v>
      </c>
      <c r="K19" s="8">
        <f t="shared" si="4"/>
        <v>0.85238894846503921</v>
      </c>
    </row>
    <row r="20" spans="1:11" ht="14.25" thickBot="1" x14ac:dyDescent="0.45">
      <c r="A20" s="11" t="s">
        <v>16</v>
      </c>
      <c r="B20" s="12">
        <f>0.39*0.654</f>
        <v>0.25506000000000001</v>
      </c>
      <c r="C20" s="12">
        <f t="shared" si="1"/>
        <v>0.28566720000000001</v>
      </c>
      <c r="D20" s="12">
        <f t="shared" si="4"/>
        <v>0.31994726400000006</v>
      </c>
      <c r="E20" s="12">
        <f t="shared" si="4"/>
        <v>0.35834093568000008</v>
      </c>
      <c r="F20" s="12">
        <f t="shared" si="4"/>
        <v>0.40134184796160011</v>
      </c>
      <c r="G20" s="12">
        <f t="shared" si="4"/>
        <v>0.44950286971699216</v>
      </c>
      <c r="H20" s="12">
        <f t="shared" si="4"/>
        <v>0.50344321408303128</v>
      </c>
      <c r="I20" s="12">
        <f t="shared" si="4"/>
        <v>0.56385639977299506</v>
      </c>
      <c r="J20" s="12">
        <f t="shared" si="4"/>
        <v>0.63151916774575456</v>
      </c>
      <c r="K20" s="12">
        <f t="shared" si="4"/>
        <v>0.70730146787524517</v>
      </c>
    </row>
    <row r="21" spans="1:11" ht="14.25" thickTop="1" x14ac:dyDescent="0.4">
      <c r="A21" s="4" t="s">
        <v>18</v>
      </c>
      <c r="B21" s="10">
        <f>SUM(B11:B20)</f>
        <v>13.60974</v>
      </c>
      <c r="C21" s="10">
        <f t="shared" ref="C21:J21" si="5">SUM(C11:C20)</f>
        <v>15.242908800000002</v>
      </c>
      <c r="D21" s="10">
        <f t="shared" si="5"/>
        <v>17.072057856000004</v>
      </c>
      <c r="E21" s="10">
        <f t="shared" si="5"/>
        <v>19.120704798720002</v>
      </c>
      <c r="F21" s="10">
        <f t="shared" si="5"/>
        <v>21.415189374566413</v>
      </c>
      <c r="G21" s="10">
        <f t="shared" si="5"/>
        <v>23.985012099514375</v>
      </c>
      <c r="H21" s="10">
        <f t="shared" si="5"/>
        <v>26.863213551456106</v>
      </c>
      <c r="I21" s="10">
        <f t="shared" si="5"/>
        <v>30.086799177630844</v>
      </c>
      <c r="J21" s="10">
        <f t="shared" si="5"/>
        <v>33.697215078946549</v>
      </c>
      <c r="K21" s="10">
        <f>SUM(K11:K20)</f>
        <v>37.740880888420129</v>
      </c>
    </row>
    <row r="23" spans="1:11" x14ac:dyDescent="0.4">
      <c r="A23" t="s">
        <v>63</v>
      </c>
    </row>
    <row r="24" spans="1:11" s="28" customFormat="1" x14ac:dyDescent="0.4"/>
    <row r="26" spans="1:11" x14ac:dyDescent="0.4">
      <c r="A26" s="29" t="s">
        <v>24</v>
      </c>
      <c r="B26" s="14"/>
    </row>
    <row r="28" spans="1:11" x14ac:dyDescent="0.4">
      <c r="A28" t="s">
        <v>6</v>
      </c>
      <c r="B28" s="13">
        <v>0.17799999999999999</v>
      </c>
      <c r="C28" t="s">
        <v>39</v>
      </c>
    </row>
    <row r="30" spans="1:11" x14ac:dyDescent="0.4">
      <c r="B30" s="24" t="s">
        <v>17</v>
      </c>
      <c r="C30" s="4">
        <v>2022</v>
      </c>
      <c r="D30" s="4">
        <v>2023</v>
      </c>
      <c r="E30" s="4">
        <v>2024</v>
      </c>
      <c r="F30" s="4">
        <v>2025</v>
      </c>
      <c r="G30" s="4">
        <v>2026</v>
      </c>
      <c r="H30" s="4">
        <v>2027</v>
      </c>
      <c r="I30" s="4">
        <v>2028</v>
      </c>
      <c r="J30" s="4">
        <v>2029</v>
      </c>
      <c r="K30" s="4">
        <v>2030</v>
      </c>
    </row>
    <row r="31" spans="1:11" x14ac:dyDescent="0.4">
      <c r="A31" s="4" t="s">
        <v>22</v>
      </c>
      <c r="B31" s="10">
        <f t="shared" ref="B31:F31" si="6">C31*(1-0.178)</f>
        <v>0.99639933168777606</v>
      </c>
      <c r="C31" s="10">
        <f t="shared" si="6"/>
        <v>1.2121646370897519</v>
      </c>
      <c r="D31" s="10">
        <f t="shared" si="6"/>
        <v>1.4746528431748804</v>
      </c>
      <c r="E31" s="10">
        <f t="shared" si="6"/>
        <v>1.7939815610400005</v>
      </c>
      <c r="F31" s="10">
        <f t="shared" si="6"/>
        <v>2.1824593200000004</v>
      </c>
      <c r="G31" s="10">
        <f>H31*(1-0.178)</f>
        <v>2.6550600000000002</v>
      </c>
      <c r="H31" s="4">
        <v>3.23</v>
      </c>
      <c r="I31" s="10">
        <f>H31*1.178</f>
        <v>3.8049399999999998</v>
      </c>
      <c r="J31" s="10">
        <f t="shared" ref="J31:K31" si="7">I31*1.178</f>
        <v>4.4822193199999996</v>
      </c>
      <c r="K31" s="10">
        <f t="shared" si="7"/>
        <v>5.2800543589599993</v>
      </c>
    </row>
    <row r="32" spans="1:11" s="28" customFormat="1" x14ac:dyDescent="0.4"/>
    <row r="34" spans="1:10" x14ac:dyDescent="0.4">
      <c r="A34" s="29" t="s">
        <v>25</v>
      </c>
    </row>
    <row r="36" spans="1:10" x14ac:dyDescent="0.4">
      <c r="A36" t="s">
        <v>21</v>
      </c>
      <c r="B36" s="4" t="s">
        <v>29</v>
      </c>
      <c r="C36" t="s">
        <v>31</v>
      </c>
      <c r="D36" t="s">
        <v>33</v>
      </c>
      <c r="E36" s="16">
        <f>85000*2</f>
        <v>170000</v>
      </c>
      <c r="F36" t="s">
        <v>42</v>
      </c>
      <c r="G36" t="s">
        <v>38</v>
      </c>
    </row>
    <row r="37" spans="1:10" x14ac:dyDescent="0.4">
      <c r="B37" s="4" t="s">
        <v>30</v>
      </c>
      <c r="C37" t="s">
        <v>32</v>
      </c>
      <c r="D37" t="s">
        <v>33</v>
      </c>
      <c r="E37" s="16">
        <f>E36</f>
        <v>170000</v>
      </c>
      <c r="F37" t="s">
        <v>42</v>
      </c>
      <c r="G37" t="s">
        <v>38</v>
      </c>
    </row>
    <row r="38" spans="1:10" x14ac:dyDescent="0.4">
      <c r="E38" s="16"/>
    </row>
    <row r="39" spans="1:10" x14ac:dyDescent="0.4">
      <c r="A39" t="s">
        <v>20</v>
      </c>
      <c r="B39" s="4" t="s">
        <v>34</v>
      </c>
      <c r="C39" s="17"/>
      <c r="E39" s="16">
        <v>10000</v>
      </c>
      <c r="F39" t="s">
        <v>37</v>
      </c>
      <c r="G39" t="s">
        <v>40</v>
      </c>
      <c r="J39" t="s">
        <v>58</v>
      </c>
    </row>
    <row r="40" spans="1:10" x14ac:dyDescent="0.4">
      <c r="B40" s="4" t="s">
        <v>36</v>
      </c>
      <c r="C40" s="17"/>
      <c r="E40" s="16">
        <v>1000</v>
      </c>
      <c r="F40" t="s">
        <v>37</v>
      </c>
      <c r="G40" t="s">
        <v>41</v>
      </c>
      <c r="J40" t="s">
        <v>58</v>
      </c>
    </row>
    <row r="41" spans="1:10" x14ac:dyDescent="0.4">
      <c r="B41" s="4"/>
      <c r="E41" s="16"/>
    </row>
    <row r="42" spans="1:10" x14ac:dyDescent="0.4">
      <c r="A42" t="s">
        <v>19</v>
      </c>
      <c r="B42" s="4" t="s">
        <v>34</v>
      </c>
      <c r="C42" s="17"/>
      <c r="E42" s="16">
        <v>10000</v>
      </c>
      <c r="F42" t="s">
        <v>37</v>
      </c>
      <c r="G42" t="s">
        <v>40</v>
      </c>
      <c r="J42" t="s">
        <v>59</v>
      </c>
    </row>
    <row r="43" spans="1:10" x14ac:dyDescent="0.4">
      <c r="B43" s="4" t="s">
        <v>35</v>
      </c>
      <c r="C43" s="17"/>
      <c r="E43" s="16">
        <v>6000</v>
      </c>
      <c r="F43" t="s">
        <v>37</v>
      </c>
      <c r="G43" t="s">
        <v>40</v>
      </c>
      <c r="J43" t="s">
        <v>59</v>
      </c>
    </row>
    <row r="44" spans="1:10" x14ac:dyDescent="0.4">
      <c r="B44" s="4"/>
      <c r="C44" s="17"/>
      <c r="E44" s="16"/>
    </row>
    <row r="45" spans="1:10" x14ac:dyDescent="0.4">
      <c r="A45" t="s">
        <v>133</v>
      </c>
      <c r="B45" s="4"/>
      <c r="C45" s="17"/>
      <c r="E45" s="16">
        <v>85000</v>
      </c>
      <c r="F45" t="s">
        <v>42</v>
      </c>
      <c r="G45" t="s">
        <v>38</v>
      </c>
      <c r="J45" t="s">
        <v>134</v>
      </c>
    </row>
    <row r="46" spans="1:10" s="28" customFormat="1" x14ac:dyDescent="0.4"/>
    <row r="48" spans="1:10" x14ac:dyDescent="0.4">
      <c r="A48" s="29" t="s">
        <v>43</v>
      </c>
    </row>
    <row r="50" spans="1:11" x14ac:dyDescent="0.4">
      <c r="A50" t="s">
        <v>26</v>
      </c>
      <c r="B50" s="14">
        <v>1.4999999999999999E-2</v>
      </c>
    </row>
    <row r="51" spans="1:11" x14ac:dyDescent="0.4">
      <c r="A51" t="s">
        <v>44</v>
      </c>
      <c r="B51" s="14">
        <v>1.7000000000000001E-2</v>
      </c>
      <c r="C51" t="s">
        <v>39</v>
      </c>
    </row>
    <row r="52" spans="1:11" x14ac:dyDescent="0.4">
      <c r="A52" t="s">
        <v>132</v>
      </c>
      <c r="B52" s="8">
        <v>0.92</v>
      </c>
    </row>
    <row r="54" spans="1:11" x14ac:dyDescent="0.4">
      <c r="A54" s="29" t="s">
        <v>135</v>
      </c>
    </row>
    <row r="56" spans="1:11" x14ac:dyDescent="0.4">
      <c r="B56" s="24" t="s">
        <v>131</v>
      </c>
      <c r="C56" s="4">
        <v>2025</v>
      </c>
      <c r="D56" s="4">
        <v>2026</v>
      </c>
      <c r="E56" s="4">
        <v>2027</v>
      </c>
      <c r="F56" s="4">
        <v>2028</v>
      </c>
      <c r="G56" s="4">
        <v>2029</v>
      </c>
      <c r="H56" s="4">
        <v>2030</v>
      </c>
      <c r="I56" s="4"/>
      <c r="J56" s="4"/>
      <c r="K56" s="4"/>
    </row>
    <row r="57" spans="1:11" x14ac:dyDescent="0.4">
      <c r="A57" s="4" t="s">
        <v>45</v>
      </c>
      <c r="B57" s="8">
        <f t="shared" ref="B57:H57" si="8">E21*$B$52</f>
        <v>17.591048414822403</v>
      </c>
      <c r="C57" s="8">
        <f t="shared" si="8"/>
        <v>19.701974224601102</v>
      </c>
      <c r="D57" s="8">
        <f t="shared" si="8"/>
        <v>22.066211131553224</v>
      </c>
      <c r="E57" s="8">
        <f t="shared" si="8"/>
        <v>24.714156467339617</v>
      </c>
      <c r="F57" s="8">
        <f t="shared" si="8"/>
        <v>27.679855243420377</v>
      </c>
      <c r="G57" s="8">
        <f t="shared" si="8"/>
        <v>31.001437872630827</v>
      </c>
      <c r="H57" s="8">
        <f t="shared" si="8"/>
        <v>34.721610417346518</v>
      </c>
      <c r="I57" s="8"/>
      <c r="J57" s="8"/>
      <c r="K57" s="8"/>
    </row>
    <row r="58" spans="1:11" x14ac:dyDescent="0.4">
      <c r="A58" s="18" t="s">
        <v>46</v>
      </c>
      <c r="B58" s="19">
        <f>E31*$B$52</f>
        <v>1.6504630361568005</v>
      </c>
      <c r="C58" s="19">
        <f t="shared" ref="C58:H58" si="9">F31*$B$52</f>
        <v>2.0078625744000003</v>
      </c>
      <c r="D58" s="19">
        <f t="shared" si="9"/>
        <v>2.4426552000000004</v>
      </c>
      <c r="E58" s="19">
        <f t="shared" si="9"/>
        <v>2.9716</v>
      </c>
      <c r="F58" s="19">
        <f t="shared" si="9"/>
        <v>3.5005448000000001</v>
      </c>
      <c r="G58" s="19">
        <f t="shared" si="9"/>
        <v>4.1236417743999993</v>
      </c>
      <c r="H58" s="19">
        <f t="shared" si="9"/>
        <v>4.8576500102431996</v>
      </c>
      <c r="I58" s="19"/>
      <c r="J58" s="19"/>
      <c r="K58" s="19"/>
    </row>
    <row r="59" spans="1:11" x14ac:dyDescent="0.4">
      <c r="A59" s="4" t="s">
        <v>47</v>
      </c>
      <c r="B59" s="8">
        <f>B57*0.017</f>
        <v>0.29904782305198085</v>
      </c>
      <c r="C59" s="8">
        <f t="shared" ref="C59:D59" si="10">C57*0.017</f>
        <v>0.33493356181821876</v>
      </c>
      <c r="D59" s="8">
        <f t="shared" si="10"/>
        <v>0.37512558923640482</v>
      </c>
      <c r="E59" s="8">
        <f>E57*0.017</f>
        <v>0.42014065994477351</v>
      </c>
      <c r="F59" s="8">
        <f t="shared" ref="F59:H59" si="11">F57*0.017</f>
        <v>0.47055753913814646</v>
      </c>
      <c r="G59" s="8">
        <f t="shared" si="11"/>
        <v>0.52702444383472413</v>
      </c>
      <c r="H59" s="8">
        <f t="shared" si="11"/>
        <v>0.59026737709489085</v>
      </c>
      <c r="I59" s="8"/>
      <c r="J59" s="8"/>
      <c r="K59" s="8"/>
    </row>
    <row r="60" spans="1:11" ht="14.25" thickBot="1" x14ac:dyDescent="0.45">
      <c r="A60" s="11" t="s">
        <v>48</v>
      </c>
      <c r="B60" s="12">
        <f>B58*0.017</f>
        <v>2.8057871614665608E-2</v>
      </c>
      <c r="C60" s="12">
        <f t="shared" ref="C60:D60" si="12">C58*0.017</f>
        <v>3.413366376480001E-2</v>
      </c>
      <c r="D60" s="12">
        <f t="shared" si="12"/>
        <v>4.1525138400000008E-2</v>
      </c>
      <c r="E60" s="15">
        <f>E58*0.017</f>
        <v>5.0517200000000005E-2</v>
      </c>
      <c r="F60" s="15">
        <f t="shared" ref="F60:H60" si="13">F58*0.017</f>
        <v>5.9509261600000009E-2</v>
      </c>
      <c r="G60" s="15">
        <f t="shared" si="13"/>
        <v>7.0101910164799996E-2</v>
      </c>
      <c r="H60" s="15">
        <f t="shared" si="13"/>
        <v>8.2580050174134403E-2</v>
      </c>
      <c r="I60" s="7"/>
      <c r="J60" s="7"/>
      <c r="K60" s="7"/>
    </row>
    <row r="61" spans="1:11" ht="14.25" thickTop="1" x14ac:dyDescent="0.4">
      <c r="A61" s="4" t="s">
        <v>18</v>
      </c>
      <c r="B61" s="10">
        <f>SUM(B59:B60)</f>
        <v>0.32710569466664646</v>
      </c>
      <c r="C61" s="10">
        <f t="shared" ref="C61:H61" si="14">SUM(C59:C60)</f>
        <v>0.36906722558301874</v>
      </c>
      <c r="D61" s="10">
        <f t="shared" si="14"/>
        <v>0.41665072763640482</v>
      </c>
      <c r="E61" s="10">
        <f t="shared" si="14"/>
        <v>0.47065785994477349</v>
      </c>
      <c r="F61" s="10">
        <f t="shared" si="14"/>
        <v>0.53006680073814649</v>
      </c>
      <c r="G61" s="10">
        <f t="shared" si="14"/>
        <v>0.59712635399952418</v>
      </c>
      <c r="H61" s="10">
        <f t="shared" si="14"/>
        <v>0.67284742726902524</v>
      </c>
    </row>
    <row r="62" spans="1:11" s="28" customFormat="1" x14ac:dyDescent="0.4"/>
    <row r="64" spans="1:11" x14ac:dyDescent="0.4">
      <c r="A64" s="29" t="s">
        <v>136</v>
      </c>
    </row>
    <row r="66" spans="1:9" x14ac:dyDescent="0.4">
      <c r="A66" t="s">
        <v>49</v>
      </c>
      <c r="B66" s="14">
        <v>0.02</v>
      </c>
    </row>
    <row r="67" spans="1:9" x14ac:dyDescent="0.4">
      <c r="A67" t="s">
        <v>50</v>
      </c>
      <c r="B67" s="14">
        <v>0.04</v>
      </c>
    </row>
    <row r="68" spans="1:9" x14ac:dyDescent="0.4">
      <c r="A68" t="s">
        <v>51</v>
      </c>
      <c r="B68" s="6">
        <v>0.06</v>
      </c>
      <c r="C68" t="s">
        <v>52</v>
      </c>
    </row>
    <row r="69" spans="1:9" x14ac:dyDescent="0.4">
      <c r="B69" s="6"/>
    </row>
    <row r="70" spans="1:9" x14ac:dyDescent="0.4">
      <c r="B70" s="24">
        <v>2024</v>
      </c>
      <c r="C70" s="4">
        <v>2025</v>
      </c>
      <c r="D70" s="4">
        <v>2026</v>
      </c>
      <c r="E70" s="4">
        <v>2027</v>
      </c>
      <c r="F70" s="4">
        <v>2028</v>
      </c>
      <c r="G70" s="4">
        <v>2029</v>
      </c>
      <c r="H70" s="4">
        <v>2030</v>
      </c>
      <c r="I70" t="s">
        <v>147</v>
      </c>
    </row>
    <row r="71" spans="1:9" x14ac:dyDescent="0.4">
      <c r="A71" s="4" t="s">
        <v>45</v>
      </c>
      <c r="B71" s="8">
        <f>B57</f>
        <v>17.591048414822403</v>
      </c>
      <c r="C71" s="8">
        <f t="shared" ref="C71:H71" si="15">C57</f>
        <v>19.701974224601102</v>
      </c>
      <c r="D71" s="8">
        <f t="shared" si="15"/>
        <v>22.066211131553224</v>
      </c>
      <c r="E71" s="8">
        <f t="shared" si="15"/>
        <v>24.714156467339617</v>
      </c>
      <c r="F71" s="8">
        <f t="shared" si="15"/>
        <v>27.679855243420377</v>
      </c>
      <c r="G71" s="8">
        <f t="shared" si="15"/>
        <v>31.001437872630827</v>
      </c>
      <c r="H71" s="8">
        <f t="shared" si="15"/>
        <v>34.721610417346518</v>
      </c>
    </row>
    <row r="72" spans="1:9" x14ac:dyDescent="0.4">
      <c r="A72" s="18" t="s">
        <v>46</v>
      </c>
      <c r="B72" s="19">
        <f>B58</f>
        <v>1.6504630361568005</v>
      </c>
      <c r="C72" s="19">
        <f t="shared" ref="C72:H72" si="16">C58</f>
        <v>2.0078625744000003</v>
      </c>
      <c r="D72" s="19">
        <f t="shared" si="16"/>
        <v>2.4426552000000004</v>
      </c>
      <c r="E72" s="19">
        <f t="shared" si="16"/>
        <v>2.9716</v>
      </c>
      <c r="F72" s="19">
        <f t="shared" si="16"/>
        <v>3.5005448000000001</v>
      </c>
      <c r="G72" s="19">
        <f t="shared" si="16"/>
        <v>4.1236417743999993</v>
      </c>
      <c r="H72" s="19">
        <f t="shared" si="16"/>
        <v>4.8576500102431996</v>
      </c>
    </row>
    <row r="73" spans="1:9" x14ac:dyDescent="0.4">
      <c r="A73" s="4" t="s">
        <v>47</v>
      </c>
      <c r="B73" s="8">
        <f>B71*0.02</f>
        <v>0.35182096829644804</v>
      </c>
      <c r="C73" s="8">
        <f>C71*0.03</f>
        <v>0.59105922673803302</v>
      </c>
      <c r="D73" s="8">
        <f t="shared" ref="D73:H73" si="17">D71*0.04</f>
        <v>0.88264844526212904</v>
      </c>
      <c r="E73" s="8">
        <f t="shared" si="17"/>
        <v>0.98856625869358472</v>
      </c>
      <c r="F73" s="8">
        <f t="shared" si="17"/>
        <v>1.107194209736815</v>
      </c>
      <c r="G73" s="8">
        <f t="shared" si="17"/>
        <v>1.2400575149052331</v>
      </c>
      <c r="H73" s="8">
        <f t="shared" si="17"/>
        <v>1.3888644166938608</v>
      </c>
    </row>
    <row r="74" spans="1:9" ht="14.25" thickBot="1" x14ac:dyDescent="0.45">
      <c r="A74" s="11" t="s">
        <v>48</v>
      </c>
      <c r="B74" s="12">
        <f>B72*0.02</f>
        <v>3.3009260723136008E-2</v>
      </c>
      <c r="C74" s="12">
        <f>C72*0.04</f>
        <v>8.0314502976000013E-2</v>
      </c>
      <c r="D74" s="12">
        <f t="shared" ref="D74:H74" si="18">D72*0.06</f>
        <v>0.14655931200000002</v>
      </c>
      <c r="E74" s="12">
        <f t="shared" si="18"/>
        <v>0.17829599999999998</v>
      </c>
      <c r="F74" s="12">
        <f t="shared" si="18"/>
        <v>0.210032688</v>
      </c>
      <c r="G74" s="12">
        <f t="shared" si="18"/>
        <v>0.24741850646399996</v>
      </c>
      <c r="H74" s="12">
        <f t="shared" si="18"/>
        <v>0.29145900061459196</v>
      </c>
    </row>
    <row r="75" spans="1:9" ht="14.25" thickTop="1" x14ac:dyDescent="0.4">
      <c r="A75" s="20" t="s">
        <v>18</v>
      </c>
      <c r="B75" s="21">
        <f>SUM(B73:B74)</f>
        <v>0.38483022901958408</v>
      </c>
      <c r="C75" s="21">
        <f t="shared" ref="C75:H75" si="19">SUM(C73:C74)</f>
        <v>0.67137372971403297</v>
      </c>
      <c r="D75" s="21">
        <f t="shared" si="19"/>
        <v>1.029207757262129</v>
      </c>
      <c r="E75" s="21">
        <f t="shared" si="19"/>
        <v>1.1668622586935846</v>
      </c>
      <c r="F75" s="21">
        <f t="shared" si="19"/>
        <v>1.3172268977368151</v>
      </c>
      <c r="G75" s="21">
        <f t="shared" si="19"/>
        <v>1.4874760213692331</v>
      </c>
      <c r="H75" s="21">
        <f t="shared" si="19"/>
        <v>1.6803234173084527</v>
      </c>
    </row>
    <row r="76" spans="1:9" s="28" customFormat="1" x14ac:dyDescent="0.4"/>
    <row r="78" spans="1:9" x14ac:dyDescent="0.4">
      <c r="A78" s="29" t="s">
        <v>54</v>
      </c>
    </row>
    <row r="79" spans="1:9" x14ac:dyDescent="0.4">
      <c r="A79" s="2" t="s">
        <v>53</v>
      </c>
    </row>
    <row r="80" spans="1:9" x14ac:dyDescent="0.4">
      <c r="B80" s="4">
        <v>2024</v>
      </c>
      <c r="C80" s="4">
        <v>2025</v>
      </c>
      <c r="D80" s="4">
        <v>2026</v>
      </c>
      <c r="E80" s="4">
        <v>2027</v>
      </c>
      <c r="F80" s="4">
        <v>2028</v>
      </c>
      <c r="G80" s="4">
        <v>2029</v>
      </c>
      <c r="H80" s="4">
        <v>2030</v>
      </c>
    </row>
    <row r="81" spans="1:8" x14ac:dyDescent="0.4">
      <c r="A81" s="4" t="s">
        <v>21</v>
      </c>
      <c r="B81" s="38">
        <f>SUM(B82:B83)</f>
        <v>170000</v>
      </c>
      <c r="C81" s="38">
        <f t="shared" ref="C81:H81" si="20">SUM(C82:C83)</f>
        <v>170000</v>
      </c>
      <c r="D81" s="38">
        <f t="shared" si="20"/>
        <v>340000</v>
      </c>
      <c r="E81" s="38">
        <f t="shared" si="20"/>
        <v>340000</v>
      </c>
      <c r="F81" s="38">
        <f t="shared" si="20"/>
        <v>340000</v>
      </c>
      <c r="G81" s="38">
        <f t="shared" si="20"/>
        <v>340000</v>
      </c>
      <c r="H81" s="38">
        <f t="shared" si="20"/>
        <v>340000</v>
      </c>
    </row>
    <row r="82" spans="1:8" x14ac:dyDescent="0.4">
      <c r="A82" s="23" t="s">
        <v>29</v>
      </c>
      <c r="B82" s="16">
        <v>85000</v>
      </c>
      <c r="C82" s="16">
        <v>85000</v>
      </c>
      <c r="D82" s="16">
        <v>170000</v>
      </c>
      <c r="E82" s="16">
        <v>170000</v>
      </c>
      <c r="F82" s="16">
        <v>170000</v>
      </c>
      <c r="G82" s="16">
        <v>170000</v>
      </c>
      <c r="H82" s="16">
        <v>170000</v>
      </c>
    </row>
    <row r="83" spans="1:8" x14ac:dyDescent="0.4">
      <c r="A83" s="23" t="s">
        <v>30</v>
      </c>
      <c r="B83" s="16">
        <v>85000</v>
      </c>
      <c r="C83" s="16">
        <v>85000</v>
      </c>
      <c r="D83" s="16">
        <v>170000</v>
      </c>
      <c r="E83" s="16">
        <v>170000</v>
      </c>
      <c r="F83" s="16">
        <v>170000</v>
      </c>
      <c r="G83" s="16">
        <v>170000</v>
      </c>
      <c r="H83" s="16">
        <v>170000</v>
      </c>
    </row>
    <row r="84" spans="1:8" x14ac:dyDescent="0.4">
      <c r="A84" s="27" t="s">
        <v>61</v>
      </c>
      <c r="B84" s="38">
        <f>5*85000</f>
        <v>425000</v>
      </c>
      <c r="C84" s="38">
        <f>5*85000</f>
        <v>425000</v>
      </c>
      <c r="D84" s="38">
        <f>85000*10</f>
        <v>850000</v>
      </c>
      <c r="E84" s="38">
        <f t="shared" ref="E84:H84" si="21">85000*10</f>
        <v>850000</v>
      </c>
      <c r="F84" s="38">
        <f t="shared" si="21"/>
        <v>850000</v>
      </c>
      <c r="G84" s="38">
        <f t="shared" si="21"/>
        <v>850000</v>
      </c>
      <c r="H84" s="38">
        <f t="shared" si="21"/>
        <v>850000</v>
      </c>
    </row>
    <row r="85" spans="1:8" x14ac:dyDescent="0.4">
      <c r="A85" s="4" t="s">
        <v>20</v>
      </c>
      <c r="B85" s="38">
        <f>SUM(B86:B87)</f>
        <v>1320000</v>
      </c>
      <c r="C85" s="38">
        <f t="shared" ref="C85:H85" si="22">SUM(C86:C87)</f>
        <v>1320000</v>
      </c>
      <c r="D85" s="38">
        <f t="shared" si="22"/>
        <v>1320000</v>
      </c>
      <c r="E85" s="38">
        <f t="shared" si="22"/>
        <v>1320000</v>
      </c>
      <c r="F85" s="38">
        <f t="shared" si="22"/>
        <v>1320000</v>
      </c>
      <c r="G85" s="38">
        <f t="shared" si="22"/>
        <v>1320000</v>
      </c>
      <c r="H85" s="38">
        <f t="shared" si="22"/>
        <v>1320000</v>
      </c>
    </row>
    <row r="86" spans="1:8" x14ac:dyDescent="0.4">
      <c r="A86" s="23" t="s">
        <v>34</v>
      </c>
      <c r="B86" s="16">
        <f>(E39*12)*10</f>
        <v>1200000</v>
      </c>
      <c r="C86" s="16">
        <f>B86</f>
        <v>1200000</v>
      </c>
      <c r="D86" s="16">
        <f t="shared" ref="D86:H86" si="23">C86</f>
        <v>1200000</v>
      </c>
      <c r="E86" s="16">
        <v>1200000</v>
      </c>
      <c r="F86" s="16">
        <f t="shared" si="23"/>
        <v>1200000</v>
      </c>
      <c r="G86" s="16">
        <f t="shared" si="23"/>
        <v>1200000</v>
      </c>
      <c r="H86" s="16">
        <f t="shared" si="23"/>
        <v>1200000</v>
      </c>
    </row>
    <row r="87" spans="1:8" x14ac:dyDescent="0.4">
      <c r="A87" s="23" t="s">
        <v>36</v>
      </c>
      <c r="B87" s="16">
        <f>(E40*12)*10</f>
        <v>120000</v>
      </c>
      <c r="C87" s="16">
        <f>B87</f>
        <v>120000</v>
      </c>
      <c r="D87" s="16">
        <f t="shared" ref="D87:H87" si="24">C87</f>
        <v>120000</v>
      </c>
      <c r="E87" s="16">
        <f t="shared" si="24"/>
        <v>120000</v>
      </c>
      <c r="F87" s="16">
        <f t="shared" si="24"/>
        <v>120000</v>
      </c>
      <c r="G87" s="16">
        <f t="shared" si="24"/>
        <v>120000</v>
      </c>
      <c r="H87" s="16">
        <f t="shared" si="24"/>
        <v>120000</v>
      </c>
    </row>
    <row r="88" spans="1:8" x14ac:dyDescent="0.4">
      <c r="A88" s="4" t="s">
        <v>19</v>
      </c>
      <c r="B88" s="38">
        <f t="shared" ref="B88:H88" si="25">SUM(B89:B90)</f>
        <v>960000</v>
      </c>
      <c r="C88" s="38">
        <f t="shared" si="25"/>
        <v>960000</v>
      </c>
      <c r="D88" s="38">
        <f t="shared" si="25"/>
        <v>960000</v>
      </c>
      <c r="E88" s="38">
        <f t="shared" si="25"/>
        <v>960000</v>
      </c>
      <c r="F88" s="38">
        <f t="shared" si="25"/>
        <v>960000</v>
      </c>
      <c r="G88" s="38">
        <f t="shared" si="25"/>
        <v>960000</v>
      </c>
      <c r="H88" s="38">
        <f t="shared" si="25"/>
        <v>960000</v>
      </c>
    </row>
    <row r="89" spans="1:8" x14ac:dyDescent="0.4">
      <c r="A89" s="23" t="s">
        <v>34</v>
      </c>
      <c r="B89" s="16">
        <f>(E42*12)*5</f>
        <v>600000</v>
      </c>
      <c r="C89" s="16">
        <f>B89</f>
        <v>600000</v>
      </c>
      <c r="D89" s="16">
        <f t="shared" ref="D89:H89" si="26">C89</f>
        <v>600000</v>
      </c>
      <c r="E89" s="16">
        <f t="shared" si="26"/>
        <v>600000</v>
      </c>
      <c r="F89" s="16">
        <f t="shared" si="26"/>
        <v>600000</v>
      </c>
      <c r="G89" s="16">
        <f t="shared" si="26"/>
        <v>600000</v>
      </c>
      <c r="H89" s="16">
        <f t="shared" si="26"/>
        <v>600000</v>
      </c>
    </row>
    <row r="90" spans="1:8" ht="14.25" thickBot="1" x14ac:dyDescent="0.45">
      <c r="A90" s="26" t="s">
        <v>35</v>
      </c>
      <c r="B90" s="36">
        <f>(E43*12)*5</f>
        <v>360000</v>
      </c>
      <c r="C90" s="36">
        <f>B90</f>
        <v>360000</v>
      </c>
      <c r="D90" s="36">
        <f t="shared" ref="D90:H90" si="27">C90</f>
        <v>360000</v>
      </c>
      <c r="E90" s="36">
        <f t="shared" si="27"/>
        <v>360000</v>
      </c>
      <c r="F90" s="36">
        <f t="shared" si="27"/>
        <v>360000</v>
      </c>
      <c r="G90" s="36">
        <f t="shared" si="27"/>
        <v>360000</v>
      </c>
      <c r="H90" s="36">
        <f t="shared" si="27"/>
        <v>360000</v>
      </c>
    </row>
    <row r="91" spans="1:8" ht="14.25" thickTop="1" x14ac:dyDescent="0.4">
      <c r="A91" s="22" t="s">
        <v>18</v>
      </c>
      <c r="B91" s="38">
        <f>SUM(B81,B85,B88,B84)</f>
        <v>2875000</v>
      </c>
      <c r="C91" s="38">
        <f t="shared" ref="C91:H91" si="28">SUM(C81,C85,C88,C84)</f>
        <v>2875000</v>
      </c>
      <c r="D91" s="38">
        <f t="shared" si="28"/>
        <v>3470000</v>
      </c>
      <c r="E91" s="38">
        <f t="shared" si="28"/>
        <v>3470000</v>
      </c>
      <c r="F91" s="38">
        <f t="shared" si="28"/>
        <v>3470000</v>
      </c>
      <c r="G91" s="38">
        <f t="shared" si="28"/>
        <v>3470000</v>
      </c>
      <c r="H91" s="38">
        <f t="shared" si="28"/>
        <v>3470000</v>
      </c>
    </row>
    <row r="92" spans="1:8" s="28" customFormat="1" x14ac:dyDescent="0.4"/>
    <row r="94" spans="1:8" x14ac:dyDescent="0.4">
      <c r="A94" s="29" t="s">
        <v>55</v>
      </c>
    </row>
    <row r="96" spans="1:8" x14ac:dyDescent="0.4">
      <c r="B96" s="4">
        <v>2024</v>
      </c>
      <c r="C96" s="4">
        <v>2025</v>
      </c>
      <c r="D96" s="4">
        <v>2026</v>
      </c>
      <c r="E96" s="4">
        <v>2027</v>
      </c>
      <c r="F96" s="4">
        <v>2028</v>
      </c>
      <c r="G96" s="4">
        <v>2029</v>
      </c>
      <c r="H96" s="4">
        <v>2030</v>
      </c>
    </row>
    <row r="97" spans="1:8" x14ac:dyDescent="0.4">
      <c r="A97" t="s">
        <v>56</v>
      </c>
      <c r="B97" s="16">
        <f t="shared" ref="B97:H97" si="29">B75-B61</f>
        <v>5.7724534352937618E-2</v>
      </c>
      <c r="C97" s="16">
        <f t="shared" si="29"/>
        <v>0.30230650413101423</v>
      </c>
      <c r="D97" s="16">
        <f t="shared" si="29"/>
        <v>0.61255702962572411</v>
      </c>
      <c r="E97" s="16">
        <f t="shared" si="29"/>
        <v>0.69620439874881113</v>
      </c>
      <c r="F97" s="16">
        <f t="shared" si="29"/>
        <v>0.78716009699866862</v>
      </c>
      <c r="G97" s="16">
        <f t="shared" si="29"/>
        <v>0.89034966736970889</v>
      </c>
      <c r="H97" s="16">
        <f t="shared" si="29"/>
        <v>1.0074759900394274</v>
      </c>
    </row>
    <row r="98" spans="1:8" ht="14.25" thickBot="1" x14ac:dyDescent="0.45">
      <c r="A98" s="3" t="s">
        <v>57</v>
      </c>
      <c r="B98" s="43">
        <v>2.8999999999999998E-3</v>
      </c>
      <c r="C98" s="43">
        <v>2.8999999999999998E-3</v>
      </c>
      <c r="D98" s="43">
        <v>3.5000000000000001E-3</v>
      </c>
      <c r="E98" s="43">
        <v>3.5000000000000001E-3</v>
      </c>
      <c r="F98" s="43">
        <v>3.5000000000000001E-3</v>
      </c>
      <c r="G98" s="43">
        <v>3.5000000000000001E-3</v>
      </c>
      <c r="H98" s="43">
        <v>3.5000000000000001E-3</v>
      </c>
    </row>
    <row r="99" spans="1:8" ht="14.25" thickTop="1" x14ac:dyDescent="0.4">
      <c r="A99" s="4" t="s">
        <v>60</v>
      </c>
      <c r="B99" s="44">
        <f>B97-B98</f>
        <v>5.4824534352937618E-2</v>
      </c>
      <c r="C99" s="44">
        <f t="shared" ref="C99:H99" si="30">C97-C98</f>
        <v>0.29940650413101422</v>
      </c>
      <c r="D99" s="44">
        <f t="shared" si="30"/>
        <v>0.60905702962572417</v>
      </c>
      <c r="E99" s="44">
        <f t="shared" si="30"/>
        <v>0.69270439874881118</v>
      </c>
      <c r="F99" s="44">
        <f t="shared" si="30"/>
        <v>0.78366009699866868</v>
      </c>
      <c r="G99" s="44">
        <f t="shared" si="30"/>
        <v>0.88684966736970894</v>
      </c>
      <c r="H99" s="44">
        <f t="shared" si="30"/>
        <v>1.0039759900394274</v>
      </c>
    </row>
    <row r="100" spans="1:8" s="28" customFormat="1" x14ac:dyDescent="0.4"/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F895-5DFE-455D-BF1C-C9860FB21568}">
  <sheetPr>
    <tabColor theme="6"/>
  </sheetPr>
  <dimension ref="A1:I57"/>
  <sheetViews>
    <sheetView showGridLines="0" zoomScale="61" workbookViewId="0"/>
  </sheetViews>
  <sheetFormatPr defaultRowHeight="13.9" x14ac:dyDescent="0.4"/>
  <cols>
    <col min="1" max="1" width="39.85546875" customWidth="1"/>
    <col min="2" max="2" width="19.85546875" customWidth="1"/>
    <col min="3" max="3" width="14.5703125" customWidth="1"/>
    <col min="4" max="8" width="11.2109375" bestFit="1" customWidth="1"/>
  </cols>
  <sheetData>
    <row r="1" spans="1:7" ht="19.899999999999999" x14ac:dyDescent="0.5">
      <c r="A1" s="1" t="s">
        <v>28</v>
      </c>
    </row>
    <row r="3" spans="1:7" x14ac:dyDescent="0.4">
      <c r="A3" s="2" t="s">
        <v>88</v>
      </c>
    </row>
    <row r="4" spans="1:7" s="3" customFormat="1" ht="14.25" thickBot="1" x14ac:dyDescent="0.45"/>
    <row r="5" spans="1:7" ht="14.25" thickTop="1" x14ac:dyDescent="0.4"/>
    <row r="6" spans="1:7" x14ac:dyDescent="0.4">
      <c r="A6" s="29" t="s">
        <v>64</v>
      </c>
    </row>
    <row r="8" spans="1:7" x14ac:dyDescent="0.4">
      <c r="A8" t="s">
        <v>66</v>
      </c>
    </row>
    <row r="9" spans="1:7" x14ac:dyDescent="0.4">
      <c r="A9" s="23" t="s">
        <v>34</v>
      </c>
      <c r="B9" s="16"/>
      <c r="C9" s="16">
        <v>10000</v>
      </c>
      <c r="D9" t="s">
        <v>37</v>
      </c>
      <c r="E9" t="s">
        <v>40</v>
      </c>
      <c r="G9" t="s">
        <v>65</v>
      </c>
    </row>
    <row r="10" spans="1:7" x14ac:dyDescent="0.4">
      <c r="A10" s="23" t="s">
        <v>35</v>
      </c>
      <c r="B10" s="16"/>
      <c r="C10" s="16">
        <v>6000</v>
      </c>
      <c r="D10" t="s">
        <v>37</v>
      </c>
      <c r="E10" t="s">
        <v>40</v>
      </c>
      <c r="G10" t="s">
        <v>65</v>
      </c>
    </row>
    <row r="11" spans="1:7" x14ac:dyDescent="0.4">
      <c r="A11" s="27" t="s">
        <v>18</v>
      </c>
      <c r="B11" s="38"/>
      <c r="C11" s="45">
        <f>(C9*12)*10 + (C10*12)*10</f>
        <v>1920000</v>
      </c>
    </row>
    <row r="12" spans="1:7" x14ac:dyDescent="0.4">
      <c r="B12" s="16"/>
      <c r="C12" s="16"/>
    </row>
    <row r="13" spans="1:7" x14ac:dyDescent="0.4">
      <c r="B13" s="16" t="s">
        <v>73</v>
      </c>
      <c r="C13" s="16" t="s">
        <v>74</v>
      </c>
    </row>
    <row r="14" spans="1:7" x14ac:dyDescent="0.4">
      <c r="A14" t="s">
        <v>75</v>
      </c>
      <c r="B14" s="16"/>
      <c r="C14" s="16"/>
    </row>
    <row r="15" spans="1:7" x14ac:dyDescent="0.4">
      <c r="A15" s="30" t="s">
        <v>67</v>
      </c>
      <c r="B15" s="16">
        <v>50000</v>
      </c>
      <c r="C15" s="16">
        <f>B15*0.15</f>
        <v>7500</v>
      </c>
      <c r="E15" t="s">
        <v>72</v>
      </c>
    </row>
    <row r="16" spans="1:7" x14ac:dyDescent="0.4">
      <c r="A16" s="30" t="s">
        <v>68</v>
      </c>
      <c r="B16" s="16">
        <v>300000</v>
      </c>
      <c r="C16" s="16">
        <f>B16*0.2</f>
        <v>60000</v>
      </c>
      <c r="E16" s="31" t="s">
        <v>76</v>
      </c>
    </row>
    <row r="17" spans="1:5" x14ac:dyDescent="0.4">
      <c r="A17" s="30" t="s">
        <v>69</v>
      </c>
      <c r="B17" s="16">
        <v>200000</v>
      </c>
      <c r="C17" s="16">
        <f>B17*0.175</f>
        <v>35000</v>
      </c>
      <c r="E17" t="s">
        <v>137</v>
      </c>
    </row>
    <row r="18" spans="1:5" x14ac:dyDescent="0.4">
      <c r="A18" s="30" t="s">
        <v>70</v>
      </c>
      <c r="B18" s="16">
        <v>200000</v>
      </c>
      <c r="C18" s="16">
        <f>B18*0.175</f>
        <v>35000</v>
      </c>
    </row>
    <row r="19" spans="1:5" x14ac:dyDescent="0.4">
      <c r="A19" s="30" t="s">
        <v>71</v>
      </c>
      <c r="B19" s="16">
        <v>350000</v>
      </c>
      <c r="C19" s="16">
        <f>B19*0.2</f>
        <v>70000</v>
      </c>
    </row>
    <row r="20" spans="1:5" x14ac:dyDescent="0.4">
      <c r="A20" s="27" t="s">
        <v>18</v>
      </c>
      <c r="B20" s="38"/>
      <c r="C20" s="38">
        <f>SUM(C15:C19)</f>
        <v>207500</v>
      </c>
    </row>
    <row r="21" spans="1:5" x14ac:dyDescent="0.4">
      <c r="B21" s="16"/>
      <c r="C21" s="16"/>
    </row>
    <row r="22" spans="1:5" x14ac:dyDescent="0.4">
      <c r="A22" s="31" t="s">
        <v>78</v>
      </c>
      <c r="B22" s="16"/>
      <c r="C22" s="16"/>
      <c r="E22" t="s">
        <v>80</v>
      </c>
    </row>
    <row r="23" spans="1:5" x14ac:dyDescent="0.4">
      <c r="A23" s="30" t="s">
        <v>79</v>
      </c>
      <c r="B23" s="16"/>
      <c r="C23" s="16">
        <v>120000</v>
      </c>
    </row>
    <row r="24" spans="1:5" x14ac:dyDescent="0.4">
      <c r="A24" s="4" t="s">
        <v>18</v>
      </c>
      <c r="B24" s="38"/>
      <c r="C24" s="38">
        <f>C23*2</f>
        <v>240000</v>
      </c>
    </row>
    <row r="25" spans="1:5" ht="14.25" thickBot="1" x14ac:dyDescent="0.45">
      <c r="A25" s="3"/>
      <c r="B25" s="36"/>
      <c r="C25" s="36"/>
    </row>
    <row r="26" spans="1:5" ht="14.25" thickTop="1" x14ac:dyDescent="0.4">
      <c r="A26" s="4" t="s">
        <v>81</v>
      </c>
      <c r="B26" s="38"/>
      <c r="C26" s="45">
        <f>SUM(C11,C20,C24)</f>
        <v>2367500</v>
      </c>
    </row>
    <row r="27" spans="1:5" x14ac:dyDescent="0.4">
      <c r="A27" t="s">
        <v>141</v>
      </c>
      <c r="C27" s="16">
        <f>C24+C20</f>
        <v>447500</v>
      </c>
    </row>
    <row r="29" spans="1:5" x14ac:dyDescent="0.4">
      <c r="A29" s="29" t="s">
        <v>82</v>
      </c>
    </row>
    <row r="31" spans="1:5" x14ac:dyDescent="0.4">
      <c r="A31" t="s">
        <v>83</v>
      </c>
    </row>
    <row r="32" spans="1:5" x14ac:dyDescent="0.4">
      <c r="A32" t="s">
        <v>44</v>
      </c>
      <c r="B32" s="14">
        <v>1.7000000000000001E-2</v>
      </c>
      <c r="C32" t="s">
        <v>39</v>
      </c>
    </row>
    <row r="33" spans="1:9" x14ac:dyDescent="0.4">
      <c r="A33" t="s">
        <v>132</v>
      </c>
      <c r="B33" s="8">
        <v>0.92</v>
      </c>
    </row>
    <row r="35" spans="1:9" x14ac:dyDescent="0.4">
      <c r="A35" s="29" t="s">
        <v>87</v>
      </c>
    </row>
    <row r="37" spans="1:9" x14ac:dyDescent="0.4">
      <c r="A37" s="32" t="s">
        <v>86</v>
      </c>
      <c r="B37" s="24">
        <v>2024</v>
      </c>
      <c r="C37" s="4">
        <v>2025</v>
      </c>
      <c r="D37" s="4">
        <v>2026</v>
      </c>
      <c r="E37" s="4">
        <v>2027</v>
      </c>
      <c r="F37" s="4">
        <v>2028</v>
      </c>
      <c r="G37" s="4">
        <v>2029</v>
      </c>
      <c r="H37" s="4">
        <v>2030</v>
      </c>
      <c r="I37" s="4"/>
    </row>
    <row r="38" spans="1:9" x14ac:dyDescent="0.4">
      <c r="A38" s="18" t="s">
        <v>89</v>
      </c>
      <c r="B38" s="46">
        <f>26.7*B33</f>
        <v>24.564</v>
      </c>
      <c r="C38" s="46">
        <f>B38*1.12</f>
        <v>27.511680000000002</v>
      </c>
      <c r="D38" s="46">
        <f t="shared" ref="D38:H38" si="0">C38*1.12</f>
        <v>30.813081600000004</v>
      </c>
      <c r="E38" s="46">
        <f t="shared" si="0"/>
        <v>34.510651392000007</v>
      </c>
      <c r="F38" s="46">
        <f t="shared" si="0"/>
        <v>38.651929559040013</v>
      </c>
      <c r="G38" s="46">
        <f t="shared" si="0"/>
        <v>43.29016110612482</v>
      </c>
      <c r="H38" s="46">
        <f t="shared" si="0"/>
        <v>48.4849804388598</v>
      </c>
      <c r="I38" s="8"/>
    </row>
    <row r="39" spans="1:9" ht="14.25" thickBot="1" x14ac:dyDescent="0.45">
      <c r="A39" s="11" t="s">
        <v>90</v>
      </c>
      <c r="B39" s="36">
        <f>B38*0.017</f>
        <v>0.41758800000000001</v>
      </c>
      <c r="C39" s="36">
        <f t="shared" ref="C39:H39" si="1">C38*0.017</f>
        <v>0.46769856000000004</v>
      </c>
      <c r="D39" s="36">
        <f t="shared" si="1"/>
        <v>0.52382238720000007</v>
      </c>
      <c r="E39" s="36">
        <f t="shared" si="1"/>
        <v>0.58668107366400013</v>
      </c>
      <c r="F39" s="36">
        <f t="shared" si="1"/>
        <v>0.65708280250368023</v>
      </c>
      <c r="G39" s="36">
        <f t="shared" si="1"/>
        <v>0.73593273880412202</v>
      </c>
      <c r="H39" s="36">
        <f t="shared" si="1"/>
        <v>0.82424466746061664</v>
      </c>
      <c r="I39" s="7"/>
    </row>
    <row r="40" spans="1:9" ht="14.25" thickTop="1" x14ac:dyDescent="0.4">
      <c r="A40" s="4" t="s">
        <v>18</v>
      </c>
      <c r="B40" s="38">
        <f>B39</f>
        <v>0.41758800000000001</v>
      </c>
      <c r="C40" s="38">
        <f t="shared" ref="C40:H40" si="2">C39</f>
        <v>0.46769856000000004</v>
      </c>
      <c r="D40" s="38">
        <f t="shared" si="2"/>
        <v>0.52382238720000007</v>
      </c>
      <c r="E40" s="38">
        <f t="shared" si="2"/>
        <v>0.58668107366400013</v>
      </c>
      <c r="F40" s="38">
        <f t="shared" si="2"/>
        <v>0.65708280250368023</v>
      </c>
      <c r="G40" s="38">
        <f t="shared" si="2"/>
        <v>0.73593273880412202</v>
      </c>
      <c r="H40" s="38">
        <f t="shared" si="2"/>
        <v>0.82424466746061664</v>
      </c>
    </row>
    <row r="41" spans="1:9" s="28" customFormat="1" x14ac:dyDescent="0.4">
      <c r="B41" s="46"/>
      <c r="C41" s="46"/>
      <c r="D41" s="46"/>
      <c r="E41" s="46"/>
      <c r="F41" s="46"/>
      <c r="G41" s="46"/>
      <c r="H41" s="46"/>
    </row>
    <row r="42" spans="1:9" x14ac:dyDescent="0.4">
      <c r="B42" s="16"/>
      <c r="C42" s="16"/>
      <c r="D42" s="16"/>
      <c r="E42" s="16"/>
      <c r="F42" s="16"/>
      <c r="G42" s="16"/>
      <c r="H42" s="16"/>
    </row>
    <row r="43" spans="1:9" x14ac:dyDescent="0.4">
      <c r="A43" s="29" t="s">
        <v>84</v>
      </c>
      <c r="B43" s="16"/>
      <c r="C43" s="16"/>
      <c r="D43" s="16"/>
      <c r="E43" s="16"/>
      <c r="F43" s="16"/>
      <c r="G43" s="16"/>
      <c r="H43" s="16"/>
    </row>
    <row r="44" spans="1:9" x14ac:dyDescent="0.4">
      <c r="B44" s="16"/>
      <c r="C44" s="16"/>
      <c r="D44" s="16"/>
      <c r="E44" s="16"/>
      <c r="F44" s="16"/>
      <c r="G44" s="16"/>
      <c r="H44" s="16"/>
    </row>
    <row r="45" spans="1:9" x14ac:dyDescent="0.4">
      <c r="A45" s="32" t="s">
        <v>86</v>
      </c>
      <c r="B45" s="24">
        <v>2024</v>
      </c>
      <c r="C45" s="4">
        <v>2025</v>
      </c>
      <c r="D45" s="4">
        <v>2026</v>
      </c>
      <c r="E45" s="4">
        <v>2027</v>
      </c>
      <c r="F45" s="4">
        <v>2028</v>
      </c>
      <c r="G45" s="4">
        <v>2029</v>
      </c>
      <c r="H45" s="4">
        <v>2030</v>
      </c>
    </row>
    <row r="46" spans="1:9" x14ac:dyDescent="0.4">
      <c r="A46" s="18" t="s">
        <v>89</v>
      </c>
      <c r="B46" s="46">
        <f>B38</f>
        <v>24.564</v>
      </c>
      <c r="C46" s="46">
        <f t="shared" ref="C46:H46" si="3">C38</f>
        <v>27.511680000000002</v>
      </c>
      <c r="D46" s="46">
        <f t="shared" si="3"/>
        <v>30.813081600000004</v>
      </c>
      <c r="E46" s="46">
        <f t="shared" si="3"/>
        <v>34.510651392000007</v>
      </c>
      <c r="F46" s="46">
        <f t="shared" si="3"/>
        <v>38.651929559040013</v>
      </c>
      <c r="G46" s="46">
        <f t="shared" si="3"/>
        <v>43.29016110612482</v>
      </c>
      <c r="H46" s="46">
        <f t="shared" si="3"/>
        <v>48.4849804388598</v>
      </c>
    </row>
    <row r="47" spans="1:9" ht="14.25" thickBot="1" x14ac:dyDescent="0.45">
      <c r="A47" s="11" t="s">
        <v>48</v>
      </c>
      <c r="B47" s="36">
        <f>B46*0.017</f>
        <v>0.41758800000000001</v>
      </c>
      <c r="C47" s="36">
        <f>C46*0.02</f>
        <v>0.5502336000000001</v>
      </c>
      <c r="D47" s="36">
        <f>D46*0.022</f>
        <v>0.67788779520000009</v>
      </c>
      <c r="E47" s="36">
        <f>E46*0.022</f>
        <v>0.75923433062400014</v>
      </c>
      <c r="F47" s="36">
        <f>F46*0.022</f>
        <v>0.85034245029888023</v>
      </c>
      <c r="G47" s="36">
        <f>G46*0.022</f>
        <v>0.95238354433474603</v>
      </c>
      <c r="H47" s="36">
        <f>H46*0.022</f>
        <v>1.0666695696549156</v>
      </c>
    </row>
    <row r="48" spans="1:9" ht="14.25" thickTop="1" x14ac:dyDescent="0.4">
      <c r="A48" s="4" t="s">
        <v>18</v>
      </c>
      <c r="B48" s="38">
        <f t="shared" ref="B48:H48" si="4">SUM(B47:B47)</f>
        <v>0.41758800000000001</v>
      </c>
      <c r="C48" s="38">
        <f t="shared" si="4"/>
        <v>0.5502336000000001</v>
      </c>
      <c r="D48" s="38">
        <f t="shared" si="4"/>
        <v>0.67788779520000009</v>
      </c>
      <c r="E48" s="38">
        <f t="shared" si="4"/>
        <v>0.75923433062400014</v>
      </c>
      <c r="F48" s="38">
        <f t="shared" si="4"/>
        <v>0.85034245029888023</v>
      </c>
      <c r="G48" s="38">
        <f t="shared" si="4"/>
        <v>0.95238354433474603</v>
      </c>
      <c r="H48" s="38">
        <f t="shared" si="4"/>
        <v>1.0666695696549156</v>
      </c>
    </row>
    <row r="49" spans="1:8" s="28" customFormat="1" x14ac:dyDescent="0.4"/>
    <row r="51" spans="1:8" x14ac:dyDescent="0.4">
      <c r="A51" s="29" t="s">
        <v>85</v>
      </c>
    </row>
    <row r="53" spans="1:8" x14ac:dyDescent="0.4">
      <c r="A53" s="32" t="s">
        <v>86</v>
      </c>
      <c r="B53" s="4">
        <v>2024</v>
      </c>
      <c r="C53" s="4">
        <v>2025</v>
      </c>
      <c r="D53" s="4">
        <v>2026</v>
      </c>
      <c r="E53" s="4">
        <v>2027</v>
      </c>
      <c r="F53" s="4">
        <v>2028</v>
      </c>
      <c r="G53" s="4">
        <v>2029</v>
      </c>
      <c r="H53" s="4">
        <v>2030</v>
      </c>
    </row>
    <row r="54" spans="1:8" x14ac:dyDescent="0.4">
      <c r="A54" t="s">
        <v>56</v>
      </c>
      <c r="B54" s="16">
        <f t="shared" ref="B54:H54" si="5">B48-B40</f>
        <v>0</v>
      </c>
      <c r="C54" s="16">
        <f t="shared" si="5"/>
        <v>8.2535040000000059E-2</v>
      </c>
      <c r="D54" s="16">
        <f t="shared" si="5"/>
        <v>0.15406540800000001</v>
      </c>
      <c r="E54" s="16">
        <f t="shared" si="5"/>
        <v>0.17255325696000001</v>
      </c>
      <c r="F54" s="16">
        <f t="shared" si="5"/>
        <v>0.1932596477952</v>
      </c>
      <c r="G54" s="16">
        <f t="shared" si="5"/>
        <v>0.21645080553062401</v>
      </c>
      <c r="H54" s="16">
        <f t="shared" si="5"/>
        <v>0.24242490219429891</v>
      </c>
    </row>
    <row r="55" spans="1:8" ht="14.25" thickBot="1" x14ac:dyDescent="0.45">
      <c r="A55" s="3" t="s">
        <v>57</v>
      </c>
      <c r="B55" s="43">
        <v>2.3999999999999998E-3</v>
      </c>
      <c r="C55" s="43">
        <v>2.3999999999999998E-3</v>
      </c>
      <c r="D55" s="43">
        <f>(C20+C24)/1000000000</f>
        <v>4.4749999999999998E-4</v>
      </c>
      <c r="E55" s="43">
        <f>D55</f>
        <v>4.4749999999999998E-4</v>
      </c>
      <c r="F55" s="43">
        <f t="shared" ref="F55:H55" si="6">E55</f>
        <v>4.4749999999999998E-4</v>
      </c>
      <c r="G55" s="43">
        <f t="shared" si="6"/>
        <v>4.4749999999999998E-4</v>
      </c>
      <c r="H55" s="43">
        <f t="shared" si="6"/>
        <v>4.4749999999999998E-4</v>
      </c>
    </row>
    <row r="56" spans="1:8" ht="14.25" thickTop="1" x14ac:dyDescent="0.4">
      <c r="A56" s="4" t="s">
        <v>60</v>
      </c>
      <c r="B56" s="47">
        <f>B54-B55</f>
        <v>-2.3999999999999998E-3</v>
      </c>
      <c r="C56" s="44">
        <f t="shared" ref="C56:H56" si="7">C54-C55</f>
        <v>8.013504000000006E-2</v>
      </c>
      <c r="D56" s="44">
        <f t="shared" si="7"/>
        <v>0.15361790800000003</v>
      </c>
      <c r="E56" s="44">
        <f t="shared" si="7"/>
        <v>0.17210575696000002</v>
      </c>
      <c r="F56" s="44">
        <f t="shared" si="7"/>
        <v>0.19281214779520001</v>
      </c>
      <c r="G56" s="44">
        <f t="shared" si="7"/>
        <v>0.21600330553062402</v>
      </c>
      <c r="H56" s="44">
        <f t="shared" si="7"/>
        <v>0.24197740219429892</v>
      </c>
    </row>
    <row r="57" spans="1:8" s="28" customFormat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2361-80F1-4D7B-B76F-B9354EA57B09}">
  <sheetPr>
    <tabColor theme="8"/>
  </sheetPr>
  <dimension ref="A1:L81"/>
  <sheetViews>
    <sheetView showGridLines="0" topLeftCell="A26" zoomScale="53" workbookViewId="0">
      <selection activeCell="B79" sqref="B79:H79"/>
    </sheetView>
  </sheetViews>
  <sheetFormatPr defaultRowHeight="13.9" x14ac:dyDescent="0.4"/>
  <cols>
    <col min="1" max="1" width="39.140625" customWidth="1"/>
    <col min="2" max="8" width="17.2109375" bestFit="1" customWidth="1"/>
    <col min="10" max="10" width="20.2109375" customWidth="1"/>
  </cols>
  <sheetData>
    <row r="1" spans="1:4" ht="19.899999999999999" x14ac:dyDescent="0.5">
      <c r="A1" s="1" t="s">
        <v>138</v>
      </c>
    </row>
    <row r="3" spans="1:4" x14ac:dyDescent="0.4">
      <c r="A3" s="2" t="s">
        <v>130</v>
      </c>
    </row>
    <row r="4" spans="1:4" s="3" customFormat="1" ht="14.25" thickBot="1" x14ac:dyDescent="0.45"/>
    <row r="5" spans="1:4" ht="14.25" thickTop="1" x14ac:dyDescent="0.4"/>
    <row r="6" spans="1:4" x14ac:dyDescent="0.4">
      <c r="A6" s="29" t="s">
        <v>64</v>
      </c>
    </row>
    <row r="8" spans="1:4" x14ac:dyDescent="0.4">
      <c r="A8" t="s">
        <v>103</v>
      </c>
    </row>
    <row r="9" spans="1:4" x14ac:dyDescent="0.4">
      <c r="A9" s="30" t="s">
        <v>91</v>
      </c>
      <c r="B9" s="16">
        <v>4500000</v>
      </c>
      <c r="D9" s="31" t="s">
        <v>129</v>
      </c>
    </row>
    <row r="10" spans="1:4" x14ac:dyDescent="0.4">
      <c r="A10" s="30" t="s">
        <v>92</v>
      </c>
      <c r="B10" s="16">
        <v>5500000</v>
      </c>
      <c r="D10" t="s">
        <v>77</v>
      </c>
    </row>
    <row r="11" spans="1:4" x14ac:dyDescent="0.4">
      <c r="A11" s="30" t="s">
        <v>93</v>
      </c>
      <c r="B11" s="16">
        <v>1500000</v>
      </c>
    </row>
    <row r="12" spans="1:4" x14ac:dyDescent="0.4">
      <c r="A12" s="30" t="s">
        <v>99</v>
      </c>
      <c r="B12" s="16">
        <v>200000</v>
      </c>
    </row>
    <row r="13" spans="1:4" x14ac:dyDescent="0.4">
      <c r="A13" s="27" t="s">
        <v>102</v>
      </c>
      <c r="B13" s="38">
        <f>SUM(B9:B12)</f>
        <v>11700000</v>
      </c>
    </row>
    <row r="14" spans="1:4" x14ac:dyDescent="0.4">
      <c r="A14" s="27"/>
      <c r="B14" s="38"/>
    </row>
    <row r="15" spans="1:4" x14ac:dyDescent="0.4">
      <c r="A15" s="27" t="s">
        <v>126</v>
      </c>
      <c r="B15" s="38"/>
    </row>
    <row r="16" spans="1:4" x14ac:dyDescent="0.4">
      <c r="A16" s="27"/>
      <c r="B16" s="38"/>
    </row>
    <row r="17" spans="1:4" x14ac:dyDescent="0.4">
      <c r="A17" s="30" t="s">
        <v>91</v>
      </c>
      <c r="B17" s="41">
        <f>B9*0.2</f>
        <v>900000</v>
      </c>
      <c r="D17" t="s">
        <v>72</v>
      </c>
    </row>
    <row r="18" spans="1:4" x14ac:dyDescent="0.4">
      <c r="A18" s="30" t="s">
        <v>92</v>
      </c>
      <c r="B18" s="41">
        <f>B10*0.2</f>
        <v>1100000</v>
      </c>
      <c r="D18" t="s">
        <v>77</v>
      </c>
    </row>
    <row r="19" spans="1:4" x14ac:dyDescent="0.4">
      <c r="A19" s="30" t="s">
        <v>93</v>
      </c>
      <c r="B19" s="41">
        <f>B11*0.2</f>
        <v>300000</v>
      </c>
    </row>
    <row r="20" spans="1:4" x14ac:dyDescent="0.4">
      <c r="A20" s="27" t="s">
        <v>102</v>
      </c>
      <c r="B20" s="38">
        <f>SUM(B17:B19)</f>
        <v>2300000</v>
      </c>
    </row>
    <row r="21" spans="1:4" x14ac:dyDescent="0.4">
      <c r="A21" s="30"/>
      <c r="B21" s="38"/>
    </row>
    <row r="22" spans="1:4" x14ac:dyDescent="0.4">
      <c r="B22" s="16"/>
    </row>
    <row r="23" spans="1:4" x14ac:dyDescent="0.4">
      <c r="A23" s="31" t="s">
        <v>94</v>
      </c>
      <c r="B23" s="16"/>
      <c r="D23" t="s">
        <v>101</v>
      </c>
    </row>
    <row r="24" spans="1:4" x14ac:dyDescent="0.4">
      <c r="A24" s="30" t="s">
        <v>79</v>
      </c>
      <c r="B24" s="16">
        <v>120000</v>
      </c>
      <c r="C24" s="25"/>
      <c r="D24" t="s">
        <v>95</v>
      </c>
    </row>
    <row r="25" spans="1:4" x14ac:dyDescent="0.4">
      <c r="A25" s="4" t="s">
        <v>102</v>
      </c>
      <c r="B25" s="38">
        <f>B24*5</f>
        <v>600000</v>
      </c>
    </row>
    <row r="26" spans="1:4" x14ac:dyDescent="0.4">
      <c r="B26" s="16"/>
    </row>
    <row r="27" spans="1:4" x14ac:dyDescent="0.4">
      <c r="A27" t="s">
        <v>96</v>
      </c>
      <c r="B27" s="16"/>
      <c r="D27" t="s">
        <v>100</v>
      </c>
    </row>
    <row r="28" spans="1:4" x14ac:dyDescent="0.4">
      <c r="A28" s="30" t="s">
        <v>98</v>
      </c>
      <c r="B28" s="16">
        <v>750000</v>
      </c>
    </row>
    <row r="29" spans="1:4" x14ac:dyDescent="0.4">
      <c r="A29" s="30" t="s">
        <v>97</v>
      </c>
      <c r="B29" s="16">
        <v>1250000</v>
      </c>
    </row>
    <row r="30" spans="1:4" x14ac:dyDescent="0.4">
      <c r="A30" s="30" t="s">
        <v>99</v>
      </c>
      <c r="B30" s="16">
        <v>300000</v>
      </c>
    </row>
    <row r="31" spans="1:4" x14ac:dyDescent="0.4">
      <c r="A31" s="27" t="s">
        <v>102</v>
      </c>
      <c r="B31" s="38">
        <f>SUM(B28:B30)</f>
        <v>2300000</v>
      </c>
    </row>
    <row r="32" spans="1:4" x14ac:dyDescent="0.4">
      <c r="B32" s="16"/>
    </row>
    <row r="33" spans="1:12" x14ac:dyDescent="0.4">
      <c r="A33" s="27" t="s">
        <v>127</v>
      </c>
      <c r="B33" s="38">
        <f>SUM(B13,B25,B31)</f>
        <v>14600000</v>
      </c>
    </row>
    <row r="34" spans="1:12" x14ac:dyDescent="0.4">
      <c r="A34" s="27" t="s">
        <v>128</v>
      </c>
      <c r="B34" s="38">
        <f>SUM(B20,B25)</f>
        <v>2900000</v>
      </c>
    </row>
    <row r="35" spans="1:12" s="28" customFormat="1" x14ac:dyDescent="0.4"/>
    <row r="37" spans="1:12" x14ac:dyDescent="0.4">
      <c r="A37" s="29" t="s">
        <v>104</v>
      </c>
    </row>
    <row r="39" spans="1:12" x14ac:dyDescent="0.4">
      <c r="A39" t="s">
        <v>140</v>
      </c>
    </row>
    <row r="41" spans="1:12" x14ac:dyDescent="0.4">
      <c r="A41" s="29" t="s">
        <v>121</v>
      </c>
    </row>
    <row r="43" spans="1:12" x14ac:dyDescent="0.4">
      <c r="B43" s="4">
        <v>2024</v>
      </c>
      <c r="C43" s="4">
        <v>2025</v>
      </c>
      <c r="D43" s="4">
        <v>2026</v>
      </c>
      <c r="E43" s="4">
        <v>2027</v>
      </c>
      <c r="F43" s="4">
        <v>2028</v>
      </c>
      <c r="G43" s="4">
        <v>2029</v>
      </c>
      <c r="H43" s="4">
        <v>2030</v>
      </c>
    </row>
    <row r="44" spans="1:12" x14ac:dyDescent="0.4">
      <c r="A44" t="s">
        <v>105</v>
      </c>
      <c r="B44" s="35">
        <v>11.99</v>
      </c>
      <c r="C44" s="35">
        <v>11.99</v>
      </c>
      <c r="D44" s="35">
        <v>11.99</v>
      </c>
      <c r="E44" s="35">
        <v>11.99</v>
      </c>
      <c r="F44" s="35">
        <v>11.99</v>
      </c>
      <c r="G44" s="35">
        <v>11.99</v>
      </c>
      <c r="H44" s="35">
        <v>11.99</v>
      </c>
      <c r="J44" t="s">
        <v>114</v>
      </c>
    </row>
    <row r="45" spans="1:12" x14ac:dyDescent="0.4">
      <c r="A45" t="s">
        <v>119</v>
      </c>
      <c r="B45" s="9">
        <f>B54*$L$47</f>
        <v>486111.11111111107</v>
      </c>
      <c r="C45" s="9">
        <f t="shared" ref="C45:H45" si="0">C54*$L$47</f>
        <v>544444.4444444445</v>
      </c>
      <c r="D45" s="9">
        <f t="shared" si="0"/>
        <v>609777.77777777787</v>
      </c>
      <c r="E45" s="9">
        <f t="shared" si="0"/>
        <v>682951.11111111136</v>
      </c>
      <c r="F45" s="9">
        <f t="shared" si="0"/>
        <v>764905.24444444478</v>
      </c>
      <c r="G45" s="9">
        <f t="shared" si="0"/>
        <v>856693.87377777824</v>
      </c>
      <c r="H45" s="9">
        <f t="shared" si="0"/>
        <v>959497.13863111159</v>
      </c>
      <c r="J45" t="s">
        <v>115</v>
      </c>
      <c r="K45">
        <v>77</v>
      </c>
      <c r="L45" s="34">
        <f>K45/$K$48</f>
        <v>0.71296296296296291</v>
      </c>
    </row>
    <row r="46" spans="1:12" x14ac:dyDescent="0.4">
      <c r="A46" s="4" t="s">
        <v>108</v>
      </c>
      <c r="B46" s="38">
        <f>B44*B45</f>
        <v>5828472.222222222</v>
      </c>
      <c r="C46" s="38">
        <f t="shared" ref="C46:H46" si="1">C44*C45</f>
        <v>6527888.8888888899</v>
      </c>
      <c r="D46" s="38">
        <f t="shared" si="1"/>
        <v>7311235.5555555569</v>
      </c>
      <c r="E46" s="38">
        <f t="shared" si="1"/>
        <v>8188583.8222222254</v>
      </c>
      <c r="F46" s="38">
        <f t="shared" si="1"/>
        <v>9171213.8808888923</v>
      </c>
      <c r="G46" s="38">
        <f t="shared" si="1"/>
        <v>10271759.54659556</v>
      </c>
      <c r="H46" s="38">
        <f t="shared" si="1"/>
        <v>11504370.692187028</v>
      </c>
      <c r="J46" t="s">
        <v>116</v>
      </c>
      <c r="K46">
        <v>26</v>
      </c>
      <c r="L46" s="34">
        <f t="shared" ref="L46:L47" si="2">K46/$K$48</f>
        <v>0.24074074074074073</v>
      </c>
    </row>
    <row r="47" spans="1:12" x14ac:dyDescent="0.4">
      <c r="A47" t="s">
        <v>106</v>
      </c>
      <c r="B47" s="16">
        <v>19.989999999999998</v>
      </c>
      <c r="C47" s="16">
        <v>19.989999999999998</v>
      </c>
      <c r="D47" s="16">
        <v>19.989999999999998</v>
      </c>
      <c r="E47" s="16">
        <v>19.989999999999998</v>
      </c>
      <c r="F47" s="16">
        <v>19.989999999999998</v>
      </c>
      <c r="G47" s="16">
        <v>19.989999999999998</v>
      </c>
      <c r="H47" s="16">
        <v>19.989999999999998</v>
      </c>
      <c r="J47" t="s">
        <v>117</v>
      </c>
      <c r="K47">
        <v>5</v>
      </c>
      <c r="L47" s="34">
        <f t="shared" si="2"/>
        <v>4.6296296296296294E-2</v>
      </c>
    </row>
    <row r="48" spans="1:12" x14ac:dyDescent="0.4">
      <c r="A48" t="s">
        <v>120</v>
      </c>
      <c r="B48" s="9">
        <f>B54*$L$45</f>
        <v>7486111.111111111</v>
      </c>
      <c r="C48" s="9">
        <f t="shared" ref="C48:H48" si="3">C54*$L$45</f>
        <v>8384444.444444445</v>
      </c>
      <c r="D48" s="9">
        <f t="shared" si="3"/>
        <v>9390577.7777777798</v>
      </c>
      <c r="E48" s="9">
        <f t="shared" si="3"/>
        <v>10517447.111111114</v>
      </c>
      <c r="F48" s="9">
        <f t="shared" si="3"/>
        <v>11779540.76444445</v>
      </c>
      <c r="G48" s="9">
        <f t="shared" si="3"/>
        <v>13193085.656177785</v>
      </c>
      <c r="H48" s="9">
        <f t="shared" si="3"/>
        <v>14776255.934919119</v>
      </c>
      <c r="K48">
        <f>SUM(K45:K47)</f>
        <v>108</v>
      </c>
    </row>
    <row r="49" spans="1:10" x14ac:dyDescent="0.4">
      <c r="A49" s="4" t="s">
        <v>109</v>
      </c>
      <c r="B49" s="38">
        <f>B47*B48</f>
        <v>149647361.1111111</v>
      </c>
      <c r="C49" s="38">
        <f t="shared" ref="C49:H49" si="4">C47*C48</f>
        <v>167605044.44444445</v>
      </c>
      <c r="D49" s="38">
        <f t="shared" si="4"/>
        <v>187717649.77777779</v>
      </c>
      <c r="E49" s="38">
        <f t="shared" si="4"/>
        <v>210243767.75111115</v>
      </c>
      <c r="F49" s="38">
        <f t="shared" si="4"/>
        <v>235473019.88124454</v>
      </c>
      <c r="G49" s="38">
        <f t="shared" si="4"/>
        <v>263729782.26699391</v>
      </c>
      <c r="H49" s="38">
        <f t="shared" si="4"/>
        <v>295377356.13903314</v>
      </c>
    </row>
    <row r="50" spans="1:10" x14ac:dyDescent="0.4">
      <c r="A50" t="s">
        <v>107</v>
      </c>
      <c r="B50" s="16">
        <v>5.99</v>
      </c>
      <c r="C50" s="16">
        <v>5.99</v>
      </c>
      <c r="D50" s="16">
        <v>5.99</v>
      </c>
      <c r="E50" s="16">
        <v>5.99</v>
      </c>
      <c r="F50" s="16">
        <v>5.99</v>
      </c>
      <c r="G50" s="16">
        <v>5.99</v>
      </c>
      <c r="H50" s="16">
        <v>5.99</v>
      </c>
    </row>
    <row r="51" spans="1:10" x14ac:dyDescent="0.4">
      <c r="A51" t="s">
        <v>118</v>
      </c>
      <c r="B51" s="9">
        <f>B54*$L$46</f>
        <v>2527777.7777777775</v>
      </c>
      <c r="C51" s="9">
        <f t="shared" ref="C51:H51" si="5">C54*$L$46</f>
        <v>2831111.1111111115</v>
      </c>
      <c r="D51" s="9">
        <f t="shared" si="5"/>
        <v>3170844.444444445</v>
      </c>
      <c r="E51" s="9">
        <f t="shared" si="5"/>
        <v>3551345.7777777789</v>
      </c>
      <c r="F51" s="9">
        <f t="shared" si="5"/>
        <v>3977507.271111113</v>
      </c>
      <c r="G51" s="9">
        <f t="shared" si="5"/>
        <v>4454808.1436444465</v>
      </c>
      <c r="H51" s="9">
        <f t="shared" si="5"/>
        <v>4989385.120881781</v>
      </c>
    </row>
    <row r="52" spans="1:10" ht="14.25" thickBot="1" x14ac:dyDescent="0.45">
      <c r="A52" s="11" t="s">
        <v>110</v>
      </c>
      <c r="B52" s="37">
        <f>B50*B51</f>
        <v>15141388.888888888</v>
      </c>
      <c r="C52" s="37">
        <f t="shared" ref="C52:H52" si="6">C50*C51</f>
        <v>16958355.55555556</v>
      </c>
      <c r="D52" s="37">
        <f t="shared" si="6"/>
        <v>18993358.222222228</v>
      </c>
      <c r="E52" s="37">
        <f t="shared" si="6"/>
        <v>21272561.208888896</v>
      </c>
      <c r="F52" s="37">
        <f t="shared" si="6"/>
        <v>23825268.553955566</v>
      </c>
      <c r="G52" s="37">
        <f t="shared" si="6"/>
        <v>26684300.780430235</v>
      </c>
      <c r="H52" s="37">
        <f t="shared" si="6"/>
        <v>29886416.874081869</v>
      </c>
    </row>
    <row r="53" spans="1:10" ht="14.25" thickTop="1" x14ac:dyDescent="0.4">
      <c r="A53" s="4" t="s">
        <v>111</v>
      </c>
      <c r="B53" s="38">
        <f>SUM(B46,B49,B52)</f>
        <v>170617222.22222221</v>
      </c>
      <c r="C53" s="38">
        <f t="shared" ref="C53:H53" si="7">SUM(C46,C49,C52)</f>
        <v>191091288.8888889</v>
      </c>
      <c r="D53" s="38">
        <f t="shared" si="7"/>
        <v>214022243.55555558</v>
      </c>
      <c r="E53" s="38">
        <f t="shared" si="7"/>
        <v>239704912.78222227</v>
      </c>
      <c r="F53" s="38">
        <f t="shared" si="7"/>
        <v>268469502.31608897</v>
      </c>
      <c r="G53" s="38">
        <f t="shared" si="7"/>
        <v>300685842.59401971</v>
      </c>
      <c r="H53" s="38">
        <f t="shared" si="7"/>
        <v>336768143.705302</v>
      </c>
    </row>
    <row r="54" spans="1:10" x14ac:dyDescent="0.4">
      <c r="A54" s="4" t="s">
        <v>112</v>
      </c>
      <c r="B54" s="9">
        <v>10500000</v>
      </c>
      <c r="C54" s="9">
        <f>B54*1.12</f>
        <v>11760000.000000002</v>
      </c>
      <c r="D54" s="9">
        <f t="shared" ref="D54:G54" si="8">C54*1.12</f>
        <v>13171200.000000004</v>
      </c>
      <c r="E54" s="9">
        <f t="shared" si="8"/>
        <v>14751744.000000006</v>
      </c>
      <c r="F54" s="9">
        <f t="shared" si="8"/>
        <v>16521953.280000009</v>
      </c>
      <c r="G54" s="9">
        <f t="shared" si="8"/>
        <v>18504587.673600011</v>
      </c>
      <c r="H54" s="9">
        <f>G54*1.12</f>
        <v>20725138.194432013</v>
      </c>
      <c r="J54" t="s">
        <v>113</v>
      </c>
    </row>
    <row r="55" spans="1:10" s="28" customFormat="1" x14ac:dyDescent="0.4"/>
    <row r="57" spans="1:10" x14ac:dyDescent="0.4">
      <c r="A57" s="39" t="s">
        <v>122</v>
      </c>
    </row>
    <row r="58" spans="1:10" x14ac:dyDescent="0.4">
      <c r="E58" s="33"/>
    </row>
    <row r="59" spans="1:10" x14ac:dyDescent="0.4">
      <c r="B59" s="4">
        <v>2024</v>
      </c>
      <c r="C59" s="40">
        <v>2025</v>
      </c>
      <c r="D59" s="4">
        <v>2026</v>
      </c>
      <c r="E59" s="4">
        <v>2027</v>
      </c>
      <c r="F59" s="4">
        <v>2028</v>
      </c>
      <c r="G59" s="4">
        <v>2029</v>
      </c>
      <c r="H59" s="4">
        <v>2030</v>
      </c>
    </row>
    <row r="60" spans="1:10" x14ac:dyDescent="0.4">
      <c r="A60" t="s">
        <v>105</v>
      </c>
      <c r="B60" s="16">
        <v>11.99</v>
      </c>
      <c r="C60" s="16">
        <v>11.99</v>
      </c>
      <c r="D60" s="16">
        <v>11.99</v>
      </c>
      <c r="E60" s="16">
        <v>11.99</v>
      </c>
      <c r="F60" s="16">
        <v>11.99</v>
      </c>
      <c r="G60" s="16">
        <v>11.99</v>
      </c>
      <c r="H60" s="16">
        <v>11.99</v>
      </c>
    </row>
    <row r="61" spans="1:10" x14ac:dyDescent="0.4">
      <c r="A61" t="s">
        <v>119</v>
      </c>
      <c r="B61" s="9">
        <v>486111.11111111107</v>
      </c>
      <c r="C61" s="9">
        <v>544444.4444444445</v>
      </c>
      <c r="D61" s="9">
        <v>609777.77777777787</v>
      </c>
      <c r="E61" s="9">
        <v>682951.11111111136</v>
      </c>
      <c r="F61" s="9">
        <v>764905.24444444478</v>
      </c>
      <c r="G61" s="9">
        <v>856693.87377777824</v>
      </c>
      <c r="H61" s="9">
        <v>959497.13863111159</v>
      </c>
    </row>
    <row r="62" spans="1:10" x14ac:dyDescent="0.4">
      <c r="A62" s="4" t="s">
        <v>108</v>
      </c>
      <c r="B62" s="38">
        <v>5828472.222222222</v>
      </c>
      <c r="C62" s="38">
        <v>6527888.8888888899</v>
      </c>
      <c r="D62" s="38">
        <v>7311235.5555555569</v>
      </c>
      <c r="E62" s="38">
        <v>8188583.8222222254</v>
      </c>
      <c r="F62" s="38">
        <v>9171213.8808888923</v>
      </c>
      <c r="G62" s="38">
        <v>10271759.54659556</v>
      </c>
      <c r="H62" s="38">
        <v>11504370.692187028</v>
      </c>
    </row>
    <row r="63" spans="1:10" x14ac:dyDescent="0.4">
      <c r="A63" t="s">
        <v>106</v>
      </c>
      <c r="B63" s="16">
        <v>19.989999999999998</v>
      </c>
      <c r="C63" s="16">
        <v>19.989999999999998</v>
      </c>
      <c r="D63" s="16">
        <v>19.989999999999998</v>
      </c>
      <c r="E63" s="16">
        <v>19.989999999999998</v>
      </c>
      <c r="F63" s="16">
        <v>19.989999999999998</v>
      </c>
      <c r="G63" s="16">
        <v>19.989999999999998</v>
      </c>
      <c r="H63" s="16">
        <v>19.989999999999998</v>
      </c>
    </row>
    <row r="64" spans="1:10" x14ac:dyDescent="0.4">
      <c r="A64" t="s">
        <v>120</v>
      </c>
      <c r="B64" s="9">
        <v>7486111.111111111</v>
      </c>
      <c r="C64" s="9">
        <v>8384444.444444445</v>
      </c>
      <c r="D64" s="9">
        <v>9390577.7777777798</v>
      </c>
      <c r="E64" s="9">
        <v>10517447.111111114</v>
      </c>
      <c r="F64" s="9">
        <v>11779540.76444445</v>
      </c>
      <c r="G64" s="9">
        <v>13193085.656177785</v>
      </c>
      <c r="H64" s="9">
        <v>14776255.934919119</v>
      </c>
    </row>
    <row r="65" spans="1:8" x14ac:dyDescent="0.4">
      <c r="A65" s="4" t="s">
        <v>109</v>
      </c>
      <c r="B65" s="38">
        <v>149647361.1111111</v>
      </c>
      <c r="C65" s="38">
        <v>167605044.44444445</v>
      </c>
      <c r="D65" s="38">
        <v>187717649.77777779</v>
      </c>
      <c r="E65" s="38">
        <v>210243767.75111115</v>
      </c>
      <c r="F65" s="38">
        <v>235473019.88124454</v>
      </c>
      <c r="G65" s="38">
        <v>263729782.26699391</v>
      </c>
      <c r="H65" s="38">
        <v>295377356.13903314</v>
      </c>
    </row>
    <row r="66" spans="1:8" x14ac:dyDescent="0.4">
      <c r="A66" t="s">
        <v>107</v>
      </c>
      <c r="B66" s="16">
        <v>5.99</v>
      </c>
      <c r="C66" s="16">
        <v>5.99</v>
      </c>
      <c r="D66" s="16">
        <v>5.99</v>
      </c>
      <c r="E66" s="16">
        <v>5.99</v>
      </c>
      <c r="F66" s="16">
        <v>5.99</v>
      </c>
      <c r="G66" s="16">
        <v>5.99</v>
      </c>
      <c r="H66" s="16">
        <v>5.99</v>
      </c>
    </row>
    <row r="67" spans="1:8" x14ac:dyDescent="0.4">
      <c r="A67" t="s">
        <v>118</v>
      </c>
      <c r="B67" s="9">
        <v>2527777.7777777775</v>
      </c>
      <c r="C67" s="9">
        <v>2831111.1111111115</v>
      </c>
      <c r="D67" s="9">
        <v>3170844.444444445</v>
      </c>
      <c r="E67" s="9">
        <v>3551345.7777777789</v>
      </c>
      <c r="F67" s="9">
        <v>3977507.271111113</v>
      </c>
      <c r="G67" s="9">
        <v>4454808.1436444465</v>
      </c>
      <c r="H67" s="9">
        <v>4989385.120881781</v>
      </c>
    </row>
    <row r="68" spans="1:8" x14ac:dyDescent="0.4">
      <c r="A68" s="4" t="s">
        <v>110</v>
      </c>
      <c r="B68" s="38">
        <v>15141388.888888888</v>
      </c>
      <c r="C68" s="38">
        <v>16958355.55555556</v>
      </c>
      <c r="D68" s="38">
        <v>18993358.222222228</v>
      </c>
      <c r="E68" s="38">
        <v>21272561.208888896</v>
      </c>
      <c r="F68" s="38">
        <v>23825268.553955566</v>
      </c>
      <c r="G68" s="38">
        <v>26684300.780430235</v>
      </c>
      <c r="H68" s="38">
        <v>29886416.874081869</v>
      </c>
    </row>
    <row r="69" spans="1:8" x14ac:dyDescent="0.4">
      <c r="A69" t="s">
        <v>123</v>
      </c>
      <c r="B69" s="9">
        <v>0</v>
      </c>
      <c r="C69" s="9">
        <f t="shared" ref="C69:H69" si="9">C54*0.2</f>
        <v>2352000.0000000005</v>
      </c>
      <c r="D69" s="9">
        <f t="shared" si="9"/>
        <v>2634240.0000000009</v>
      </c>
      <c r="E69" s="9">
        <f t="shared" si="9"/>
        <v>2950348.8000000012</v>
      </c>
      <c r="F69" s="9">
        <f t="shared" si="9"/>
        <v>3304390.6560000018</v>
      </c>
      <c r="G69" s="9">
        <f t="shared" si="9"/>
        <v>3700917.5347200022</v>
      </c>
      <c r="H69" s="9">
        <f t="shared" si="9"/>
        <v>4145027.6388864028</v>
      </c>
    </row>
    <row r="70" spans="1:8" x14ac:dyDescent="0.4">
      <c r="A70" t="s">
        <v>124</v>
      </c>
      <c r="B70" s="16">
        <v>1.99</v>
      </c>
      <c r="C70" s="16">
        <v>1.99</v>
      </c>
      <c r="D70" s="16">
        <v>1.99</v>
      </c>
      <c r="E70" s="16">
        <v>1.99</v>
      </c>
      <c r="F70" s="16">
        <v>1.99</v>
      </c>
      <c r="G70" s="16">
        <v>1.99</v>
      </c>
      <c r="H70" s="16">
        <v>1.99</v>
      </c>
    </row>
    <row r="71" spans="1:8" ht="14.25" thickBot="1" x14ac:dyDescent="0.45">
      <c r="A71" s="11" t="s">
        <v>125</v>
      </c>
      <c r="B71" s="37">
        <f>B70*B69</f>
        <v>0</v>
      </c>
      <c r="C71" s="37">
        <f t="shared" ref="C71:H71" si="10">C70*C69</f>
        <v>4680480.0000000009</v>
      </c>
      <c r="D71" s="37">
        <f t="shared" si="10"/>
        <v>5242137.6000000015</v>
      </c>
      <c r="E71" s="37">
        <f t="shared" si="10"/>
        <v>5871194.1120000025</v>
      </c>
      <c r="F71" s="37">
        <f t="shared" si="10"/>
        <v>6575737.4054400036</v>
      </c>
      <c r="G71" s="37">
        <f t="shared" si="10"/>
        <v>7364825.8940928048</v>
      </c>
      <c r="H71" s="37">
        <f t="shared" si="10"/>
        <v>8248605.0013839416</v>
      </c>
    </row>
    <row r="72" spans="1:8" ht="14.25" thickTop="1" x14ac:dyDescent="0.4">
      <c r="A72" s="4" t="s">
        <v>111</v>
      </c>
      <c r="B72" s="38">
        <f>SUM(B71,B68,B65,B62)</f>
        <v>170617222.22222221</v>
      </c>
      <c r="C72" s="38">
        <f t="shared" ref="C72:H72" si="11">SUM(C71,C68,C65,C62)</f>
        <v>195771768.8888889</v>
      </c>
      <c r="D72" s="38">
        <f t="shared" si="11"/>
        <v>219264381.15555558</v>
      </c>
      <c r="E72" s="38">
        <f t="shared" si="11"/>
        <v>245576106.89422229</v>
      </c>
      <c r="F72" s="38">
        <f t="shared" si="11"/>
        <v>275045239.72152901</v>
      </c>
      <c r="G72" s="38">
        <f t="shared" si="11"/>
        <v>308050668.48811251</v>
      </c>
      <c r="H72" s="38">
        <f t="shared" si="11"/>
        <v>345016748.70668596</v>
      </c>
    </row>
    <row r="73" spans="1:8" s="28" customFormat="1" x14ac:dyDescent="0.4"/>
    <row r="75" spans="1:8" x14ac:dyDescent="0.4">
      <c r="A75" s="29" t="s">
        <v>85</v>
      </c>
    </row>
    <row r="76" spans="1:8" x14ac:dyDescent="0.4">
      <c r="B76" s="4">
        <v>2024</v>
      </c>
      <c r="C76" s="40">
        <v>2025</v>
      </c>
      <c r="D76" s="4">
        <v>2026</v>
      </c>
      <c r="E76" s="4">
        <v>2027</v>
      </c>
      <c r="F76" s="4">
        <v>2028</v>
      </c>
      <c r="G76" s="4">
        <v>2029</v>
      </c>
      <c r="H76" s="4">
        <v>2030</v>
      </c>
    </row>
    <row r="77" spans="1:8" x14ac:dyDescent="0.4">
      <c r="A77" t="s">
        <v>56</v>
      </c>
      <c r="B77" s="16">
        <f>B72-B53</f>
        <v>0</v>
      </c>
      <c r="C77" s="16">
        <f t="shared" ref="C77:H77" si="12">C72-C53</f>
        <v>4680480</v>
      </c>
      <c r="D77" s="16">
        <f t="shared" si="12"/>
        <v>5242137.599999994</v>
      </c>
      <c r="E77" s="16">
        <f t="shared" si="12"/>
        <v>5871194.1120000184</v>
      </c>
      <c r="F77" s="16">
        <f t="shared" si="12"/>
        <v>6575737.4054400325</v>
      </c>
      <c r="G77" s="16">
        <f t="shared" si="12"/>
        <v>7364825.8940927982</v>
      </c>
      <c r="H77" s="16">
        <f t="shared" si="12"/>
        <v>8248605.0013839602</v>
      </c>
    </row>
    <row r="78" spans="1:8" ht="14.25" thickBot="1" x14ac:dyDescent="0.45">
      <c r="A78" s="3" t="s">
        <v>57</v>
      </c>
      <c r="B78" s="36">
        <f>B33</f>
        <v>14600000</v>
      </c>
      <c r="C78" s="36">
        <f>B78</f>
        <v>14600000</v>
      </c>
      <c r="D78" s="36">
        <f>B34</f>
        <v>2900000</v>
      </c>
      <c r="E78" s="36">
        <f>D78</f>
        <v>2900000</v>
      </c>
      <c r="F78" s="36">
        <f t="shared" ref="F78:H78" si="13">E78</f>
        <v>2900000</v>
      </c>
      <c r="G78" s="36">
        <f t="shared" si="13"/>
        <v>2900000</v>
      </c>
      <c r="H78" s="36">
        <f t="shared" si="13"/>
        <v>2900000</v>
      </c>
    </row>
    <row r="79" spans="1:8" ht="14.25" thickTop="1" x14ac:dyDescent="0.4">
      <c r="A79" s="4" t="s">
        <v>60</v>
      </c>
      <c r="B79" s="42">
        <f>B77-B78</f>
        <v>-14600000</v>
      </c>
      <c r="C79" s="42">
        <f t="shared" ref="C79:H79" si="14">C77-C78</f>
        <v>-9919520</v>
      </c>
      <c r="D79" s="38">
        <f t="shared" si="14"/>
        <v>2342137.599999994</v>
      </c>
      <c r="E79" s="38">
        <f t="shared" si="14"/>
        <v>2971194.1120000184</v>
      </c>
      <c r="F79" s="38">
        <f t="shared" si="14"/>
        <v>3675737.4054400325</v>
      </c>
      <c r="G79" s="38">
        <f t="shared" si="14"/>
        <v>4464825.8940927982</v>
      </c>
      <c r="H79" s="38">
        <f t="shared" si="14"/>
        <v>5348605.0013839602</v>
      </c>
    </row>
    <row r="80" spans="1:8" s="28" customFormat="1" x14ac:dyDescent="0.4"/>
    <row r="81" spans="7:8" x14ac:dyDescent="0.4">
      <c r="G81" s="16">
        <f>SUM(B79:C79)</f>
        <v>-24519520</v>
      </c>
      <c r="H81" s="16">
        <f>SUM(D79:H79)</f>
        <v>18802500.012916803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Dashboard</vt:lpstr>
      <vt:lpstr>Recommendation 1</vt:lpstr>
      <vt:lpstr>Recommendation 2</vt:lpstr>
      <vt:lpstr>Recommendation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Ziegler, Caroline</dc:creator>
  <cp:lastModifiedBy>Ziegler, Caroline</cp:lastModifiedBy>
  <dcterms:created xsi:type="dcterms:W3CDTF">2024-01-09T11:06:15Z</dcterms:created>
  <dcterms:modified xsi:type="dcterms:W3CDTF">2024-03-27T11:43:49Z</dcterms:modified>
</cp:coreProperties>
</file>