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 Heuristic Evaluation" sheetId="1" r:id="rId4"/>
    <sheet state="visible" name="Summary of Evaluations" sheetId="2" r:id="rId5"/>
    <sheet state="visible" name="Evaluation Statistics" sheetId="3" r:id="rId6"/>
    <sheet state="visible" name="Summary Recommendations" sheetId="4" r:id="rId7"/>
  </sheets>
  <definedNames>
    <definedName hidden="1" localSheetId="0" name="_xlnm._FilterDatabase">'Group Heuristic Evaluation'!$A$10:$I$52</definedName>
    <definedName hidden="1" localSheetId="0" name="Z_BD2BFDC6_D711_4E6E_975A_2B85C5AC3729_.wvu.FilterData">'Group Heuristic Evaluation'!$A$10:$I$52</definedName>
    <definedName hidden="1" localSheetId="0" name="Z_680FE7E2_9B27_4570_AE4E_A947C5A21C15_.wvu.FilterData">'Group Heuristic Evaluation'!$A$10:$I$52</definedName>
  </definedNames>
  <calcPr/>
  <customWorkbookViews>
    <customWorkbookView activeSheetId="0" maximized="1" windowHeight="0" windowWidth="0" guid="{BD2BFDC6-D711-4E6E-975A-2B85C5AC3729}" name="Group by Task "/>
    <customWorkbookView activeSheetId="0" maximized="1" windowHeight="0" windowWidth="0" guid="{680FE7E2-9B27-4570-AE4E-A947C5A21C15}" name="Group by Task"/>
  </customWorkbookViews>
</workbook>
</file>

<file path=xl/sharedStrings.xml><?xml version="1.0" encoding="utf-8"?>
<sst xmlns="http://schemas.openxmlformats.org/spreadsheetml/2006/main" count="300" uniqueCount="186">
  <si>
    <t xml:space="preserve">Prototype Description: </t>
  </si>
  <si>
    <t>Planet is a mobile application that streamlines emotion sharing and activity planning. We aim to reduce the discomfort of reaching out to people in a world where sharing emotions is sometimes stigmatized and contacting others is often withheld for fear of bothering them.</t>
  </si>
  <si>
    <t>Simple Task</t>
  </si>
  <si>
    <t>Viewing the emotions and statuses of your friends. Updating your own emotions, visible to friends</t>
  </si>
  <si>
    <t>Moderate Task</t>
  </si>
  <si>
    <t>Scheduling a hangout with an added friend</t>
  </si>
  <si>
    <t>Complex Task</t>
  </si>
  <si>
    <t>Creating groups of friends (flavored as “galaxies”) and adding friends to those groups. Setting the visibility of your posts</t>
  </si>
  <si>
    <t>*attach images here if helpful</t>
  </si>
  <si>
    <t>Column 1</t>
  </si>
  <si>
    <t>Column 2</t>
  </si>
  <si>
    <t>Column 3</t>
  </si>
  <si>
    <t>Column 4</t>
  </si>
  <si>
    <t>Column 5</t>
  </si>
  <si>
    <t>Column 6</t>
  </si>
  <si>
    <t>Column 7</t>
  </si>
  <si>
    <t>Column 8</t>
  </si>
  <si>
    <t>Column 9</t>
  </si>
  <si>
    <t>H3: User Control &amp; Freedom</t>
  </si>
  <si>
    <t>5. Extra Violations</t>
  </si>
  <si>
    <t>No way to go back when creating an account</t>
  </si>
  <si>
    <t>What happens if the user accidentally inputs the wrong phone number, etc.?</t>
  </si>
  <si>
    <t>A back button that would take you to the previous page</t>
  </si>
  <si>
    <t>B, A</t>
  </si>
  <si>
    <t>H11: Accessible Design</t>
  </si>
  <si>
    <t>1. Simple Task</t>
  </si>
  <si>
    <t>Spacing between icons and words</t>
  </si>
  <si>
    <t>Some spaces seem crammed between icons and words, specifically "Invite" / "Calendar"</t>
  </si>
  <si>
    <t>Add more padding under the icons before the words</t>
  </si>
  <si>
    <t>A</t>
  </si>
  <si>
    <t>H1: Visibility of System Status</t>
  </si>
  <si>
    <t>"Create Planet" after inputting name and phone number when there are more steps to finish before your planet it created</t>
  </si>
  <si>
    <t xml:space="preserve">I thought my planet was made, but then I needed to add accessories. I feel like you should "Create the planet" after you have fully customized it </t>
  </si>
  <si>
    <t>The button with "Create Planet" after phone number/name should be "Customize your Planet" and then "Done" should be "Create Planet" or something like that</t>
  </si>
  <si>
    <t>H7: Flexibility &amp; Efficiency of Use</t>
  </si>
  <si>
    <t>2. Moderate Task</t>
  </si>
  <si>
    <t>The process is the same everytime, for experienced and non experienced users</t>
  </si>
  <si>
    <t>Maybe experienced users want a faster way to schedule a time with a friend.</t>
  </si>
  <si>
    <t>Have a shortcut set up so that experts can schedule a meeting in 1-2 clicks instead of everytime specifying all the details (ex: in iMessage where you can quickly see the pop ups of your recently messaged people when you send something)</t>
  </si>
  <si>
    <t>Labels "Text" and "Photo" could be more action oriented</t>
  </si>
  <si>
    <t>Helps make difference between status update options clearer</t>
  </si>
  <si>
    <t>"Text" could be changed to "Write an update!" and "Photo" to "Capture the moment"</t>
  </si>
  <si>
    <t>B</t>
  </si>
  <si>
    <t>Text on Welcome screen might be redundant and cluttered (the message on bottom)</t>
  </si>
  <si>
    <t>Reducing unnecessary text will create cleaner onboarding</t>
  </si>
  <si>
    <t>Remove "friends living in different" and "plan(et)" replace with something more clear or remove altogether</t>
  </si>
  <si>
    <t>If there are no available time slots, users might think there's a bug with schedule</t>
  </si>
  <si>
    <t xml:space="preserve">A clear message like "No available slots this week" might help users understand the system's state and avoid any error confusion </t>
  </si>
  <si>
    <t>Display message when there are no available time slots on the calendar (like on Calendly where they gray out calendar and say "no slots")</t>
  </si>
  <si>
    <t>3. Complex Task</t>
  </si>
  <si>
    <t>Limited customization options (colors, accessories) that might make certain users who want to represent themselves accurately feel excluded</t>
  </si>
  <si>
    <t>A wider set of customization options might respect a larger set of user identities.</t>
  </si>
  <si>
    <t>Add more colors, accessories that are gender-neutral for customization</t>
  </si>
  <si>
    <t>There seems to be interchanging between “My Orbit” and “All Friends” that could be a bit confusing about the different sections' purposes</t>
  </si>
  <si>
    <t>Consistent language across the app makes navigation intuitive</t>
  </si>
  <si>
    <t>Standardize terminology to either “My Orbit” or “All Friends” across app for clarity</t>
  </si>
  <si>
    <t>H2: Match b/w System &amp; World</t>
  </si>
  <si>
    <t>Unclear what galaxy numbers 1/1, 1/2 is and what the purpose is</t>
  </si>
  <si>
    <t>1/1, 1/2 does not serve a purpose to the user and slightly blends in with technical jargon</t>
  </si>
  <si>
    <t>Remove galaxy numbers 1/1, 1/2 maybe include a date last updated</t>
  </si>
  <si>
    <t>B, C</t>
  </si>
  <si>
    <t>H4: Consistency &amp; Standards</t>
  </si>
  <si>
    <t>Spacing and size of message generation button</t>
  </si>
  <si>
    <t>These can suggest different levels of importance to the user when comparing it to the iMessage sharing button, which could make them inclined to make certain actions over others</t>
  </si>
  <si>
    <t>Consider whether the generation messaging is worth being a standalone button.</t>
  </si>
  <si>
    <t>C</t>
  </si>
  <si>
    <t xml:space="preserve">You can "Set Status" in two places on both "My Planet" and navigation bar. Also, when you click on another planet they do not have that middle set status button which is inconsistent. </t>
  </si>
  <si>
    <t>I was confused if these were the same thing or different things. When you click on your own planet, your able to set your status from there as well as the menu bar (redundant)</t>
  </si>
  <si>
    <t xml:space="preserve">Make it more clear where you set your status and where you view friends' status.  </t>
  </si>
  <si>
    <t>B, A, C</t>
  </si>
  <si>
    <t>Some of the labels under icons may be hard to see for some individuals</t>
  </si>
  <si>
    <t>Small writing with bold font</t>
  </si>
  <si>
    <t>Make the font regular instead of bold, or bigger</t>
  </si>
  <si>
    <t>A, B</t>
  </si>
  <si>
    <t>H10: Help &amp; Documentation</t>
  </si>
  <si>
    <t>Setting my visibility was hard to find, small text and not directly visible</t>
  </si>
  <si>
    <t>Did not notice the set visibility button for the first 20 minutes using the application</t>
  </si>
  <si>
    <t>Make the button more appealing or bigger, maybe a real button instead of just text?</t>
  </si>
  <si>
    <t>After you register your planet for first time, and enter your orbit, unclear what next step is</t>
  </si>
  <si>
    <t>Users onboarding for the first time could benefit from helpful pop ups guiding them through their first post</t>
  </si>
  <si>
    <t>Add pop up onboarding to help someone create their first post</t>
  </si>
  <si>
    <t xml:space="preserve">Was not sure if I could name my new galaxy something custom and struggled to go back after creating a name </t>
  </si>
  <si>
    <t>I wanted to rename my galaxy but wasn't able to after moving on to the next step</t>
  </si>
  <si>
    <t>Include a back button and a small icon to indicate you can edit your galaxy name</t>
  </si>
  <si>
    <t>A, B, C</t>
  </si>
  <si>
    <t>What exactly does the remember my choice button do on Set Status? Is it to speed up interactions in the future?</t>
  </si>
  <si>
    <t>This can confuse first-time users or infrequent status posters.</t>
  </si>
  <si>
    <t>Include a small description of what it is remembering or remove altogether</t>
  </si>
  <si>
    <t>A, C</t>
  </si>
  <si>
    <t>H5: Error Prevention</t>
  </si>
  <si>
    <t>No back arrow to return to previous page when creating a galaxy</t>
  </si>
  <si>
    <t>What happens if I want to make a galaxy but then change my mind?</t>
  </si>
  <si>
    <t>Include a back button</t>
  </si>
  <si>
    <t>Small text size for desciptions in status updates on the Set your Status and in Anya's Planet</t>
  </si>
  <si>
    <t xml:space="preserve">The text size being small and bright white is hard to see </t>
  </si>
  <si>
    <t>Make the font bigger and maybe a softer white color</t>
  </si>
  <si>
    <t>H8: Aesthetic &amp; Minimalist Design</t>
  </si>
  <si>
    <t>Lots of time slot buttons choose from when scheduling a time to meet with a friend</t>
  </si>
  <si>
    <t>If the friend has their entire day open, it could be overwhelming with the amount of buttons that are on that page for every hour of the day. This also assumes that all time blocks are one-hour long blocks (this may be for the prototype).</t>
  </si>
  <si>
    <t>Implement a slider to scroll style button to make it more minimalist but keep the same functionality (our idea is similar to the scrolling function when you set an alarm on iPhone where you can scroll through 6:30am... etc)</t>
  </si>
  <si>
    <t>No clear way to undo accessory/color selection during onboarding</t>
  </si>
  <si>
    <t>Users might want to undo changes while customizing their character</t>
  </si>
  <si>
    <t xml:space="preserve">Add an "Undo" button or a "Reset to Default" option </t>
  </si>
  <si>
    <t xml:space="preserve">In onboarding, "Add All Friends" might be easy to overlook since it's on bottom. Also half our group thought add all friends was adding to a new galaxy, the other half thought it was adding to Planet as "friends" like on social media </t>
  </si>
  <si>
    <t>"Add All Friends" is a frequently used option so it might be foreign for it to be below</t>
  </si>
  <si>
    <t xml:space="preserve">Move "Add All Friends" button to the top and use a larger button style. Or add more description to explain what it is. </t>
  </si>
  <si>
    <t>Can you remove a friend? If so, there does not seem to be a confirmation you can remove?</t>
  </si>
  <si>
    <t>Helps to know if your action of removing a friend worked, also helpful to be able to remove a friend</t>
  </si>
  <si>
    <t>Add confirmation message "your friend was removed successfully!"</t>
  </si>
  <si>
    <t>4. All Tasks</t>
  </si>
  <si>
    <t>Some main navigation screens have titles, while others don't ("Your Planet",  "Set Your Status", [no title?])</t>
  </si>
  <si>
    <t>While the other main navigation screens let users know the main purpose of the screen, and thus location within the app, the "My Orbit" page does not provide indication (technically the only indicator ATM is "Galaxy 1/1 ... All Friends") with the same language and can confuse users (feels like a home screen but no home title/indicator)</t>
  </si>
  <si>
    <t>Create an indicator for user to explicitly know  they're on the "My Orbit" screen and maintaining similar language choices as the "Set Your Status" and "Your Planet" titles</t>
  </si>
  <si>
    <t>While writing a status, the back button reverts to the original "Set Your Status" screen with no warning.</t>
  </si>
  <si>
    <t>This flow creates complexity in user navigation. For example, if a user wanted to retake a picture, they would be routed two screens backwards and have to redo all choices (choosing photo status, mood, caption)</t>
  </si>
  <si>
    <t>Implement warning notices when trying to exit from the screen while the user is still making a status, or create steps in-between where user can undo or edit status content without having to restart.</t>
  </si>
  <si>
    <t>Photo status contains caption option and doesn't post without caption.</t>
  </si>
  <si>
    <t xml:space="preserve">If in the "Set Your Status" screen, you can only choose one option (text or photo), then users may feel confused when there's a text option even if they chose to create a photo status. </t>
  </si>
  <si>
    <t>If the intention is to make both photo and text statuses available, reconsider the way you incorporate optionality for posting a status (e.g., what effect would "remember my choice" have in this scenario?)</t>
  </si>
  <si>
    <t>H6: Recognition not Recall</t>
  </si>
  <si>
    <t>Without the message generator, I may not remember who I am inviting.</t>
  </si>
  <si>
    <t>Not being able to tell who the user is sending these messages to can confuse the user, especially if there are friends with similar planet avatars or names.</t>
  </si>
  <si>
    <t>An additional marker for who this message/invitation is for.</t>
  </si>
  <si>
    <t>Copy button vs. iMessage button</t>
  </si>
  <si>
    <t>The size difference between the two buttons make the sharing seem more important than copying the message, or suggest that copying the generated message is needed in order to send Anya a message.</t>
  </si>
  <si>
    <t>It might be more intuitive to have the buttons near each other.</t>
  </si>
  <si>
    <t>No names under planets</t>
  </si>
  <si>
    <t>What happens if I cant remember the look of a friends planet? What happens if they change how they look?</t>
  </si>
  <si>
    <t>Add a tag or name below or near each planet in the galaxy</t>
  </si>
  <si>
    <t>H12: Value Alignment &amp; Inclusion</t>
  </si>
  <si>
    <t>Some of the friend planets are smaller or bigger than others, does this mean they're more important, more active?</t>
  </si>
  <si>
    <t>This may lead to certain friends receiving more attention and emotional help</t>
  </si>
  <si>
    <t>Make the size of the planets the same for everyone or if you want to indicate the active status use the common "green bubble in bottom right?</t>
  </si>
  <si>
    <t>When creating an account and a name, it says that you can change this at any time... where?</t>
  </si>
  <si>
    <r>
      <rPr>
        <rFont val="Roboto"/>
        <color rgb="FF434343"/>
      </rPr>
      <t xml:space="preserve">Make the name change easy to find by saying, "you can change this at any time </t>
    </r>
    <r>
      <rPr>
        <rFont val="Roboto"/>
        <b/>
        <color rgb="FF434343"/>
      </rPr>
      <t>in settings</t>
    </r>
    <r>
      <rPr>
        <rFont val="Roboto"/>
        <color rgb="FF434343"/>
      </rPr>
      <t>" etc.</t>
    </r>
  </si>
  <si>
    <t>Add a settings button where users can update their profile information</t>
  </si>
  <si>
    <t>When I just click "invite" but then hit the back button, it takes me to the "available times" page, which is not where I started.</t>
  </si>
  <si>
    <t>Confusing navigation when I go back to a page that I was not at (we think this is a Figma linking issue)</t>
  </si>
  <si>
    <t>Make sure that paths are saved so that users actually go back to their previous page</t>
  </si>
  <si>
    <t>I was not sure what to do once I was on the schedule page, didn't know that the time blocks were buttons</t>
  </si>
  <si>
    <t>Did not know that the time blocks were buttons and I needed to press one to move to the next part of scheduling a meting with a friend</t>
  </si>
  <si>
    <t>Add a little documentation about clicking on available time blocks to schedule or use a more standard calendar</t>
  </si>
  <si>
    <t>"Send" button after setting your status doesn't let user know who this status becomes available to.</t>
  </si>
  <si>
    <t>I won't know who I am sending this status to unless I go through and check visibility</t>
  </si>
  <si>
    <t>Change button to "Share status" or "Send to ___ Galaxy" or "Post"</t>
  </si>
  <si>
    <t>Time availability screen leads to message invitation screen directly.</t>
  </si>
  <si>
    <t>Did not know I needed to click on the times, but tapping on the times assumes the user's intention without their consent.</t>
  </si>
  <si>
    <t>Adding a small note "click on the time you want to meet" would let them know that the time availability flow is equated with WANTING to invite the friend/send them a message.</t>
  </si>
  <si>
    <r>
      <rPr>
        <rFont val="Roboto"/>
        <color rgb="FF434343"/>
      </rPr>
      <t>"Set Status" / "</t>
    </r>
    <r>
      <rPr>
        <rFont val="Roboto"/>
        <i/>
        <color rgb="FF434343"/>
      </rPr>
      <t>Your</t>
    </r>
    <r>
      <rPr>
        <rFont val="Roboto"/>
        <color rgb="FF434343"/>
      </rPr>
      <t xml:space="preserve"> Status" page is inconsistent with "My Planet" and "</t>
    </r>
    <r>
      <rPr>
        <rFont val="Roboto"/>
        <i/>
        <color rgb="FF434343"/>
      </rPr>
      <t>My</t>
    </r>
    <r>
      <rPr>
        <rFont val="Roboto"/>
        <color rgb="FF434343"/>
      </rPr>
      <t xml:space="preserve"> Orbit"</t>
    </r>
  </si>
  <si>
    <t>Other navigation items are "My Orbit" and "My Planet" but status is "Set Status"</t>
  </si>
  <si>
    <t>Change to "My Status" and then "Set My Status" within the page or remove the "My and Your" altogether"</t>
  </si>
  <si>
    <t>Navigation bar could be more concise</t>
  </si>
  <si>
    <t>Set Status, My Orbit, My Planet seems a little redundant with "My"</t>
  </si>
  <si>
    <t>Could change to "Status", "Orbit", "Planet" and then within each page have personalized words like "Set My Status"</t>
  </si>
  <si>
    <t>H9: Help Users with Errors</t>
  </si>
  <si>
    <t>I clicked send for my emotional status before knowing that I should set my visibility.</t>
  </si>
  <si>
    <t>If someone accidentally sends their emotional status to everyone (assuming that's what happens if you don't set it), that could embarrass them or hurt them.</t>
  </si>
  <si>
    <t>Include an error message or alert that lets them know either to set their visibility or it will be sent to everyone</t>
  </si>
  <si>
    <t>You should be able to edit who is in a galaxy</t>
  </si>
  <si>
    <t xml:space="preserve">Make sure the right people are in the right group and give creator a way out (to remove people before it's created) </t>
  </si>
  <si>
    <t>Add confirmation pop-up after clicking "New Galaxy" to ensure the correct people in and if not the ability to remove people</t>
  </si>
  <si>
    <t xml:space="preserve">"My Orbit" navigation bar name vs. screen "galaxy" term; </t>
  </si>
  <si>
    <t>The term "orbit" is being used only once, and this might create a disconnect between its meaning and context (users may be forced to implicitly learn the relation between orbit and galaxy rather than being explicitly shown it). It can also lead to a user feeling lost in the navigation.</t>
  </si>
  <si>
    <t>Perhaps find a way to intuitively let people know an orbit is an umbrella term for all galaxies, e.g. by a screen title</t>
  </si>
  <si>
    <t>Shortcut from visibility changing screen and regular status creation screen can post status without warning</t>
  </si>
  <si>
    <t>Being able to post a status without warning or making sure the user is okay with their status content can be a problematic and unwanted scenario for users who may make this mistake. This can also make certain users discouraged or nervous to post.</t>
  </si>
  <si>
    <t>Creating an extra step prior to sending that makes sure the user is ready to post their status.</t>
  </si>
  <si>
    <t>If I post a status to certain galaxies, what happens if I want to post a new status to a different galaxy?</t>
  </si>
  <si>
    <t>The ability to make multiple statuses may complicate the app tenfold, by having users not only keep track of their statuses throughout galaxies, but also possibly view multiple statuses from one user (through overlapping galaxies). This can not only result in technical complications, but also create tension or alienate users who end up excluded from certain status updates.</t>
  </si>
  <si>
    <t>Decide whether or not it is worth customizing post visibility at all; the current prototype has the space for only one status, and the app's purpose is notifying your friends of how you're doing (heavily implied via 1 status).</t>
  </si>
  <si>
    <t>Heuristic</t>
  </si>
  <si>
    <t># Viol. (sev 0)</t>
  </si>
  <si>
    <t># Viol. (sev 1)</t>
  </si>
  <si>
    <t># Viol. (sev 2)</t>
  </si>
  <si>
    <t># Viol. (sev 3)</t>
  </si>
  <si>
    <t># Viol. (sev 4)</t>
  </si>
  <si>
    <t># Viol. (total)</t>
  </si>
  <si>
    <t>H12. ​​Value Alignment &amp; Inclusion</t>
  </si>
  <si>
    <t>Total Violations</t>
  </si>
  <si>
    <t>* for this to calculate properly, delete any unused rows from your 'Group Heuristic Evaluation' chart!</t>
  </si>
  <si>
    <t>Severity</t>
  </si>
  <si>
    <t>D</t>
  </si>
  <si>
    <t>Total (sevs. 3 &amp; 4)</t>
  </si>
  <si>
    <t>Total (all sevs)</t>
  </si>
  <si>
    <r>
      <rPr>
        <rFont val="Arial"/>
        <b/>
        <color theme="1"/>
      </rPr>
      <t xml:space="preserve">Summary Recommendations </t>
    </r>
    <r>
      <rPr>
        <rFont val="Arial"/>
        <b val="0"/>
        <i/>
        <color theme="1"/>
      </rPr>
      <t>[merge the general recommendations you made here]</t>
    </r>
  </si>
  <si>
    <t>This app looks incredible, and we really had to hunt to find changes we could suggest. At a high level, the three key areas we focused on were navigation functionality, app readability, and standardizing inconsistent terminology. This includes adding back buttons in key areas, like during account creation and galaxy naming, to help users recover from mistakes while also including confirmation messages (such as after removing a friend) to help users understand the system state. Different ways to consider improving readability might be font size adjustments, removing bold fonts, and adding more padding between icons and labels (especially on options like "Invite" and "Calendar"). We expect these changes might also help improve navigation clarity. Lastly, standardizing terminology especially within the Planet theme as a whole—such as using either "My Orbit" or "All Friends" consistently across the app—would also reduce confusion. We also think since this is a brand new concept for touching base with friends, an onboarding pop-up guiding first-time users through setting statuses, scheduling meetings, and customizing planets would improve button confusions. We also think you can expand color and accessory options for planet customization would make the app more user-friendly.</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</si>
</sst>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theme="1"/>
      <name val="Arial"/>
      <scheme val="minor"/>
    </font>
    <font>
      <color theme="1"/>
      <name val="Arial"/>
      <scheme val="minor"/>
    </font>
    <font>
      <i/>
      <color theme="1"/>
      <name val="Arial"/>
      <scheme val="minor"/>
    </font>
    <font>
      <color rgb="FF434343"/>
      <name val="Roboto"/>
    </font>
    <font>
      <color rgb="FF473821"/>
      <name val="Roboto"/>
    </font>
    <font>
      <color rgb="FF753800"/>
      <name val="Roboto"/>
    </font>
    <font>
      <color rgb="FFB10202"/>
      <name val="Roboto"/>
    </font>
    <font>
      <b/>
      <sz val="9.0"/>
      <color rgb="FF000000"/>
      <name val="&quot;Source Sans Pro&quot;"/>
    </font>
    <font>
      <color theme="1"/>
      <name val="Google Sans Mono"/>
    </font>
    <font>
      <sz val="9.0"/>
      <color rgb="FF000000"/>
      <name val="Google Sans Mono"/>
    </font>
    <font>
      <sz val="9.0"/>
      <color rgb="FF000000"/>
      <name val="&quot;Google Sans Mono&quot;"/>
    </font>
    <font>
      <b/>
      <color theme="1"/>
      <name val="Arial"/>
    </font>
    <font/>
    <font>
      <color theme="1"/>
      <name val="Arial"/>
    </font>
  </fonts>
  <fills count="6">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F6F8F9"/>
        <bgColor rgb="FFF6F8F9"/>
      </patternFill>
    </fill>
    <fill>
      <patternFill patternType="solid">
        <fgColor rgb="FFEFEFEF"/>
        <bgColor rgb="FFEFEFEF"/>
      </patternFill>
    </fill>
  </fills>
  <borders count="26">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442F65"/>
      </right>
      <top style="thin">
        <color rgb="FFF6F8F9"/>
      </top>
      <bottom style="thin">
        <color rgb="FFF6F8F9"/>
      </bottom>
    </border>
    <border>
      <left style="thin">
        <color rgb="FFFFFFFF"/>
      </left>
      <right style="thin">
        <color rgb="FFF6F8F9"/>
      </right>
      <top style="thin">
        <color rgb="FFFFFFFF"/>
      </top>
      <bottom style="thin">
        <color rgb="FFFFFFFF"/>
      </bottom>
    </border>
    <border>
      <left style="thin">
        <color rgb="FF000000"/>
      </left>
      <right style="thin">
        <color rgb="FF000000"/>
      </right>
      <top style="thin">
        <color rgb="FFF6F8F9"/>
      </top>
      <bottom style="thin">
        <color rgb="FFF6F8F9"/>
      </bottom>
    </border>
    <border>
      <left style="thin">
        <color rgb="FFF6F8F9"/>
      </left>
      <right style="thin">
        <color rgb="FFFFFFFF"/>
      </right>
      <top style="thin">
        <color rgb="FFF6F8F9"/>
      </top>
      <bottom style="thin">
        <color rgb="FFF6F8F9"/>
      </bottom>
    </border>
    <border>
      <left style="thin">
        <color rgb="FF000000"/>
      </left>
      <right style="thin">
        <color rgb="FF000000"/>
      </right>
      <top style="thin">
        <color rgb="FFFFFFFF"/>
      </top>
      <bottom style="thin">
        <color rgb="FFFFFFFF"/>
      </bottom>
    </border>
    <border>
      <left style="thin">
        <color rgb="FF442F65"/>
      </left>
      <right style="thin">
        <color rgb="FFF6F8F9"/>
      </right>
      <top style="thin">
        <color rgb="FFF6F8F9"/>
      </top>
      <bottom style="thin">
        <color rgb="FF442F65"/>
      </bottom>
    </border>
    <border>
      <left style="thin">
        <color rgb="FFF6F8F9"/>
      </left>
      <right style="thin">
        <color rgb="FFF6F8F9"/>
      </right>
      <top style="thin">
        <color rgb="FFF6F8F9"/>
      </top>
      <bottom style="thin">
        <color rgb="FF442F65"/>
      </bottom>
    </border>
    <border>
      <left style="thin">
        <color rgb="FF000000"/>
      </left>
      <right style="thin">
        <color rgb="FF000000"/>
      </right>
      <top style="thin">
        <color rgb="FFF6F8F9"/>
      </top>
      <bottom style="thin">
        <color rgb="FF442F65"/>
      </bottom>
    </border>
    <border>
      <left style="thin">
        <color rgb="FFF6F8F9"/>
      </left>
      <right style="thin">
        <color rgb="FF442F65"/>
      </right>
      <top style="thin">
        <color rgb="FFF6F8F9"/>
      </top>
      <bottom style="thin">
        <color rgb="FF442F65"/>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2" numFmtId="0" xfId="0" applyAlignment="1" applyFont="1">
      <alignment readingOrder="0" shrinkToFit="0" wrapText="1"/>
    </xf>
    <xf borderId="0" fillId="0" fontId="2" numFmtId="0" xfId="0" applyAlignment="1" applyFont="1">
      <alignment horizontal="left" readingOrder="0" shrinkToFit="0" wrapText="1"/>
    </xf>
    <xf borderId="0" fillId="0" fontId="3" numFmtId="0" xfId="0" applyAlignment="1" applyFont="1">
      <alignment horizontal="left" readingOrder="0" shrinkToFit="0" wrapText="1"/>
    </xf>
    <xf borderId="0" fillId="2" fontId="1" numFmtId="0" xfId="0" applyAlignment="1" applyFill="1" applyFont="1">
      <alignment horizontal="left" readingOrder="0" shrinkToFit="0" wrapText="1"/>
    </xf>
    <xf borderId="0" fillId="3" fontId="1" numFmtId="0" xfId="0" applyAlignment="1" applyFill="1" applyFont="1">
      <alignment horizontal="left" readingOrder="0" shrinkToFit="0" wrapText="1"/>
    </xf>
    <xf borderId="1" fillId="0" fontId="2" numFmtId="49" xfId="0" applyAlignment="1" applyBorder="1" applyFont="1" applyNumberFormat="1">
      <alignment horizontal="left" readingOrder="0" shrinkToFit="0" vertical="center" wrapText="1"/>
    </xf>
    <xf borderId="2" fillId="0" fontId="2" numFmtId="49" xfId="0" applyAlignment="1" applyBorder="1" applyFont="1" applyNumberFormat="1">
      <alignment horizontal="left" readingOrder="0" shrinkToFit="0" vertical="center" wrapText="1"/>
    </xf>
    <xf borderId="3" fillId="0" fontId="2" numFmtId="0" xfId="0" applyAlignment="1" applyBorder="1" applyFont="1">
      <alignment horizontal="left" readingOrder="0" shrinkToFit="0" vertical="center" wrapText="1"/>
    </xf>
    <xf borderId="4" fillId="3" fontId="4" numFmtId="0" xfId="0" applyAlignment="1" applyBorder="1" applyFont="1">
      <alignment horizontal="right" shrinkToFit="0" vertical="center" wrapText="0"/>
    </xf>
    <xf borderId="5" fillId="3" fontId="4" numFmtId="0" xfId="0" applyAlignment="1" applyBorder="1" applyFont="1">
      <alignment shrinkToFit="0" vertical="center" wrapText="0"/>
    </xf>
    <xf borderId="5" fillId="3" fontId="4" numFmtId="0" xfId="0" applyAlignment="1" applyBorder="1" applyFont="1">
      <alignment shrinkToFit="0" vertical="center" wrapText="0"/>
    </xf>
    <xf borderId="5" fillId="3" fontId="5" numFmtId="0" xfId="0" applyAlignment="1" applyBorder="1" applyFont="1">
      <alignment horizontal="right" shrinkToFit="0" vertical="center" wrapText="0"/>
    </xf>
    <xf borderId="5" fillId="3" fontId="4" numFmtId="49" xfId="0" applyAlignment="1" applyBorder="1" applyFont="1" applyNumberFormat="1">
      <alignment shrinkToFit="0" vertical="center" wrapText="1"/>
    </xf>
    <xf borderId="5" fillId="3" fontId="4" numFmtId="0" xfId="0" applyAlignment="1" applyBorder="1" applyFont="1">
      <alignment shrinkToFit="0" vertical="center" wrapText="1"/>
    </xf>
    <xf borderId="6" fillId="3" fontId="4" numFmtId="0" xfId="0" applyAlignment="1" applyBorder="1" applyFont="1">
      <alignment shrinkToFit="0" vertical="center" wrapText="1"/>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7" fillId="3" fontId="4" numFmtId="0" xfId="0" applyAlignment="1" applyBorder="1" applyFont="1">
      <alignment horizontal="right" shrinkToFit="0" vertical="center" wrapText="0"/>
    </xf>
    <xf borderId="8" fillId="3" fontId="4" numFmtId="0" xfId="0" applyAlignment="1" applyBorder="1" applyFont="1">
      <alignment shrinkToFit="0" vertical="center" wrapText="0"/>
    </xf>
    <xf borderId="8" fillId="3" fontId="5" numFmtId="0" xfId="0" applyAlignment="1" applyBorder="1" applyFont="1">
      <alignment horizontal="right" shrinkToFit="0" vertical="center" wrapText="0"/>
    </xf>
    <xf borderId="8" fillId="3" fontId="4" numFmtId="49" xfId="0" applyAlignment="1" applyBorder="1" applyFont="1" applyNumberFormat="1">
      <alignment shrinkToFit="0" vertical="center" wrapText="1"/>
    </xf>
    <xf borderId="8" fillId="3" fontId="4" numFmtId="0" xfId="0" applyAlignment="1" applyBorder="1" applyFont="1">
      <alignment shrinkToFit="0" vertical="center" wrapText="1"/>
    </xf>
    <xf borderId="9" fillId="3" fontId="4" numFmtId="0" xfId="0" applyAlignment="1" applyBorder="1" applyFont="1">
      <alignment shrinkToFit="0" vertical="center" wrapText="1"/>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4" fillId="4" fontId="4" numFmtId="0" xfId="0" applyAlignment="1" applyBorder="1" applyFill="1" applyFont="1">
      <alignment horizontal="right" shrinkToFit="0" vertical="center" wrapText="0"/>
    </xf>
    <xf borderId="5" fillId="4" fontId="4" numFmtId="0" xfId="0" applyAlignment="1" applyBorder="1" applyFont="1">
      <alignment readingOrder="0" shrinkToFit="0" vertical="center" wrapText="0"/>
    </xf>
    <xf borderId="5" fillId="4" fontId="4" numFmtId="0" xfId="0" applyAlignment="1" applyBorder="1" applyFont="1">
      <alignment shrinkToFit="0" vertical="center" wrapText="0"/>
    </xf>
    <xf borderId="5" fillId="4" fontId="5" numFmtId="0" xfId="0" applyAlignment="1" applyBorder="1" applyFont="1">
      <alignment horizontal="right" shrinkToFit="0" vertical="center" wrapText="0"/>
    </xf>
    <xf borderId="5" fillId="4" fontId="4" numFmtId="49" xfId="0" applyAlignment="1" applyBorder="1" applyFont="1" applyNumberFormat="1">
      <alignment shrinkToFit="0" vertical="center" wrapText="1"/>
    </xf>
    <xf borderId="5" fillId="4" fontId="4" numFmtId="0" xfId="0" applyAlignment="1" applyBorder="1" applyFont="1">
      <alignment shrinkToFit="0" vertical="center" wrapText="1"/>
    </xf>
    <xf borderId="6" fillId="4" fontId="4" numFmtId="0" xfId="0" applyAlignment="1" applyBorder="1" applyFont="1">
      <alignment readingOrder="0" shrinkToFit="0" vertical="center" wrapText="1"/>
    </xf>
    <xf borderId="7" fillId="4" fontId="4" numFmtId="0" xfId="0" applyAlignment="1" applyBorder="1" applyFont="1">
      <alignment horizontal="right" shrinkToFit="0" vertical="center" wrapText="0"/>
    </xf>
    <xf borderId="8" fillId="4" fontId="4" numFmtId="0" xfId="0" applyAlignment="1" applyBorder="1" applyFont="1">
      <alignment shrinkToFit="0" vertical="center" wrapText="0"/>
    </xf>
    <xf borderId="8" fillId="4" fontId="5" numFmtId="0" xfId="0" applyAlignment="1" applyBorder="1" applyFont="1">
      <alignment horizontal="right" shrinkToFit="0" vertical="center" wrapText="0"/>
    </xf>
    <xf borderId="8" fillId="4" fontId="4" numFmtId="49" xfId="0" applyAlignment="1" applyBorder="1" applyFont="1" applyNumberFormat="1">
      <alignment shrinkToFit="0" vertical="center" wrapText="1"/>
    </xf>
    <xf borderId="8" fillId="4" fontId="4" numFmtId="0" xfId="0" applyAlignment="1" applyBorder="1" applyFont="1">
      <alignment shrinkToFit="0" vertical="center" wrapText="1"/>
    </xf>
    <xf borderId="9" fillId="4" fontId="4" numFmtId="0" xfId="0" applyAlignment="1" applyBorder="1" applyFont="1">
      <alignment readingOrder="0" shrinkToFit="0" vertical="center" wrapText="1"/>
    </xf>
    <xf borderId="4" fillId="0" fontId="2" numFmtId="0" xfId="0" applyAlignment="1" applyBorder="1" applyFont="1">
      <alignment readingOrder="0" shrinkToFit="0" vertical="center" wrapText="0"/>
    </xf>
    <xf borderId="5" fillId="3" fontId="5" numFmtId="0" xfId="0" applyAlignment="1" applyBorder="1" applyFont="1">
      <alignment horizontal="right" shrinkToFit="0" vertical="center" wrapText="0"/>
    </xf>
    <xf borderId="7" fillId="0" fontId="2" numFmtId="0" xfId="0" applyAlignment="1" applyBorder="1" applyFont="1">
      <alignment readingOrder="0" shrinkToFit="0" vertical="center" wrapText="0"/>
    </xf>
    <xf borderId="5" fillId="3" fontId="6" numFmtId="0" xfId="0" applyAlignment="1" applyBorder="1" applyFont="1">
      <alignment horizontal="right" readingOrder="0" shrinkToFit="0" vertical="center" wrapText="0"/>
    </xf>
    <xf borderId="6" fillId="3" fontId="4" numFmtId="0" xfId="0" applyAlignment="1" applyBorder="1" applyFont="1">
      <alignment readingOrder="0" shrinkToFit="0" vertical="center" wrapText="1"/>
    </xf>
    <xf borderId="8" fillId="3" fontId="4" numFmtId="0" xfId="0" applyAlignment="1" applyBorder="1" applyFont="1">
      <alignment readingOrder="0" shrinkToFit="0" vertical="center" wrapText="0"/>
    </xf>
    <xf borderId="8" fillId="3" fontId="6" numFmtId="0" xfId="0" applyAlignment="1" applyBorder="1" applyFont="1">
      <alignment horizontal="right" readingOrder="0" shrinkToFit="0" vertical="center" wrapText="0"/>
    </xf>
    <xf borderId="4" fillId="0" fontId="2" numFmtId="0" xfId="0" applyAlignment="1" applyBorder="1" applyFont="1">
      <alignment shrinkToFit="0" vertical="center" wrapText="0"/>
    </xf>
    <xf borderId="4" fillId="0" fontId="2" numFmtId="0" xfId="0" applyAlignment="1" applyBorder="1" applyFont="1">
      <alignment readingOrder="0" shrinkToFit="0" vertical="center" wrapText="0"/>
    </xf>
    <xf borderId="5" fillId="3" fontId="4" numFmtId="0" xfId="0" applyAlignment="1" applyBorder="1" applyFont="1">
      <alignment readingOrder="0" shrinkToFit="0" vertical="center" wrapText="0"/>
    </xf>
    <xf borderId="5" fillId="3" fontId="4" numFmtId="49" xfId="0" applyAlignment="1" applyBorder="1" applyFont="1" applyNumberFormat="1">
      <alignment readingOrder="0" shrinkToFit="0" vertical="center" wrapText="1"/>
    </xf>
    <xf borderId="5" fillId="3" fontId="4" numFmtId="0" xfId="0" applyAlignment="1" applyBorder="1" applyFont="1">
      <alignment readingOrder="0" shrinkToFit="0" vertical="center" wrapText="1"/>
    </xf>
    <xf borderId="9" fillId="0" fontId="2" numFmtId="0" xfId="0" applyAlignment="1" applyBorder="1" applyFont="1">
      <alignment readingOrder="0" shrinkToFit="0" vertical="center" wrapText="0"/>
    </xf>
    <xf borderId="7" fillId="0" fontId="2" numFmtId="0" xfId="0" applyAlignment="1" applyBorder="1" applyFont="1">
      <alignment readingOrder="0" shrinkToFit="0" vertical="center" wrapText="0"/>
    </xf>
    <xf borderId="8" fillId="3" fontId="5" numFmtId="0" xfId="0" applyAlignment="1" applyBorder="1" applyFont="1">
      <alignment horizontal="right" shrinkToFit="0" vertical="center" wrapText="0"/>
    </xf>
    <xf borderId="5" fillId="3" fontId="6" numFmtId="0" xfId="0" applyAlignment="1" applyBorder="1" applyFont="1">
      <alignment horizontal="right" shrinkToFit="0" vertical="center" wrapText="0"/>
    </xf>
    <xf borderId="8" fillId="4" fontId="6" numFmtId="0" xfId="0" applyAlignment="1" applyBorder="1" applyFont="1">
      <alignment horizontal="right" shrinkToFit="0" vertical="center" wrapText="0"/>
    </xf>
    <xf borderId="9" fillId="4" fontId="4" numFmtId="0" xfId="0" applyAlignment="1" applyBorder="1" applyFont="1">
      <alignment shrinkToFit="0" vertical="center" wrapText="1"/>
    </xf>
    <xf borderId="5" fillId="4" fontId="7" numFmtId="0" xfId="0" applyAlignment="1" applyBorder="1" applyFont="1">
      <alignment horizontal="right" readingOrder="0" shrinkToFit="0" vertical="center" wrapText="0"/>
    </xf>
    <xf borderId="5" fillId="4" fontId="4" numFmtId="0" xfId="0" applyAlignment="1" applyBorder="1" applyFont="1">
      <alignment readingOrder="0" shrinkToFit="0" vertical="center" wrapText="1"/>
    </xf>
    <xf borderId="6" fillId="4" fontId="4" numFmtId="0" xfId="0" applyAlignment="1" applyBorder="1" applyFont="1">
      <alignment shrinkToFit="0" vertical="center" wrapText="1"/>
    </xf>
    <xf borderId="8" fillId="4" fontId="6" numFmtId="0" xfId="0" applyAlignment="1" applyBorder="1" applyFont="1">
      <alignment horizontal="right" shrinkToFit="0" vertical="center" wrapText="0"/>
    </xf>
    <xf borderId="8" fillId="4" fontId="4" numFmtId="49" xfId="0" applyAlignment="1" applyBorder="1" applyFont="1" applyNumberFormat="1">
      <alignment readingOrder="0" shrinkToFit="0" vertical="center" wrapText="1"/>
    </xf>
    <xf borderId="8" fillId="4" fontId="4" numFmtId="0" xfId="0" applyAlignment="1" applyBorder="1" applyFont="1">
      <alignment readingOrder="0" shrinkToFit="0" vertical="center" wrapText="1"/>
    </xf>
    <xf borderId="5" fillId="4" fontId="6" numFmtId="0" xfId="0" applyAlignment="1" applyBorder="1" applyFont="1">
      <alignment horizontal="right" readingOrder="0" shrinkToFit="0" vertical="center" wrapText="0"/>
    </xf>
    <xf borderId="5" fillId="4" fontId="4" numFmtId="49" xfId="0" applyAlignment="1" applyBorder="1" applyFont="1" applyNumberFormat="1">
      <alignment readingOrder="0" shrinkToFit="0" vertical="center" wrapText="1"/>
    </xf>
    <xf borderId="8" fillId="3" fontId="5" numFmtId="0" xfId="0" applyAlignment="1" applyBorder="1" applyFont="1">
      <alignment horizontal="right" readingOrder="0" shrinkToFit="0" vertical="center" wrapText="0"/>
    </xf>
    <xf borderId="8" fillId="3" fontId="4" numFmtId="49" xfId="0" applyAlignment="1" applyBorder="1" applyFont="1" applyNumberFormat="1">
      <alignment readingOrder="0" shrinkToFit="0" vertical="center" wrapText="1"/>
    </xf>
    <xf borderId="8" fillId="3" fontId="4" numFmtId="0" xfId="0" applyAlignment="1" applyBorder="1" applyFont="1">
      <alignment readingOrder="0" shrinkToFit="0" vertical="center" wrapText="1"/>
    </xf>
    <xf borderId="9" fillId="3" fontId="4" numFmtId="0" xfId="0" applyAlignment="1" applyBorder="1" applyFont="1">
      <alignment readingOrder="0" shrinkToFit="0" vertical="center" wrapText="1"/>
    </xf>
    <xf borderId="6" fillId="0" fontId="2" numFmtId="0" xfId="0" applyAlignment="1" applyBorder="1" applyFont="1">
      <alignment readingOrder="0" shrinkToFit="0" vertical="center" wrapText="0"/>
    </xf>
    <xf borderId="5" fillId="4" fontId="6" numFmtId="0" xfId="0" applyAlignment="1" applyBorder="1" applyFont="1">
      <alignment horizontal="right" shrinkToFit="0" vertical="center" wrapText="0"/>
    </xf>
    <xf borderId="8" fillId="3" fontId="6" numFmtId="0" xfId="0" applyAlignment="1" applyBorder="1" applyFont="1">
      <alignment horizontal="right" shrinkToFit="0" vertical="center" wrapText="0"/>
    </xf>
    <xf borderId="8" fillId="4" fontId="4" numFmtId="0" xfId="0" applyAlignment="1" applyBorder="1" applyFont="1">
      <alignment readingOrder="0" shrinkToFit="0" vertical="center" wrapText="0"/>
    </xf>
    <xf borderId="5" fillId="3" fontId="6" numFmtId="0" xfId="0" applyAlignment="1" applyBorder="1" applyFont="1">
      <alignment horizontal="right" shrinkToFit="0" vertical="center" wrapText="0"/>
    </xf>
    <xf borderId="5" fillId="4" fontId="5" numFmtId="0" xfId="0" applyAlignment="1" applyBorder="1" applyFont="1">
      <alignment horizontal="right" readingOrder="0" shrinkToFit="0" vertical="center" wrapText="0"/>
    </xf>
    <xf borderId="8" fillId="4" fontId="7" numFmtId="0" xfId="0" applyAlignment="1" applyBorder="1" applyFont="1">
      <alignment horizontal="right" shrinkToFit="0" vertical="center" wrapText="0"/>
    </xf>
    <xf borderId="5" fillId="4" fontId="7" numFmtId="0" xfId="0" applyAlignment="1" applyBorder="1" applyFont="1">
      <alignment horizontal="right" shrinkToFit="0" vertical="center" wrapText="0"/>
    </xf>
    <xf borderId="5" fillId="3" fontId="7" numFmtId="0" xfId="0" applyAlignment="1" applyBorder="1" applyFont="1">
      <alignment horizontal="right" shrinkToFit="0" vertical="center" wrapText="0"/>
    </xf>
    <xf borderId="10" fillId="3" fontId="4" numFmtId="0" xfId="0" applyAlignment="1" applyBorder="1" applyFont="1">
      <alignment readingOrder="0" shrinkToFit="0" vertical="center" wrapText="1"/>
    </xf>
    <xf borderId="11" fillId="0" fontId="2" numFmtId="0" xfId="0" applyAlignment="1" applyBorder="1" applyFont="1">
      <alignment readingOrder="0" shrinkToFit="0" vertical="center" wrapText="0"/>
    </xf>
    <xf borderId="12" fillId="3" fontId="4" numFmtId="0" xfId="0" applyAlignment="1" applyBorder="1" applyFont="1">
      <alignment readingOrder="0" shrinkToFit="0" vertical="center" wrapText="1"/>
    </xf>
    <xf borderId="13" fillId="0" fontId="2" numFmtId="0" xfId="0" applyAlignment="1" applyBorder="1" applyFont="1">
      <alignment readingOrder="0" shrinkToFit="0" vertical="center" wrapText="0"/>
    </xf>
    <xf borderId="5" fillId="4" fontId="7" numFmtId="0" xfId="0" applyAlignment="1" applyBorder="1" applyFont="1">
      <alignment horizontal="right" shrinkToFit="0" vertical="center" wrapText="0"/>
    </xf>
    <xf borderId="8" fillId="3" fontId="7" numFmtId="0" xfId="0" applyAlignment="1" applyBorder="1" applyFont="1">
      <alignment horizontal="right" shrinkToFit="0" vertical="center" wrapText="0"/>
    </xf>
    <xf borderId="10" fillId="4" fontId="4" numFmtId="0" xfId="0" applyAlignment="1" applyBorder="1" applyFont="1">
      <alignment shrinkToFit="0" vertical="center" wrapText="1"/>
    </xf>
    <xf borderId="12" fillId="3" fontId="4" numFmtId="0" xfId="0" applyAlignment="1" applyBorder="1" applyFont="1">
      <alignment shrinkToFit="0" vertical="center" wrapText="1"/>
    </xf>
    <xf borderId="14" fillId="0" fontId="2"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5" fillId="0" fontId="2" numFmtId="0" xfId="0" applyAlignment="1" applyBorder="1" applyFont="1">
      <alignment readingOrder="0" shrinkToFit="0" vertical="center" wrapText="1"/>
    </xf>
    <xf borderId="16"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18" fillId="2" fontId="1" numFmtId="0" xfId="0" applyAlignment="1" applyBorder="1" applyFont="1">
      <alignment readingOrder="0"/>
    </xf>
    <xf borderId="19" fillId="2" fontId="8" numFmtId="0" xfId="0" applyAlignment="1" applyBorder="1" applyFont="1">
      <alignment horizontal="left" readingOrder="0" shrinkToFit="0" wrapText="1"/>
    </xf>
    <xf borderId="20" fillId="2" fontId="8" numFmtId="0" xfId="0" applyAlignment="1" applyBorder="1" applyFont="1">
      <alignment horizontal="left" readingOrder="0" shrinkToFit="0" wrapText="1"/>
    </xf>
    <xf borderId="0" fillId="0" fontId="1" numFmtId="0" xfId="0" applyAlignment="1" applyFont="1">
      <alignment readingOrder="0"/>
    </xf>
    <xf borderId="21" fillId="0" fontId="0" numFmtId="0" xfId="0" applyAlignment="1" applyBorder="1" applyFont="1">
      <alignment readingOrder="0"/>
    </xf>
    <xf borderId="0" fillId="0" fontId="9" numFmtId="0" xfId="0" applyFont="1"/>
    <xf borderId="0" fillId="3" fontId="10" numFmtId="0" xfId="0" applyFont="1"/>
    <xf borderId="22" fillId="0" fontId="9" numFmtId="0" xfId="0" applyBorder="1" applyFont="1"/>
    <xf borderId="21" fillId="0" fontId="0" numFmtId="0" xfId="0" applyAlignment="1" applyBorder="1" applyFont="1">
      <alignment horizontal="left" readingOrder="0" shrinkToFit="0" wrapText="1"/>
    </xf>
    <xf borderId="22" fillId="3" fontId="10" numFmtId="0" xfId="0" applyBorder="1" applyFont="1"/>
    <xf borderId="0" fillId="3" fontId="11" numFmtId="0" xfId="0" applyFont="1"/>
    <xf borderId="23" fillId="0" fontId="1" numFmtId="0" xfId="0" applyAlignment="1" applyBorder="1" applyFont="1">
      <alignment readingOrder="0"/>
    </xf>
    <xf borderId="24" fillId="0" fontId="9" numFmtId="0" xfId="0" applyBorder="1" applyFont="1"/>
    <xf borderId="25" fillId="0" fontId="9" numFmtId="0" xfId="0" applyBorder="1" applyFont="1"/>
    <xf borderId="0" fillId="0" fontId="12" numFmtId="0" xfId="0" applyAlignment="1" applyFont="1">
      <alignment vertical="bottom"/>
    </xf>
    <xf borderId="0" fillId="0" fontId="12" numFmtId="0" xfId="0" applyAlignment="1" applyFont="1">
      <alignment readingOrder="0" vertical="bottom"/>
    </xf>
    <xf borderId="0" fillId="0" fontId="3" numFmtId="0" xfId="0" applyAlignment="1" applyFont="1">
      <alignment horizontal="center" readingOrder="0"/>
    </xf>
    <xf borderId="0" fillId="2" fontId="1" numFmtId="0" xfId="0" applyAlignment="1" applyFont="1">
      <alignment horizontal="center" readingOrder="0"/>
    </xf>
    <xf borderId="0" fillId="0" fontId="2" numFmtId="0" xfId="0" applyAlignment="1" applyFont="1">
      <alignment readingOrder="0"/>
    </xf>
    <xf borderId="0" fillId="3" fontId="11" numFmtId="0" xfId="0" applyAlignment="1" applyFont="1">
      <alignment horizontal="left"/>
    </xf>
    <xf borderId="0" fillId="0" fontId="2" numFmtId="0" xfId="0" applyFont="1"/>
    <xf borderId="18" fillId="5" fontId="12" numFmtId="0" xfId="0" applyAlignment="1" applyBorder="1" applyFill="1" applyFont="1">
      <alignment readingOrder="0" vertical="bottom"/>
    </xf>
    <xf borderId="19" fillId="0" fontId="13" numFmtId="0" xfId="0" applyBorder="1" applyFont="1"/>
    <xf borderId="20" fillId="0" fontId="13" numFmtId="0" xfId="0" applyBorder="1" applyFont="1"/>
    <xf borderId="0" fillId="0" fontId="14" numFmtId="0" xfId="0" applyAlignment="1" applyFont="1">
      <alignment readingOrder="0" shrinkToFit="0" vertical="top" wrapText="1"/>
    </xf>
  </cellXfs>
  <cellStyles count="1">
    <cellStyle xfId="0" name="Normal" builtinId="0"/>
  </cellStyles>
  <dxfs count="5">
    <dxf>
      <font/>
      <fill>
        <patternFill patternType="solid">
          <fgColor rgb="FFE6B8AF"/>
          <bgColor rgb="FFE6B8AF"/>
        </patternFill>
      </fill>
      <border/>
    </dxf>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Group Heuristic Evaluation-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0:I52" displayName="Group_Heuristic_Evaluations" name="Group_Heuristic_Evaluations" id="1">
  <autoFilter ref="$A$10:$I$52">
    <filterColumn colId="7">
      <filters>
        <filter val="A, C"/>
        <filter val="B, C"/>
        <filter val="B, A, C"/>
        <filter val="A, B, C"/>
      </filters>
    </filterColumn>
  </autoFilter>
  <tableColumns count="9">
    <tableColumn name="Column 1" id="1"/>
    <tableColumn name="Column 2" id="2"/>
    <tableColumn name="Column 3" id="3"/>
    <tableColumn name="Column 4" id="4"/>
    <tableColumn name="Column 5" id="5"/>
    <tableColumn name="Column 6" id="6"/>
    <tableColumn name="Column 7" id="7"/>
    <tableColumn name="Column 8" id="8"/>
    <tableColumn name="Column 9" id="9"/>
  </tableColumns>
  <tableStyleInfo name="Group Heuristic Evaluati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30.13"/>
    <col customWidth="1" min="3" max="10" width="22.63"/>
    <col customWidth="1" min="11" max="11" width="15.13"/>
  </cols>
  <sheetData>
    <row r="1">
      <c r="A1" s="1" t="s">
        <v>0</v>
      </c>
      <c r="B1" s="2" t="s">
        <v>1</v>
      </c>
      <c r="C1" s="3"/>
      <c r="D1" s="3"/>
      <c r="E1" s="3"/>
      <c r="F1" s="3"/>
      <c r="G1" s="3"/>
    </row>
    <row r="2">
      <c r="A2" s="3"/>
      <c r="B2" s="3"/>
      <c r="C2" s="3"/>
      <c r="D2" s="3"/>
      <c r="E2" s="3"/>
      <c r="F2" s="3"/>
      <c r="G2" s="3"/>
    </row>
    <row r="3">
      <c r="A3" s="3"/>
      <c r="B3" s="3"/>
      <c r="C3" s="3"/>
      <c r="D3" s="4"/>
      <c r="F3" s="3"/>
      <c r="G3" s="3"/>
    </row>
    <row r="4">
      <c r="A4" s="5" t="s">
        <v>2</v>
      </c>
      <c r="B4" s="2" t="s">
        <v>3</v>
      </c>
      <c r="C4" s="4"/>
      <c r="D4" s="5"/>
      <c r="E4" s="4"/>
      <c r="F4" s="3"/>
      <c r="G4" s="3"/>
    </row>
    <row r="5">
      <c r="A5" s="5" t="s">
        <v>4</v>
      </c>
      <c r="B5" s="2" t="s">
        <v>5</v>
      </c>
      <c r="C5" s="4"/>
      <c r="D5" s="5"/>
      <c r="E5" s="4"/>
      <c r="F5" s="3"/>
      <c r="G5" s="3"/>
    </row>
    <row r="6">
      <c r="A6" s="5" t="s">
        <v>6</v>
      </c>
      <c r="B6" s="2" t="s">
        <v>7</v>
      </c>
      <c r="C6" s="4"/>
      <c r="D6" s="5"/>
      <c r="E6" s="4"/>
      <c r="F6" s="3"/>
      <c r="G6" s="3"/>
    </row>
    <row r="7">
      <c r="A7" s="3"/>
      <c r="B7" s="3"/>
      <c r="C7" s="3"/>
      <c r="D7" s="6"/>
      <c r="E7" s="3"/>
      <c r="F7" s="3"/>
      <c r="G7" s="3"/>
    </row>
    <row r="8">
      <c r="A8" s="3"/>
      <c r="B8" s="3"/>
      <c r="C8" s="3"/>
      <c r="D8" s="3"/>
      <c r="E8" s="3"/>
      <c r="F8" s="3"/>
      <c r="G8" s="3"/>
    </row>
    <row r="9">
      <c r="A9" s="3"/>
      <c r="B9" s="3"/>
      <c r="C9" s="3"/>
      <c r="D9" s="3"/>
      <c r="E9" s="4" t="s">
        <v>8</v>
      </c>
      <c r="F9" s="3"/>
      <c r="G9" s="3"/>
    </row>
    <row r="10">
      <c r="A10" s="7" t="s">
        <v>9</v>
      </c>
      <c r="B10" s="8" t="s">
        <v>10</v>
      </c>
      <c r="C10" s="8" t="s">
        <v>11</v>
      </c>
      <c r="D10" s="8" t="s">
        <v>12</v>
      </c>
      <c r="E10" s="8" t="s">
        <v>13</v>
      </c>
      <c r="F10" s="8" t="s">
        <v>14</v>
      </c>
      <c r="G10" s="8" t="s">
        <v>15</v>
      </c>
      <c r="H10" s="8" t="s">
        <v>16</v>
      </c>
      <c r="I10" s="9" t="s">
        <v>17</v>
      </c>
    </row>
    <row r="11" hidden="1">
      <c r="A11" s="10">
        <f t="shared" ref="A11:A52" si="1">ROW() - 10</f>
        <v>1</v>
      </c>
      <c r="B11" s="11" t="s">
        <v>18</v>
      </c>
      <c r="C11" s="12" t="s">
        <v>19</v>
      </c>
      <c r="D11" s="13">
        <v>1.0</v>
      </c>
      <c r="E11" s="14" t="s">
        <v>20</v>
      </c>
      <c r="F11" s="15" t="s">
        <v>21</v>
      </c>
      <c r="G11" s="16" t="s">
        <v>22</v>
      </c>
      <c r="H11" s="17" t="s">
        <v>23</v>
      </c>
      <c r="I11" s="18"/>
    </row>
    <row r="12" hidden="1">
      <c r="A12" s="19">
        <f t="shared" si="1"/>
        <v>2</v>
      </c>
      <c r="B12" s="20" t="s">
        <v>24</v>
      </c>
      <c r="C12" s="20" t="s">
        <v>25</v>
      </c>
      <c r="D12" s="21">
        <v>1.0</v>
      </c>
      <c r="E12" s="22" t="s">
        <v>26</v>
      </c>
      <c r="F12" s="23" t="s">
        <v>27</v>
      </c>
      <c r="G12" s="24" t="s">
        <v>28</v>
      </c>
      <c r="H12" s="25" t="s">
        <v>29</v>
      </c>
      <c r="I12" s="26"/>
    </row>
    <row r="13" hidden="1">
      <c r="A13" s="27">
        <f t="shared" si="1"/>
        <v>3</v>
      </c>
      <c r="B13" s="28" t="s">
        <v>30</v>
      </c>
      <c r="C13" s="29" t="s">
        <v>19</v>
      </c>
      <c r="D13" s="30">
        <v>1.0</v>
      </c>
      <c r="E13" s="31" t="s">
        <v>31</v>
      </c>
      <c r="F13" s="32" t="s">
        <v>32</v>
      </c>
      <c r="G13" s="33" t="s">
        <v>33</v>
      </c>
      <c r="H13" s="17" t="s">
        <v>29</v>
      </c>
      <c r="I13" s="18"/>
    </row>
    <row r="14" hidden="1">
      <c r="A14" s="34">
        <f t="shared" si="1"/>
        <v>4</v>
      </c>
      <c r="B14" s="35" t="s">
        <v>34</v>
      </c>
      <c r="C14" s="35" t="s">
        <v>35</v>
      </c>
      <c r="D14" s="36">
        <v>1.0</v>
      </c>
      <c r="E14" s="37" t="s">
        <v>36</v>
      </c>
      <c r="F14" s="38" t="s">
        <v>37</v>
      </c>
      <c r="G14" s="39" t="s">
        <v>38</v>
      </c>
      <c r="H14" s="25" t="s">
        <v>29</v>
      </c>
      <c r="I14" s="26"/>
    </row>
    <row r="15" hidden="1">
      <c r="A15" s="40">
        <f t="shared" si="1"/>
        <v>5</v>
      </c>
      <c r="B15" s="12" t="s">
        <v>30</v>
      </c>
      <c r="C15" s="12" t="s">
        <v>25</v>
      </c>
      <c r="D15" s="41">
        <v>1.0</v>
      </c>
      <c r="E15" s="14" t="s">
        <v>39</v>
      </c>
      <c r="F15" s="15" t="s">
        <v>40</v>
      </c>
      <c r="G15" s="16" t="s">
        <v>41</v>
      </c>
      <c r="H15" s="17" t="s">
        <v>42</v>
      </c>
      <c r="I15" s="18"/>
    </row>
    <row r="16" hidden="1">
      <c r="A16" s="42">
        <f t="shared" si="1"/>
        <v>6</v>
      </c>
      <c r="B16" s="35" t="s">
        <v>30</v>
      </c>
      <c r="C16" s="35" t="s">
        <v>25</v>
      </c>
      <c r="D16" s="36">
        <v>1.0</v>
      </c>
      <c r="E16" s="37" t="s">
        <v>43</v>
      </c>
      <c r="F16" s="38" t="s">
        <v>44</v>
      </c>
      <c r="G16" s="39" t="s">
        <v>45</v>
      </c>
      <c r="H16" s="25" t="s">
        <v>42</v>
      </c>
      <c r="I16" s="26"/>
    </row>
    <row r="17" hidden="1">
      <c r="A17" s="40">
        <f t="shared" si="1"/>
        <v>7</v>
      </c>
      <c r="B17" s="12" t="s">
        <v>30</v>
      </c>
      <c r="C17" s="12" t="s">
        <v>35</v>
      </c>
      <c r="D17" s="43">
        <v>1.0</v>
      </c>
      <c r="E17" s="14" t="s">
        <v>46</v>
      </c>
      <c r="F17" s="15" t="s">
        <v>47</v>
      </c>
      <c r="G17" s="44" t="s">
        <v>48</v>
      </c>
      <c r="H17" s="17" t="s">
        <v>42</v>
      </c>
      <c r="I17" s="18"/>
    </row>
    <row r="18" hidden="1">
      <c r="A18" s="42">
        <f t="shared" si="1"/>
        <v>8</v>
      </c>
      <c r="B18" s="45" t="s">
        <v>24</v>
      </c>
      <c r="C18" s="20" t="s">
        <v>49</v>
      </c>
      <c r="D18" s="46">
        <v>1.0</v>
      </c>
      <c r="E18" s="22" t="s">
        <v>50</v>
      </c>
      <c r="F18" s="23" t="s">
        <v>51</v>
      </c>
      <c r="G18" s="24" t="s">
        <v>52</v>
      </c>
      <c r="H18" s="25" t="s">
        <v>42</v>
      </c>
      <c r="I18" s="26"/>
    </row>
    <row r="19" hidden="1">
      <c r="A19" s="47">
        <f t="shared" si="1"/>
        <v>9</v>
      </c>
      <c r="B19" s="12" t="s">
        <v>30</v>
      </c>
      <c r="C19" s="12" t="s">
        <v>49</v>
      </c>
      <c r="D19" s="41">
        <v>1.0</v>
      </c>
      <c r="E19" s="14" t="s">
        <v>53</v>
      </c>
      <c r="F19" s="15" t="s">
        <v>54</v>
      </c>
      <c r="G19" s="16" t="s">
        <v>55</v>
      </c>
      <c r="H19" s="17" t="s">
        <v>42</v>
      </c>
      <c r="I19" s="18"/>
    </row>
    <row r="20">
      <c r="A20" s="48">
        <f t="shared" si="1"/>
        <v>10</v>
      </c>
      <c r="B20" s="49" t="s">
        <v>56</v>
      </c>
      <c r="C20" s="49" t="s">
        <v>19</v>
      </c>
      <c r="D20" s="41">
        <v>1.0</v>
      </c>
      <c r="E20" s="50" t="s">
        <v>57</v>
      </c>
      <c r="F20" s="51" t="s">
        <v>58</v>
      </c>
      <c r="G20" s="44" t="s">
        <v>59</v>
      </c>
      <c r="H20" s="25" t="s">
        <v>60</v>
      </c>
      <c r="I20" s="52"/>
    </row>
    <row r="21" hidden="1">
      <c r="A21" s="53">
        <f t="shared" si="1"/>
        <v>11</v>
      </c>
      <c r="B21" s="20" t="s">
        <v>61</v>
      </c>
      <c r="C21" s="20" t="s">
        <v>35</v>
      </c>
      <c r="D21" s="54">
        <v>1.0</v>
      </c>
      <c r="E21" s="22" t="s">
        <v>62</v>
      </c>
      <c r="F21" s="23" t="s">
        <v>63</v>
      </c>
      <c r="G21" s="24" t="s">
        <v>64</v>
      </c>
      <c r="H21" s="17" t="s">
        <v>65</v>
      </c>
      <c r="I21" s="18"/>
    </row>
    <row r="22">
      <c r="A22" s="10">
        <f t="shared" si="1"/>
        <v>12</v>
      </c>
      <c r="B22" s="12" t="s">
        <v>61</v>
      </c>
      <c r="C22" s="12" t="s">
        <v>25</v>
      </c>
      <c r="D22" s="55">
        <v>2.0</v>
      </c>
      <c r="E22" s="50" t="s">
        <v>66</v>
      </c>
      <c r="F22" s="51" t="s">
        <v>67</v>
      </c>
      <c r="G22" s="16" t="s">
        <v>68</v>
      </c>
      <c r="H22" s="25" t="s">
        <v>69</v>
      </c>
      <c r="I22" s="52"/>
    </row>
    <row r="23" hidden="1">
      <c r="A23" s="34">
        <f t="shared" si="1"/>
        <v>13</v>
      </c>
      <c r="B23" s="35" t="s">
        <v>24</v>
      </c>
      <c r="C23" s="35" t="s">
        <v>25</v>
      </c>
      <c r="D23" s="56">
        <v>2.0</v>
      </c>
      <c r="E23" s="37" t="s">
        <v>70</v>
      </c>
      <c r="F23" s="38" t="s">
        <v>71</v>
      </c>
      <c r="G23" s="57" t="s">
        <v>72</v>
      </c>
      <c r="H23" s="17" t="s">
        <v>73</v>
      </c>
      <c r="I23" s="18"/>
    </row>
    <row r="24" hidden="1">
      <c r="A24" s="27">
        <f t="shared" si="1"/>
        <v>14</v>
      </c>
      <c r="B24" s="29" t="s">
        <v>74</v>
      </c>
      <c r="C24" s="29" t="s">
        <v>49</v>
      </c>
      <c r="D24" s="58">
        <v>2.0</v>
      </c>
      <c r="E24" s="31" t="s">
        <v>75</v>
      </c>
      <c r="F24" s="59" t="s">
        <v>76</v>
      </c>
      <c r="G24" s="60" t="s">
        <v>77</v>
      </c>
      <c r="H24" s="25" t="s">
        <v>73</v>
      </c>
      <c r="I24" s="26"/>
    </row>
    <row r="25" hidden="1">
      <c r="A25" s="34">
        <f t="shared" si="1"/>
        <v>15</v>
      </c>
      <c r="B25" s="35" t="s">
        <v>74</v>
      </c>
      <c r="C25" s="35" t="s">
        <v>25</v>
      </c>
      <c r="D25" s="61">
        <v>2.0</v>
      </c>
      <c r="E25" s="62" t="s">
        <v>78</v>
      </c>
      <c r="F25" s="63" t="s">
        <v>79</v>
      </c>
      <c r="G25" s="39" t="s">
        <v>80</v>
      </c>
      <c r="H25" s="17" t="s">
        <v>29</v>
      </c>
      <c r="I25" s="18"/>
    </row>
    <row r="26">
      <c r="A26" s="27">
        <f t="shared" si="1"/>
        <v>16</v>
      </c>
      <c r="B26" s="29" t="s">
        <v>18</v>
      </c>
      <c r="C26" s="29" t="s">
        <v>49</v>
      </c>
      <c r="D26" s="64">
        <v>2.0</v>
      </c>
      <c r="E26" s="65" t="s">
        <v>81</v>
      </c>
      <c r="F26" s="32" t="s">
        <v>82</v>
      </c>
      <c r="G26" s="33" t="s">
        <v>83</v>
      </c>
      <c r="H26" s="25" t="s">
        <v>84</v>
      </c>
      <c r="I26" s="52"/>
    </row>
    <row r="27">
      <c r="A27" s="19">
        <f t="shared" si="1"/>
        <v>17</v>
      </c>
      <c r="B27" s="20" t="s">
        <v>74</v>
      </c>
      <c r="C27" s="20" t="s">
        <v>25</v>
      </c>
      <c r="D27" s="66">
        <v>2.0</v>
      </c>
      <c r="E27" s="67" t="s">
        <v>85</v>
      </c>
      <c r="F27" s="68" t="s">
        <v>86</v>
      </c>
      <c r="G27" s="69" t="s">
        <v>87</v>
      </c>
      <c r="H27" s="17" t="s">
        <v>88</v>
      </c>
      <c r="I27" s="70"/>
    </row>
    <row r="28">
      <c r="A28" s="27">
        <f t="shared" si="1"/>
        <v>18</v>
      </c>
      <c r="B28" s="28" t="s">
        <v>89</v>
      </c>
      <c r="C28" s="29" t="s">
        <v>49</v>
      </c>
      <c r="D28" s="71">
        <v>2.0</v>
      </c>
      <c r="E28" s="31" t="s">
        <v>90</v>
      </c>
      <c r="F28" s="32" t="s">
        <v>91</v>
      </c>
      <c r="G28" s="60" t="s">
        <v>92</v>
      </c>
      <c r="H28" s="25" t="s">
        <v>88</v>
      </c>
      <c r="I28" s="52"/>
    </row>
    <row r="29" hidden="1">
      <c r="A29" s="19">
        <f t="shared" si="1"/>
        <v>19</v>
      </c>
      <c r="B29" s="20" t="s">
        <v>24</v>
      </c>
      <c r="C29" s="20" t="s">
        <v>25</v>
      </c>
      <c r="D29" s="72">
        <v>2.0</v>
      </c>
      <c r="E29" s="67" t="s">
        <v>93</v>
      </c>
      <c r="F29" s="23" t="s">
        <v>94</v>
      </c>
      <c r="G29" s="24" t="s">
        <v>95</v>
      </c>
      <c r="H29" s="17" t="s">
        <v>29</v>
      </c>
      <c r="I29" s="18"/>
    </row>
    <row r="30">
      <c r="A30" s="34">
        <f t="shared" si="1"/>
        <v>20</v>
      </c>
      <c r="B30" s="35" t="s">
        <v>96</v>
      </c>
      <c r="C30" s="35" t="s">
        <v>35</v>
      </c>
      <c r="D30" s="61">
        <v>2.0</v>
      </c>
      <c r="E30" s="62" t="s">
        <v>97</v>
      </c>
      <c r="F30" s="63" t="s">
        <v>98</v>
      </c>
      <c r="G30" s="39" t="s">
        <v>99</v>
      </c>
      <c r="H30" s="25" t="s">
        <v>88</v>
      </c>
      <c r="I30" s="52"/>
    </row>
    <row r="31" hidden="1">
      <c r="A31" s="40">
        <f t="shared" si="1"/>
        <v>21</v>
      </c>
      <c r="B31" s="29" t="s">
        <v>30</v>
      </c>
      <c r="C31" s="29" t="s">
        <v>25</v>
      </c>
      <c r="D31" s="71">
        <v>2.0</v>
      </c>
      <c r="E31" s="65" t="s">
        <v>100</v>
      </c>
      <c r="F31" s="32" t="s">
        <v>101</v>
      </c>
      <c r="G31" s="60" t="s">
        <v>102</v>
      </c>
      <c r="H31" s="17" t="s">
        <v>42</v>
      </c>
      <c r="I31" s="18"/>
    </row>
    <row r="32">
      <c r="A32" s="42">
        <f t="shared" si="1"/>
        <v>22</v>
      </c>
      <c r="B32" s="73" t="s">
        <v>74</v>
      </c>
      <c r="C32" s="73" t="s">
        <v>19</v>
      </c>
      <c r="D32" s="61">
        <v>2.0</v>
      </c>
      <c r="E32" s="62" t="s">
        <v>103</v>
      </c>
      <c r="F32" s="38" t="s">
        <v>104</v>
      </c>
      <c r="G32" s="39" t="s">
        <v>105</v>
      </c>
      <c r="H32" s="25" t="s">
        <v>60</v>
      </c>
      <c r="I32" s="52"/>
    </row>
    <row r="33" hidden="1">
      <c r="A33" s="48">
        <f t="shared" si="1"/>
        <v>23</v>
      </c>
      <c r="B33" s="12" t="s">
        <v>30</v>
      </c>
      <c r="C33" s="12" t="s">
        <v>35</v>
      </c>
      <c r="D33" s="74">
        <v>2.0</v>
      </c>
      <c r="E33" s="50" t="s">
        <v>106</v>
      </c>
      <c r="F33" s="51" t="s">
        <v>107</v>
      </c>
      <c r="G33" s="16" t="s">
        <v>108</v>
      </c>
      <c r="H33" s="17" t="s">
        <v>42</v>
      </c>
      <c r="I33" s="18"/>
    </row>
    <row r="34" hidden="1">
      <c r="A34" s="53">
        <f t="shared" si="1"/>
        <v>24</v>
      </c>
      <c r="B34" s="20" t="s">
        <v>61</v>
      </c>
      <c r="C34" s="20" t="s">
        <v>109</v>
      </c>
      <c r="D34" s="72">
        <v>2.0</v>
      </c>
      <c r="E34" s="22" t="s">
        <v>110</v>
      </c>
      <c r="F34" s="23" t="s">
        <v>111</v>
      </c>
      <c r="G34" s="24" t="s">
        <v>112</v>
      </c>
      <c r="H34" s="25" t="s">
        <v>65</v>
      </c>
      <c r="I34" s="26"/>
    </row>
    <row r="35" hidden="1">
      <c r="A35" s="48">
        <f t="shared" si="1"/>
        <v>25</v>
      </c>
      <c r="B35" s="29" t="s">
        <v>18</v>
      </c>
      <c r="C35" s="29" t="s">
        <v>25</v>
      </c>
      <c r="D35" s="71">
        <v>2.0</v>
      </c>
      <c r="E35" s="31" t="s">
        <v>113</v>
      </c>
      <c r="F35" s="32" t="s">
        <v>114</v>
      </c>
      <c r="G35" s="60" t="s">
        <v>115</v>
      </c>
      <c r="H35" s="17" t="s">
        <v>65</v>
      </c>
      <c r="I35" s="18"/>
    </row>
    <row r="36" hidden="1">
      <c r="A36" s="53">
        <f t="shared" si="1"/>
        <v>26</v>
      </c>
      <c r="B36" s="35" t="s">
        <v>56</v>
      </c>
      <c r="C36" s="35" t="s">
        <v>25</v>
      </c>
      <c r="D36" s="61">
        <v>2.0</v>
      </c>
      <c r="E36" s="37" t="s">
        <v>116</v>
      </c>
      <c r="F36" s="38" t="s">
        <v>117</v>
      </c>
      <c r="G36" s="57" t="s">
        <v>118</v>
      </c>
      <c r="H36" s="25" t="s">
        <v>65</v>
      </c>
      <c r="I36" s="26"/>
    </row>
    <row r="37" hidden="1">
      <c r="A37" s="48">
        <f t="shared" si="1"/>
        <v>27</v>
      </c>
      <c r="B37" s="20" t="s">
        <v>119</v>
      </c>
      <c r="C37" s="20" t="s">
        <v>35</v>
      </c>
      <c r="D37" s="72">
        <v>2.0</v>
      </c>
      <c r="E37" s="22" t="s">
        <v>120</v>
      </c>
      <c r="F37" s="23" t="s">
        <v>121</v>
      </c>
      <c r="G37" s="24" t="s">
        <v>122</v>
      </c>
      <c r="H37" s="17" t="s">
        <v>65</v>
      </c>
      <c r="I37" s="18"/>
    </row>
    <row r="38" hidden="1">
      <c r="A38" s="53">
        <f t="shared" si="1"/>
        <v>28</v>
      </c>
      <c r="B38" s="29" t="s">
        <v>96</v>
      </c>
      <c r="C38" s="29" t="s">
        <v>35</v>
      </c>
      <c r="D38" s="75">
        <v>2.0</v>
      </c>
      <c r="E38" s="31" t="s">
        <v>123</v>
      </c>
      <c r="F38" s="32" t="s">
        <v>124</v>
      </c>
      <c r="G38" s="60" t="s">
        <v>125</v>
      </c>
      <c r="H38" s="25" t="s">
        <v>65</v>
      </c>
      <c r="I38" s="26"/>
    </row>
    <row r="39">
      <c r="A39" s="27">
        <f t="shared" si="1"/>
        <v>29</v>
      </c>
      <c r="B39" s="35" t="s">
        <v>119</v>
      </c>
      <c r="C39" s="35" t="s">
        <v>49</v>
      </c>
      <c r="D39" s="76">
        <v>3.0</v>
      </c>
      <c r="E39" s="37" t="s">
        <v>126</v>
      </c>
      <c r="F39" s="38" t="s">
        <v>127</v>
      </c>
      <c r="G39" s="57" t="s">
        <v>128</v>
      </c>
      <c r="H39" s="17" t="s">
        <v>69</v>
      </c>
      <c r="I39" s="70"/>
    </row>
    <row r="40" hidden="1">
      <c r="A40" s="34">
        <f t="shared" si="1"/>
        <v>30</v>
      </c>
      <c r="B40" s="29" t="s">
        <v>129</v>
      </c>
      <c r="C40" s="29" t="s">
        <v>49</v>
      </c>
      <c r="D40" s="77">
        <v>3.0</v>
      </c>
      <c r="E40" s="31" t="s">
        <v>130</v>
      </c>
      <c r="F40" s="32" t="s">
        <v>131</v>
      </c>
      <c r="G40" s="33" t="s">
        <v>132</v>
      </c>
      <c r="H40" s="25" t="s">
        <v>29</v>
      </c>
      <c r="I40" s="26"/>
    </row>
    <row r="41" hidden="1">
      <c r="A41" s="10">
        <f t="shared" si="1"/>
        <v>31</v>
      </c>
      <c r="B41" s="12" t="s">
        <v>74</v>
      </c>
      <c r="C41" s="12" t="s">
        <v>19</v>
      </c>
      <c r="D41" s="43">
        <v>3.0</v>
      </c>
      <c r="E41" s="14" t="s">
        <v>133</v>
      </c>
      <c r="F41" s="15" t="s">
        <v>134</v>
      </c>
      <c r="G41" s="44" t="s">
        <v>135</v>
      </c>
      <c r="H41" s="17" t="s">
        <v>29</v>
      </c>
      <c r="I41" s="18"/>
    </row>
    <row r="42">
      <c r="A42" s="19">
        <f t="shared" si="1"/>
        <v>32</v>
      </c>
      <c r="B42" s="12" t="s">
        <v>30</v>
      </c>
      <c r="C42" s="12" t="s">
        <v>35</v>
      </c>
      <c r="D42" s="78">
        <v>3.0</v>
      </c>
      <c r="E42" s="14" t="s">
        <v>136</v>
      </c>
      <c r="F42" s="51" t="s">
        <v>137</v>
      </c>
      <c r="G42" s="16" t="s">
        <v>138</v>
      </c>
      <c r="H42" s="25" t="s">
        <v>88</v>
      </c>
      <c r="I42" s="52"/>
    </row>
    <row r="43">
      <c r="A43" s="10">
        <f t="shared" si="1"/>
        <v>33</v>
      </c>
      <c r="B43" s="12" t="s">
        <v>74</v>
      </c>
      <c r="C43" s="12" t="s">
        <v>35</v>
      </c>
      <c r="D43" s="43">
        <v>3.0</v>
      </c>
      <c r="E43" s="14" t="s">
        <v>139</v>
      </c>
      <c r="F43" s="15" t="s">
        <v>140</v>
      </c>
      <c r="G43" s="44" t="s">
        <v>141</v>
      </c>
      <c r="H43" s="17" t="s">
        <v>84</v>
      </c>
      <c r="I43" s="70"/>
    </row>
    <row r="44">
      <c r="A44" s="19">
        <f t="shared" si="1"/>
        <v>34</v>
      </c>
      <c r="B44" s="12" t="s">
        <v>30</v>
      </c>
      <c r="C44" s="12" t="s">
        <v>25</v>
      </c>
      <c r="D44" s="43">
        <v>3.0</v>
      </c>
      <c r="E44" s="50" t="s">
        <v>142</v>
      </c>
      <c r="F44" s="51" t="s">
        <v>143</v>
      </c>
      <c r="G44" s="79" t="s">
        <v>144</v>
      </c>
      <c r="H44" s="80" t="s">
        <v>88</v>
      </c>
      <c r="I44" s="52"/>
    </row>
    <row r="45">
      <c r="A45" s="10">
        <f t="shared" si="1"/>
        <v>35</v>
      </c>
      <c r="B45" s="45" t="s">
        <v>34</v>
      </c>
      <c r="C45" s="20" t="s">
        <v>35</v>
      </c>
      <c r="D45" s="66">
        <v>3.0</v>
      </c>
      <c r="E45" s="67" t="s">
        <v>145</v>
      </c>
      <c r="F45" s="51" t="s">
        <v>146</v>
      </c>
      <c r="G45" s="81" t="s">
        <v>147</v>
      </c>
      <c r="H45" s="82" t="s">
        <v>88</v>
      </c>
      <c r="I45" s="70"/>
    </row>
    <row r="46">
      <c r="A46" s="19">
        <f t="shared" si="1"/>
        <v>36</v>
      </c>
      <c r="B46" s="20" t="s">
        <v>56</v>
      </c>
      <c r="C46" s="45" t="s">
        <v>109</v>
      </c>
      <c r="D46" s="66">
        <v>3.0</v>
      </c>
      <c r="E46" s="67" t="s">
        <v>148</v>
      </c>
      <c r="F46" s="23" t="s">
        <v>149</v>
      </c>
      <c r="G46" s="68" t="s">
        <v>150</v>
      </c>
      <c r="H46" s="80" t="s">
        <v>88</v>
      </c>
      <c r="I46" s="52"/>
    </row>
    <row r="47">
      <c r="A47" s="27">
        <f t="shared" si="1"/>
        <v>37</v>
      </c>
      <c r="B47" s="29" t="s">
        <v>96</v>
      </c>
      <c r="C47" s="29" t="s">
        <v>109</v>
      </c>
      <c r="D47" s="83">
        <v>3.0</v>
      </c>
      <c r="E47" s="31" t="s">
        <v>151</v>
      </c>
      <c r="F47" s="32" t="s">
        <v>152</v>
      </c>
      <c r="G47" s="32" t="s">
        <v>153</v>
      </c>
      <c r="H47" s="82" t="s">
        <v>88</v>
      </c>
      <c r="I47" s="70"/>
    </row>
    <row r="48">
      <c r="A48" s="19">
        <f t="shared" si="1"/>
        <v>38</v>
      </c>
      <c r="B48" s="20" t="s">
        <v>154</v>
      </c>
      <c r="C48" s="20" t="s">
        <v>25</v>
      </c>
      <c r="D48" s="84">
        <v>3.0</v>
      </c>
      <c r="E48" s="22" t="s">
        <v>155</v>
      </c>
      <c r="F48" s="23" t="s">
        <v>156</v>
      </c>
      <c r="G48" s="23" t="s">
        <v>157</v>
      </c>
      <c r="H48" s="80" t="s">
        <v>84</v>
      </c>
      <c r="I48" s="52"/>
    </row>
    <row r="49" hidden="1">
      <c r="A49" s="40">
        <f t="shared" si="1"/>
        <v>39</v>
      </c>
      <c r="B49" s="29" t="s">
        <v>30</v>
      </c>
      <c r="C49" s="29" t="s">
        <v>49</v>
      </c>
      <c r="D49" s="83">
        <v>3.0</v>
      </c>
      <c r="E49" s="65" t="s">
        <v>158</v>
      </c>
      <c r="F49" s="59" t="s">
        <v>159</v>
      </c>
      <c r="G49" s="59" t="s">
        <v>160</v>
      </c>
      <c r="H49" s="82" t="s">
        <v>42</v>
      </c>
      <c r="I49" s="18"/>
    </row>
    <row r="50" hidden="1">
      <c r="A50" s="53">
        <f t="shared" si="1"/>
        <v>40</v>
      </c>
      <c r="B50" s="29" t="s">
        <v>119</v>
      </c>
      <c r="C50" s="29" t="s">
        <v>109</v>
      </c>
      <c r="D50" s="83">
        <v>3.0</v>
      </c>
      <c r="E50" s="31" t="s">
        <v>161</v>
      </c>
      <c r="F50" s="15" t="s">
        <v>162</v>
      </c>
      <c r="G50" s="85" t="s">
        <v>163</v>
      </c>
      <c r="H50" s="80" t="s">
        <v>65</v>
      </c>
      <c r="I50" s="26"/>
    </row>
    <row r="51">
      <c r="A51" s="48">
        <f t="shared" si="1"/>
        <v>41</v>
      </c>
      <c r="B51" s="20" t="s">
        <v>89</v>
      </c>
      <c r="C51" s="20" t="s">
        <v>25</v>
      </c>
      <c r="D51" s="84">
        <v>3.0</v>
      </c>
      <c r="E51" s="22" t="s">
        <v>164</v>
      </c>
      <c r="F51" s="23" t="s">
        <v>165</v>
      </c>
      <c r="G51" s="86" t="s">
        <v>166</v>
      </c>
      <c r="H51" s="82" t="s">
        <v>88</v>
      </c>
      <c r="I51" s="70"/>
    </row>
    <row r="52" hidden="1">
      <c r="A52" s="87">
        <f t="shared" si="1"/>
        <v>42</v>
      </c>
      <c r="B52" s="88" t="s">
        <v>129</v>
      </c>
      <c r="C52" s="88" t="s">
        <v>25</v>
      </c>
      <c r="D52" s="88">
        <v>4.0</v>
      </c>
      <c r="E52" s="89" t="s">
        <v>167</v>
      </c>
      <c r="F52" s="89" t="s">
        <v>168</v>
      </c>
      <c r="G52" s="89" t="s">
        <v>169</v>
      </c>
      <c r="H52" s="90" t="s">
        <v>65</v>
      </c>
      <c r="I52" s="91"/>
    </row>
  </sheetData>
  <customSheetViews>
    <customSheetView guid="{BD2BFDC6-D711-4E6E-975A-2B85C5AC3729}" filter="1" showAutoFilter="1">
      <autoFilter ref="$A$10:$I$52"/>
    </customSheetView>
    <customSheetView guid="{680FE7E2-9B27-4570-AE4E-A947C5A21C15}" filter="1" showAutoFilter="1">
      <autoFilter ref="$A$10:$I$52"/>
    </customSheetView>
  </customSheetViews>
  <mergeCells count="1">
    <mergeCell ref="D3:E3"/>
  </mergeCells>
  <conditionalFormatting sqref="I20:I51">
    <cfRule type="cellIs" dxfId="0" priority="1" operator="equal">
      <formula>"no"</formula>
    </cfRule>
  </conditionalFormatting>
  <dataValidations>
    <dataValidation type="list" allowBlank="1" sqref="B11:B52">
      <formula1>"H1: Visibility of System Status,H2: Match b/w System &amp; World,H3: User Control &amp; Freedom,H4: Consistency &amp; Standards,H5: Error Prevention,H6: Recognition not Recall,H7: Flexibility &amp; Efficiency of Use,H8: Aesthetic &amp; Minimalist Design,H9: Help Users with E"&amp;"rrors,H10: Help &amp; Documentation,H11: Accessible Design,H12: Value Alignment &amp; Inclusion"</formula1>
    </dataValidation>
    <dataValidation type="list" allowBlank="1" sqref="D11:D52">
      <formula1>"0,1,2,3,4"</formula1>
    </dataValidation>
    <dataValidation type="list" allowBlank="1" sqref="H11:H52">
      <formula1>"A,B,C,D"</formula1>
    </dataValidation>
    <dataValidation type="list" allowBlank="1" sqref="C11:C52">
      <formula1>"1. Simple Task,2. Moderate Task,3. Complex Task,4. All Tasks,5. Extra Violations"</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s>
  <sheetData>
    <row r="1">
      <c r="A1" s="92" t="s">
        <v>170</v>
      </c>
      <c r="B1" s="93" t="s">
        <v>171</v>
      </c>
      <c r="C1" s="93" t="s">
        <v>172</v>
      </c>
      <c r="D1" s="93" t="s">
        <v>173</v>
      </c>
      <c r="E1" s="93" t="s">
        <v>174</v>
      </c>
      <c r="F1" s="93" t="s">
        <v>175</v>
      </c>
      <c r="G1" s="94" t="s">
        <v>176</v>
      </c>
      <c r="I1" s="95"/>
      <c r="J1" s="95"/>
      <c r="K1" s="95"/>
      <c r="L1" s="95"/>
    </row>
    <row r="2">
      <c r="A2" s="96" t="s">
        <v>30</v>
      </c>
      <c r="B2" s="97">
        <f>COUNTIFS('Group Heuristic Evaluation'!B:B, "H1: Visibility of System Status", 'Group Heuristic Evaluation'!D:D, 0)</f>
        <v>0</v>
      </c>
      <c r="C2" s="97">
        <f>COUNTIFS('Group Heuristic Evaluation'!B:B, "H1: Visibility of System Status", 'Group Heuristic Evaluation'!D:D, 1)</f>
        <v>5</v>
      </c>
      <c r="D2" s="98">
        <f>COUNTIFS('Group Heuristic Evaluation'!B:B, "H1: Visibility of System Status", 'Group Heuristic Evaluation'!D:D, 2)</f>
        <v>2</v>
      </c>
      <c r="E2" s="98">
        <f>COUNTIFS('Group Heuristic Evaluation'!B:B, "H1: Visibility of System Status", 'Group Heuristic Evaluation'!D:D, 3)</f>
        <v>3</v>
      </c>
      <c r="F2" s="98">
        <f>COUNTIFS('Group Heuristic Evaluation'!B:B, "H1: Visibility of System Status", 'Group Heuristic Evaluation'!D:D, 4)</f>
        <v>0</v>
      </c>
      <c r="G2" s="99">
        <f t="shared" ref="G2:G5" si="1">SUM(B2:F2)</f>
        <v>10</v>
      </c>
      <c r="I2" s="95"/>
      <c r="J2" s="95"/>
      <c r="K2" s="95"/>
      <c r="L2" s="95"/>
    </row>
    <row r="3">
      <c r="A3" s="100" t="s">
        <v>56</v>
      </c>
      <c r="B3" s="97">
        <f>COUNTIFS('Group Heuristic Evaluation'!B:B, "H2: Match b/w System &amp; World", 'Group Heuristic Evaluation'!D:D, 0)</f>
        <v>0</v>
      </c>
      <c r="C3" s="98">
        <f>COUNTIFS('Group Heuristic Evaluation'!B:B, "H2: Match b/w System &amp; World", 'Group Heuristic Evaluation'!D:D, 1)</f>
        <v>1</v>
      </c>
      <c r="D3" s="98">
        <f>COUNTIFS('Group Heuristic Evaluation'!B:B, "H2: Match b/w System &amp; World", 'Group Heuristic Evaluation'!D:D, 2)</f>
        <v>1</v>
      </c>
      <c r="E3" s="98">
        <f>COUNTIFS('Group Heuristic Evaluation'!B:B, "H2: Match b/w System &amp; World", 'Group Heuristic Evaluation'!D:D, 3)</f>
        <v>1</v>
      </c>
      <c r="F3" s="98">
        <f>COUNTIFS('Group Heuristic Evaluation'!B:B, "H2: Match b/w System &amp; World", 'Group Heuristic Evaluation'!D:D, 4)</f>
        <v>0</v>
      </c>
      <c r="G3" s="101">
        <f t="shared" si="1"/>
        <v>3</v>
      </c>
      <c r="I3" s="95"/>
      <c r="J3" s="95"/>
      <c r="K3" s="95"/>
      <c r="L3" s="95"/>
    </row>
    <row r="4">
      <c r="A4" s="100" t="s">
        <v>18</v>
      </c>
      <c r="B4" s="97">
        <f>COUNTIFS('Group Heuristic Evaluation'!B:B, "H3: User Control &amp; Freedom", 'Group Heuristic Evaluation'!D:D, 0)</f>
        <v>0</v>
      </c>
      <c r="C4" s="98">
        <f>COUNTIFS('Group Heuristic Evaluation'!B:B, "H3: User Control &amp; Freedom", 'Group Heuristic Evaluation'!D:D, 1)</f>
        <v>1</v>
      </c>
      <c r="D4" s="98">
        <f>COUNTIFS('Group Heuristic Evaluation'!B:B, "H3: User Control &amp; Freedom", 'Group Heuristic Evaluation'!D:D, 2)</f>
        <v>2</v>
      </c>
      <c r="E4" s="98">
        <f>COUNTIFS('Group Heuristic Evaluation'!B:B, "H3: User Control &amp; Freedom", 'Group Heuristic Evaluation'!D:D, 3)</f>
        <v>0</v>
      </c>
      <c r="F4" s="98">
        <f>COUNTIFS('Group Heuristic Evaluation'!B:B, "H3: User Control &amp; Freedom", 'Group Heuristic Evaluation'!D:D, 4)</f>
        <v>0</v>
      </c>
      <c r="G4" s="101">
        <f t="shared" si="1"/>
        <v>3</v>
      </c>
      <c r="I4" s="95"/>
      <c r="J4" s="95"/>
      <c r="K4" s="95"/>
      <c r="L4" s="95"/>
    </row>
    <row r="5">
      <c r="A5" s="100" t="s">
        <v>61</v>
      </c>
      <c r="B5" s="97">
        <f>COUNTIFS('Group Heuristic Evaluation'!B:B, "H4: Consistency &amp; Standards", 'Group Heuristic Evaluation'!D:D, 0)</f>
        <v>0</v>
      </c>
      <c r="C5" s="98">
        <f>COUNTIFS('Group Heuristic Evaluation'!B:B, "H4: Consistency &amp; Standards", 'Group Heuristic Evaluation'!D:D, 1)</f>
        <v>1</v>
      </c>
      <c r="D5" s="98">
        <f>COUNTIFS('Group Heuristic Evaluation'!B:B, "H4: Consistency &amp; Standards", 'Group Heuristic Evaluation'!D:D, 2)</f>
        <v>2</v>
      </c>
      <c r="E5" s="98">
        <f>COUNTIFS('Group Heuristic Evaluation'!B:B, "H4: Consistency &amp; Standards", 'Group Heuristic Evaluation'!D:D, 3)</f>
        <v>0</v>
      </c>
      <c r="F5" s="98">
        <f>COUNTIFS('Group Heuristic Evaluation'!B:B, "H4: Consistency &amp; Standards", 'Group Heuristic Evaluation'!D:D, 4)</f>
        <v>0</v>
      </c>
      <c r="G5" s="101">
        <f t="shared" si="1"/>
        <v>3</v>
      </c>
      <c r="I5" s="95"/>
      <c r="J5" s="95"/>
      <c r="K5" s="95"/>
      <c r="L5" s="95"/>
    </row>
    <row r="6">
      <c r="A6" s="100" t="s">
        <v>89</v>
      </c>
      <c r="B6" s="97">
        <f>COUNTIFS('Group Heuristic Evaluation'!B:B, "H5: Error Prevention", 'Group Heuristic Evaluation'!D:D, 0)</f>
        <v>0</v>
      </c>
      <c r="C6" s="98">
        <f>COUNTIFS('Group Heuristic Evaluation'!B:B, "H5: Error Prevention", 'Group Heuristic Evaluation'!D:D, 1)</f>
        <v>0</v>
      </c>
      <c r="D6" s="98">
        <f>COUNTIFS('Group Heuristic Evaluation'!B:B, "H5: Error Prevention", 'Group Heuristic Evaluation'!D:D, 2)</f>
        <v>1</v>
      </c>
      <c r="E6" s="98">
        <f>COUNTIFS('Group Heuristic Evaluation'!B:B, "H5: Error Prevention", 'Group Heuristic Evaluation'!D:D, 3)</f>
        <v>1</v>
      </c>
      <c r="F6" s="98">
        <f>COUNTIFS('Group Heuristic Evaluation'!B:B, "H5: Error Prevention", 'Group Heuristic Evaluation'!D:D, 4)</f>
        <v>0</v>
      </c>
      <c r="G6" s="101">
        <f>SUM(C6:F6)</f>
        <v>2</v>
      </c>
      <c r="I6" s="95"/>
      <c r="J6" s="95"/>
      <c r="K6" s="95"/>
      <c r="L6" s="95"/>
    </row>
    <row r="7">
      <c r="A7" s="100" t="s">
        <v>119</v>
      </c>
      <c r="B7" s="97">
        <f>COUNTIFS('Group Heuristic Evaluation'!B:B, "H6: Recognition not Recall", 'Group Heuristic Evaluation'!D:D, 0)</f>
        <v>0</v>
      </c>
      <c r="C7" s="98">
        <f>COUNTIFS('Group Heuristic Evaluation'!B:B, "H6: Recognition not Recall", 'Group Heuristic Evaluation'!D:D, 1)</f>
        <v>0</v>
      </c>
      <c r="D7" s="98">
        <f>COUNTIFS('Group Heuristic Evaluation'!B:B, "H6: Recognition not Recall", 'Group Heuristic Evaluation'!D:D, 2)</f>
        <v>1</v>
      </c>
      <c r="E7" s="98">
        <f>COUNTIFS('Group Heuristic Evaluation'!B:B, "H6: Recognition not Recall", 'Group Heuristic Evaluation'!D:D, 3)</f>
        <v>2</v>
      </c>
      <c r="F7" s="98">
        <f>COUNTIFS('Group Heuristic Evaluation'!B:B, "H6: Recognition not Recall", 'Group Heuristic Evaluation'!D:D, 4)</f>
        <v>0</v>
      </c>
      <c r="G7" s="101">
        <f t="shared" ref="G7:G13" si="2">SUM(B7:F7)</f>
        <v>3</v>
      </c>
      <c r="I7" s="95"/>
      <c r="J7" s="95"/>
      <c r="K7" s="95"/>
      <c r="L7" s="95"/>
    </row>
    <row r="8">
      <c r="A8" s="100" t="s">
        <v>34</v>
      </c>
      <c r="B8" s="97">
        <f>COUNTIFS('Group Heuristic Evaluation'!B:B, "H7: Flexibility &amp; Efficiency of Use", 'Group Heuristic Evaluation'!D:D, 0)</f>
        <v>0</v>
      </c>
      <c r="C8" s="98">
        <f>COUNTIFS('Group Heuristic Evaluation'!B:B, "H7: Flexibility &amp; Efficiency of Use", 'Group Heuristic Evaluation'!D:D, 1)</f>
        <v>1</v>
      </c>
      <c r="D8" s="98">
        <f>COUNTIFS('Group Heuristic Evaluation'!B:B, "H7: Flexibility &amp; Efficiency of Use", 'Group Heuristic Evaluation'!D:D, 2)</f>
        <v>0</v>
      </c>
      <c r="E8" s="98">
        <f>COUNTIFS('Group Heuristic Evaluation'!B:B, "H7: Flexibility &amp; Efficiency of Use", 'Group Heuristic Evaluation'!D:D, 3)</f>
        <v>1</v>
      </c>
      <c r="F8" s="98">
        <f>COUNTIFS('Group Heuristic Evaluation'!B:B, "H7: Flexibility &amp; Efficiency of Use", 'Group Heuristic Evaluation'!D:D, 4)</f>
        <v>0</v>
      </c>
      <c r="G8" s="101">
        <f t="shared" si="2"/>
        <v>2</v>
      </c>
      <c r="I8" s="95"/>
      <c r="J8" s="95"/>
      <c r="K8" s="95"/>
      <c r="L8" s="95"/>
    </row>
    <row r="9">
      <c r="A9" s="100" t="s">
        <v>96</v>
      </c>
      <c r="B9" s="97">
        <f>COUNTIFS('Group Heuristic Evaluation'!B:B, "H8: Aesthetic &amp; Minimalist Design", 'Group Heuristic Evaluation'!D:D, 0)</f>
        <v>0</v>
      </c>
      <c r="C9" s="102">
        <f>COUNTIFS('Group Heuristic Evaluation'!B:B, "H8: Aesthetic &amp; Minimalist Design", 'Group Heuristic Evaluation'!D:D, 1)</f>
        <v>0</v>
      </c>
      <c r="D9" s="102">
        <f>COUNTIFS('Group Heuristic Evaluation'!B:B, "H8: Aesthetic &amp; Minimalist Design", 'Group Heuristic Evaluation'!D:D, 2)</f>
        <v>2</v>
      </c>
      <c r="E9" s="102">
        <f>COUNTIFS('Group Heuristic Evaluation'!B:B, "H8: Aesthetic &amp; Minimalist Design", 'Group Heuristic Evaluation'!D:D, 3)</f>
        <v>1</v>
      </c>
      <c r="F9" s="102">
        <f>COUNTIFS('Group Heuristic Evaluation'!B:B, "H8: Aesthetic &amp; Minimalist Design", 'Group Heuristic Evaluation'!D:D, 4)</f>
        <v>0</v>
      </c>
      <c r="G9" s="101">
        <f t="shared" si="2"/>
        <v>3</v>
      </c>
      <c r="I9" s="95"/>
      <c r="J9" s="95"/>
      <c r="K9" s="95"/>
      <c r="L9" s="95"/>
    </row>
    <row r="10">
      <c r="A10" s="100" t="s">
        <v>154</v>
      </c>
      <c r="B10" s="97">
        <f>COUNTIFS('Group Heuristic Evaluation'!B:B, "H9: Help Users with Errors", 'Group Heuristic Evaluation'!D:D, 0)</f>
        <v>0</v>
      </c>
      <c r="C10" s="102">
        <f>COUNTIFS('Group Heuristic Evaluation'!B:B, "H9: Help Users with Errors", 'Group Heuristic Evaluation'!D:D, 1)</f>
        <v>0</v>
      </c>
      <c r="D10" s="102">
        <f>COUNTIFS('Group Heuristic Evaluation'!B:B, "H9: Help Users with Errors", 'Group Heuristic Evaluation'!D:D, 2)</f>
        <v>0</v>
      </c>
      <c r="E10" s="102">
        <f>COUNTIFS('Group Heuristic Evaluation'!B:B, "H9: Help Users with Errors", 'Group Heuristic Evaluation'!D:D, 3)</f>
        <v>1</v>
      </c>
      <c r="F10" s="102">
        <f>COUNTIFS('Group Heuristic Evaluation'!B:B, "H9: Help Users with Errors", 'Group Heuristic Evaluation'!D:D, 4)</f>
        <v>0</v>
      </c>
      <c r="G10" s="101">
        <f t="shared" si="2"/>
        <v>1</v>
      </c>
      <c r="I10" s="95"/>
      <c r="J10" s="95"/>
      <c r="K10" s="95"/>
      <c r="L10" s="95"/>
    </row>
    <row r="11">
      <c r="A11" s="100" t="s">
        <v>74</v>
      </c>
      <c r="B11" s="97">
        <f>COUNTIFS('Group Heuristic Evaluation'!B:B, "H10: Help &amp; Documentation", 'Group Heuristic Evaluation'!D:D, 0)</f>
        <v>0</v>
      </c>
      <c r="C11" s="102">
        <f>COUNTIFS('Group Heuristic Evaluation'!B:B, "H10: Help &amp; Documentation", 'Group Heuristic Evaluation'!D:D, 1)</f>
        <v>0</v>
      </c>
      <c r="D11" s="102">
        <f>COUNTIFS('Group Heuristic Evaluation'!B:B, "H10: Help &amp; Documentation", 'Group Heuristic Evaluation'!D:D, 2)</f>
        <v>4</v>
      </c>
      <c r="E11" s="102">
        <f>COUNTIFS('Group Heuristic Evaluation'!B:B, "H10: Help &amp; Documentation", 'Group Heuristic Evaluation'!D:D, 3)</f>
        <v>2</v>
      </c>
      <c r="F11" s="102">
        <f>COUNTIFS('Group Heuristic Evaluation'!B:B, "H10: Help &amp; Documentation", 'Group Heuristic Evaluation'!D:D, 4)</f>
        <v>0</v>
      </c>
      <c r="G11" s="101">
        <f t="shared" si="2"/>
        <v>6</v>
      </c>
      <c r="I11" s="95"/>
      <c r="J11" s="95"/>
      <c r="K11" s="95"/>
      <c r="L11" s="95"/>
    </row>
    <row r="12">
      <c r="A12" s="100" t="s">
        <v>24</v>
      </c>
      <c r="B12" s="97">
        <f>COUNTIFS('Group Heuristic Evaluation'!B:B, "H11: Accessible Design", 'Group Heuristic Evaluation'!D:D, 0)</f>
        <v>0</v>
      </c>
      <c r="C12" s="102">
        <f>COUNTIFS('Group Heuristic Evaluation'!B:B, "H11: Accessible Design", 'Group Heuristic Evaluation'!D:D, 1)</f>
        <v>2</v>
      </c>
      <c r="D12" s="102">
        <f>COUNTIFS('Group Heuristic Evaluation'!B:B, "H11: Accessible Design", 'Group Heuristic Evaluation'!D:D, 2)</f>
        <v>2</v>
      </c>
      <c r="E12" s="102">
        <f>COUNTIFS('Group Heuristic Evaluation'!B:B, "H11: Accessible Design", 'Group Heuristic Evaluation'!D:D, 3)</f>
        <v>0</v>
      </c>
      <c r="F12" s="102">
        <f>COUNTIFS('Group Heuristic Evaluation'!B:B, "H11: Accessible Design", 'Group Heuristic Evaluation'!D:D, 4)</f>
        <v>0</v>
      </c>
      <c r="G12" s="101">
        <f t="shared" si="2"/>
        <v>4</v>
      </c>
      <c r="I12" s="95"/>
      <c r="J12" s="95"/>
      <c r="K12" s="95"/>
      <c r="L12" s="95"/>
    </row>
    <row r="13">
      <c r="A13" s="100" t="s">
        <v>177</v>
      </c>
      <c r="B13" s="97">
        <f>COUNTIFS('Group Heuristic Evaluation'!B:B, "H12: Value Alignment &amp; Inclusion", 'Group Heuristic Evaluation'!D:D, 0)</f>
        <v>0</v>
      </c>
      <c r="C13" s="102">
        <f>COUNTIFS('Group Heuristic Evaluation'!B:B, "H12: Value Alignment &amp; Inclusion", 'Group Heuristic Evaluation'!D:D, 1)</f>
        <v>0</v>
      </c>
      <c r="D13" s="102">
        <f>COUNTIFS('Group Heuristic Evaluation'!B:B, "H12: Value Alignment &amp; Inclusion", 'Group Heuristic Evaluation'!D:D, 2)</f>
        <v>0</v>
      </c>
      <c r="E13" s="102">
        <f>COUNTIFS('Group Heuristic Evaluation'!B:B, "H12: Value Alignment &amp; Inclusion", 'Group Heuristic Evaluation'!D:D, 3)</f>
        <v>1</v>
      </c>
      <c r="F13" s="102">
        <f>COUNTIFS('Group Heuristic Evaluation'!B:B, "H12: Value Alignment &amp; Inclusion", 'Group Heuristic Evaluation'!D:D, 4)</f>
        <v>1</v>
      </c>
      <c r="G13" s="101">
        <f t="shared" si="2"/>
        <v>2</v>
      </c>
      <c r="I13" s="95"/>
      <c r="J13" s="95"/>
      <c r="K13" s="95"/>
      <c r="L13" s="95"/>
    </row>
    <row r="14">
      <c r="A14" s="103" t="s">
        <v>178</v>
      </c>
      <c r="B14" s="104">
        <f>SUM(B2:B13)</f>
        <v>0</v>
      </c>
      <c r="C14" s="104">
        <f t="shared" ref="C14:D14" si="3">SUM(C1:C13)</f>
        <v>11</v>
      </c>
      <c r="D14" s="104">
        <f t="shared" si="3"/>
        <v>17</v>
      </c>
      <c r="E14" s="104">
        <f t="shared" ref="E14:G14" si="4">SUM(E2:E13)</f>
        <v>13</v>
      </c>
      <c r="F14" s="104">
        <f t="shared" si="4"/>
        <v>1</v>
      </c>
      <c r="G14" s="105">
        <f t="shared" si="4"/>
        <v>42</v>
      </c>
      <c r="I14" s="95"/>
      <c r="J14" s="95"/>
      <c r="K14" s="95"/>
      <c r="L14" s="95"/>
    </row>
    <row r="16">
      <c r="A16" s="106"/>
      <c r="B16" s="106"/>
      <c r="C16" s="106"/>
      <c r="D16" s="106"/>
      <c r="E16" s="106"/>
      <c r="F16" s="106"/>
      <c r="G16" s="106"/>
    </row>
    <row r="17">
      <c r="A17" s="106"/>
      <c r="B17" s="106"/>
      <c r="C17" s="106"/>
      <c r="D17" s="106"/>
      <c r="E17" s="106"/>
      <c r="F17" s="106"/>
      <c r="G17" s="106"/>
    </row>
    <row r="18">
      <c r="A18" s="106"/>
      <c r="B18" s="106"/>
      <c r="C18" s="106"/>
      <c r="D18" s="106"/>
      <c r="E18" s="106"/>
      <c r="F18" s="106"/>
      <c r="G18" s="106"/>
    </row>
    <row r="19">
      <c r="A19" s="106"/>
      <c r="B19" s="106"/>
      <c r="C19" s="106"/>
      <c r="D19" s="106"/>
      <c r="E19" s="106"/>
      <c r="F19" s="106"/>
      <c r="G19" s="106"/>
    </row>
    <row r="20">
      <c r="A20" s="106"/>
      <c r="B20" s="106"/>
      <c r="C20" s="106"/>
      <c r="D20" s="106"/>
      <c r="E20" s="106"/>
      <c r="F20" s="106"/>
      <c r="G20" s="106"/>
    </row>
    <row r="21">
      <c r="A21" s="106"/>
      <c r="B21" s="106"/>
      <c r="C21" s="106"/>
      <c r="D21" s="106"/>
      <c r="E21" s="106"/>
      <c r="F21" s="106"/>
      <c r="G21" s="106"/>
    </row>
    <row r="22">
      <c r="A22" s="106"/>
      <c r="B22" s="106"/>
      <c r="C22" s="106"/>
      <c r="D22" s="106"/>
      <c r="E22" s="106"/>
      <c r="F22" s="106"/>
      <c r="G22" s="106"/>
    </row>
    <row r="23">
      <c r="A23" s="106"/>
      <c r="B23" s="106"/>
      <c r="C23" s="106"/>
      <c r="D23" s="106"/>
      <c r="E23" s="106"/>
      <c r="F23" s="106"/>
      <c r="G23" s="106"/>
    </row>
    <row r="24">
      <c r="A24" s="106"/>
      <c r="B24" s="106"/>
      <c r="C24" s="106"/>
      <c r="D24" s="106"/>
      <c r="E24" s="106"/>
      <c r="F24" s="106"/>
      <c r="G24" s="106"/>
    </row>
    <row r="25">
      <c r="A25" s="106"/>
      <c r="B25" s="106"/>
      <c r="C25" s="106"/>
      <c r="D25" s="106"/>
      <c r="E25" s="106"/>
      <c r="F25" s="106"/>
      <c r="G25" s="106"/>
    </row>
    <row r="26">
      <c r="A26" s="106"/>
      <c r="B26" s="106"/>
      <c r="C26" s="106"/>
      <c r="D26" s="106"/>
      <c r="E26" s="106"/>
      <c r="F26" s="106"/>
      <c r="G26" s="106"/>
    </row>
    <row r="27">
      <c r="A27" s="106"/>
      <c r="B27" s="106"/>
      <c r="C27" s="106"/>
      <c r="D27" s="106"/>
      <c r="E27" s="106"/>
      <c r="F27" s="106"/>
      <c r="G27" s="106"/>
    </row>
    <row r="28">
      <c r="A28" s="106"/>
      <c r="B28" s="106"/>
      <c r="C28" s="106"/>
      <c r="D28" s="106"/>
      <c r="E28" s="106"/>
      <c r="F28" s="106"/>
      <c r="G28" s="106"/>
    </row>
    <row r="29">
      <c r="A29" s="106"/>
      <c r="B29" s="106"/>
      <c r="C29" s="106"/>
      <c r="D29" s="106"/>
      <c r="E29" s="106"/>
      <c r="F29" s="106"/>
      <c r="G29" s="106"/>
    </row>
    <row r="32">
      <c r="A32" s="107"/>
      <c r="B32" s="107"/>
      <c r="C32" s="107"/>
      <c r="D32" s="107"/>
      <c r="E32" s="107"/>
      <c r="F32" s="107"/>
      <c r="G32" s="107"/>
    </row>
    <row r="33">
      <c r="A33" s="107"/>
      <c r="B33" s="107"/>
      <c r="C33" s="107"/>
      <c r="D33" s="107"/>
      <c r="E33" s="107"/>
      <c r="F33" s="107"/>
      <c r="G33" s="107"/>
    </row>
    <row r="34">
      <c r="A34" s="107"/>
      <c r="B34" s="107"/>
      <c r="C34" s="107"/>
      <c r="D34" s="107"/>
      <c r="E34" s="107"/>
      <c r="F34" s="107"/>
      <c r="G34" s="107"/>
    </row>
    <row r="35">
      <c r="A35" s="107"/>
      <c r="B35" s="107"/>
      <c r="C35" s="107"/>
      <c r="D35" s="107"/>
      <c r="E35" s="107"/>
      <c r="F35" s="107"/>
      <c r="G35" s="107"/>
    </row>
    <row r="36">
      <c r="A36" s="107"/>
      <c r="B36" s="107"/>
      <c r="C36" s="107"/>
      <c r="D36" s="107"/>
      <c r="E36" s="107"/>
      <c r="F36" s="107"/>
      <c r="G36" s="107"/>
    </row>
    <row r="37">
      <c r="A37" s="107"/>
      <c r="B37" s="107"/>
      <c r="C37" s="107"/>
      <c r="D37" s="107"/>
      <c r="E37" s="107"/>
      <c r="F37" s="107"/>
      <c r="G37" s="107"/>
    </row>
    <row r="38">
      <c r="A38" s="107"/>
      <c r="B38" s="107"/>
      <c r="C38" s="107"/>
      <c r="D38" s="107"/>
      <c r="E38" s="107"/>
      <c r="F38" s="107"/>
      <c r="G38" s="107"/>
    </row>
    <row r="39">
      <c r="A39" s="107"/>
      <c r="B39" s="107"/>
      <c r="C39" s="107"/>
      <c r="D39" s="107"/>
      <c r="E39" s="107"/>
      <c r="F39" s="107"/>
      <c r="G39" s="107"/>
    </row>
    <row r="40">
      <c r="A40" s="107"/>
      <c r="B40" s="107"/>
      <c r="C40" s="107"/>
      <c r="D40" s="107"/>
      <c r="E40" s="107"/>
      <c r="F40" s="107"/>
      <c r="G40" s="107"/>
    </row>
    <row r="41">
      <c r="A41" s="107"/>
      <c r="B41" s="107"/>
      <c r="C41" s="107"/>
      <c r="D41" s="107"/>
      <c r="E41" s="107"/>
      <c r="F41" s="107"/>
      <c r="G41" s="107"/>
    </row>
    <row r="42">
      <c r="A42" s="107"/>
      <c r="B42" s="107"/>
      <c r="C42" s="107"/>
      <c r="D42" s="107"/>
      <c r="E42" s="107"/>
      <c r="F42" s="107"/>
      <c r="G42" s="107"/>
    </row>
    <row r="43">
      <c r="A43" s="107"/>
      <c r="B43" s="107"/>
      <c r="C43" s="107"/>
      <c r="D43" s="107"/>
      <c r="E43" s="107"/>
      <c r="F43" s="107"/>
      <c r="G43" s="107"/>
    </row>
    <row r="44">
      <c r="A44" s="107"/>
      <c r="B44" s="107"/>
      <c r="C44" s="107"/>
      <c r="D44" s="107"/>
      <c r="E44" s="107"/>
      <c r="F44" s="107"/>
      <c r="G44" s="107"/>
    </row>
    <row r="45">
      <c r="A45" s="107"/>
      <c r="B45" s="107"/>
      <c r="C45" s="107"/>
      <c r="D45" s="107"/>
      <c r="E45" s="107"/>
      <c r="F45" s="107"/>
      <c r="G45" s="10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5" width="14.5"/>
  </cols>
  <sheetData>
    <row r="1">
      <c r="A1" s="108" t="s">
        <v>179</v>
      </c>
    </row>
    <row r="2">
      <c r="A2" s="109" t="s">
        <v>180</v>
      </c>
      <c r="B2" s="109" t="s">
        <v>29</v>
      </c>
      <c r="C2" s="109" t="s">
        <v>42</v>
      </c>
      <c r="D2" s="109" t="s">
        <v>65</v>
      </c>
      <c r="E2" s="109" t="s">
        <v>181</v>
      </c>
    </row>
    <row r="3">
      <c r="A3" s="110">
        <v>0.0</v>
      </c>
      <c r="B3" s="102">
        <f>COUNTIFS('Group Heuristic Evaluation'!H:H, "*A*",'Group Heuristic Evaluation'!D:D, 0)/COUNTA('Group Heuristic Evaluation'!B:B)
</f>
        <v>0</v>
      </c>
      <c r="C3" s="111">
        <f>COUNTIFS('Group Heuristic Evaluation'!H:H, "*B*",'Group Heuristic Evaluation'!D:D, 0)/COUNTA('Group Heuristic Evaluation'!B:B)</f>
        <v>0</v>
      </c>
      <c r="D3" s="102">
        <f>COUNTIFS('Group Heuristic Evaluation'!H:H, "*C*",'Group Heuristic Evaluation'!D:D, 0)/COUNTA('Group Heuristic Evaluation'!B:B)</f>
        <v>0</v>
      </c>
      <c r="E3" s="102">
        <f>COUNTIFS('Group Heuristic Evaluation'!H:H, "*D*",'Group Heuristic Evaluation'!D:D, 0)/COUNTA('Group Heuristic Evaluation'!B:B)</f>
        <v>0</v>
      </c>
    </row>
    <row r="4">
      <c r="A4" s="110">
        <v>1.0</v>
      </c>
      <c r="B4" s="102">
        <f>COUNTIFS('Group Heuristic Evaluation'!H:H, "*A*",'Group Heuristic Evaluation'!D:D, 1)/COUNTA('Group Heuristic Evaluation'!B:B)
</f>
        <v>0.08510638298</v>
      </c>
      <c r="C4" s="111">
        <f>COUNTIFS('Group Heuristic Evaluation'!H:H, "*B*",'Group Heuristic Evaluation'!D:D, 1)/COUNTA('Group Heuristic Evaluation'!B:B)</f>
        <v>0.1489361702</v>
      </c>
      <c r="D4" s="102">
        <f>COUNTIFS('Group Heuristic Evaluation'!H:H, "*C*",'Group Heuristic Evaluation'!D:D, 1)/COUNTA('Group Heuristic Evaluation'!B:B)</f>
        <v>0.04255319149</v>
      </c>
      <c r="E4" s="102">
        <f>COUNTIFS('Group Heuristic Evaluation'!H:H, "*D*",'Group Heuristic Evaluation'!D:D, 1)/COUNTA('Group Heuristic Evaluation'!B:B)</f>
        <v>0</v>
      </c>
    </row>
    <row r="5">
      <c r="A5" s="110">
        <v>2.0</v>
      </c>
      <c r="B5" s="102">
        <f>COUNTIFS('Group Heuristic Evaluation'!H:H, "*A*",'Group Heuristic Evaluation'!D:D, 2)/COUNTA('Group Heuristic Evaluation'!B:B)
</f>
        <v>0.1914893617</v>
      </c>
      <c r="C5" s="111">
        <f>COUNTIFS('Group Heuristic Evaluation'!H:H, "*B*",'Group Heuristic Evaluation'!D:D, 2)/COUNTA('Group Heuristic Evaluation'!B:B)</f>
        <v>0.1489361702</v>
      </c>
      <c r="D5" s="102">
        <f>COUNTIFS('Group Heuristic Evaluation'!H:H, "*C*",'Group Heuristic Evaluation'!D:D, 2)/COUNTA('Group Heuristic Evaluation'!B:B)</f>
        <v>0.2340425532</v>
      </c>
      <c r="E5" s="102">
        <f>COUNTIFS('Group Heuristic Evaluation'!H:H, "*D*",'Group Heuristic Evaluation'!D:D, 2)/COUNTA('Group Heuristic Evaluation'!B:B)</f>
        <v>0</v>
      </c>
    </row>
    <row r="6">
      <c r="A6" s="110">
        <v>3.0</v>
      </c>
      <c r="B6" s="102">
        <f>COUNTIFS('Group Heuristic Evaluation'!H:H, "*A*",'Group Heuristic Evaluation'!D:D, 3)/COUNTA('Group Heuristic Evaluation'!B:B)
</f>
        <v>0.2340425532</v>
      </c>
      <c r="C6" s="111">
        <f>COUNTIFS('Group Heuristic Evaluation'!H:H, "*B*",'Group Heuristic Evaluation'!D:D, 3)/COUNTA('Group Heuristic Evaluation'!B:B)</f>
        <v>0.08510638298</v>
      </c>
      <c r="D6" s="102">
        <f>COUNTIFS('Group Heuristic Evaluation'!H:H, "*C*",'Group Heuristic Evaluation'!D:D, 3)/COUNTA('Group Heuristic Evaluation'!B:B)</f>
        <v>0.2127659574</v>
      </c>
      <c r="E6" s="102">
        <f>COUNTIFS('Group Heuristic Evaluation'!H:H, "*D*",'Group Heuristic Evaluation'!D:D, 3)/COUNTA('Group Heuristic Evaluation'!B:B)</f>
        <v>0</v>
      </c>
    </row>
    <row r="7">
      <c r="A7" s="110">
        <v>4.0</v>
      </c>
      <c r="B7" s="102">
        <f>COUNTIFS('Group Heuristic Evaluation'!H:H, "*A*",'Group Heuristic Evaluation'!D:D, 4)/COUNTA('Group Heuristic Evaluation'!B:B)
</f>
        <v>0</v>
      </c>
      <c r="C7" s="111">
        <f>COUNTIFS('Group Heuristic Evaluation'!H:H, "*B*",'Group Heuristic Evaluation'!D:D, 4)/COUNTA('Group Heuristic Evaluation'!B:B)</f>
        <v>0</v>
      </c>
      <c r="D7" s="102">
        <f>COUNTIFS('Group Heuristic Evaluation'!H:H, "*C*",'Group Heuristic Evaluation'!D:D, 4)/COUNTA('Group Heuristic Evaluation'!B:B)</f>
        <v>0.02127659574</v>
      </c>
      <c r="E7" s="102">
        <f>COUNTIFS('Group Heuristic Evaluation'!H:H, "*D*",'Group Heuristic Evaluation'!D:D, 4)/COUNTA('Group Heuristic Evaluation'!B:B)</f>
        <v>0</v>
      </c>
    </row>
    <row r="8">
      <c r="A8" s="95" t="s">
        <v>182</v>
      </c>
      <c r="B8" s="112">
        <f t="shared" ref="B8:E8" si="1">SUM(B6:B7)</f>
        <v>0.2340425532</v>
      </c>
      <c r="C8" s="112">
        <f t="shared" si="1"/>
        <v>0.08510638298</v>
      </c>
      <c r="D8" s="112">
        <f t="shared" si="1"/>
        <v>0.2340425532</v>
      </c>
      <c r="E8" s="112">
        <f t="shared" si="1"/>
        <v>0</v>
      </c>
    </row>
    <row r="9">
      <c r="A9" s="95" t="s">
        <v>183</v>
      </c>
      <c r="B9" s="112">
        <f t="shared" ref="B9:E9" si="2">SUM(B3:B7)</f>
        <v>0.5106382979</v>
      </c>
      <c r="C9" s="112">
        <f t="shared" si="2"/>
        <v>0.3829787234</v>
      </c>
      <c r="D9" s="112">
        <f t="shared" si="2"/>
        <v>0.5106382979</v>
      </c>
      <c r="E9" s="112">
        <f t="shared" si="2"/>
        <v>0</v>
      </c>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3" t="s">
        <v>184</v>
      </c>
      <c r="B1" s="114"/>
      <c r="C1" s="114"/>
      <c r="D1" s="114"/>
      <c r="E1" s="114"/>
      <c r="F1" s="114"/>
      <c r="G1" s="115"/>
    </row>
    <row r="2">
      <c r="A2" s="116" t="s">
        <v>185</v>
      </c>
    </row>
  </sheetData>
  <mergeCells count="2">
    <mergeCell ref="A1:G1"/>
    <mergeCell ref="A2:G27"/>
  </mergeCells>
  <drawing r:id="rId1"/>
</worksheet>
</file>