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ortega/Downloads/"/>
    </mc:Choice>
  </mc:AlternateContent>
  <xr:revisionPtr revIDLastSave="0" documentId="13_ncr:1_{6312F318-2735-3A43-A32D-7CD974CDC355}" xr6:coauthVersionLast="45" xr6:coauthVersionMax="45" xr10:uidLastSave="{00000000-0000-0000-0000-000000000000}"/>
  <bookViews>
    <workbookView xWindow="-20" yWindow="460" windowWidth="25600" windowHeight="15540" activeTab="1" xr2:uid="{C788C8AF-841D-704B-8953-780E2672F43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2" l="1"/>
  <c r="C50" i="2" s="1"/>
  <c r="L44" i="2"/>
  <c r="J48" i="2" s="1"/>
  <c r="M44" i="2"/>
  <c r="J46" i="2" s="1"/>
  <c r="M43" i="2"/>
  <c r="N41" i="2"/>
  <c r="M41" i="2"/>
  <c r="L41" i="2"/>
  <c r="N40" i="2"/>
  <c r="N43" i="2" s="1"/>
  <c r="M40" i="2"/>
  <c r="L40" i="2"/>
  <c r="L43" i="2" s="1"/>
  <c r="G41" i="2"/>
  <c r="G42" i="2"/>
  <c r="G43" i="2" s="1"/>
  <c r="G40" i="2"/>
  <c r="F41" i="2"/>
  <c r="F42" i="2"/>
  <c r="F40" i="2"/>
  <c r="E41" i="2"/>
  <c r="E42" i="2"/>
  <c r="E40" i="2"/>
  <c r="E43" i="2" s="1"/>
  <c r="K44" i="2"/>
  <c r="J44" i="2"/>
  <c r="D44" i="2"/>
  <c r="E44" i="2"/>
  <c r="C48" i="2" s="1"/>
  <c r="F44" i="2"/>
  <c r="C46" i="2" s="1"/>
  <c r="D43" i="2"/>
  <c r="J43" i="2"/>
  <c r="J49" i="2" s="1"/>
  <c r="J50" i="2" s="1"/>
  <c r="K43" i="2"/>
  <c r="C44" i="2"/>
  <c r="C43" i="2"/>
  <c r="N44" i="2" l="1"/>
  <c r="J47" i="2" s="1"/>
  <c r="G44" i="2"/>
  <c r="C47" i="2" s="1"/>
  <c r="F43" i="2"/>
  <c r="O26" i="2"/>
  <c r="O29" i="2"/>
  <c r="O25" i="2"/>
  <c r="N23" i="2"/>
  <c r="J30" i="1"/>
  <c r="J26" i="2"/>
  <c r="J25" i="2"/>
  <c r="N29" i="2"/>
  <c r="K29" i="2"/>
  <c r="N28" i="2"/>
  <c r="O28" i="2" s="1"/>
  <c r="K28" i="2"/>
  <c r="N27" i="2"/>
  <c r="K27" i="2"/>
  <c r="N26" i="2"/>
  <c r="K26" i="2"/>
  <c r="N25" i="2"/>
  <c r="F23" i="2"/>
  <c r="C26" i="2"/>
  <c r="C25" i="2"/>
  <c r="D25" i="2" s="1"/>
  <c r="G29" i="2"/>
  <c r="D29" i="2"/>
  <c r="G28" i="2"/>
  <c r="D28" i="2"/>
  <c r="G27" i="2"/>
  <c r="D27" i="2"/>
  <c r="G26" i="2"/>
  <c r="D26" i="2"/>
  <c r="G25" i="2"/>
  <c r="C31" i="2" l="1"/>
  <c r="P26" i="2"/>
  <c r="O31" i="2"/>
  <c r="J31" i="2"/>
  <c r="N31" i="2"/>
  <c r="P28" i="2" s="1"/>
  <c r="P25" i="2"/>
  <c r="O27" i="2"/>
  <c r="K25" i="2"/>
  <c r="G31" i="2"/>
  <c r="I29" i="2" s="1"/>
  <c r="P14" i="2"/>
  <c r="T12" i="2"/>
  <c r="R12" i="2"/>
  <c r="Q12" i="2"/>
  <c r="M12" i="2"/>
  <c r="J12" i="2"/>
  <c r="F12" i="2"/>
  <c r="C12" i="2"/>
  <c r="D12" i="2" s="1"/>
  <c r="T11" i="2"/>
  <c r="R11" i="2"/>
  <c r="Q11" i="2"/>
  <c r="M11" i="2"/>
  <c r="N11" i="2" s="1"/>
  <c r="J11" i="2"/>
  <c r="F11" i="2"/>
  <c r="C11" i="2"/>
  <c r="D11" i="2" s="1"/>
  <c r="T10" i="2"/>
  <c r="R10" i="2"/>
  <c r="Q10" i="2"/>
  <c r="M10" i="2"/>
  <c r="J10" i="2"/>
  <c r="F10" i="2"/>
  <c r="C10" i="2"/>
  <c r="D10" i="2" s="1"/>
  <c r="T9" i="2"/>
  <c r="R9" i="2"/>
  <c r="Q9" i="2"/>
  <c r="M9" i="2"/>
  <c r="J9" i="2"/>
  <c r="F9" i="2"/>
  <c r="C9" i="2"/>
  <c r="D9" i="2" s="1"/>
  <c r="T8" i="2"/>
  <c r="R8" i="2"/>
  <c r="Q8" i="2"/>
  <c r="M8" i="2"/>
  <c r="I8" i="2"/>
  <c r="I14" i="2" s="1"/>
  <c r="F8" i="2"/>
  <c r="D8" i="2"/>
  <c r="C8" i="2"/>
  <c r="T6" i="2"/>
  <c r="M6" i="2"/>
  <c r="F6" i="2"/>
  <c r="H26" i="2" s="1"/>
  <c r="F14" i="1"/>
  <c r="G9" i="2" l="1"/>
  <c r="H28" i="2"/>
  <c r="N8" i="2"/>
  <c r="G10" i="2"/>
  <c r="N12" i="2"/>
  <c r="P27" i="2"/>
  <c r="L27" i="2"/>
  <c r="L28" i="2"/>
  <c r="L29" i="2"/>
  <c r="H29" i="2"/>
  <c r="I27" i="2"/>
  <c r="L26" i="2"/>
  <c r="P15" i="2"/>
  <c r="P17" i="2" s="1"/>
  <c r="N10" i="2"/>
  <c r="G12" i="2"/>
  <c r="I28" i="2"/>
  <c r="H25" i="2"/>
  <c r="H31" i="2" s="1"/>
  <c r="I26" i="2"/>
  <c r="E27" i="2"/>
  <c r="E28" i="2"/>
  <c r="E26" i="2"/>
  <c r="E29" i="2"/>
  <c r="I25" i="2"/>
  <c r="G32" i="2" s="1"/>
  <c r="G34" i="2" s="1"/>
  <c r="F14" i="2"/>
  <c r="G8" i="2"/>
  <c r="T14" i="2"/>
  <c r="V8" i="2" s="1"/>
  <c r="N9" i="2"/>
  <c r="G11" i="2"/>
  <c r="P29" i="2"/>
  <c r="N32" i="2" s="1"/>
  <c r="N34" i="2" s="1"/>
  <c r="H27" i="2"/>
  <c r="E25" i="2"/>
  <c r="C32" i="2" s="1"/>
  <c r="C34" i="2" s="1"/>
  <c r="L25" i="2"/>
  <c r="H11" i="2"/>
  <c r="H12" i="2"/>
  <c r="H8" i="2"/>
  <c r="H9" i="2"/>
  <c r="H10" i="2"/>
  <c r="K12" i="2"/>
  <c r="K11" i="2"/>
  <c r="K10" i="2"/>
  <c r="K9" i="2"/>
  <c r="K8" i="2"/>
  <c r="V9" i="2"/>
  <c r="V10" i="2"/>
  <c r="V11" i="2"/>
  <c r="V12" i="2"/>
  <c r="T15" i="2" s="1"/>
  <c r="T17" i="2" s="1"/>
  <c r="J8" i="2"/>
  <c r="U8" i="2"/>
  <c r="U9" i="2"/>
  <c r="U10" i="2"/>
  <c r="U11" i="2"/>
  <c r="U12" i="2"/>
  <c r="M14" i="2"/>
  <c r="O9" i="2" s="1"/>
  <c r="C14" i="2"/>
  <c r="E12" i="2" s="1"/>
  <c r="N14" i="2" l="1"/>
  <c r="E9" i="2"/>
  <c r="U14" i="2"/>
  <c r="G14" i="2"/>
  <c r="E10" i="2"/>
  <c r="J32" i="2"/>
  <c r="J34" i="2" s="1"/>
  <c r="O11" i="2"/>
  <c r="I15" i="2"/>
  <c r="I17" i="2" s="1"/>
  <c r="F15" i="2"/>
  <c r="F17" i="2" s="1"/>
  <c r="O12" i="2"/>
  <c r="E11" i="2"/>
  <c r="O8" i="2"/>
  <c r="E8" i="2"/>
  <c r="C15" i="2" s="1"/>
  <c r="C17" i="2" s="1"/>
  <c r="O10" i="2"/>
  <c r="N22" i="1"/>
  <c r="M15" i="2" l="1"/>
  <c r="M17" i="2" s="1"/>
  <c r="I33" i="1"/>
  <c r="I32" i="1"/>
  <c r="I38" i="1" s="1"/>
  <c r="K36" i="1"/>
  <c r="K35" i="1"/>
  <c r="K34" i="1"/>
  <c r="K33" i="1"/>
  <c r="L33" i="1" s="1"/>
  <c r="K32" i="1"/>
  <c r="C33" i="1"/>
  <c r="C32" i="1"/>
  <c r="E30" i="1"/>
  <c r="F36" i="1"/>
  <c r="F35" i="1"/>
  <c r="F34" i="1"/>
  <c r="F33" i="1"/>
  <c r="G33" i="1" s="1"/>
  <c r="F32" i="1"/>
  <c r="F38" i="1" s="1"/>
  <c r="I16" i="1"/>
  <c r="I22" i="1" s="1"/>
  <c r="O14" i="1"/>
  <c r="P20" i="1"/>
  <c r="Q20" i="1" s="1"/>
  <c r="P19" i="1"/>
  <c r="Q19" i="1" s="1"/>
  <c r="P18" i="1"/>
  <c r="Q18" i="1" s="1"/>
  <c r="P17" i="1"/>
  <c r="Q17" i="1" s="1"/>
  <c r="P16" i="1"/>
  <c r="Q16" i="1" s="1"/>
  <c r="J14" i="1"/>
  <c r="K17" i="1"/>
  <c r="K18" i="1"/>
  <c r="K19" i="1"/>
  <c r="K20" i="1"/>
  <c r="L20" i="1" s="1"/>
  <c r="K16" i="1"/>
  <c r="F17" i="1"/>
  <c r="F18" i="1"/>
  <c r="F19" i="1"/>
  <c r="F20" i="1"/>
  <c r="F16" i="1"/>
  <c r="G17" i="1"/>
  <c r="C20" i="1"/>
  <c r="D20" i="1" s="1"/>
  <c r="C19" i="1"/>
  <c r="D19" i="1" s="1"/>
  <c r="C18" i="1"/>
  <c r="D18" i="1" s="1"/>
  <c r="C17" i="1"/>
  <c r="D17" i="1" s="1"/>
  <c r="C16" i="1"/>
  <c r="H10" i="1"/>
  <c r="H3" i="1"/>
  <c r="H4" i="1"/>
  <c r="H5" i="1"/>
  <c r="H2" i="1"/>
  <c r="F6" i="1"/>
  <c r="C6" i="1"/>
  <c r="F7" i="1"/>
  <c r="C7" i="1"/>
  <c r="I5" i="1"/>
  <c r="G5" i="1"/>
  <c r="I3" i="1"/>
  <c r="I4" i="1"/>
  <c r="I2" i="1"/>
  <c r="G3" i="1"/>
  <c r="G4" i="1"/>
  <c r="G2" i="1"/>
  <c r="F22" i="1" l="1"/>
  <c r="C38" i="1"/>
  <c r="D16" i="1"/>
  <c r="C22" i="1"/>
  <c r="K38" i="1"/>
  <c r="H7" i="1"/>
  <c r="M4" i="1" s="1"/>
  <c r="K22" i="1"/>
  <c r="P22" i="1"/>
  <c r="L17" i="1"/>
  <c r="G32" i="1"/>
  <c r="G36" i="1"/>
  <c r="L32" i="1"/>
  <c r="L18" i="1"/>
  <c r="G34" i="1"/>
  <c r="G35" i="1"/>
  <c r="L35" i="1"/>
  <c r="G18" i="1"/>
  <c r="I7" i="1"/>
  <c r="M7" i="1" s="1"/>
  <c r="G20" i="1"/>
  <c r="I6" i="1"/>
  <c r="H6" i="1"/>
  <c r="G19" i="1"/>
  <c r="L19" i="1"/>
  <c r="G6" i="1"/>
  <c r="L36" i="1"/>
  <c r="G16" i="1"/>
  <c r="L16" i="1"/>
  <c r="L34" i="1"/>
  <c r="G7" i="1"/>
  <c r="E19" i="1" l="1"/>
  <c r="E20" i="1"/>
  <c r="E18" i="1"/>
  <c r="E17" i="1"/>
  <c r="E16" i="1"/>
  <c r="Q4" i="1"/>
  <c r="M2" i="1"/>
  <c r="H17" i="1"/>
  <c r="H16" i="1"/>
  <c r="F23" i="1" s="1"/>
  <c r="F25" i="1" s="1"/>
  <c r="H19" i="1"/>
  <c r="H20" i="1"/>
  <c r="H18" i="1"/>
  <c r="C23" i="1" l="1"/>
  <c r="C25" i="1" s="1"/>
</calcChain>
</file>

<file path=xl/sharedStrings.xml><?xml version="1.0" encoding="utf-8"?>
<sst xmlns="http://schemas.openxmlformats.org/spreadsheetml/2006/main" count="151" uniqueCount="46">
  <si>
    <t>x</t>
  </si>
  <si>
    <t>y</t>
  </si>
  <si>
    <t>xiyi</t>
  </si>
  <si>
    <t>yi^2</t>
  </si>
  <si>
    <t>xi^2</t>
  </si>
  <si>
    <t>Promedio</t>
  </si>
  <si>
    <t>Sxy</t>
  </si>
  <si>
    <t>Sy</t>
  </si>
  <si>
    <t>Sx</t>
  </si>
  <si>
    <t>R</t>
  </si>
  <si>
    <t>Suma</t>
  </si>
  <si>
    <t>Caro</t>
  </si>
  <si>
    <t>Imanol</t>
  </si>
  <si>
    <t>Iñigo</t>
  </si>
  <si>
    <t>Ángel</t>
  </si>
  <si>
    <t>Diana</t>
  </si>
  <si>
    <t>Volumen(ml)</t>
  </si>
  <si>
    <t>Tensión(N)</t>
  </si>
  <si>
    <t>Fb(N)</t>
  </si>
  <si>
    <t>Error absoluto</t>
  </si>
  <si>
    <t>Error relativo</t>
  </si>
  <si>
    <t>50g</t>
  </si>
  <si>
    <t>500g</t>
  </si>
  <si>
    <t>Masa dinamometro(g)</t>
  </si>
  <si>
    <t>200g</t>
  </si>
  <si>
    <t>Agua</t>
  </si>
  <si>
    <t>Densidad medida (agua)</t>
  </si>
  <si>
    <t>Cerveza</t>
  </si>
  <si>
    <t>Densidad cerveza</t>
  </si>
  <si>
    <t>70g</t>
  </si>
  <si>
    <t>Volumen(m^3)</t>
  </si>
  <si>
    <t>Delta x</t>
  </si>
  <si>
    <t>(V - prom)^2</t>
  </si>
  <si>
    <t xml:space="preserve">7 ± 1 </t>
  </si>
  <si>
    <t>(T - prom)^2</t>
  </si>
  <si>
    <t>0.2943 ± 0</t>
  </si>
  <si>
    <t xml:space="preserve">46 ± 8 </t>
  </si>
  <si>
    <t>3.98286 ± .048</t>
  </si>
  <si>
    <t xml:space="preserve">26 ± 5 </t>
  </si>
  <si>
    <t xml:space="preserve">6.6 ± .5 </t>
  </si>
  <si>
    <t xml:space="preserve">12 ± 0 </t>
  </si>
  <si>
    <t>0.08 ± .02</t>
  </si>
  <si>
    <t>0.25 ± .043</t>
  </si>
  <si>
    <t>Volumen (ml)</t>
  </si>
  <si>
    <t>Fuerza de flotabilidad (N)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</si>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</sst>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Font="1" applyBorder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7" xfId="0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476141-419A-8142-B183-D4164CC799C4}" name="Tabla2" displayName="Tabla2" ref="B13:Q25" headerRowCount="0" totalsRowShown="0">
  <tableColumns count="16">
    <tableColumn id="1" xr3:uid="{C460255C-0071-E446-8F5A-F9F691FEFBE2}" name="Columna1"/>
    <tableColumn id="2" xr3:uid="{CF03FBAF-3777-8446-A36D-9D97943592D6}" name="Columna2"/>
    <tableColumn id="3" xr3:uid="{D63DAD6A-6AA1-0340-9AED-7EE9B3E09A86}" name="Columna3"/>
    <tableColumn id="4" xr3:uid="{65D34944-3CA9-9A40-ADA5-0E23C8A16CBD}" name="Columna4"/>
    <tableColumn id="5" xr3:uid="{F5218F3B-F37F-CE47-9381-8F61B985A466}" name="Columna5"/>
    <tableColumn id="6" xr3:uid="{BC77DDA5-7796-0342-99E7-F37BB86EA515}" name="Columna6"/>
    <tableColumn id="7" xr3:uid="{E0716BAD-CBF0-4F4F-B4CD-FB5A2264A6B2}" name="Columna7"/>
    <tableColumn id="8" xr3:uid="{3BD70D37-6F08-7A4D-BD14-3C5418852011}" name="Columna8"/>
    <tableColumn id="9" xr3:uid="{AFFEC9D1-3A84-D940-A524-1B9D197D512A}" name="Columna9"/>
    <tableColumn id="10" xr3:uid="{0EBD1C4A-EA6C-154D-9EFB-C315CCF5115C}" name="Columna10"/>
    <tableColumn id="11" xr3:uid="{D77F2E2D-0C34-3545-BBDB-C9C0F9C8858E}" name="Columna11"/>
    <tableColumn id="12" xr3:uid="{A6FD14A9-B756-2643-B245-8407EB270B00}" name="Columna12"/>
    <tableColumn id="13" xr3:uid="{6D5FA878-A7F3-8A43-A202-19B53BB29AD2}" name="Columna13"/>
    <tableColumn id="14" xr3:uid="{D5D11C30-84C6-B842-9A7C-6BF427A67AB8}" name="Columna14"/>
    <tableColumn id="15" xr3:uid="{9467695E-5572-A947-A345-444A78A189AA}" name="Columna15"/>
    <tableColumn id="16" xr3:uid="{A8CE696A-1A74-904C-A3B3-974AA43DEA30}" name="Columna16"/>
  </tableColumns>
  <tableStyleInfo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6CFB21-66F4-EF4D-9016-F327E03C6104}" name="Tabla3" displayName="Tabla3" ref="B30:L36" headerRowCount="0" totalsRowShown="0">
  <tableColumns count="11">
    <tableColumn id="1" xr3:uid="{5745C8F8-DFA9-8B42-9434-C512B409F35F}" name="Cerveza"/>
    <tableColumn id="2" xr3:uid="{E29EFB54-C9A2-6C4B-BA7F-2E86403BCC99}" name="Columna1"/>
    <tableColumn id="3" xr3:uid="{637EC548-60F0-2541-A791-577212832A1E}" name="Columna2"/>
    <tableColumn id="4" xr3:uid="{6844A747-3DFB-7E4E-A049-E4736C18CB7F}" name="Columna3"/>
    <tableColumn id="5" xr3:uid="{8FA2712D-EE4E-5D49-9BC0-72C0810D9847}" name="Columna4">
      <calculatedColumnFormula>(E30/1000)*9.81</calculatedColumnFormula>
    </tableColumn>
    <tableColumn id="6" xr3:uid="{C1D76A7C-0D2C-9946-93B1-9D9601A64AF7}" name="Columna5">
      <calculatedColumnFormula>-F30+E$30</calculatedColumnFormula>
    </tableColumn>
    <tableColumn id="7" xr3:uid="{EC2795A2-BFDD-0D4C-BD91-400D4147AEF1}" name="Columna6"/>
    <tableColumn id="8" xr3:uid="{23C8C6F7-83A7-664C-BC28-6398CD888E04}" name="Columna7"/>
    <tableColumn id="9" xr3:uid="{8BC537CD-3C9E-524E-943F-B6DCABDB2135}" name="Columna8"/>
    <tableColumn id="10" xr3:uid="{D963663D-5F47-4A47-98AD-64CFEE4116F5}" name="Columna9">
      <calculatedColumnFormula>(J30/1000)*9.81</calculatedColumnFormula>
    </tableColumn>
    <tableColumn id="11" xr3:uid="{0E9EB99B-1B3A-FC4E-819A-D913447C97CB}" name="Columna10">
      <calculatedColumnFormula>-K30+J$30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9DD0-D837-4F40-9845-A89CF70527ED}">
  <dimension ref="B1:Y38"/>
  <sheetViews>
    <sheetView zoomScale="114" zoomScaleNormal="66" workbookViewId="0">
      <selection activeCell="G12" sqref="G12"/>
    </sheetView>
  </sheetViews>
  <sheetFormatPr baseColWidth="10" defaultRowHeight="16" x14ac:dyDescent="0.2"/>
  <cols>
    <col min="2" max="2" width="29.5" customWidth="1"/>
    <col min="3" max="5" width="12.83203125" customWidth="1"/>
    <col min="6" max="6" width="12.1640625" customWidth="1"/>
    <col min="7" max="7" width="14.33203125" customWidth="1"/>
    <col min="8" max="9" width="12.1640625" customWidth="1"/>
    <col min="10" max="10" width="20" customWidth="1"/>
    <col min="11" max="11" width="17" customWidth="1"/>
    <col min="12" max="12" width="13.1640625" customWidth="1"/>
    <col min="13" max="13" width="14.6640625" customWidth="1"/>
    <col min="14" max="14" width="13.1640625" customWidth="1"/>
    <col min="15" max="15" width="22.1640625" customWidth="1"/>
    <col min="16" max="17" width="13.1640625" customWidth="1"/>
  </cols>
  <sheetData>
    <row r="1" spans="2:25" x14ac:dyDescent="0.2">
      <c r="C1" t="s">
        <v>0</v>
      </c>
      <c r="F1" t="s">
        <v>1</v>
      </c>
      <c r="G1" t="s">
        <v>2</v>
      </c>
      <c r="H1" t="s">
        <v>3</v>
      </c>
      <c r="I1" t="s">
        <v>4</v>
      </c>
    </row>
    <row r="2" spans="2:25" x14ac:dyDescent="0.2">
      <c r="C2">
        <v>1</v>
      </c>
      <c r="F2">
        <v>1.4</v>
      </c>
      <c r="G2">
        <f>C2*F2</f>
        <v>1.4</v>
      </c>
      <c r="H2">
        <f>F2^2</f>
        <v>1.9599999999999997</v>
      </c>
      <c r="I2">
        <f>C2^2</f>
        <v>1</v>
      </c>
      <c r="L2" t="s">
        <v>6</v>
      </c>
      <c r="M2">
        <f>G7-C7*F7</f>
        <v>-0.53750000000000009</v>
      </c>
    </row>
    <row r="3" spans="2:25" x14ac:dyDescent="0.2">
      <c r="C3">
        <v>2</v>
      </c>
      <c r="F3">
        <v>1.1000000000000001</v>
      </c>
      <c r="G3">
        <f>C3*F3</f>
        <v>2.2000000000000002</v>
      </c>
      <c r="H3">
        <f t="shared" ref="H3:H5" si="0">F3^2</f>
        <v>1.2100000000000002</v>
      </c>
      <c r="I3">
        <f>C3^2</f>
        <v>4</v>
      </c>
    </row>
    <row r="4" spans="2:25" x14ac:dyDescent="0.2">
      <c r="C4">
        <v>3</v>
      </c>
      <c r="F4">
        <v>0.7</v>
      </c>
      <c r="G4">
        <f>C4*F4</f>
        <v>2.0999999999999996</v>
      </c>
      <c r="H4">
        <f t="shared" si="0"/>
        <v>0.48999999999999994</v>
      </c>
      <c r="I4">
        <f>C4^2</f>
        <v>9</v>
      </c>
      <c r="L4" t="s">
        <v>7</v>
      </c>
      <c r="M4">
        <f>SQRT(H7-((F7)^2))</f>
        <v>0.48669805834829433</v>
      </c>
      <c r="P4" t="s">
        <v>9</v>
      </c>
      <c r="Q4">
        <f>(M2)/(M4*M7)</f>
        <v>-0.98778823320970344</v>
      </c>
    </row>
    <row r="5" spans="2:25" x14ac:dyDescent="0.2">
      <c r="C5">
        <v>4</v>
      </c>
      <c r="F5">
        <v>0.1</v>
      </c>
      <c r="G5">
        <f t="shared" ref="G5" si="1">C5*F5</f>
        <v>0.4</v>
      </c>
      <c r="H5">
        <f t="shared" si="0"/>
        <v>1.0000000000000002E-2</v>
      </c>
      <c r="I5">
        <f t="shared" ref="I5" si="2">C5^2</f>
        <v>16</v>
      </c>
    </row>
    <row r="6" spans="2:25" x14ac:dyDescent="0.2">
      <c r="B6" t="s">
        <v>10</v>
      </c>
      <c r="C6">
        <f>SUM(C2:C5)</f>
        <v>10</v>
      </c>
      <c r="F6">
        <f t="shared" ref="F6:I6" si="3">SUM(F2:F5)</f>
        <v>3.3000000000000003</v>
      </c>
      <c r="G6">
        <f t="shared" si="3"/>
        <v>6.1</v>
      </c>
      <c r="H6">
        <f t="shared" si="3"/>
        <v>3.6699999999999995</v>
      </c>
      <c r="I6">
        <f t="shared" si="3"/>
        <v>30</v>
      </c>
    </row>
    <row r="7" spans="2:25" x14ac:dyDescent="0.2">
      <c r="B7" t="s">
        <v>5</v>
      </c>
      <c r="C7">
        <f>AVERAGE(C2:C5)</f>
        <v>2.5</v>
      </c>
      <c r="F7">
        <f t="shared" ref="F7:I7" si="4">AVERAGE(F2:F5)</f>
        <v>0.82500000000000007</v>
      </c>
      <c r="G7">
        <f t="shared" si="4"/>
        <v>1.5249999999999999</v>
      </c>
      <c r="H7">
        <f t="shared" si="4"/>
        <v>0.91749999999999987</v>
      </c>
      <c r="I7">
        <f t="shared" si="4"/>
        <v>7.5</v>
      </c>
      <c r="L7" t="s">
        <v>8</v>
      </c>
      <c r="M7">
        <f>SQRT(I7-((C7)^2))</f>
        <v>1.1180339887498949</v>
      </c>
    </row>
    <row r="10" spans="2:25" x14ac:dyDescent="0.2">
      <c r="G10" t="s">
        <v>9</v>
      </c>
      <c r="H10">
        <f>CORREL(C2:C5,F2:F5)</f>
        <v>-0.98778823320970266</v>
      </c>
    </row>
    <row r="13" spans="2:25" ht="17" thickBot="1" x14ac:dyDescent="0.25">
      <c r="B13" t="s">
        <v>25</v>
      </c>
    </row>
    <row r="14" spans="2:25" x14ac:dyDescent="0.2">
      <c r="C14" s="5" t="s">
        <v>21</v>
      </c>
      <c r="D14" s="6"/>
      <c r="E14" s="6"/>
      <c r="F14" s="6">
        <f>0.05*9.81</f>
        <v>0.49050000000000005</v>
      </c>
      <c r="G14" s="6"/>
      <c r="H14" s="7"/>
      <c r="I14" s="5" t="s">
        <v>22</v>
      </c>
      <c r="J14" s="6">
        <f>(500/1000)*9.81</f>
        <v>4.9050000000000002</v>
      </c>
      <c r="K14" s="6"/>
      <c r="L14" s="6"/>
      <c r="M14" s="7"/>
      <c r="N14" s="5" t="s">
        <v>24</v>
      </c>
      <c r="O14" s="6">
        <f>(200/1000)*9.81</f>
        <v>1.9620000000000002</v>
      </c>
      <c r="P14" s="6"/>
      <c r="Q14" s="7"/>
      <c r="W14" s="1"/>
      <c r="X14" s="1"/>
      <c r="Y14" s="1"/>
    </row>
    <row r="15" spans="2:25" x14ac:dyDescent="0.2">
      <c r="C15" s="8" t="s">
        <v>16</v>
      </c>
      <c r="D15" s="9" t="s">
        <v>30</v>
      </c>
      <c r="E15" s="9" t="s">
        <v>32</v>
      </c>
      <c r="F15" s="9" t="s">
        <v>17</v>
      </c>
      <c r="G15" s="9" t="s">
        <v>18</v>
      </c>
      <c r="H15" s="10" t="s">
        <v>34</v>
      </c>
      <c r="I15" s="8" t="s">
        <v>16</v>
      </c>
      <c r="J15" s="9" t="s">
        <v>23</v>
      </c>
      <c r="K15" s="9" t="s">
        <v>17</v>
      </c>
      <c r="L15" s="9" t="s">
        <v>18</v>
      </c>
      <c r="M15" s="10"/>
      <c r="N15" s="8" t="s">
        <v>16</v>
      </c>
      <c r="O15" s="9" t="s">
        <v>23</v>
      </c>
      <c r="P15" s="9" t="s">
        <v>17</v>
      </c>
      <c r="Q15" s="10" t="s">
        <v>18</v>
      </c>
    </row>
    <row r="16" spans="2:25" x14ac:dyDescent="0.2">
      <c r="B16" t="s">
        <v>11</v>
      </c>
      <c r="C16" s="8">
        <f>47-40</f>
        <v>7</v>
      </c>
      <c r="D16" s="9">
        <f>C16/1000000</f>
        <v>6.9999999999999999E-6</v>
      </c>
      <c r="E16" s="9">
        <f>(Tabla2[[#This Row],[Columna2]]-C$22)^2</f>
        <v>9.9999999999999291E-3</v>
      </c>
      <c r="F16" s="9">
        <f>0.03*9.81</f>
        <v>0.29430000000000001</v>
      </c>
      <c r="G16" s="9">
        <f>-F16+E$14</f>
        <v>-0.29430000000000001</v>
      </c>
      <c r="H16" s="10">
        <f>(Tabla2[[#This Row],[Columna5]]-F$22)^2</f>
        <v>0</v>
      </c>
      <c r="I16" s="8">
        <f>740-700</f>
        <v>40</v>
      </c>
      <c r="J16" s="9">
        <v>400</v>
      </c>
      <c r="K16" s="9">
        <f>(J16/1000)*9.81</f>
        <v>3.9240000000000004</v>
      </c>
      <c r="L16" s="9">
        <f>-K16+J$14</f>
        <v>0.98099999999999987</v>
      </c>
      <c r="M16" s="10"/>
      <c r="N16" s="8">
        <v>30</v>
      </c>
      <c r="O16" s="9">
        <v>140</v>
      </c>
      <c r="P16" s="9">
        <f>(O16/1000)*9.81</f>
        <v>1.3734000000000002</v>
      </c>
      <c r="Q16" s="10">
        <f>-P16+O$14</f>
        <v>0.58860000000000001</v>
      </c>
    </row>
    <row r="17" spans="2:17" x14ac:dyDescent="0.2">
      <c r="B17" t="s">
        <v>12</v>
      </c>
      <c r="C17" s="8">
        <f>46-40</f>
        <v>6</v>
      </c>
      <c r="D17" s="9">
        <f>C17/1000000</f>
        <v>6.0000000000000002E-6</v>
      </c>
      <c r="E17" s="9">
        <f>(Tabla2[[#This Row],[Columna2]]-C$22)^2</f>
        <v>0.81000000000000061</v>
      </c>
      <c r="F17" s="9">
        <f t="shared" ref="F17:F20" si="5">0.03*9.81</f>
        <v>0.29430000000000001</v>
      </c>
      <c r="G17" s="9">
        <f>-F17+E$14</f>
        <v>-0.29430000000000001</v>
      </c>
      <c r="H17" s="10">
        <f>(Tabla2[[#This Row],[Columna5]]-F$22)^2</f>
        <v>0</v>
      </c>
      <c r="I17" s="8">
        <v>50</v>
      </c>
      <c r="J17" s="9">
        <v>410</v>
      </c>
      <c r="K17" s="9">
        <f>(J17/1000)*9.81</f>
        <v>4.0221</v>
      </c>
      <c r="L17" s="9">
        <f>-K17+J$14</f>
        <v>0.88290000000000024</v>
      </c>
      <c r="M17" s="10"/>
      <c r="N17" s="8">
        <v>30</v>
      </c>
      <c r="O17" s="9">
        <v>150</v>
      </c>
      <c r="P17" s="9">
        <f>(O17/1000)*9.81</f>
        <v>1.4715</v>
      </c>
      <c r="Q17" s="10">
        <f>-P17+O$14</f>
        <v>0.49050000000000016</v>
      </c>
    </row>
    <row r="18" spans="2:17" x14ac:dyDescent="0.2">
      <c r="B18" t="s">
        <v>13</v>
      </c>
      <c r="C18" s="8">
        <f>46.5-39</f>
        <v>7.5</v>
      </c>
      <c r="D18" s="9">
        <f>C18/1000000</f>
        <v>7.5000000000000002E-6</v>
      </c>
      <c r="E18" s="9">
        <f>(Tabla2[[#This Row],[Columna2]]-C$22)^2</f>
        <v>0.3599999999999996</v>
      </c>
      <c r="F18" s="9">
        <f t="shared" si="5"/>
        <v>0.29430000000000001</v>
      </c>
      <c r="G18" s="9">
        <f>-F18+E$14</f>
        <v>-0.29430000000000001</v>
      </c>
      <c r="H18" s="10">
        <f>(Tabla2[[#This Row],[Columna5]]-F$22)^2</f>
        <v>0</v>
      </c>
      <c r="I18" s="8">
        <v>60</v>
      </c>
      <c r="J18" s="9">
        <v>410</v>
      </c>
      <c r="K18" s="9">
        <f>(J18/1000)*9.81</f>
        <v>4.0221</v>
      </c>
      <c r="L18" s="9">
        <f>-K18+J$14</f>
        <v>0.88290000000000024</v>
      </c>
      <c r="M18" s="10"/>
      <c r="N18" s="8">
        <v>20</v>
      </c>
      <c r="O18" s="9">
        <v>150</v>
      </c>
      <c r="P18" s="9">
        <f>(O18/1000)*9.81</f>
        <v>1.4715</v>
      </c>
      <c r="Q18" s="10">
        <f>-P18+O$14</f>
        <v>0.49050000000000016</v>
      </c>
    </row>
    <row r="19" spans="2:17" x14ac:dyDescent="0.2">
      <c r="B19" t="s">
        <v>14</v>
      </c>
      <c r="C19" s="8">
        <f>46-40</f>
        <v>6</v>
      </c>
      <c r="D19" s="9">
        <f>C19/1000000</f>
        <v>6.0000000000000002E-6</v>
      </c>
      <c r="E19" s="9">
        <f>(Tabla2[[#This Row],[Columna2]]-C$22)^2</f>
        <v>0.81000000000000061</v>
      </c>
      <c r="F19" s="9">
        <f t="shared" si="5"/>
        <v>0.29430000000000001</v>
      </c>
      <c r="G19" s="9">
        <f>-F19+E$14</f>
        <v>-0.29430000000000001</v>
      </c>
      <c r="H19" s="10">
        <f>(Tabla2[[#This Row],[Columna5]]-F$22)^2</f>
        <v>0</v>
      </c>
      <c r="I19" s="8">
        <v>40</v>
      </c>
      <c r="J19" s="9">
        <v>400</v>
      </c>
      <c r="K19" s="9">
        <f>(J19/1000)*9.81</f>
        <v>3.9240000000000004</v>
      </c>
      <c r="L19" s="9">
        <f>-K19+J$14</f>
        <v>0.98099999999999987</v>
      </c>
      <c r="M19" s="10"/>
      <c r="N19" s="8">
        <v>30</v>
      </c>
      <c r="O19" s="9">
        <v>140</v>
      </c>
      <c r="P19" s="9">
        <f>(O19/1000)*9.81</f>
        <v>1.3734000000000002</v>
      </c>
      <c r="Q19" s="10">
        <f>-P19+O$14</f>
        <v>0.58860000000000001</v>
      </c>
    </row>
    <row r="20" spans="2:17" x14ac:dyDescent="0.2">
      <c r="B20" t="s">
        <v>15</v>
      </c>
      <c r="C20" s="8">
        <f>46-38</f>
        <v>8</v>
      </c>
      <c r="D20" s="9">
        <f>C20/1000000</f>
        <v>7.9999999999999996E-6</v>
      </c>
      <c r="E20" s="9">
        <f>(Tabla2[[#This Row],[Columna2]]-C$22)^2</f>
        <v>1.2099999999999993</v>
      </c>
      <c r="F20" s="9">
        <f t="shared" si="5"/>
        <v>0.29430000000000001</v>
      </c>
      <c r="G20" s="9">
        <f>-F20+E$14</f>
        <v>-0.29430000000000001</v>
      </c>
      <c r="H20" s="10">
        <f>(Tabla2[[#This Row],[Columna5]]-F$22)^2</f>
        <v>0</v>
      </c>
      <c r="I20" s="8">
        <v>40</v>
      </c>
      <c r="J20" s="9">
        <v>410</v>
      </c>
      <c r="K20" s="9">
        <f>(J20/1000)*9.81</f>
        <v>4.0221</v>
      </c>
      <c r="L20" s="9">
        <f>-K20+J$14</f>
        <v>0.88290000000000024</v>
      </c>
      <c r="M20" s="10"/>
      <c r="N20" s="8">
        <v>20</v>
      </c>
      <c r="O20" s="9">
        <v>140</v>
      </c>
      <c r="P20" s="9">
        <f>(O20/1000)*9.81</f>
        <v>1.3734000000000002</v>
      </c>
      <c r="Q20" s="10">
        <f>-P20+O$14</f>
        <v>0.58860000000000001</v>
      </c>
    </row>
    <row r="21" spans="2:17" x14ac:dyDescent="0.2">
      <c r="C21" s="8"/>
      <c r="D21" s="9"/>
      <c r="E21" s="9"/>
      <c r="F21" s="9"/>
      <c r="G21" s="9"/>
      <c r="H21" s="10"/>
      <c r="I21" s="8"/>
      <c r="J21" s="9"/>
      <c r="K21" s="9"/>
      <c r="L21" s="9"/>
      <c r="M21" s="10"/>
      <c r="N21" s="8"/>
      <c r="O21" s="9"/>
      <c r="P21" s="9"/>
      <c r="Q21" s="10"/>
    </row>
    <row r="22" spans="2:17" x14ac:dyDescent="0.2">
      <c r="B22" t="s">
        <v>5</v>
      </c>
      <c r="C22" s="8">
        <f>AVERAGE(C16:C20)</f>
        <v>6.9</v>
      </c>
      <c r="D22" s="9"/>
      <c r="E22" s="9"/>
      <c r="F22" s="9">
        <f>AVERAGE(F16:F20)</f>
        <v>0.29430000000000001</v>
      </c>
      <c r="G22" s="9"/>
      <c r="H22" s="10"/>
      <c r="I22" s="8">
        <f>AVERAGE(I16:I20)</f>
        <v>46</v>
      </c>
      <c r="J22" s="9"/>
      <c r="K22" s="9">
        <f>AVERAGE(K16:K20)</f>
        <v>3.9828599999999996</v>
      </c>
      <c r="L22" s="9"/>
      <c r="M22" s="10"/>
      <c r="N22" s="8">
        <f>AVERAGE(N16:N20)</f>
        <v>26</v>
      </c>
      <c r="O22" s="9"/>
      <c r="P22" s="9">
        <f>AVERAGE(P16:P20)</f>
        <v>1.4126400000000001</v>
      </c>
      <c r="Q22" s="10"/>
    </row>
    <row r="23" spans="2:17" x14ac:dyDescent="0.2">
      <c r="B23" t="s">
        <v>31</v>
      </c>
      <c r="C23" s="8">
        <f>SQRT((SUM(E16:E20))/5)</f>
        <v>0.8</v>
      </c>
      <c r="D23" s="9"/>
      <c r="E23" s="9"/>
      <c r="F23" s="9">
        <f>SQRT((SUM(H16:H20))/5)</f>
        <v>0</v>
      </c>
      <c r="G23" s="9"/>
      <c r="H23" s="10"/>
      <c r="I23" s="8"/>
      <c r="J23" s="9"/>
      <c r="K23" s="9"/>
      <c r="L23" s="9"/>
      <c r="M23" s="10"/>
      <c r="N23" s="8"/>
      <c r="O23" s="9"/>
      <c r="P23" s="9"/>
      <c r="Q23" s="10"/>
    </row>
    <row r="24" spans="2:17" x14ac:dyDescent="0.2">
      <c r="B24" t="s">
        <v>19</v>
      </c>
      <c r="C24" s="14" t="s">
        <v>33</v>
      </c>
      <c r="D24" s="9"/>
      <c r="E24" s="9"/>
      <c r="F24" s="15" t="s">
        <v>35</v>
      </c>
      <c r="G24" s="9"/>
      <c r="H24" s="10"/>
      <c r="I24" s="8"/>
      <c r="J24" s="9"/>
      <c r="K24" s="9"/>
      <c r="L24" s="9"/>
      <c r="M24" s="10"/>
      <c r="N24" s="8"/>
      <c r="O24" s="9"/>
      <c r="P24" s="9"/>
      <c r="Q24" s="10"/>
    </row>
    <row r="25" spans="2:17" ht="17" thickBot="1" x14ac:dyDescent="0.25">
      <c r="B25" t="s">
        <v>20</v>
      </c>
      <c r="C25" s="16">
        <f>(C23/C22)*100</f>
        <v>11.594202898550725</v>
      </c>
      <c r="D25" s="12"/>
      <c r="E25" s="12"/>
      <c r="F25" s="17">
        <f>(F23/F22)*100</f>
        <v>0</v>
      </c>
      <c r="G25" s="12"/>
      <c r="H25" s="13"/>
      <c r="I25" s="11"/>
      <c r="J25" s="12"/>
      <c r="K25" s="12"/>
      <c r="L25" s="12"/>
      <c r="M25" s="13"/>
      <c r="N25" s="11"/>
      <c r="O25" s="12"/>
      <c r="P25" s="12"/>
      <c r="Q25" s="13"/>
    </row>
    <row r="26" spans="2:17" x14ac:dyDescent="0.2">
      <c r="C26" s="3"/>
    </row>
    <row r="27" spans="2:17" x14ac:dyDescent="0.2">
      <c r="B27" t="s">
        <v>26</v>
      </c>
      <c r="C27">
        <v>985</v>
      </c>
    </row>
    <row r="28" spans="2:17" x14ac:dyDescent="0.2">
      <c r="B28" t="s">
        <v>28</v>
      </c>
      <c r="C28">
        <v>1005</v>
      </c>
    </row>
    <row r="30" spans="2:17" x14ac:dyDescent="0.2">
      <c r="B30" t="s">
        <v>27</v>
      </c>
      <c r="C30" t="s">
        <v>21</v>
      </c>
      <c r="E30">
        <f>(50/1000)*9.81</f>
        <v>0.49050000000000005</v>
      </c>
      <c r="I30" t="s">
        <v>29</v>
      </c>
      <c r="J30">
        <f>(70/1000)*9.81</f>
        <v>0.68670000000000009</v>
      </c>
    </row>
    <row r="31" spans="2:17" x14ac:dyDescent="0.2">
      <c r="C31" t="s">
        <v>16</v>
      </c>
      <c r="E31" t="s">
        <v>23</v>
      </c>
      <c r="F31" t="s">
        <v>17</v>
      </c>
      <c r="G31" t="s">
        <v>18</v>
      </c>
      <c r="I31" t="s">
        <v>16</v>
      </c>
      <c r="J31" t="s">
        <v>23</v>
      </c>
      <c r="K31" t="s">
        <v>17</v>
      </c>
      <c r="L31" t="s">
        <v>18</v>
      </c>
    </row>
    <row r="32" spans="2:17" x14ac:dyDescent="0.2">
      <c r="C32">
        <f>-38+45</f>
        <v>7</v>
      </c>
      <c r="E32">
        <v>10</v>
      </c>
      <c r="F32">
        <f>(E32/1000)*9.81</f>
        <v>9.8100000000000007E-2</v>
      </c>
      <c r="G32">
        <f>-F32+E$30</f>
        <v>0.39240000000000003</v>
      </c>
      <c r="I32">
        <f>-35+48</f>
        <v>13</v>
      </c>
      <c r="J32">
        <v>25</v>
      </c>
      <c r="K32">
        <f>(J32/1000)*9.81</f>
        <v>0.24525000000000002</v>
      </c>
      <c r="L32">
        <f>-K32+J$30</f>
        <v>0.44145000000000006</v>
      </c>
    </row>
    <row r="33" spans="2:12" x14ac:dyDescent="0.2">
      <c r="C33">
        <f>-39+45</f>
        <v>6</v>
      </c>
      <c r="E33">
        <v>5</v>
      </c>
      <c r="F33">
        <f t="shared" ref="F33:F36" si="6">(E33/1000)*9.81</f>
        <v>4.9050000000000003E-2</v>
      </c>
      <c r="G33">
        <f t="shared" ref="G33:G36" si="7">-F33+E$30</f>
        <v>0.44145000000000006</v>
      </c>
      <c r="I33">
        <f>-36+48</f>
        <v>12</v>
      </c>
      <c r="J33">
        <v>20</v>
      </c>
      <c r="K33">
        <f t="shared" ref="K33:K36" si="8">(J33/1000)*9.81</f>
        <v>0.19620000000000001</v>
      </c>
      <c r="L33">
        <f t="shared" ref="L33:L36" si="9">-K33+J$30</f>
        <v>0.49050000000000005</v>
      </c>
    </row>
    <row r="34" spans="2:12" x14ac:dyDescent="0.2">
      <c r="C34">
        <v>7</v>
      </c>
      <c r="E34">
        <v>10</v>
      </c>
      <c r="F34">
        <f t="shared" si="6"/>
        <v>9.8100000000000007E-2</v>
      </c>
      <c r="G34">
        <f t="shared" si="7"/>
        <v>0.39240000000000003</v>
      </c>
      <c r="I34">
        <v>13</v>
      </c>
      <c r="J34">
        <v>20</v>
      </c>
      <c r="K34">
        <f t="shared" si="8"/>
        <v>0.19620000000000001</v>
      </c>
      <c r="L34">
        <f t="shared" si="9"/>
        <v>0.49050000000000005</v>
      </c>
    </row>
    <row r="35" spans="2:12" x14ac:dyDescent="0.2">
      <c r="C35">
        <v>7</v>
      </c>
      <c r="E35">
        <v>10</v>
      </c>
      <c r="F35">
        <f t="shared" si="6"/>
        <v>9.8100000000000007E-2</v>
      </c>
      <c r="G35">
        <f t="shared" si="7"/>
        <v>0.39240000000000003</v>
      </c>
      <c r="I35">
        <v>12</v>
      </c>
      <c r="J35">
        <v>30</v>
      </c>
      <c r="K35">
        <f t="shared" si="8"/>
        <v>0.29430000000000001</v>
      </c>
      <c r="L35">
        <f t="shared" si="9"/>
        <v>0.39240000000000008</v>
      </c>
    </row>
    <row r="36" spans="2:12" x14ac:dyDescent="0.2">
      <c r="C36">
        <v>6</v>
      </c>
      <c r="E36">
        <v>5</v>
      </c>
      <c r="F36">
        <f t="shared" si="6"/>
        <v>4.9050000000000003E-2</v>
      </c>
      <c r="G36">
        <f t="shared" si="7"/>
        <v>0.44145000000000006</v>
      </c>
      <c r="I36">
        <v>12</v>
      </c>
      <c r="J36">
        <v>30</v>
      </c>
      <c r="K36">
        <f t="shared" si="8"/>
        <v>0.29430000000000001</v>
      </c>
      <c r="L36">
        <f t="shared" si="9"/>
        <v>0.39240000000000008</v>
      </c>
    </row>
    <row r="38" spans="2:12" x14ac:dyDescent="0.2">
      <c r="B38" t="s">
        <v>5</v>
      </c>
      <c r="C38" s="2">
        <f>AVERAGE(C32:C36)</f>
        <v>6.6</v>
      </c>
      <c r="F38" s="2">
        <f>AVERAGE(F32:F36)</f>
        <v>7.8480000000000008E-2</v>
      </c>
      <c r="I38">
        <f>AVERAGE(I32:I36)</f>
        <v>12.4</v>
      </c>
      <c r="K38">
        <f>AVERAGE(K32:K36)</f>
        <v>0.24525000000000002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D5968-176B-A34D-87EF-761E450CA06D}">
  <dimension ref="B5:V50"/>
  <sheetViews>
    <sheetView tabSelected="1" topLeftCell="A16" zoomScale="107" workbookViewId="0">
      <selection activeCell="J21" sqref="J21"/>
    </sheetView>
  </sheetViews>
  <sheetFormatPr baseColWidth="10" defaultRowHeight="16" x14ac:dyDescent="0.2"/>
  <cols>
    <col min="2" max="2" width="20.33203125" customWidth="1"/>
    <col min="3" max="3" width="14.33203125" customWidth="1"/>
    <col min="4" max="4" width="20.6640625" customWidth="1"/>
    <col min="6" max="6" width="19" customWidth="1"/>
    <col min="9" max="9" width="15" customWidth="1"/>
    <col min="10" max="10" width="13.33203125" customWidth="1"/>
    <col min="11" max="11" width="12.33203125" customWidth="1"/>
    <col min="12" max="12" width="21" customWidth="1"/>
    <col min="13" max="13" width="19.83203125" customWidth="1"/>
    <col min="15" max="15" width="14.1640625" customWidth="1"/>
    <col min="16" max="16" width="13.5" customWidth="1"/>
    <col min="17" max="17" width="15" customWidth="1"/>
    <col min="19" max="19" width="18.5" customWidth="1"/>
  </cols>
  <sheetData>
    <row r="5" spans="2:22" ht="17" thickBot="1" x14ac:dyDescent="0.25">
      <c r="B5" t="s">
        <v>25</v>
      </c>
    </row>
    <row r="6" spans="2:22" x14ac:dyDescent="0.2">
      <c r="C6" s="5" t="s">
        <v>21</v>
      </c>
      <c r="D6" s="6"/>
      <c r="E6" s="6"/>
      <c r="F6" s="6">
        <f>0.05*9.81</f>
        <v>0.49050000000000005</v>
      </c>
      <c r="G6" s="6"/>
      <c r="H6" s="7"/>
      <c r="I6" s="5" t="s">
        <v>22</v>
      </c>
      <c r="J6" s="6"/>
      <c r="K6" s="6"/>
      <c r="L6" s="6"/>
      <c r="M6" s="6">
        <f>0.5*9.81</f>
        <v>4.9050000000000002</v>
      </c>
      <c r="N6" s="6"/>
      <c r="O6" s="7"/>
      <c r="P6" s="5" t="s">
        <v>24</v>
      </c>
      <c r="Q6" s="6"/>
      <c r="R6" s="6"/>
      <c r="S6" s="6"/>
      <c r="T6" s="6">
        <f>0.2*9.81</f>
        <v>1.9620000000000002</v>
      </c>
      <c r="U6" s="6"/>
      <c r="V6" s="7"/>
    </row>
    <row r="7" spans="2:22" x14ac:dyDescent="0.2">
      <c r="C7" s="8" t="s">
        <v>16</v>
      </c>
      <c r="D7" t="s">
        <v>30</v>
      </c>
      <c r="E7" t="s">
        <v>32</v>
      </c>
      <c r="F7" t="s">
        <v>17</v>
      </c>
      <c r="G7" t="s">
        <v>18</v>
      </c>
      <c r="H7" s="10" t="s">
        <v>34</v>
      </c>
      <c r="I7" s="8" t="s">
        <v>16</v>
      </c>
      <c r="J7" t="s">
        <v>30</v>
      </c>
      <c r="K7" t="s">
        <v>32</v>
      </c>
      <c r="L7" t="s">
        <v>23</v>
      </c>
      <c r="M7" t="s">
        <v>17</v>
      </c>
      <c r="N7" t="s">
        <v>18</v>
      </c>
      <c r="O7" s="10" t="s">
        <v>34</v>
      </c>
      <c r="P7" s="8" t="s">
        <v>16</v>
      </c>
      <c r="Q7" t="s">
        <v>30</v>
      </c>
      <c r="R7" t="s">
        <v>32</v>
      </c>
      <c r="S7" t="s">
        <v>23</v>
      </c>
      <c r="T7" t="s">
        <v>17</v>
      </c>
      <c r="U7" t="s">
        <v>18</v>
      </c>
      <c r="V7" s="10" t="s">
        <v>34</v>
      </c>
    </row>
    <row r="8" spans="2:22" x14ac:dyDescent="0.2">
      <c r="B8" t="s">
        <v>11</v>
      </c>
      <c r="C8" s="8">
        <f>47-40</f>
        <v>7</v>
      </c>
      <c r="D8">
        <f>C8/1000000</f>
        <v>6.9999999999999999E-6</v>
      </c>
      <c r="E8">
        <f>(C8-C$14)^2</f>
        <v>9.9999999999999291E-3</v>
      </c>
      <c r="F8">
        <f>0.03*9.81</f>
        <v>0.29430000000000001</v>
      </c>
      <c r="G8">
        <f>-F8+F$6</f>
        <v>0.19620000000000004</v>
      </c>
      <c r="H8" s="10">
        <f>(F8-F$14)^2</f>
        <v>0</v>
      </c>
      <c r="I8" s="8">
        <f>740-700</f>
        <v>40</v>
      </c>
      <c r="J8">
        <f>I8/1000000</f>
        <v>4.0000000000000003E-5</v>
      </c>
      <c r="K8">
        <f>(I8-I$14)^2</f>
        <v>36</v>
      </c>
      <c r="L8">
        <v>400</v>
      </c>
      <c r="M8">
        <f>(L8/1000)*9.81</f>
        <v>3.9240000000000004</v>
      </c>
      <c r="N8">
        <f>-M8+M$6</f>
        <v>0.98099999999999987</v>
      </c>
      <c r="O8" s="10">
        <f>(M8-M$14)^2</f>
        <v>3.4644995999999111E-3</v>
      </c>
      <c r="P8" s="8">
        <v>30</v>
      </c>
      <c r="Q8">
        <f>P8/1000000</f>
        <v>3.0000000000000001E-5</v>
      </c>
      <c r="R8">
        <f>(P8-P$14)^2</f>
        <v>16</v>
      </c>
      <c r="S8">
        <v>140</v>
      </c>
      <c r="T8">
        <f>(S8/1000)*9.81</f>
        <v>1.3734000000000002</v>
      </c>
      <c r="U8">
        <f>-T8+T$6</f>
        <v>0.58860000000000001</v>
      </c>
      <c r="V8" s="10">
        <f>(T8-T$14)^2</f>
        <v>1.5397775999999954E-3</v>
      </c>
    </row>
    <row r="9" spans="2:22" x14ac:dyDescent="0.2">
      <c r="B9" t="s">
        <v>12</v>
      </c>
      <c r="C9" s="8">
        <f>46-40</f>
        <v>6</v>
      </c>
      <c r="D9">
        <f>C9/1000000</f>
        <v>6.0000000000000002E-6</v>
      </c>
      <c r="E9">
        <f t="shared" ref="E9:E11" si="0">(C9-C$14)^2</f>
        <v>0.81000000000000061</v>
      </c>
      <c r="F9">
        <f t="shared" ref="F9:F12" si="1">0.03*9.81</f>
        <v>0.29430000000000001</v>
      </c>
      <c r="G9">
        <f t="shared" ref="G9:G12" si="2">-F9+F$6</f>
        <v>0.19620000000000004</v>
      </c>
      <c r="H9" s="10">
        <f t="shared" ref="H9:H12" si="3">(F9-F$14)^2</f>
        <v>0</v>
      </c>
      <c r="I9" s="8">
        <v>50</v>
      </c>
      <c r="J9">
        <f>I9/1000000</f>
        <v>5.0000000000000002E-5</v>
      </c>
      <c r="K9">
        <f t="shared" ref="K9:K11" si="4">(I9-I$14)^2</f>
        <v>16</v>
      </c>
      <c r="L9">
        <v>410</v>
      </c>
      <c r="M9">
        <f>(L9/1000)*9.81</f>
        <v>4.0221</v>
      </c>
      <c r="N9">
        <f t="shared" ref="N9:N12" si="5">-M9+M$6</f>
        <v>0.88290000000000024</v>
      </c>
      <c r="O9" s="10">
        <f t="shared" ref="O9:O12" si="6">(M9-M$14)^2</f>
        <v>1.5397776000000303E-3</v>
      </c>
      <c r="P9" s="8">
        <v>30</v>
      </c>
      <c r="Q9">
        <f>P9/1000000</f>
        <v>3.0000000000000001E-5</v>
      </c>
      <c r="R9">
        <f t="shared" ref="R9:R11" si="7">(P9-P$14)^2</f>
        <v>16</v>
      </c>
      <c r="S9">
        <v>150</v>
      </c>
      <c r="T9">
        <f>(S9/1000)*9.81</f>
        <v>1.4715</v>
      </c>
      <c r="U9">
        <f t="shared" ref="U9:U12" si="8">-T9+T$6</f>
        <v>0.49050000000000016</v>
      </c>
      <c r="V9" s="10">
        <f t="shared" ref="V9:V12" si="9">(T9-T$14)^2</f>
        <v>3.4644995999999896E-3</v>
      </c>
    </row>
    <row r="10" spans="2:22" x14ac:dyDescent="0.2">
      <c r="B10" t="s">
        <v>13</v>
      </c>
      <c r="C10" s="8">
        <f>46.5-39</f>
        <v>7.5</v>
      </c>
      <c r="D10">
        <f>C10/1000000</f>
        <v>7.5000000000000002E-6</v>
      </c>
      <c r="E10">
        <f t="shared" si="0"/>
        <v>0.3599999999999996</v>
      </c>
      <c r="F10">
        <f t="shared" si="1"/>
        <v>0.29430000000000001</v>
      </c>
      <c r="G10">
        <f t="shared" si="2"/>
        <v>0.19620000000000004</v>
      </c>
      <c r="H10" s="10">
        <f t="shared" si="3"/>
        <v>0</v>
      </c>
      <c r="I10" s="8">
        <v>60</v>
      </c>
      <c r="J10">
        <f>I10/1000000</f>
        <v>6.0000000000000002E-5</v>
      </c>
      <c r="K10">
        <f t="shared" si="4"/>
        <v>196</v>
      </c>
      <c r="L10">
        <v>410</v>
      </c>
      <c r="M10">
        <f>(L10/1000)*9.81</f>
        <v>4.0221</v>
      </c>
      <c r="N10">
        <f t="shared" si="5"/>
        <v>0.88290000000000024</v>
      </c>
      <c r="O10" s="10">
        <f t="shared" si="6"/>
        <v>1.5397776000000303E-3</v>
      </c>
      <c r="P10" s="8">
        <v>20</v>
      </c>
      <c r="Q10">
        <f>P10/1000000</f>
        <v>2.0000000000000002E-5</v>
      </c>
      <c r="R10">
        <f t="shared" si="7"/>
        <v>36</v>
      </c>
      <c r="S10">
        <v>150</v>
      </c>
      <c r="T10">
        <f>(S10/1000)*9.81</f>
        <v>1.4715</v>
      </c>
      <c r="U10">
        <f t="shared" si="8"/>
        <v>0.49050000000000016</v>
      </c>
      <c r="V10" s="10">
        <f t="shared" si="9"/>
        <v>3.4644995999999896E-3</v>
      </c>
    </row>
    <row r="11" spans="2:22" x14ac:dyDescent="0.2">
      <c r="B11" t="s">
        <v>14</v>
      </c>
      <c r="C11" s="8">
        <f>46-40</f>
        <v>6</v>
      </c>
      <c r="D11">
        <f>C11/1000000</f>
        <v>6.0000000000000002E-6</v>
      </c>
      <c r="E11">
        <f t="shared" si="0"/>
        <v>0.81000000000000061</v>
      </c>
      <c r="F11">
        <f t="shared" si="1"/>
        <v>0.29430000000000001</v>
      </c>
      <c r="G11">
        <f t="shared" si="2"/>
        <v>0.19620000000000004</v>
      </c>
      <c r="H11" s="10">
        <f t="shared" si="3"/>
        <v>0</v>
      </c>
      <c r="I11" s="8">
        <v>40</v>
      </c>
      <c r="J11">
        <f>I11/1000000</f>
        <v>4.0000000000000003E-5</v>
      </c>
      <c r="K11">
        <f t="shared" si="4"/>
        <v>36</v>
      </c>
      <c r="L11">
        <v>400</v>
      </c>
      <c r="M11">
        <f>(L11/1000)*9.81</f>
        <v>3.9240000000000004</v>
      </c>
      <c r="N11">
        <f t="shared" si="5"/>
        <v>0.98099999999999987</v>
      </c>
      <c r="O11" s="10">
        <f t="shared" si="6"/>
        <v>3.4644995999999111E-3</v>
      </c>
      <c r="P11" s="8">
        <v>30</v>
      </c>
      <c r="Q11">
        <f>P11/1000000</f>
        <v>3.0000000000000001E-5</v>
      </c>
      <c r="R11">
        <f t="shared" si="7"/>
        <v>16</v>
      </c>
      <c r="S11">
        <v>140</v>
      </c>
      <c r="T11">
        <f>(S11/1000)*9.81</f>
        <v>1.3734000000000002</v>
      </c>
      <c r="U11">
        <f t="shared" si="8"/>
        <v>0.58860000000000001</v>
      </c>
      <c r="V11" s="10">
        <f t="shared" si="9"/>
        <v>1.5397775999999954E-3</v>
      </c>
    </row>
    <row r="12" spans="2:22" x14ac:dyDescent="0.2">
      <c r="B12" t="s">
        <v>15</v>
      </c>
      <c r="C12" s="8">
        <f>46-38</f>
        <v>8</v>
      </c>
      <c r="D12">
        <f>C12/1000000</f>
        <v>7.9999999999999996E-6</v>
      </c>
      <c r="E12">
        <f>(C12-C$14)^2</f>
        <v>1.2099999999999993</v>
      </c>
      <c r="F12">
        <f t="shared" si="1"/>
        <v>0.29430000000000001</v>
      </c>
      <c r="G12">
        <f t="shared" si="2"/>
        <v>0.19620000000000004</v>
      </c>
      <c r="H12" s="10">
        <f t="shared" si="3"/>
        <v>0</v>
      </c>
      <c r="I12" s="8">
        <v>40</v>
      </c>
      <c r="J12">
        <f>I12/1000000</f>
        <v>4.0000000000000003E-5</v>
      </c>
      <c r="K12">
        <f>(I12-I$14)^2</f>
        <v>36</v>
      </c>
      <c r="L12">
        <v>410</v>
      </c>
      <c r="M12">
        <f>(L12/1000)*9.81</f>
        <v>4.0221</v>
      </c>
      <c r="N12">
        <f t="shared" si="5"/>
        <v>0.88290000000000024</v>
      </c>
      <c r="O12" s="10">
        <f t="shared" si="6"/>
        <v>1.5397776000000303E-3</v>
      </c>
      <c r="P12" s="8">
        <v>20</v>
      </c>
      <c r="Q12">
        <f>P12/1000000</f>
        <v>2.0000000000000002E-5</v>
      </c>
      <c r="R12">
        <f>(P12-P$14)^2</f>
        <v>36</v>
      </c>
      <c r="S12">
        <v>140</v>
      </c>
      <c r="T12">
        <f>(S12/1000)*9.81</f>
        <v>1.3734000000000002</v>
      </c>
      <c r="U12">
        <f t="shared" si="8"/>
        <v>0.58860000000000001</v>
      </c>
      <c r="V12" s="10">
        <f t="shared" si="9"/>
        <v>1.5397775999999954E-3</v>
      </c>
    </row>
    <row r="13" spans="2:22" x14ac:dyDescent="0.2">
      <c r="C13" s="8"/>
      <c r="H13" s="10"/>
      <c r="I13" s="8"/>
      <c r="O13" s="10"/>
      <c r="P13" s="8"/>
      <c r="V13" s="10"/>
    </row>
    <row r="14" spans="2:22" x14ac:dyDescent="0.2">
      <c r="B14" t="s">
        <v>5</v>
      </c>
      <c r="C14" s="8">
        <f>AVERAGE(C8:C12)</f>
        <v>6.9</v>
      </c>
      <c r="F14">
        <f>AVERAGE(F8:F12)</f>
        <v>0.29430000000000001</v>
      </c>
      <c r="G14">
        <f>AVERAGE(G8:G12)</f>
        <v>0.19620000000000004</v>
      </c>
      <c r="H14" s="10"/>
      <c r="I14" s="8">
        <f>AVERAGE(I8:I12)</f>
        <v>46</v>
      </c>
      <c r="M14">
        <f>AVERAGE(M8:M12)</f>
        <v>3.9828599999999996</v>
      </c>
      <c r="N14">
        <f>AVERAGE(N8:N12)</f>
        <v>0.92214000000000007</v>
      </c>
      <c r="O14" s="10"/>
      <c r="P14" s="8">
        <f>AVERAGE(P8:P12)</f>
        <v>26</v>
      </c>
      <c r="T14">
        <f>AVERAGE(T8:T12)</f>
        <v>1.4126400000000001</v>
      </c>
      <c r="U14">
        <f>AVERAGE(U8:U12)</f>
        <v>0.54936000000000007</v>
      </c>
      <c r="V14" s="10"/>
    </row>
    <row r="15" spans="2:22" x14ac:dyDescent="0.2">
      <c r="B15" t="s">
        <v>31</v>
      </c>
      <c r="C15" s="8">
        <f>SQRT((SUM(E8:E12))/5)</f>
        <v>0.8</v>
      </c>
      <c r="F15">
        <f>SQRT((SUM(H8:H12))/5)</f>
        <v>0</v>
      </c>
      <c r="H15" s="10"/>
      <c r="I15" s="8">
        <f>SQRT((SUM(K8:K12))/5)</f>
        <v>8</v>
      </c>
      <c r="M15">
        <f>SQRT((SUM(O8:O12))/5)</f>
        <v>4.8058988753405772E-2</v>
      </c>
      <c r="O15" s="10"/>
      <c r="P15" s="8">
        <f>SQRT((SUM(R8:R12))/5)</f>
        <v>4.8989794855663558</v>
      </c>
      <c r="T15">
        <f>SQRT((SUM(V8:V12))/5)</f>
        <v>4.8058988753405883E-2</v>
      </c>
      <c r="V15" s="10"/>
    </row>
    <row r="16" spans="2:22" x14ac:dyDescent="0.2">
      <c r="B16" t="s">
        <v>19</v>
      </c>
      <c r="C16" s="14" t="s">
        <v>33</v>
      </c>
      <c r="F16" s="4" t="s">
        <v>35</v>
      </c>
      <c r="H16" s="10"/>
      <c r="I16" s="14" t="s">
        <v>36</v>
      </c>
      <c r="M16" s="4" t="s">
        <v>37</v>
      </c>
      <c r="O16" s="10"/>
      <c r="P16" s="14" t="s">
        <v>38</v>
      </c>
      <c r="T16" s="4" t="s">
        <v>37</v>
      </c>
      <c r="V16" s="10"/>
    </row>
    <row r="17" spans="2:22" ht="17" thickBot="1" x14ac:dyDescent="0.25">
      <c r="B17" t="s">
        <v>20</v>
      </c>
      <c r="C17" s="16">
        <f>(C15/C14)*100</f>
        <v>11.594202898550725</v>
      </c>
      <c r="D17" s="12"/>
      <c r="E17" s="12"/>
      <c r="F17" s="17">
        <f>(F15/F14)*100</f>
        <v>0</v>
      </c>
      <c r="G17" s="12"/>
      <c r="H17" s="13"/>
      <c r="I17" s="16">
        <f>(I15/I14)*100</f>
        <v>17.391304347826086</v>
      </c>
      <c r="J17" s="12"/>
      <c r="K17" s="12"/>
      <c r="L17" s="12"/>
      <c r="M17" s="17">
        <f>(M15/M14)*100</f>
        <v>1.2066451934892459</v>
      </c>
      <c r="N17" s="12"/>
      <c r="O17" s="13"/>
      <c r="P17" s="16">
        <f>(P15/P14)*100</f>
        <v>18.84222879063983</v>
      </c>
      <c r="Q17" s="12"/>
      <c r="R17" s="12"/>
      <c r="S17" s="12"/>
      <c r="T17" s="17">
        <f>(T15/T14)*100</f>
        <v>3.402069087198853</v>
      </c>
      <c r="U17" s="12"/>
      <c r="V17" s="13"/>
    </row>
    <row r="19" spans="2:22" x14ac:dyDescent="0.2">
      <c r="B19" t="s">
        <v>26</v>
      </c>
      <c r="C19">
        <v>985</v>
      </c>
    </row>
    <row r="20" spans="2:22" x14ac:dyDescent="0.2">
      <c r="B20" t="s">
        <v>28</v>
      </c>
      <c r="C20">
        <v>1005</v>
      </c>
    </row>
    <row r="22" spans="2:22" ht="17" thickBot="1" x14ac:dyDescent="0.25"/>
    <row r="23" spans="2:22" x14ac:dyDescent="0.2">
      <c r="C23" t="s">
        <v>21</v>
      </c>
      <c r="D23" s="6"/>
      <c r="E23" s="6"/>
      <c r="F23">
        <f>(50/1000)*9.81</f>
        <v>0.49050000000000005</v>
      </c>
      <c r="G23" s="6"/>
      <c r="H23" s="6"/>
      <c r="I23" s="7"/>
      <c r="J23" t="s">
        <v>29</v>
      </c>
      <c r="K23" s="6"/>
      <c r="L23" s="6"/>
      <c r="M23" s="6"/>
      <c r="N23">
        <f>(70/1000)*9.81</f>
        <v>0.68670000000000009</v>
      </c>
      <c r="O23" s="6"/>
      <c r="P23" s="7"/>
    </row>
    <row r="24" spans="2:22" x14ac:dyDescent="0.2">
      <c r="C24" t="s">
        <v>16</v>
      </c>
      <c r="D24" t="s">
        <v>30</v>
      </c>
      <c r="E24" t="s">
        <v>32</v>
      </c>
      <c r="F24" t="s">
        <v>23</v>
      </c>
      <c r="G24" t="s">
        <v>17</v>
      </c>
      <c r="H24" t="s">
        <v>18</v>
      </c>
      <c r="I24" s="10" t="s">
        <v>34</v>
      </c>
      <c r="J24" t="s">
        <v>16</v>
      </c>
      <c r="K24" t="s">
        <v>30</v>
      </c>
      <c r="L24" t="s">
        <v>32</v>
      </c>
      <c r="M24" t="s">
        <v>23</v>
      </c>
      <c r="N24" t="s">
        <v>17</v>
      </c>
      <c r="O24" t="s">
        <v>18</v>
      </c>
      <c r="P24" s="10" t="s">
        <v>34</v>
      </c>
    </row>
    <row r="25" spans="2:22" x14ac:dyDescent="0.2">
      <c r="B25" t="s">
        <v>11</v>
      </c>
      <c r="C25">
        <f>-38+45</f>
        <v>7</v>
      </c>
      <c r="D25">
        <f>C25/1000000</f>
        <v>6.9999999999999999E-6</v>
      </c>
      <c r="E25">
        <f>(C25-C$31)^2</f>
        <v>0.16000000000000028</v>
      </c>
      <c r="F25">
        <v>10</v>
      </c>
      <c r="G25">
        <f>(F25/1000)*9.81</f>
        <v>9.8100000000000007E-2</v>
      </c>
      <c r="H25">
        <f>-G25+F$6</f>
        <v>0.39240000000000003</v>
      </c>
      <c r="I25" s="10">
        <f>(G25-G$31)^2</f>
        <v>3.8494439999999994E-4</v>
      </c>
      <c r="J25">
        <f>-35+48</f>
        <v>13</v>
      </c>
      <c r="K25">
        <f>J25/1000000</f>
        <v>1.2999999999999999E-5</v>
      </c>
      <c r="L25">
        <f>(J25-J$31)^2</f>
        <v>0.3599999999999996</v>
      </c>
      <c r="M25">
        <v>25</v>
      </c>
      <c r="N25">
        <f>(M25/1000)*9.81</f>
        <v>0.24525000000000002</v>
      </c>
      <c r="O25">
        <f>-N25+N$23</f>
        <v>0.44145000000000006</v>
      </c>
      <c r="P25" s="10">
        <f>(N25-N$31)^2</f>
        <v>0</v>
      </c>
    </row>
    <row r="26" spans="2:22" x14ac:dyDescent="0.2">
      <c r="B26" t="s">
        <v>12</v>
      </c>
      <c r="C26">
        <f>-39+45</f>
        <v>6</v>
      </c>
      <c r="D26">
        <f>C26/1000000</f>
        <v>6.0000000000000002E-6</v>
      </c>
      <c r="E26">
        <f t="shared" ref="E26:E29" si="10">(C26-C$31)^2</f>
        <v>0.3599999999999996</v>
      </c>
      <c r="F26">
        <v>5</v>
      </c>
      <c r="G26">
        <f>(F26/1000)*9.81</f>
        <v>4.9050000000000003E-2</v>
      </c>
      <c r="H26">
        <f t="shared" ref="H26:H29" si="11">-G26+F$6</f>
        <v>0.44145000000000006</v>
      </c>
      <c r="I26" s="10">
        <f t="shared" ref="I26:I28" si="12">(G26-G$31)^2</f>
        <v>8.6612490000000032E-4</v>
      </c>
      <c r="J26">
        <f>-36+48</f>
        <v>12</v>
      </c>
      <c r="K26">
        <f>J26/1000000</f>
        <v>1.2E-5</v>
      </c>
      <c r="L26">
        <f t="shared" ref="L26:L29" si="13">(J26-J$31)^2</f>
        <v>0.16000000000000028</v>
      </c>
      <c r="M26">
        <v>20</v>
      </c>
      <c r="N26">
        <f>(M26/1000)*9.81</f>
        <v>0.19620000000000001</v>
      </c>
      <c r="O26">
        <f t="shared" ref="O26:O29" si="14">-N26+N$23</f>
        <v>0.49050000000000005</v>
      </c>
      <c r="P26" s="10">
        <f>(N26-N$31)^2</f>
        <v>2.4059025000000012E-3</v>
      </c>
    </row>
    <row r="27" spans="2:22" x14ac:dyDescent="0.2">
      <c r="B27" t="s">
        <v>13</v>
      </c>
      <c r="C27">
        <v>7</v>
      </c>
      <c r="D27">
        <f>C27/1000000</f>
        <v>6.9999999999999999E-6</v>
      </c>
      <c r="E27">
        <f>(C27-C$31)^2</f>
        <v>0.16000000000000028</v>
      </c>
      <c r="F27">
        <v>10</v>
      </c>
      <c r="G27">
        <f>(F27/1000)*9.81</f>
        <v>9.8100000000000007E-2</v>
      </c>
      <c r="H27">
        <f t="shared" si="11"/>
        <v>0.39240000000000003</v>
      </c>
      <c r="I27" s="10">
        <f t="shared" si="12"/>
        <v>3.8494439999999994E-4</v>
      </c>
      <c r="J27">
        <v>13</v>
      </c>
      <c r="K27">
        <f>J27/1000000</f>
        <v>1.2999999999999999E-5</v>
      </c>
      <c r="L27">
        <f t="shared" si="13"/>
        <v>0.3599999999999996</v>
      </c>
      <c r="M27">
        <v>20</v>
      </c>
      <c r="N27">
        <f>(M27/1000)*9.81</f>
        <v>0.19620000000000001</v>
      </c>
      <c r="O27">
        <f t="shared" si="14"/>
        <v>0.49050000000000005</v>
      </c>
      <c r="P27" s="10">
        <f>(N27-N$31)^2</f>
        <v>2.4059025000000012E-3</v>
      </c>
    </row>
    <row r="28" spans="2:22" x14ac:dyDescent="0.2">
      <c r="B28" t="s">
        <v>14</v>
      </c>
      <c r="C28">
        <v>7</v>
      </c>
      <c r="D28">
        <f>C28/1000000</f>
        <v>6.9999999999999999E-6</v>
      </c>
      <c r="E28">
        <f t="shared" si="10"/>
        <v>0.16000000000000028</v>
      </c>
      <c r="F28">
        <v>10</v>
      </c>
      <c r="G28">
        <f>(F28/1000)*9.81</f>
        <v>9.8100000000000007E-2</v>
      </c>
      <c r="H28">
        <f t="shared" si="11"/>
        <v>0.39240000000000003</v>
      </c>
      <c r="I28" s="10">
        <f t="shared" si="12"/>
        <v>3.8494439999999994E-4</v>
      </c>
      <c r="J28">
        <v>12</v>
      </c>
      <c r="K28">
        <f>J28/1000000</f>
        <v>1.2E-5</v>
      </c>
      <c r="L28">
        <f t="shared" si="13"/>
        <v>0.16000000000000028</v>
      </c>
      <c r="M28">
        <v>30</v>
      </c>
      <c r="N28">
        <f>(M28/1000)*9.81</f>
        <v>0.29430000000000001</v>
      </c>
      <c r="O28">
        <f t="shared" si="14"/>
        <v>0.39240000000000008</v>
      </c>
      <c r="P28" s="10">
        <f>(N28-N$31)^2</f>
        <v>2.4059024999999981E-3</v>
      </c>
    </row>
    <row r="29" spans="2:22" x14ac:dyDescent="0.2">
      <c r="B29" t="s">
        <v>15</v>
      </c>
      <c r="C29">
        <v>6</v>
      </c>
      <c r="D29">
        <f>C29/1000000</f>
        <v>6.0000000000000002E-6</v>
      </c>
      <c r="E29">
        <f t="shared" si="10"/>
        <v>0.3599999999999996</v>
      </c>
      <c r="F29">
        <v>5</v>
      </c>
      <c r="G29">
        <f>(F29/1000)*9.81</f>
        <v>4.9050000000000003E-2</v>
      </c>
      <c r="H29">
        <f t="shared" si="11"/>
        <v>0.44145000000000006</v>
      </c>
      <c r="I29" s="10">
        <f>(G29-G$31)^2</f>
        <v>8.6612490000000032E-4</v>
      </c>
      <c r="J29">
        <v>12</v>
      </c>
      <c r="K29">
        <f>J29/1000000</f>
        <v>1.2E-5</v>
      </c>
      <c r="L29">
        <f t="shared" si="13"/>
        <v>0.16000000000000028</v>
      </c>
      <c r="M29">
        <v>30</v>
      </c>
      <c r="N29">
        <f>(M29/1000)*9.81</f>
        <v>0.29430000000000001</v>
      </c>
      <c r="O29">
        <f t="shared" si="14"/>
        <v>0.39240000000000008</v>
      </c>
      <c r="P29" s="10">
        <f>(N29-N$31)^2</f>
        <v>2.4059024999999981E-3</v>
      </c>
    </row>
    <row r="30" spans="2:22" x14ac:dyDescent="0.2">
      <c r="C30" s="8"/>
      <c r="I30" s="10"/>
      <c r="J30" s="8"/>
      <c r="P30" s="10"/>
    </row>
    <row r="31" spans="2:22" x14ac:dyDescent="0.2">
      <c r="B31" t="s">
        <v>5</v>
      </c>
      <c r="C31" s="8">
        <f>AVERAGE(C25:C29)</f>
        <v>6.6</v>
      </c>
      <c r="G31">
        <f>AVERAGE(G25:G29)</f>
        <v>7.8480000000000008E-2</v>
      </c>
      <c r="H31">
        <f>AVERAGE(H25:H29)</f>
        <v>0.41202000000000005</v>
      </c>
      <c r="I31" s="10"/>
      <c r="J31" s="8">
        <f>AVERAGE(J25:J29)</f>
        <v>12.4</v>
      </c>
      <c r="N31">
        <f>AVERAGE(N25:N29)</f>
        <v>0.24525000000000002</v>
      </c>
      <c r="O31">
        <f>AVERAGE(O25:O29)</f>
        <v>0.44145000000000001</v>
      </c>
      <c r="P31" s="10"/>
    </row>
    <row r="32" spans="2:22" x14ac:dyDescent="0.2">
      <c r="B32" t="s">
        <v>31</v>
      </c>
      <c r="C32" s="8">
        <f>SQRT((SUM(E25:E29))/5)</f>
        <v>0.4898979485566356</v>
      </c>
      <c r="G32">
        <f>SQRT((SUM(I25:I29))/5)</f>
        <v>2.402949437670298E-2</v>
      </c>
      <c r="I32" s="10"/>
      <c r="J32" s="8">
        <f>SQRT((SUM(L25:L29))/5)</f>
        <v>0.48989794855663565</v>
      </c>
      <c r="N32">
        <f>SQRT((SUM(P25:P29))/5)</f>
        <v>4.3871653718545872E-2</v>
      </c>
      <c r="P32" s="10"/>
    </row>
    <row r="33" spans="2:16" x14ac:dyDescent="0.2">
      <c r="B33" t="s">
        <v>19</v>
      </c>
      <c r="C33" s="14" t="s">
        <v>39</v>
      </c>
      <c r="G33" s="4" t="s">
        <v>41</v>
      </c>
      <c r="I33" s="10"/>
      <c r="J33" s="14" t="s">
        <v>40</v>
      </c>
      <c r="N33" s="4" t="s">
        <v>42</v>
      </c>
      <c r="P33" s="10"/>
    </row>
    <row r="34" spans="2:16" ht="17" thickBot="1" x14ac:dyDescent="0.25">
      <c r="B34" t="s">
        <v>20</v>
      </c>
      <c r="C34" s="16">
        <f>(C32/C31)*100</f>
        <v>7.4226961902520552</v>
      </c>
      <c r="D34" s="12"/>
      <c r="E34" s="12"/>
      <c r="F34" s="12"/>
      <c r="G34" s="17">
        <f>(G32/G31)*100</f>
        <v>30.618621784789728</v>
      </c>
      <c r="H34" s="12"/>
      <c r="I34" s="13"/>
      <c r="J34" s="16">
        <f>(J32/J31)*100</f>
        <v>3.9507899077148037</v>
      </c>
      <c r="K34" s="12"/>
      <c r="L34" s="12"/>
      <c r="M34" s="12"/>
      <c r="N34" s="17">
        <f>(N32/N31)*100</f>
        <v>17.888543819998315</v>
      </c>
      <c r="O34" s="12"/>
      <c r="P34" s="13"/>
    </row>
    <row r="38" spans="2:16" x14ac:dyDescent="0.2">
      <c r="C38" t="s">
        <v>25</v>
      </c>
      <c r="J38" t="s">
        <v>27</v>
      </c>
    </row>
    <row r="39" spans="2:16" x14ac:dyDescent="0.2">
      <c r="C39" t="s">
        <v>43</v>
      </c>
      <c r="D39" t="s">
        <v>44</v>
      </c>
      <c r="E39" t="s">
        <v>2</v>
      </c>
      <c r="F39" t="s">
        <v>3</v>
      </c>
      <c r="G39" t="s">
        <v>4</v>
      </c>
      <c r="J39" t="s">
        <v>43</v>
      </c>
      <c r="K39" t="s">
        <v>44</v>
      </c>
      <c r="L39" t="s">
        <v>2</v>
      </c>
      <c r="M39" t="s">
        <v>3</v>
      </c>
      <c r="N39" t="s">
        <v>4</v>
      </c>
    </row>
    <row r="40" spans="2:16" x14ac:dyDescent="0.2">
      <c r="C40">
        <v>6.9</v>
      </c>
      <c r="D40">
        <v>0.19620000000000001</v>
      </c>
      <c r="E40">
        <f>C40*D40</f>
        <v>1.3537800000000002</v>
      </c>
      <c r="F40">
        <f>D40^2</f>
        <v>3.8494440000000005E-2</v>
      </c>
      <c r="G40">
        <f>C40^2</f>
        <v>47.610000000000007</v>
      </c>
      <c r="J40">
        <v>6.6</v>
      </c>
      <c r="K40">
        <v>0.41202</v>
      </c>
      <c r="L40">
        <f>J40*K40</f>
        <v>2.7193319999999996</v>
      </c>
      <c r="M40">
        <f>K40^2</f>
        <v>0.1697604804</v>
      </c>
      <c r="N40">
        <f>J40^2</f>
        <v>43.559999999999995</v>
      </c>
    </row>
    <row r="41" spans="2:16" x14ac:dyDescent="0.2">
      <c r="C41">
        <v>46</v>
      </c>
      <c r="D41">
        <v>0.92213999999999996</v>
      </c>
      <c r="E41">
        <f t="shared" ref="E41:E42" si="15">C41*D41</f>
        <v>42.418439999999997</v>
      </c>
      <c r="F41">
        <f t="shared" ref="F41:F42" si="16">D41^2</f>
        <v>0.85034217959999991</v>
      </c>
      <c r="G41">
        <f t="shared" ref="G41:G42" si="17">C41^2</f>
        <v>2116</v>
      </c>
      <c r="J41">
        <v>12.4</v>
      </c>
      <c r="K41">
        <v>0.44145000000000001</v>
      </c>
      <c r="L41">
        <f t="shared" ref="L41" si="18">J41*K41</f>
        <v>5.4739800000000001</v>
      </c>
      <c r="M41">
        <f t="shared" ref="M41" si="19">K41^2</f>
        <v>0.19487810250000001</v>
      </c>
      <c r="N41">
        <f t="shared" ref="N41" si="20">J41^2</f>
        <v>153.76000000000002</v>
      </c>
    </row>
    <row r="42" spans="2:16" x14ac:dyDescent="0.2">
      <c r="C42">
        <v>26</v>
      </c>
      <c r="D42">
        <v>0.54935999999999996</v>
      </c>
      <c r="E42">
        <f t="shared" si="15"/>
        <v>14.283359999999998</v>
      </c>
      <c r="F42">
        <f t="shared" si="16"/>
        <v>0.30179640959999998</v>
      </c>
      <c r="G42">
        <f t="shared" si="17"/>
        <v>676</v>
      </c>
    </row>
    <row r="43" spans="2:16" x14ac:dyDescent="0.2">
      <c r="B43" t="s">
        <v>10</v>
      </c>
      <c r="C43">
        <f>SUM(C40:C42)</f>
        <v>78.900000000000006</v>
      </c>
      <c r="D43">
        <f t="shared" ref="D43:K43" si="21">SUM(D40:D42)</f>
        <v>1.6677</v>
      </c>
      <c r="E43">
        <f t="shared" si="21"/>
        <v>58.055579999999992</v>
      </c>
      <c r="F43">
        <f t="shared" si="21"/>
        <v>1.1906330291999998</v>
      </c>
      <c r="G43">
        <f t="shared" si="21"/>
        <v>2839.61</v>
      </c>
      <c r="I43" t="s">
        <v>10</v>
      </c>
      <c r="J43">
        <f t="shared" si="21"/>
        <v>19</v>
      </c>
      <c r="K43">
        <f t="shared" si="21"/>
        <v>0.85346999999999995</v>
      </c>
      <c r="L43">
        <f t="shared" ref="L43" si="22">SUM(L40:L42)</f>
        <v>8.1933119999999988</v>
      </c>
      <c r="M43">
        <f t="shared" ref="M43" si="23">SUM(M40:M42)</f>
        <v>0.36463858290000001</v>
      </c>
      <c r="N43">
        <f t="shared" ref="N43" si="24">SUM(N40:N42)</f>
        <v>197.32000000000002</v>
      </c>
    </row>
    <row r="44" spans="2:16" x14ac:dyDescent="0.2">
      <c r="B44" t="s">
        <v>5</v>
      </c>
      <c r="C44">
        <f>AVERAGE(C40:C42)</f>
        <v>26.3</v>
      </c>
      <c r="D44">
        <f t="shared" ref="D44:G44" si="25">AVERAGE(D40:D42)</f>
        <v>0.55589999999999995</v>
      </c>
      <c r="E44">
        <f t="shared" si="25"/>
        <v>19.351859999999999</v>
      </c>
      <c r="F44">
        <f t="shared" si="25"/>
        <v>0.39687767639999993</v>
      </c>
      <c r="G44">
        <f t="shared" si="25"/>
        <v>946.53666666666675</v>
      </c>
      <c r="I44" t="s">
        <v>5</v>
      </c>
      <c r="J44">
        <f>AVERAGE(J40:J41)</f>
        <v>9.5</v>
      </c>
      <c r="K44">
        <f>AVERAGE(K40:K41)</f>
        <v>0.42673499999999998</v>
      </c>
      <c r="L44">
        <f t="shared" ref="L44:N44" si="26">AVERAGE(L40:L41)</f>
        <v>4.0966559999999994</v>
      </c>
      <c r="M44">
        <f t="shared" si="26"/>
        <v>0.18231929145</v>
      </c>
      <c r="N44">
        <f t="shared" si="26"/>
        <v>98.660000000000011</v>
      </c>
    </row>
    <row r="46" spans="2:16" x14ac:dyDescent="0.2">
      <c r="B46" t="s">
        <v>7</v>
      </c>
      <c r="C46">
        <f>SQRT(F44-((D44)^2))</f>
        <v>0.29639984210522113</v>
      </c>
      <c r="I46" t="s">
        <v>7</v>
      </c>
      <c r="J46">
        <f>SQRT(M44-((K44)^2))</f>
        <v>1.4715000000001305E-2</v>
      </c>
    </row>
    <row r="47" spans="2:16" x14ac:dyDescent="0.2">
      <c r="B47" t="s">
        <v>8</v>
      </c>
      <c r="C47">
        <f>SQRT(G44-((C44^2)))</f>
        <v>15.963917647829016</v>
      </c>
      <c r="I47" t="s">
        <v>8</v>
      </c>
      <c r="J47">
        <f>SQRT(N44-((J44^2)))</f>
        <v>2.9000000000000017</v>
      </c>
    </row>
    <row r="48" spans="2:16" x14ac:dyDescent="0.2">
      <c r="B48" t="s">
        <v>6</v>
      </c>
      <c r="C48">
        <f>E44-D44*C44</f>
        <v>4.7316899999999986</v>
      </c>
      <c r="I48" t="s">
        <v>6</v>
      </c>
      <c r="J48">
        <f>L44-K44*J44</f>
        <v>4.2673499999999365E-2</v>
      </c>
    </row>
    <row r="49" spans="2:10" x14ac:dyDescent="0.2">
      <c r="B49" t="s">
        <v>9</v>
      </c>
      <c r="C49">
        <f>CORREL(C40:C44,D40:D44)</f>
        <v>0.99849983974515821</v>
      </c>
      <c r="I49" t="s">
        <v>9</v>
      </c>
      <c r="J49">
        <f>CORREL(J40:J44,K40:K44)</f>
        <v>0.91863274716442411</v>
      </c>
    </row>
    <row r="50" spans="2:10" x14ac:dyDescent="0.2">
      <c r="B50" t="s">
        <v>45</v>
      </c>
      <c r="C50">
        <f>C49^2</f>
        <v>0.99700192997110659</v>
      </c>
      <c r="I50" t="s">
        <v>45</v>
      </c>
      <c r="J50">
        <f>J49^2</f>
        <v>0.8438861241628568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2020-02-20T19:21:47Z</dcterms:created>
  <dcterms:modified xsi:type="dcterms:W3CDTF">2020-02-25T15:09:48Z</dcterms:modified>
</cp:coreProperties>
</file>