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esktop\cond_crispra_data\"/>
    </mc:Choice>
  </mc:AlternateContent>
  <xr:revisionPtr revIDLastSave="0" documentId="8_{FAD7B62A-E1A9-408B-A5E0-EDE16B0478B3}" xr6:coauthVersionLast="47" xr6:coauthVersionMax="47" xr10:uidLastSave="{00000000-0000-0000-0000-000000000000}"/>
  <bookViews>
    <workbookView xWindow="-96" yWindow="-96" windowWidth="23232" windowHeight="12432" firstSheet="3" activeTab="7" xr2:uid="{02E5BA59-8CFA-4A6B-9C0A-17551BB856E1}"/>
  </bookViews>
  <sheets>
    <sheet name="022322_synzip_phase" sheetId="1" r:id="rId1"/>
    <sheet name="022322_aba_ga_titration" sheetId="2" r:id="rId2"/>
    <sheet name="022822_inducer_titration" sheetId="3" r:id="rId3"/>
    <sheet name="051222_da9_titrate" sheetId="4" r:id="rId4"/>
    <sheet name="051822_SYNZIP_GA_da9_titrate" sheetId="5" r:id="rId5"/>
    <sheet name="052422_GA_ABA_Da9_titrate" sheetId="6" r:id="rId6"/>
    <sheet name="061622_fans_ECHO" sheetId="7" r:id="rId7"/>
    <sheet name="062222_Fa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F18" i="6"/>
  <c r="E17" i="6"/>
  <c r="F17" i="6" s="1"/>
  <c r="C17" i="6"/>
  <c r="E16" i="6"/>
  <c r="F16" i="6" s="1"/>
  <c r="E15" i="6"/>
  <c r="F14" i="6"/>
  <c r="E14" i="6"/>
  <c r="E13" i="6"/>
  <c r="F13" i="6" s="1"/>
  <c r="H12" i="6"/>
  <c r="E12" i="6"/>
  <c r="F12" i="6" s="1"/>
  <c r="F8" i="6"/>
  <c r="E7" i="6"/>
  <c r="F7" i="6" s="1"/>
  <c r="F6" i="6"/>
  <c r="E6" i="6"/>
  <c r="E5" i="6"/>
  <c r="E4" i="6"/>
  <c r="F4" i="6" s="1"/>
  <c r="F3" i="6"/>
  <c r="E3" i="6"/>
  <c r="E2" i="6"/>
  <c r="F2" i="6" s="1"/>
  <c r="F17" i="5"/>
  <c r="F16" i="5"/>
  <c r="E16" i="5"/>
  <c r="E15" i="5"/>
  <c r="E14" i="5"/>
  <c r="F14" i="5" s="1"/>
  <c r="E13" i="5"/>
  <c r="F13" i="5" s="1"/>
  <c r="E12" i="5"/>
  <c r="E18" i="5" s="1"/>
  <c r="F8" i="5"/>
  <c r="E7" i="5"/>
  <c r="F7" i="5" s="1"/>
  <c r="E6" i="5"/>
  <c r="F6" i="5" s="1"/>
  <c r="E5" i="5"/>
  <c r="F4" i="5"/>
  <c r="E4" i="5"/>
  <c r="E3" i="5"/>
  <c r="E9" i="5" s="1"/>
  <c r="F2" i="5"/>
  <c r="E2" i="5"/>
  <c r="J11" i="4"/>
  <c r="F11" i="4"/>
  <c r="J10" i="4"/>
  <c r="C10" i="4"/>
  <c r="E10" i="4" s="1"/>
  <c r="F10" i="4" s="1"/>
  <c r="J9" i="4"/>
  <c r="E9" i="4"/>
  <c r="F9" i="4" s="1"/>
  <c r="J8" i="4"/>
  <c r="E8" i="4"/>
  <c r="E15" i="4" s="1"/>
  <c r="J7" i="4"/>
  <c r="E7" i="4"/>
  <c r="F7" i="4" s="1"/>
  <c r="J6" i="4"/>
  <c r="E6" i="4"/>
  <c r="F6" i="4" s="1"/>
  <c r="J5" i="4"/>
  <c r="F5" i="4"/>
  <c r="E5" i="4"/>
  <c r="J4" i="4"/>
  <c r="M28" i="3"/>
  <c r="L28" i="3"/>
  <c r="K28" i="3"/>
  <c r="O27" i="3"/>
  <c r="M27" i="3"/>
  <c r="L27" i="3"/>
  <c r="K27" i="3"/>
  <c r="N27" i="3" s="1"/>
  <c r="R26" i="3"/>
  <c r="O26" i="3"/>
  <c r="M26" i="3"/>
  <c r="L26" i="3"/>
  <c r="Q26" i="3" s="1"/>
  <c r="K26" i="3"/>
  <c r="P26" i="3" s="1"/>
  <c r="E26" i="3"/>
  <c r="M25" i="3"/>
  <c r="R25" i="3" s="1"/>
  <c r="L25" i="3"/>
  <c r="O25" i="3" s="1"/>
  <c r="K25" i="3"/>
  <c r="B25" i="3"/>
  <c r="D25" i="3" s="1"/>
  <c r="E25" i="3" s="1"/>
  <c r="R24" i="3"/>
  <c r="Q24" i="3"/>
  <c r="O24" i="3"/>
  <c r="M24" i="3"/>
  <c r="L24" i="3"/>
  <c r="K24" i="3"/>
  <c r="P24" i="3" s="1"/>
  <c r="D24" i="3"/>
  <c r="E24" i="3" s="1"/>
  <c r="B24" i="3"/>
  <c r="O23" i="3"/>
  <c r="N23" i="3"/>
  <c r="M23" i="3"/>
  <c r="L23" i="3"/>
  <c r="Q23" i="3" s="1"/>
  <c r="K23" i="3"/>
  <c r="D23" i="3"/>
  <c r="E23" i="3" s="1"/>
  <c r="B23" i="3"/>
  <c r="M22" i="3"/>
  <c r="R22" i="3" s="1"/>
  <c r="L22" i="3"/>
  <c r="Q22" i="3" s="1"/>
  <c r="K22" i="3"/>
  <c r="O22" i="3" s="1"/>
  <c r="D22" i="3"/>
  <c r="E22" i="3" s="1"/>
  <c r="B22" i="3"/>
  <c r="Q21" i="3"/>
  <c r="P21" i="3"/>
  <c r="N21" i="3"/>
  <c r="M21" i="3"/>
  <c r="L21" i="3"/>
  <c r="K21" i="3"/>
  <c r="P25" i="3" s="1"/>
  <c r="D21" i="3"/>
  <c r="E21" i="3" s="1"/>
  <c r="B20" i="3"/>
  <c r="D20" i="3" s="1"/>
  <c r="M19" i="3"/>
  <c r="L19" i="3"/>
  <c r="K19" i="3"/>
  <c r="M18" i="3"/>
  <c r="N18" i="3" s="1"/>
  <c r="L18" i="3"/>
  <c r="K18" i="3"/>
  <c r="O18" i="3" s="1"/>
  <c r="O17" i="3"/>
  <c r="M17" i="3"/>
  <c r="R17" i="3" s="1"/>
  <c r="L17" i="3"/>
  <c r="Q17" i="3" s="1"/>
  <c r="K17" i="3"/>
  <c r="N17" i="3" s="1"/>
  <c r="M16" i="3"/>
  <c r="L16" i="3"/>
  <c r="Q16" i="3" s="1"/>
  <c r="K16" i="3"/>
  <c r="N16" i="3" s="1"/>
  <c r="E16" i="3"/>
  <c r="M15" i="3"/>
  <c r="R15" i="3" s="1"/>
  <c r="L15" i="3"/>
  <c r="K15" i="3"/>
  <c r="P15" i="3" s="1"/>
  <c r="B15" i="3"/>
  <c r="D15" i="3" s="1"/>
  <c r="Q14" i="3"/>
  <c r="O14" i="3"/>
  <c r="M14" i="3"/>
  <c r="N14" i="3" s="1"/>
  <c r="L14" i="3"/>
  <c r="K14" i="3"/>
  <c r="P14" i="3" s="1"/>
  <c r="D14" i="3"/>
  <c r="E14" i="3" s="1"/>
  <c r="B14" i="3"/>
  <c r="N13" i="3"/>
  <c r="M13" i="3"/>
  <c r="L13" i="3"/>
  <c r="R13" i="3" s="1"/>
  <c r="K13" i="3"/>
  <c r="Q15" i="3" s="1"/>
  <c r="B13" i="3"/>
  <c r="D13" i="3" s="1"/>
  <c r="E13" i="3" s="1"/>
  <c r="D12" i="3"/>
  <c r="E12" i="3" s="1"/>
  <c r="B12" i="3"/>
  <c r="E11" i="3"/>
  <c r="D11" i="3"/>
  <c r="B10" i="3"/>
  <c r="D10" i="3" s="1"/>
  <c r="E34" i="2"/>
  <c r="E33" i="2"/>
  <c r="F37" i="2" s="1"/>
  <c r="E32" i="2"/>
  <c r="F32" i="2" s="1"/>
  <c r="E31" i="2"/>
  <c r="F31" i="2" s="1"/>
  <c r="E30" i="2"/>
  <c r="F30" i="2" s="1"/>
  <c r="E29" i="2"/>
  <c r="E35" i="2" s="1"/>
  <c r="F35" i="2" s="1"/>
  <c r="F24" i="2"/>
  <c r="E23" i="2"/>
  <c r="E22" i="2"/>
  <c r="F26" i="2" s="1"/>
  <c r="C21" i="2"/>
  <c r="E21" i="2" s="1"/>
  <c r="F21" i="2" s="1"/>
  <c r="E20" i="2"/>
  <c r="F20" i="2" s="1"/>
  <c r="E19" i="2"/>
  <c r="F19" i="2" s="1"/>
  <c r="E18" i="2"/>
  <c r="F18" i="2" s="1"/>
  <c r="F35" i="1"/>
  <c r="G35" i="1" s="1"/>
  <c r="F34" i="1"/>
  <c r="G34" i="1" s="1"/>
  <c r="F33" i="1"/>
  <c r="G33" i="1" s="1"/>
  <c r="G32" i="1"/>
  <c r="F32" i="1"/>
  <c r="F36" i="1" s="1"/>
  <c r="F31" i="1"/>
  <c r="G31" i="1" s="1"/>
  <c r="F28" i="1"/>
  <c r="F26" i="1"/>
  <c r="G26" i="1" s="1"/>
  <c r="F25" i="1"/>
  <c r="G25" i="1" s="1"/>
  <c r="F24" i="1"/>
  <c r="F21" i="1"/>
  <c r="F20" i="1"/>
  <c r="G20" i="1" s="1"/>
  <c r="F19" i="1"/>
  <c r="G18" i="1"/>
  <c r="F18" i="1"/>
  <c r="F17" i="1"/>
  <c r="F22" i="1" s="1"/>
  <c r="G22" i="1" s="1"/>
  <c r="D12" i="1"/>
  <c r="L7" i="1" s="1"/>
  <c r="M7" i="1" s="1"/>
  <c r="D11" i="1"/>
  <c r="L6" i="1" s="1"/>
  <c r="M6" i="1" s="1"/>
  <c r="D10" i="1"/>
  <c r="L5" i="1" s="1"/>
  <c r="M5" i="1" s="1"/>
  <c r="D9" i="1"/>
  <c r="L4" i="1" s="1"/>
  <c r="M4" i="1" s="1"/>
  <c r="D8" i="1"/>
  <c r="L3" i="1" s="1"/>
  <c r="M3" i="1" s="1"/>
  <c r="D7" i="1"/>
  <c r="D6" i="1"/>
  <c r="D27" i="1" s="1"/>
  <c r="F27" i="1" s="1"/>
  <c r="G27" i="1" s="1"/>
  <c r="D5" i="1"/>
  <c r="D2" i="1"/>
  <c r="E9" i="6" l="1"/>
  <c r="F12" i="5"/>
  <c r="F3" i="5"/>
  <c r="E12" i="4"/>
  <c r="T24" i="3"/>
  <c r="S24" i="3"/>
  <c r="T15" i="3"/>
  <c r="S15" i="3"/>
  <c r="D27" i="3"/>
  <c r="E20" i="3"/>
  <c r="T26" i="3"/>
  <c r="S26" i="3"/>
  <c r="S14" i="3"/>
  <c r="E10" i="3"/>
  <c r="D17" i="3"/>
  <c r="R16" i="3"/>
  <c r="N15" i="3"/>
  <c r="O16" i="3"/>
  <c r="P22" i="3"/>
  <c r="N24" i="3"/>
  <c r="Q25" i="3"/>
  <c r="T25" i="3" s="1"/>
  <c r="N26" i="3"/>
  <c r="P16" i="3"/>
  <c r="O21" i="3"/>
  <c r="R14" i="3"/>
  <c r="T14" i="3" s="1"/>
  <c r="P17" i="3"/>
  <c r="P13" i="3"/>
  <c r="O15" i="3"/>
  <c r="R21" i="3"/>
  <c r="T21" i="3" s="1"/>
  <c r="P23" i="3"/>
  <c r="N25" i="3"/>
  <c r="Q13" i="3"/>
  <c r="N22" i="3"/>
  <c r="O13" i="3"/>
  <c r="R23" i="3"/>
  <c r="E36" i="2"/>
  <c r="E25" i="2"/>
  <c r="F29" i="2"/>
  <c r="F23" i="1"/>
  <c r="F37" i="1"/>
  <c r="G36" i="1"/>
  <c r="G19" i="1"/>
  <c r="G24" i="1"/>
  <c r="F29" i="1"/>
  <c r="G29" i="1" s="1"/>
  <c r="G17" i="1"/>
  <c r="S21" i="3" l="1"/>
  <c r="S16" i="3"/>
  <c r="T16" i="3"/>
  <c r="T23" i="3"/>
  <c r="S23" i="3"/>
  <c r="S25" i="3"/>
  <c r="T13" i="3"/>
  <c r="S13" i="3"/>
  <c r="T22" i="3"/>
  <c r="S22" i="3"/>
  <c r="S17" i="3"/>
  <c r="T17" i="3"/>
  <c r="F30" i="1"/>
</calcChain>
</file>

<file path=xl/sharedStrings.xml><?xml version="1.0" encoding="utf-8"?>
<sst xmlns="http://schemas.openxmlformats.org/spreadsheetml/2006/main" count="615" uniqueCount="223">
  <si>
    <t>Input</t>
  </si>
  <si>
    <t>Conc (nM)</t>
  </si>
  <si>
    <t>pDA010.188</t>
  </si>
  <si>
    <t>dCas9</t>
  </si>
  <si>
    <t>6+0</t>
  </si>
  <si>
    <t>to 89nM in 5ul</t>
  </si>
  <si>
    <t>water</t>
  </si>
  <si>
    <t>pRC011</t>
  </si>
  <si>
    <t>MCP-SYNZIP</t>
  </si>
  <si>
    <t>6+1</t>
  </si>
  <si>
    <t>pRC012</t>
  </si>
  <si>
    <t>SoxS-SYNZIP</t>
  </si>
  <si>
    <t>6+2</t>
  </si>
  <si>
    <t>pRC008.206</t>
  </si>
  <si>
    <t>6+3</t>
  </si>
  <si>
    <t>pRC008.207</t>
  </si>
  <si>
    <t>6+4</t>
  </si>
  <si>
    <t>pRC008.208</t>
  </si>
  <si>
    <t>7+0</t>
  </si>
  <si>
    <t>pRC014</t>
  </si>
  <si>
    <t>7+1</t>
  </si>
  <si>
    <t>pRC014.1</t>
  </si>
  <si>
    <t>7+2</t>
  </si>
  <si>
    <t>pRC014.2</t>
  </si>
  <si>
    <t>7+3</t>
  </si>
  <si>
    <t>pRC014.3</t>
  </si>
  <si>
    <t>7+4</t>
  </si>
  <si>
    <t>pRC014.4</t>
  </si>
  <si>
    <t>8+0</t>
  </si>
  <si>
    <t>off-target</t>
  </si>
  <si>
    <t>Component</t>
  </si>
  <si>
    <t>HAVE (nM)</t>
  </si>
  <si>
    <t>WANT (nM)</t>
  </si>
  <si>
    <t>ADD (vol/rxn)</t>
  </si>
  <si>
    <t>Reporter</t>
  </si>
  <si>
    <t>total</t>
  </si>
  <si>
    <t>guide</t>
  </si>
  <si>
    <t>Rxn #</t>
  </si>
  <si>
    <t>MCP, SoxS</t>
  </si>
  <si>
    <t>pDA303</t>
  </si>
  <si>
    <t>DRO9</t>
  </si>
  <si>
    <t>D5</t>
  </si>
  <si>
    <t>ABA</t>
  </si>
  <si>
    <t>1,1</t>
  </si>
  <si>
    <t>GA</t>
  </si>
  <si>
    <t>Volumes for GA reactions seemed kinda low, somewhat suspicious of these reactions</t>
  </si>
  <si>
    <t>pBT009.J1.119.DA9</t>
  </si>
  <si>
    <t>DA9</t>
  </si>
  <si>
    <t>D1</t>
  </si>
  <si>
    <t>1,5</t>
  </si>
  <si>
    <t>B6</t>
  </si>
  <si>
    <t>1,10</t>
  </si>
  <si>
    <t>pRC025</t>
  </si>
  <si>
    <t>MCP-ABI</t>
  </si>
  <si>
    <t>B14</t>
  </si>
  <si>
    <t>1,25</t>
  </si>
  <si>
    <t>pRC027</t>
  </si>
  <si>
    <t>SoxS-PYL1</t>
  </si>
  <si>
    <t>B15</t>
  </si>
  <si>
    <t>5,1</t>
  </si>
  <si>
    <t>pRC042</t>
  </si>
  <si>
    <t>MCP-GAI</t>
  </si>
  <si>
    <t>tube</t>
  </si>
  <si>
    <t>5,5</t>
  </si>
  <si>
    <t>pRC043</t>
  </si>
  <si>
    <t>MCP-GID1</t>
  </si>
  <si>
    <t>B17</t>
  </si>
  <si>
    <t>5,10</t>
  </si>
  <si>
    <t>5,25</t>
  </si>
  <si>
    <t>10,1</t>
  </si>
  <si>
    <t>10,5</t>
  </si>
  <si>
    <t>10,10</t>
  </si>
  <si>
    <t>10,25</t>
  </si>
  <si>
    <t>25,1</t>
  </si>
  <si>
    <t>25,5</t>
  </si>
  <si>
    <t>MM1: ABA titrations</t>
  </si>
  <si>
    <t>25,10</t>
  </si>
  <si>
    <t>25,25</t>
  </si>
  <si>
    <t>0,0</t>
  </si>
  <si>
    <t>Dilutions:</t>
  </si>
  <si>
    <t>4ul in 10ul total</t>
  </si>
  <si>
    <t>5ul in 10ul total</t>
  </si>
  <si>
    <t>1ul in 5ul total</t>
  </si>
  <si>
    <t>MM2: GA titrations</t>
  </si>
  <si>
    <t>A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</si>
  <si>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</si>
  <si>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</si>
  <si>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</si>
  <si>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</si>
  <si>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</si>
  <si>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</si>
  <si>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</si>
  <si>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</si>
  <si>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</si>
  <si>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ABA10</t>
  </si>
  <si>
    <t>ABA11</t>
  </si>
  <si>
    <t>ABA12</t>
  </si>
  <si>
    <t>B</t>
  </si>
  <si>
    <t>C</t>
  </si>
  <si>
    <t>D</t>
  </si>
  <si>
    <t>ABA13</t>
  </si>
  <si>
    <t>ABA14</t>
  </si>
  <si>
    <t>ABA15</t>
  </si>
  <si>
    <t>ABA16</t>
  </si>
  <si>
    <t>ABA17</t>
  </si>
  <si>
    <t>SYN1</t>
  </si>
  <si>
    <t>SYN2</t>
  </si>
  <si>
    <t>SYN3</t>
  </si>
  <si>
    <t>SYN4</t>
  </si>
  <si>
    <t>SYN5</t>
  </si>
  <si>
    <t>SYN6</t>
  </si>
  <si>
    <t>SYN7</t>
  </si>
  <si>
    <t>E</t>
  </si>
  <si>
    <t>F</t>
  </si>
  <si>
    <t>G</t>
  </si>
  <si>
    <t>SYN8</t>
  </si>
  <si>
    <t>SYN10</t>
  </si>
  <si>
    <t>SYN12</t>
  </si>
  <si>
    <t>H</t>
  </si>
  <si>
    <t>SYN9</t>
  </si>
  <si>
    <t>SYN11</t>
  </si>
  <si>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</si>
  <si>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</si>
  <si>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</si>
  <si>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</si>
  <si>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</si>
  <si>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</si>
  <si>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</si>
  <si>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</si>
  <si>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</si>
  <si>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</si>
  <si>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GA11</t>
  </si>
  <si>
    <t>GA12</t>
  </si>
  <si>
    <t>GA13</t>
  </si>
  <si>
    <t>GA14</t>
  </si>
  <si>
    <t>GA15</t>
  </si>
  <si>
    <t>GA16</t>
  </si>
  <si>
    <t>GA17</t>
  </si>
  <si>
    <t>BLANK</t>
  </si>
  <si>
    <t>pDA010.188_BAD</t>
  </si>
  <si>
    <t>ABA (uM)</t>
  </si>
  <si>
    <t>GA (uM)</t>
  </si>
  <si>
    <t>C: 1000x</t>
  </si>
  <si>
    <t>E: 20,000x</t>
  </si>
  <si>
    <t>B: 100x</t>
  </si>
  <si>
    <t>D: 2000x</t>
  </si>
  <si>
    <t>A: 10x</t>
  </si>
  <si>
    <t>C: 200x</t>
  </si>
  <si>
    <t>119.DA9</t>
  </si>
  <si>
    <t>undiluted</t>
  </si>
  <si>
    <t>B: 20x</t>
  </si>
  <si>
    <t>GA (100)*</t>
  </si>
  <si>
    <t>A: 2x</t>
  </si>
  <si>
    <t>ABA (10)</t>
  </si>
  <si>
    <t>*500, wrong vol</t>
  </si>
  <si>
    <t>blank</t>
  </si>
  <si>
    <t>Raw RFP</t>
  </si>
  <si>
    <t>BG subtract</t>
  </si>
  <si>
    <t>Avg</t>
  </si>
  <si>
    <t>Stdev</t>
  </si>
  <si>
    <t>FA w/ BG subtract</t>
  </si>
  <si>
    <t>Mean</t>
  </si>
  <si>
    <t>dilute GA by 2x</t>
  </si>
  <si>
    <t>Plasmid</t>
  </si>
  <si>
    <t>DA9.RFP</t>
  </si>
  <si>
    <t>SoxS-GID1</t>
  </si>
  <si>
    <t>DA9 conc</t>
  </si>
  <si>
    <t>7+7+blank = 15</t>
  </si>
  <si>
    <t>1G</t>
  </si>
  <si>
    <t>2G</t>
  </si>
  <si>
    <t>3G</t>
  </si>
  <si>
    <t>4G</t>
  </si>
  <si>
    <t>5G</t>
  </si>
  <si>
    <t>6G</t>
  </si>
  <si>
    <t>7G</t>
  </si>
  <si>
    <t>1A</t>
  </si>
  <si>
    <t>2A</t>
  </si>
  <si>
    <t>3A</t>
  </si>
  <si>
    <t>4A</t>
  </si>
  <si>
    <t>5A</t>
  </si>
  <si>
    <t>7A</t>
  </si>
  <si>
    <t>Name</t>
  </si>
  <si>
    <t>pDA312</t>
  </si>
  <si>
    <t>pDA317</t>
  </si>
  <si>
    <t>pDA311</t>
  </si>
  <si>
    <t>pDA316</t>
  </si>
  <si>
    <t>pDA310</t>
  </si>
  <si>
    <t>pDA315</t>
  </si>
  <si>
    <t>pRC029</t>
  </si>
  <si>
    <t>pDA309</t>
  </si>
  <si>
    <t>1p_A_pos</t>
  </si>
  <si>
    <t>1p_A_neg</t>
  </si>
  <si>
    <t>2p_eq_A_pos</t>
  </si>
  <si>
    <t>2p_eq_A_neg</t>
  </si>
  <si>
    <t>2p_half_A_pos</t>
  </si>
  <si>
    <t>2p_half_A_neg</t>
  </si>
  <si>
    <t>3p_eq_A_pos</t>
  </si>
  <si>
    <t>3p_eq_A_neg</t>
  </si>
  <si>
    <t>3p_third_A_pos</t>
  </si>
  <si>
    <t>3p_third_A_neg</t>
  </si>
  <si>
    <t>1p_B_pos</t>
  </si>
  <si>
    <t>1p_B_neg</t>
  </si>
  <si>
    <t>2p_eq_B_pos</t>
  </si>
  <si>
    <t>2p_eq_B_neg</t>
  </si>
  <si>
    <t>2p_half_B_pos</t>
  </si>
  <si>
    <t>2p_half_B_neg</t>
  </si>
  <si>
    <t>3p_eq_B_pos</t>
  </si>
  <si>
    <t>3p_eq_B_neg</t>
  </si>
  <si>
    <t>3p_third_B_pos</t>
  </si>
  <si>
    <t>3p_third_B_neg</t>
  </si>
  <si>
    <t>Name legend:</t>
  </si>
  <si>
    <t>1p = 1 parallel cascade</t>
  </si>
  <si>
    <t>eq/half = equal or half of 1 layer conc</t>
  </si>
  <si>
    <t xml:space="preserve">A = starting concentration, </t>
  </si>
  <si>
    <t>pos/neg = +/- node 1</t>
  </si>
  <si>
    <t>pDA313</t>
  </si>
  <si>
    <t>pDA318</t>
  </si>
  <si>
    <t>4p_eq_A_pos</t>
  </si>
  <si>
    <t>4p_eq_A_neg</t>
  </si>
  <si>
    <t>4p_fourth_A_pos</t>
  </si>
  <si>
    <t>4p_fourth_A_neg</t>
  </si>
  <si>
    <t>CRISPRa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</si>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</sst>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1"/>
      <name val="Calibri Light"/>
      <family val="2"/>
      <scheme val="major"/>
    </font>
    <font>
      <b/>
      <sz val="12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0" fillId="4" borderId="0" xfId="0" applyFill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4" borderId="7" xfId="0" applyFill="1" applyBorder="1"/>
    <xf numFmtId="0" fontId="0" fillId="0" borderId="8" xfId="0" applyBorder="1"/>
    <xf numFmtId="0" fontId="0" fillId="4" borderId="2" xfId="0" applyFill="1" applyBorder="1"/>
    <xf numFmtId="0" fontId="5" fillId="4" borderId="0" xfId="0" applyFont="1" applyFill="1"/>
    <xf numFmtId="0" fontId="1" fillId="4" borderId="0" xfId="0" applyFont="1" applyFill="1"/>
    <xf numFmtId="0" fontId="6" fillId="4" borderId="0" xfId="0" applyFont="1" applyFill="1"/>
    <xf numFmtId="0" fontId="2" fillId="4" borderId="7" xfId="0" applyFont="1" applyFill="1" applyBorder="1"/>
    <xf numFmtId="0" fontId="2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0" fillId="5" borderId="0" xfId="0" applyFill="1"/>
    <xf numFmtId="0" fontId="2" fillId="0" borderId="0" xfId="1"/>
    <xf numFmtId="0" fontId="1" fillId="0" borderId="0" xfId="1" applyFont="1" applyAlignment="1">
      <alignment horizontal="center"/>
    </xf>
    <xf numFmtId="0" fontId="4" fillId="0" borderId="9" xfId="1" applyFont="1" applyBorder="1"/>
    <xf numFmtId="0" fontId="2" fillId="3" borderId="0" xfId="1" applyFill="1"/>
    <xf numFmtId="0" fontId="2" fillId="6" borderId="0" xfId="1" applyFill="1"/>
    <xf numFmtId="2" fontId="4" fillId="0" borderId="0" xfId="1" applyNumberFormat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wrapText="1"/>
    </xf>
    <xf numFmtId="0" fontId="4" fillId="0" borderId="0" xfId="1" applyFont="1"/>
    <xf numFmtId="0" fontId="2" fillId="0" borderId="0" xfId="1" applyAlignment="1">
      <alignment horizontal="center"/>
    </xf>
    <xf numFmtId="0" fontId="3" fillId="0" borderId="0" xfId="1" applyFont="1"/>
    <xf numFmtId="0" fontId="7" fillId="0" borderId="0" xfId="1" applyFont="1"/>
    <xf numFmtId="0" fontId="1" fillId="0" borderId="0" xfId="1" applyFont="1"/>
    <xf numFmtId="0" fontId="6" fillId="0" borderId="0" xfId="1" applyFont="1"/>
    <xf numFmtId="0" fontId="2" fillId="5" borderId="0" xfId="1" applyFill="1"/>
    <xf numFmtId="0" fontId="5" fillId="5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7" borderId="0" xfId="1" applyFont="1" applyFill="1"/>
    <xf numFmtId="0" fontId="2" fillId="8" borderId="0" xfId="1" applyFill="1"/>
    <xf numFmtId="0" fontId="8" fillId="0" borderId="0" xfId="1" applyFont="1"/>
    <xf numFmtId="0" fontId="2" fillId="2" borderId="0" xfId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2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5" xfId="0" applyBorder="1" applyAlignment="1">
      <alignment horizontal="center"/>
    </xf>
    <xf numFmtId="0" fontId="2" fillId="0" borderId="8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3" fillId="0" borderId="0" xfId="0" applyFont="1" applyAlignment="1">
      <alignment horizontal="center" vertical="center"/>
    </xf>
    <xf numFmtId="0" fontId="10" fillId="0" borderId="0" xfId="0" applyFont="1"/>
  </cellXfs>
  <cellStyles count="2">
    <cellStyle name="Normal" xfId="0" builtinId="0"/>
    <cellStyle name="Normal 2" xfId="1" xr:uid="{7BCC290A-18B3-4B55-AB31-4B0AC4DF5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D0A9-729D-4B41-A629-46E069FD88AD}">
  <dimension ref="A1:M37"/>
  <sheetViews>
    <sheetView workbookViewId="0">
      <selection sqref="A1:XFD1048576"/>
    </sheetView>
  </sheetViews>
  <sheetFormatPr defaultRowHeight="14.4" x14ac:dyDescent="0.55000000000000004"/>
  <cols>
    <col min="4" max="4" width="13.20703125" bestFit="1" customWidth="1"/>
  </cols>
  <sheetData>
    <row r="1" spans="1:13" x14ac:dyDescent="0.55000000000000004">
      <c r="A1" t="s">
        <v>0</v>
      </c>
      <c r="D1" t="s">
        <v>1</v>
      </c>
    </row>
    <row r="2" spans="1:13" x14ac:dyDescent="0.55000000000000004">
      <c r="A2" s="1" t="s">
        <v>2</v>
      </c>
      <c r="B2" s="1" t="s">
        <v>3</v>
      </c>
      <c r="C2">
        <v>580</v>
      </c>
      <c r="D2" s="2">
        <f>580*10^6/(660*7092)</f>
        <v>123.91256046078381</v>
      </c>
      <c r="G2" s="3">
        <v>1</v>
      </c>
      <c r="H2" s="2" t="s">
        <v>4</v>
      </c>
      <c r="K2" s="4" t="s">
        <v>5</v>
      </c>
      <c r="L2" s="4"/>
      <c r="M2" s="2" t="s">
        <v>6</v>
      </c>
    </row>
    <row r="3" spans="1:13" ht="15.3" x14ac:dyDescent="0.55000000000000004">
      <c r="A3" s="5" t="s">
        <v>7</v>
      </c>
      <c r="B3" s="5" t="s">
        <v>8</v>
      </c>
      <c r="D3" s="6">
        <v>422</v>
      </c>
      <c r="G3" s="3">
        <v>2</v>
      </c>
      <c r="H3" s="2" t="s">
        <v>9</v>
      </c>
      <c r="K3">
        <v>14</v>
      </c>
      <c r="L3" s="7">
        <f>89*5/D8</f>
        <v>2.7764637279596975</v>
      </c>
      <c r="M3" s="7">
        <f>5-L3</f>
        <v>2.2235362720403025</v>
      </c>
    </row>
    <row r="4" spans="1:13" ht="15.3" x14ac:dyDescent="0.55000000000000004">
      <c r="A4" s="2" t="s">
        <v>10</v>
      </c>
      <c r="B4" s="2" t="s">
        <v>11</v>
      </c>
      <c r="D4" s="6">
        <v>298</v>
      </c>
      <c r="G4" s="3">
        <v>3</v>
      </c>
      <c r="H4" s="2" t="s">
        <v>12</v>
      </c>
      <c r="K4">
        <v>14.1</v>
      </c>
      <c r="L4" s="7">
        <f t="shared" ref="L4:L7" si="0">89*5/D9</f>
        <v>2.6395021551724138</v>
      </c>
      <c r="M4" s="7">
        <f t="shared" ref="M4:M7" si="1">5-L4</f>
        <v>2.3604978448275862</v>
      </c>
    </row>
    <row r="5" spans="1:13" x14ac:dyDescent="0.55000000000000004">
      <c r="A5" s="2" t="s">
        <v>13</v>
      </c>
      <c r="C5">
        <v>233.5</v>
      </c>
      <c r="D5">
        <f>C5*10^6/(660*2954)</f>
        <v>119.76570033442071</v>
      </c>
      <c r="G5" s="3">
        <v>4</v>
      </c>
      <c r="H5" s="2" t="s">
        <v>14</v>
      </c>
      <c r="K5">
        <v>14.2</v>
      </c>
      <c r="L5" s="7">
        <f t="shared" si="0"/>
        <v>3.1857112716763005</v>
      </c>
      <c r="M5" s="7">
        <f t="shared" si="1"/>
        <v>1.8142887283236995</v>
      </c>
    </row>
    <row r="6" spans="1:13" x14ac:dyDescent="0.55000000000000004">
      <c r="A6" s="2" t="s">
        <v>15</v>
      </c>
      <c r="C6">
        <v>170.5</v>
      </c>
      <c r="D6">
        <f t="shared" ref="D6:D7" si="2">C6*10^6/(660*2954)</f>
        <v>87.452042428345749</v>
      </c>
      <c r="G6" s="3">
        <v>5</v>
      </c>
      <c r="H6" s="2" t="s">
        <v>16</v>
      </c>
      <c r="K6">
        <v>14.3</v>
      </c>
      <c r="L6" s="7">
        <f t="shared" si="0"/>
        <v>3.2514929203539822</v>
      </c>
      <c r="M6" s="7">
        <f t="shared" si="1"/>
        <v>1.7485070796460178</v>
      </c>
    </row>
    <row r="7" spans="1:13" x14ac:dyDescent="0.55000000000000004">
      <c r="A7" s="2" t="s">
        <v>17</v>
      </c>
      <c r="C7">
        <v>337.5</v>
      </c>
      <c r="D7">
        <f t="shared" si="2"/>
        <v>173.10888163968733</v>
      </c>
      <c r="G7" s="8">
        <v>6</v>
      </c>
      <c r="H7" s="2" t="s">
        <v>18</v>
      </c>
      <c r="K7">
        <v>14.4</v>
      </c>
      <c r="L7" s="7">
        <f t="shared" si="0"/>
        <v>4.998893877551021</v>
      </c>
      <c r="M7" s="7">
        <f t="shared" si="1"/>
        <v>1.1061224489790078E-3</v>
      </c>
    </row>
    <row r="8" spans="1:13" x14ac:dyDescent="0.55000000000000004">
      <c r="A8" s="2" t="s">
        <v>19</v>
      </c>
      <c r="C8">
        <v>397</v>
      </c>
      <c r="D8">
        <f>C8*10^6/(660*3753)</f>
        <v>160.27581974824182</v>
      </c>
      <c r="G8" s="8">
        <v>7</v>
      </c>
      <c r="H8" s="2" t="s">
        <v>20</v>
      </c>
    </row>
    <row r="9" spans="1:13" x14ac:dyDescent="0.55000000000000004">
      <c r="A9" s="2" t="s">
        <v>21</v>
      </c>
      <c r="C9">
        <v>417.6</v>
      </c>
      <c r="D9">
        <f t="shared" ref="D9:D12" si="3">C9*10^6/(660*3753)</f>
        <v>168.59239880822614</v>
      </c>
      <c r="G9" s="8">
        <v>8</v>
      </c>
      <c r="H9" s="2" t="s">
        <v>22</v>
      </c>
    </row>
    <row r="10" spans="1:13" x14ac:dyDescent="0.55000000000000004">
      <c r="A10" s="2" t="s">
        <v>23</v>
      </c>
      <c r="C10">
        <v>346</v>
      </c>
      <c r="D10">
        <f t="shared" si="3"/>
        <v>139.68623081332913</v>
      </c>
      <c r="G10" s="8">
        <v>9</v>
      </c>
      <c r="H10" s="2" t="s">
        <v>24</v>
      </c>
    </row>
    <row r="11" spans="1:13" x14ac:dyDescent="0.55000000000000004">
      <c r="A11" s="2" t="s">
        <v>25</v>
      </c>
      <c r="C11">
        <v>339</v>
      </c>
      <c r="D11">
        <f t="shared" si="3"/>
        <v>136.86020880265485</v>
      </c>
      <c r="G11" s="8">
        <v>10</v>
      </c>
      <c r="H11" s="2" t="s">
        <v>26</v>
      </c>
    </row>
    <row r="12" spans="1:13" x14ac:dyDescent="0.55000000000000004">
      <c r="A12" s="2" t="s">
        <v>27</v>
      </c>
      <c r="C12">
        <v>220.5</v>
      </c>
      <c r="D12">
        <f t="shared" si="3"/>
        <v>89.019693336240096</v>
      </c>
      <c r="G12">
        <v>11</v>
      </c>
      <c r="H12" s="2" t="s">
        <v>28</v>
      </c>
    </row>
    <row r="13" spans="1:13" x14ac:dyDescent="0.55000000000000004">
      <c r="G13">
        <v>12</v>
      </c>
      <c r="H13" s="2" t="s">
        <v>29</v>
      </c>
    </row>
    <row r="15" spans="1:13" ht="14.7" thickBot="1" x14ac:dyDescent="0.6"/>
    <row r="16" spans="1:13" x14ac:dyDescent="0.55000000000000004">
      <c r="B16" s="9">
        <v>206</v>
      </c>
      <c r="C16" s="10" t="s">
        <v>30</v>
      </c>
      <c r="D16" s="10" t="s">
        <v>31</v>
      </c>
      <c r="E16" s="10" t="s">
        <v>32</v>
      </c>
      <c r="F16" s="10" t="s">
        <v>33</v>
      </c>
      <c r="G16" s="11"/>
    </row>
    <row r="17" spans="2:7" x14ac:dyDescent="0.55000000000000004">
      <c r="B17" s="12"/>
      <c r="C17" t="s">
        <v>2</v>
      </c>
      <c r="D17">
        <v>123.9</v>
      </c>
      <c r="E17">
        <v>2</v>
      </c>
      <c r="F17">
        <f t="shared" ref="F17" si="4">E17*10/D17</f>
        <v>0.16142050040355124</v>
      </c>
      <c r="G17" s="13">
        <f>F17*6</f>
        <v>0.9685230024213074</v>
      </c>
    </row>
    <row r="18" spans="2:7" ht="15.3" x14ac:dyDescent="0.55000000000000004">
      <c r="B18" s="12"/>
      <c r="C18" s="14" t="s">
        <v>7</v>
      </c>
      <c r="D18" s="6">
        <v>422</v>
      </c>
      <c r="E18" s="15">
        <v>5</v>
      </c>
      <c r="F18" s="15">
        <f>E18*10/D18</f>
        <v>0.11848341232227488</v>
      </c>
      <c r="G18" s="13">
        <f t="shared" ref="G18:G29" si="5">F18*6</f>
        <v>0.7109004739336493</v>
      </c>
    </row>
    <row r="19" spans="2:7" ht="15.3" x14ac:dyDescent="0.55000000000000004">
      <c r="B19" s="12"/>
      <c r="C19" s="14" t="s">
        <v>10</v>
      </c>
      <c r="D19" s="6">
        <v>298</v>
      </c>
      <c r="E19" s="15">
        <v>5</v>
      </c>
      <c r="F19" s="15">
        <f>E19*10/D19</f>
        <v>0.16778523489932887</v>
      </c>
      <c r="G19" s="13">
        <f t="shared" si="5"/>
        <v>1.0067114093959733</v>
      </c>
    </row>
    <row r="20" spans="2:7" x14ac:dyDescent="0.55000000000000004">
      <c r="B20" s="12"/>
      <c r="C20" s="2">
        <v>206</v>
      </c>
      <c r="D20" s="16">
        <v>119.76570033442071</v>
      </c>
      <c r="E20" s="17">
        <v>1</v>
      </c>
      <c r="F20" s="15">
        <f t="shared" ref="F20:F21" si="6">E20*10/D20</f>
        <v>8.3496359743040691E-2</v>
      </c>
      <c r="G20" s="13">
        <f t="shared" si="5"/>
        <v>0.50097815845824412</v>
      </c>
    </row>
    <row r="21" spans="2:7" ht="14.7" thickBot="1" x14ac:dyDescent="0.6">
      <c r="B21" s="18"/>
      <c r="C21" s="19" t="s">
        <v>34</v>
      </c>
      <c r="D21" s="20">
        <v>89</v>
      </c>
      <c r="E21" s="20">
        <v>8</v>
      </c>
      <c r="F21" s="21">
        <f t="shared" si="6"/>
        <v>0.898876404494382</v>
      </c>
      <c r="G21" s="22"/>
    </row>
    <row r="22" spans="2:7" x14ac:dyDescent="0.55000000000000004">
      <c r="C22" s="2" t="s">
        <v>6</v>
      </c>
      <c r="F22" s="15">
        <f>2.5-SUM(F17:F21)</f>
        <v>1.0699380881374223</v>
      </c>
      <c r="G22" s="13">
        <f t="shared" si="5"/>
        <v>6.4196285288245338</v>
      </c>
    </row>
    <row r="23" spans="2:7" ht="14.7" thickBot="1" x14ac:dyDescent="0.6">
      <c r="C23" s="2" t="s">
        <v>35</v>
      </c>
      <c r="F23" s="15">
        <f>SUM(F17:F22)</f>
        <v>2.5</v>
      </c>
    </row>
    <row r="24" spans="2:7" x14ac:dyDescent="0.55000000000000004">
      <c r="B24" s="9">
        <v>207</v>
      </c>
      <c r="C24" s="23" t="s">
        <v>2</v>
      </c>
      <c r="D24" s="23">
        <v>123.9</v>
      </c>
      <c r="E24" s="23">
        <v>2</v>
      </c>
      <c r="F24" s="23">
        <f>E24*10/D24</f>
        <v>0.16142050040355124</v>
      </c>
      <c r="G24" s="11">
        <f>F24*6</f>
        <v>0.9685230024213074</v>
      </c>
    </row>
    <row r="25" spans="2:7" ht="15.3" x14ac:dyDescent="0.55000000000000004">
      <c r="B25" s="12"/>
      <c r="C25" s="14" t="s">
        <v>7</v>
      </c>
      <c r="D25" s="24">
        <v>422</v>
      </c>
      <c r="E25" s="15">
        <v>5</v>
      </c>
      <c r="F25" s="15">
        <f>E25*10/D25</f>
        <v>0.11848341232227488</v>
      </c>
      <c r="G25" s="13">
        <f>F25*6</f>
        <v>0.7109004739336493</v>
      </c>
    </row>
    <row r="26" spans="2:7" ht="15.3" x14ac:dyDescent="0.55000000000000004">
      <c r="B26" s="12"/>
      <c r="C26" s="14" t="s">
        <v>10</v>
      </c>
      <c r="D26" s="24">
        <v>298</v>
      </c>
      <c r="E26" s="15">
        <v>5</v>
      </c>
      <c r="F26" s="15">
        <f>E26*10/D26</f>
        <v>0.16778523489932887</v>
      </c>
      <c r="G26" s="13">
        <f>F26*6</f>
        <v>1.0067114093959733</v>
      </c>
    </row>
    <row r="27" spans="2:7" x14ac:dyDescent="0.55000000000000004">
      <c r="B27" s="12"/>
      <c r="C27" s="14">
        <v>207</v>
      </c>
      <c r="D27" s="25">
        <f>D6</f>
        <v>87.452042428345749</v>
      </c>
      <c r="E27" s="26">
        <v>1</v>
      </c>
      <c r="F27" s="15">
        <f t="shared" ref="F27:F28" si="7">E27*10/D27</f>
        <v>0.1143483870967742</v>
      </c>
      <c r="G27" s="13">
        <f>F27*6</f>
        <v>0.68609032258064517</v>
      </c>
    </row>
    <row r="28" spans="2:7" ht="14.7" thickBot="1" x14ac:dyDescent="0.6">
      <c r="B28" s="18"/>
      <c r="C28" s="27" t="s">
        <v>34</v>
      </c>
      <c r="D28" s="21">
        <v>89</v>
      </c>
      <c r="E28" s="21">
        <v>8</v>
      </c>
      <c r="F28" s="21">
        <f t="shared" si="7"/>
        <v>0.898876404494382</v>
      </c>
      <c r="G28" s="22"/>
    </row>
    <row r="29" spans="2:7" x14ac:dyDescent="0.55000000000000004">
      <c r="C29" s="2" t="s">
        <v>6</v>
      </c>
      <c r="F29" s="15">
        <f>2.5-SUM(F24:F28)</f>
        <v>1.0390860607836889</v>
      </c>
      <c r="G29" s="13">
        <f t="shared" si="5"/>
        <v>6.2345163647021336</v>
      </c>
    </row>
    <row r="30" spans="2:7" ht="14.7" thickBot="1" x14ac:dyDescent="0.6">
      <c r="C30" s="2" t="s">
        <v>35</v>
      </c>
      <c r="F30" s="15">
        <f>SUM(F24:F29)</f>
        <v>2.5</v>
      </c>
    </row>
    <row r="31" spans="2:7" ht="14.7" thickBot="1" x14ac:dyDescent="0.6">
      <c r="B31" s="9">
        <v>208</v>
      </c>
      <c r="C31" s="10" t="s">
        <v>2</v>
      </c>
      <c r="D31" s="10">
        <v>123.9</v>
      </c>
      <c r="E31" s="10">
        <v>2</v>
      </c>
      <c r="F31" s="10">
        <f>E31*10/D31</f>
        <v>0.16142050040355124</v>
      </c>
      <c r="G31" s="11">
        <f>F31*2.5</f>
        <v>0.40355125100887812</v>
      </c>
    </row>
    <row r="32" spans="2:7" ht="15.6" thickBot="1" x14ac:dyDescent="0.6">
      <c r="B32" s="12"/>
      <c r="C32" s="14" t="s">
        <v>7</v>
      </c>
      <c r="D32" s="24">
        <v>422</v>
      </c>
      <c r="E32" s="15">
        <v>5</v>
      </c>
      <c r="F32" s="15">
        <f>E32*10/D32</f>
        <v>0.11848341232227488</v>
      </c>
      <c r="G32" s="11">
        <f t="shared" ref="G32:G35" si="8">F32*2.5</f>
        <v>0.29620853080568721</v>
      </c>
    </row>
    <row r="33" spans="2:7" ht="15.6" thickBot="1" x14ac:dyDescent="0.6">
      <c r="B33" s="12"/>
      <c r="C33" s="14" t="s">
        <v>10</v>
      </c>
      <c r="D33" s="24">
        <v>298</v>
      </c>
      <c r="E33" s="15">
        <v>5</v>
      </c>
      <c r="F33" s="15">
        <f>E33*10/D33</f>
        <v>0.16778523489932887</v>
      </c>
      <c r="G33" s="11">
        <f t="shared" si="8"/>
        <v>0.41946308724832215</v>
      </c>
    </row>
    <row r="34" spans="2:7" ht="14.7" thickBot="1" x14ac:dyDescent="0.6">
      <c r="B34" s="12"/>
      <c r="C34" s="28" t="s">
        <v>34</v>
      </c>
      <c r="D34" s="29">
        <v>160</v>
      </c>
      <c r="E34" s="30">
        <v>8</v>
      </c>
      <c r="F34" s="31">
        <f t="shared" ref="F34:F35" si="9">E34*10/D34</f>
        <v>0.5</v>
      </c>
      <c r="G34" s="11">
        <f t="shared" si="8"/>
        <v>1.25</v>
      </c>
    </row>
    <row r="35" spans="2:7" ht="14.7" thickBot="1" x14ac:dyDescent="0.6">
      <c r="B35" s="18"/>
      <c r="C35" s="27" t="s">
        <v>36</v>
      </c>
      <c r="D35" s="21">
        <v>173</v>
      </c>
      <c r="E35" s="21">
        <v>1</v>
      </c>
      <c r="F35" s="21">
        <f t="shared" si="9"/>
        <v>5.7803468208092484E-2</v>
      </c>
      <c r="G35" s="11">
        <f t="shared" si="8"/>
        <v>0.1445086705202312</v>
      </c>
    </row>
    <row r="36" spans="2:7" x14ac:dyDescent="0.55000000000000004">
      <c r="C36" s="2" t="s">
        <v>6</v>
      </c>
      <c r="F36" s="15">
        <f>2.5-SUM(F31:F35)</f>
        <v>1.4945073841667524</v>
      </c>
      <c r="G36" s="13">
        <f>F36*2.5</f>
        <v>3.736268460416881</v>
      </c>
    </row>
    <row r="37" spans="2:7" x14ac:dyDescent="0.55000000000000004">
      <c r="C37" s="2" t="s">
        <v>35</v>
      </c>
      <c r="F37" s="15">
        <f>SUM(F31:F36)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1588-F4B6-4E1A-AA5E-0B80A47ACE30}">
  <dimension ref="A1:T47"/>
  <sheetViews>
    <sheetView workbookViewId="0">
      <selection sqref="A1:XFD1048576"/>
    </sheetView>
  </sheetViews>
  <sheetFormatPr defaultRowHeight="13.8" x14ac:dyDescent="0.45"/>
  <cols>
    <col min="1" max="2" width="8.83984375" style="32"/>
    <col min="3" max="3" width="10.734375" style="32" bestFit="1" customWidth="1"/>
    <col min="4" max="16384" width="8.83984375" style="32"/>
  </cols>
  <sheetData>
    <row r="1" spans="1:12" x14ac:dyDescent="0.45">
      <c r="A1" s="32" t="s">
        <v>0</v>
      </c>
      <c r="D1" s="32" t="s">
        <v>1</v>
      </c>
      <c r="G1" s="32" t="s">
        <v>37</v>
      </c>
      <c r="H1" s="32" t="s">
        <v>38</v>
      </c>
    </row>
    <row r="2" spans="1:12" ht="14.4" x14ac:dyDescent="0.55000000000000004">
      <c r="A2" s="33" t="s">
        <v>39</v>
      </c>
      <c r="B2" s="33" t="s">
        <v>40</v>
      </c>
      <c r="C2" s="32" t="s">
        <v>41</v>
      </c>
      <c r="D2" s="32">
        <v>185</v>
      </c>
      <c r="E2" s="34"/>
      <c r="F2" s="32" t="s">
        <v>42</v>
      </c>
      <c r="G2" s="35">
        <v>1</v>
      </c>
      <c r="H2" s="32" t="s">
        <v>43</v>
      </c>
      <c r="I2" s="32" t="s">
        <v>44</v>
      </c>
      <c r="J2" s="36">
        <v>18</v>
      </c>
      <c r="K2" s="32" t="s">
        <v>43</v>
      </c>
      <c r="L2" s="32" t="s">
        <v>45</v>
      </c>
    </row>
    <row r="3" spans="1:12" ht="14.4" x14ac:dyDescent="0.55000000000000004">
      <c r="A3" s="33" t="s">
        <v>46</v>
      </c>
      <c r="B3" s="33" t="s">
        <v>47</v>
      </c>
      <c r="C3" s="32" t="s">
        <v>48</v>
      </c>
      <c r="D3" s="32">
        <v>226.9</v>
      </c>
      <c r="E3" s="37"/>
      <c r="G3" s="35">
        <v>2</v>
      </c>
      <c r="H3" s="32" t="s">
        <v>49</v>
      </c>
      <c r="J3" s="36">
        <v>19</v>
      </c>
      <c r="K3" s="32" t="s">
        <v>49</v>
      </c>
    </row>
    <row r="4" spans="1:12" ht="14.4" x14ac:dyDescent="0.55000000000000004">
      <c r="A4" s="33" t="s">
        <v>2</v>
      </c>
      <c r="B4" s="33" t="s">
        <v>3</v>
      </c>
      <c r="C4" s="32" t="s">
        <v>50</v>
      </c>
      <c r="D4" s="32">
        <v>199.76</v>
      </c>
      <c r="E4" s="37"/>
      <c r="G4" s="35">
        <v>3</v>
      </c>
      <c r="H4" s="32" t="s">
        <v>51</v>
      </c>
      <c r="J4" s="36">
        <v>20</v>
      </c>
      <c r="K4" s="32" t="s">
        <v>51</v>
      </c>
    </row>
    <row r="5" spans="1:12" ht="14.4" x14ac:dyDescent="0.55000000000000004">
      <c r="A5" s="38" t="s">
        <v>52</v>
      </c>
      <c r="B5" s="38" t="s">
        <v>53</v>
      </c>
      <c r="C5" s="32" t="s">
        <v>54</v>
      </c>
      <c r="D5" s="32">
        <v>200</v>
      </c>
      <c r="E5" s="37"/>
      <c r="G5" s="35">
        <v>4</v>
      </c>
      <c r="H5" s="32" t="s">
        <v>55</v>
      </c>
      <c r="J5" s="36">
        <v>21</v>
      </c>
      <c r="K5" s="32" t="s">
        <v>55</v>
      </c>
    </row>
    <row r="6" spans="1:12" ht="14.4" x14ac:dyDescent="0.55000000000000004">
      <c r="A6" s="38" t="s">
        <v>56</v>
      </c>
      <c r="B6" s="38" t="s">
        <v>57</v>
      </c>
      <c r="C6" s="32" t="s">
        <v>58</v>
      </c>
      <c r="D6" s="32">
        <v>471</v>
      </c>
      <c r="E6" s="37"/>
      <c r="G6" s="35">
        <v>5</v>
      </c>
      <c r="H6" s="32" t="s">
        <v>59</v>
      </c>
      <c r="J6" s="36">
        <v>22</v>
      </c>
      <c r="K6" s="32" t="s">
        <v>59</v>
      </c>
    </row>
    <row r="7" spans="1:12" ht="14.4" x14ac:dyDescent="0.55000000000000004">
      <c r="A7" s="38" t="s">
        <v>60</v>
      </c>
      <c r="B7" s="38" t="s">
        <v>61</v>
      </c>
      <c r="C7" s="32" t="s">
        <v>62</v>
      </c>
      <c r="D7" s="32">
        <v>222</v>
      </c>
      <c r="G7" s="35">
        <v>6</v>
      </c>
      <c r="H7" s="32" t="s">
        <v>63</v>
      </c>
      <c r="J7" s="36">
        <v>23</v>
      </c>
      <c r="K7" s="32" t="s">
        <v>63</v>
      </c>
    </row>
    <row r="8" spans="1:12" ht="14.4" x14ac:dyDescent="0.55000000000000004">
      <c r="A8" s="38" t="s">
        <v>64</v>
      </c>
      <c r="B8" s="38" t="s">
        <v>65</v>
      </c>
      <c r="C8" s="32" t="s">
        <v>66</v>
      </c>
      <c r="D8" s="32">
        <v>456</v>
      </c>
      <c r="G8" s="35">
        <v>7</v>
      </c>
      <c r="H8" s="32" t="s">
        <v>67</v>
      </c>
      <c r="J8" s="36">
        <v>24</v>
      </c>
      <c r="K8" s="32" t="s">
        <v>67</v>
      </c>
    </row>
    <row r="9" spans="1:12" ht="14.4" x14ac:dyDescent="0.55000000000000004">
      <c r="A9" s="33"/>
      <c r="B9" s="33"/>
      <c r="C9" s="38"/>
      <c r="D9" s="39"/>
      <c r="E9" s="37"/>
      <c r="G9" s="35">
        <v>8</v>
      </c>
      <c r="H9" s="32" t="s">
        <v>68</v>
      </c>
      <c r="J9" s="36">
        <v>25</v>
      </c>
      <c r="K9" s="32" t="s">
        <v>68</v>
      </c>
    </row>
    <row r="10" spans="1:12" ht="14.4" x14ac:dyDescent="0.55000000000000004">
      <c r="A10" s="33"/>
      <c r="B10" s="33"/>
      <c r="C10" s="38"/>
      <c r="D10" s="40"/>
      <c r="E10" s="37"/>
      <c r="G10" s="35">
        <v>9</v>
      </c>
      <c r="H10" s="32" t="s">
        <v>69</v>
      </c>
      <c r="J10" s="36">
        <v>26</v>
      </c>
      <c r="K10" s="32" t="s">
        <v>69</v>
      </c>
    </row>
    <row r="11" spans="1:12" ht="14.4" x14ac:dyDescent="0.55000000000000004">
      <c r="A11" s="33"/>
      <c r="B11" s="41"/>
      <c r="C11" s="41"/>
      <c r="G11" s="35">
        <v>10</v>
      </c>
      <c r="H11" s="32" t="s">
        <v>70</v>
      </c>
      <c r="J11" s="36">
        <v>27</v>
      </c>
      <c r="K11" s="32" t="s">
        <v>70</v>
      </c>
    </row>
    <row r="12" spans="1:12" ht="14.4" x14ac:dyDescent="0.55000000000000004">
      <c r="A12" s="33"/>
      <c r="B12" s="41"/>
      <c r="C12" s="41"/>
      <c r="G12" s="35">
        <v>11</v>
      </c>
      <c r="H12" s="32" t="s">
        <v>71</v>
      </c>
      <c r="J12" s="36">
        <v>28</v>
      </c>
      <c r="K12" s="32" t="s">
        <v>71</v>
      </c>
    </row>
    <row r="13" spans="1:12" ht="14.4" x14ac:dyDescent="0.55000000000000004">
      <c r="A13" s="33"/>
      <c r="B13" s="41"/>
      <c r="C13" s="41"/>
      <c r="G13" s="35">
        <v>12</v>
      </c>
      <c r="H13" s="32" t="s">
        <v>72</v>
      </c>
      <c r="J13" s="36">
        <v>29</v>
      </c>
      <c r="K13" s="32" t="s">
        <v>72</v>
      </c>
    </row>
    <row r="14" spans="1:12" ht="14.4" x14ac:dyDescent="0.55000000000000004">
      <c r="A14" s="33"/>
      <c r="B14" s="41"/>
      <c r="C14" s="41"/>
      <c r="G14" s="35">
        <v>13</v>
      </c>
      <c r="H14" s="32" t="s">
        <v>73</v>
      </c>
      <c r="J14" s="36">
        <v>30</v>
      </c>
      <c r="K14" s="32" t="s">
        <v>73</v>
      </c>
    </row>
    <row r="15" spans="1:12" x14ac:dyDescent="0.45">
      <c r="G15" s="35">
        <v>14</v>
      </c>
      <c r="H15" s="32" t="s">
        <v>74</v>
      </c>
      <c r="J15" s="36">
        <v>31</v>
      </c>
      <c r="K15" s="32" t="s">
        <v>74</v>
      </c>
    </row>
    <row r="16" spans="1:12" ht="14.1" x14ac:dyDescent="0.5">
      <c r="B16" s="42" t="s">
        <v>75</v>
      </c>
      <c r="G16" s="35">
        <v>15</v>
      </c>
      <c r="H16" s="32" t="s">
        <v>76</v>
      </c>
      <c r="J16" s="36">
        <v>32</v>
      </c>
      <c r="K16" s="32" t="s">
        <v>76</v>
      </c>
    </row>
    <row r="17" spans="2:20" x14ac:dyDescent="0.45">
      <c r="B17" s="32" t="s">
        <v>30</v>
      </c>
      <c r="C17" s="32" t="s">
        <v>31</v>
      </c>
      <c r="D17" s="32" t="s">
        <v>32</v>
      </c>
      <c r="E17" s="32" t="s">
        <v>33</v>
      </c>
      <c r="G17" s="35">
        <v>16</v>
      </c>
      <c r="H17" s="32" t="s">
        <v>77</v>
      </c>
      <c r="J17" s="36">
        <v>33</v>
      </c>
      <c r="K17" s="32" t="s">
        <v>77</v>
      </c>
    </row>
    <row r="18" spans="2:20" x14ac:dyDescent="0.45">
      <c r="B18" s="32" t="s">
        <v>2</v>
      </c>
      <c r="C18" s="32">
        <v>199.76</v>
      </c>
      <c r="D18" s="32">
        <v>2</v>
      </c>
      <c r="E18" s="32">
        <f>D18*10/C18</f>
        <v>0.10012014417300762</v>
      </c>
      <c r="F18" s="32">
        <f>E18*19</f>
        <v>1.9022827392871446</v>
      </c>
      <c r="G18" s="35">
        <v>17</v>
      </c>
      <c r="H18" s="32" t="s">
        <v>78</v>
      </c>
      <c r="J18" s="36">
        <v>34</v>
      </c>
      <c r="K18" s="32" t="s">
        <v>78</v>
      </c>
    </row>
    <row r="19" spans="2:20" ht="15" x14ac:dyDescent="0.5">
      <c r="B19" s="32" t="s">
        <v>39</v>
      </c>
      <c r="C19" s="32">
        <v>185</v>
      </c>
      <c r="D19" s="32">
        <v>8.8000000000000007</v>
      </c>
      <c r="E19" s="32">
        <f>D19*10/C19</f>
        <v>0.4756756756756757</v>
      </c>
      <c r="F19" s="32">
        <f>E19*19</f>
        <v>9.0378378378378379</v>
      </c>
      <c r="G19" s="43"/>
    </row>
    <row r="20" spans="2:20" x14ac:dyDescent="0.45">
      <c r="B20" s="32" t="s">
        <v>46</v>
      </c>
      <c r="C20" s="32">
        <v>226.9</v>
      </c>
      <c r="D20" s="32">
        <v>1</v>
      </c>
      <c r="E20" s="32">
        <f>D20*10/C20</f>
        <v>4.4072278536800354E-2</v>
      </c>
      <c r="F20" s="32">
        <f>E20*19</f>
        <v>0.83737329219920675</v>
      </c>
    </row>
    <row r="21" spans="2:20" ht="14.4" x14ac:dyDescent="0.55000000000000004">
      <c r="B21" s="32" t="s">
        <v>42</v>
      </c>
      <c r="C21" s="44">
        <f>1000000</f>
        <v>1000000</v>
      </c>
      <c r="D21" s="45">
        <v>10000</v>
      </c>
      <c r="E21" s="32">
        <f>D21*10/C21</f>
        <v>0.1</v>
      </c>
      <c r="F21" s="32">
        <f>E21*19</f>
        <v>1.9000000000000001</v>
      </c>
      <c r="H21" s="42" t="s">
        <v>79</v>
      </c>
    </row>
    <row r="22" spans="2:20" ht="15.3" x14ac:dyDescent="0.55000000000000004">
      <c r="B22" s="46" t="s">
        <v>52</v>
      </c>
      <c r="C22" s="47">
        <v>200</v>
      </c>
      <c r="D22" s="46">
        <v>25</v>
      </c>
      <c r="E22" s="46">
        <f>D22*10/C22</f>
        <v>1.25</v>
      </c>
      <c r="H22" s="32">
        <v>25</v>
      </c>
    </row>
    <row r="23" spans="2:20" ht="14.4" x14ac:dyDescent="0.55000000000000004">
      <c r="B23" s="46" t="s">
        <v>56</v>
      </c>
      <c r="C23" s="48">
        <v>471</v>
      </c>
      <c r="D23" s="46">
        <v>25</v>
      </c>
      <c r="E23" s="46">
        <f>D23*10/C23</f>
        <v>0.53078556263269638</v>
      </c>
      <c r="H23" s="32">
        <v>10</v>
      </c>
      <c r="I23" s="32" t="s">
        <v>80</v>
      </c>
    </row>
    <row r="24" spans="2:20" x14ac:dyDescent="0.45">
      <c r="B24" s="32" t="s">
        <v>6</v>
      </c>
      <c r="F24" s="32">
        <f>E24*19</f>
        <v>0</v>
      </c>
      <c r="H24" s="32">
        <v>5</v>
      </c>
      <c r="I24" s="32" t="s">
        <v>81</v>
      </c>
    </row>
    <row r="25" spans="2:20" ht="14.1" x14ac:dyDescent="0.5">
      <c r="D25" s="42" t="s">
        <v>35</v>
      </c>
      <c r="E25" s="32">
        <f>SUM(E18:E24)</f>
        <v>2.50065366101818</v>
      </c>
      <c r="H25" s="32">
        <v>1</v>
      </c>
      <c r="I25" s="32" t="s">
        <v>82</v>
      </c>
    </row>
    <row r="26" spans="2:20" x14ac:dyDescent="0.45">
      <c r="F26" s="32">
        <f>2.5-E22-E23</f>
        <v>0.71921443736730362</v>
      </c>
    </row>
    <row r="27" spans="2:20" ht="14.1" x14ac:dyDescent="0.5">
      <c r="B27" s="42" t="s">
        <v>83</v>
      </c>
    </row>
    <row r="28" spans="2:20" x14ac:dyDescent="0.45">
      <c r="B28" s="32" t="s">
        <v>30</v>
      </c>
      <c r="C28" s="32" t="s">
        <v>31</v>
      </c>
      <c r="D28" s="32" t="s">
        <v>32</v>
      </c>
      <c r="E28" s="32" t="s">
        <v>33</v>
      </c>
    </row>
    <row r="29" spans="2:20" ht="14.1" x14ac:dyDescent="0.45">
      <c r="B29" s="32" t="s">
        <v>2</v>
      </c>
      <c r="C29" s="32">
        <v>199.76</v>
      </c>
      <c r="D29" s="32">
        <v>2</v>
      </c>
      <c r="E29" s="32">
        <f>D29*10/C29</f>
        <v>0.10012014417300762</v>
      </c>
      <c r="F29" s="32">
        <f>E29*19</f>
        <v>1.9022827392871446</v>
      </c>
      <c r="I29" s="49">
        <v>1</v>
      </c>
      <c r="J29" s="49">
        <v>2</v>
      </c>
      <c r="K29" s="49">
        <v>3</v>
      </c>
      <c r="L29" s="49">
        <v>4</v>
      </c>
      <c r="M29" s="49">
        <v>5</v>
      </c>
      <c r="N29" s="49">
        <v>6</v>
      </c>
      <c r="O29" s="49">
        <v>7</v>
      </c>
      <c r="P29" s="49">
        <v>8</v>
      </c>
      <c r="Q29" s="49">
        <v>9</v>
      </c>
      <c r="R29" s="49">
        <v>10</v>
      </c>
      <c r="S29" s="49">
        <v>11</v>
      </c>
      <c r="T29" s="49">
        <v>12</v>
      </c>
    </row>
    <row r="30" spans="2:20" ht="14.1" x14ac:dyDescent="0.5">
      <c r="B30" s="32" t="s">
        <v>39</v>
      </c>
      <c r="C30" s="32">
        <v>185</v>
      </c>
      <c r="D30" s="32">
        <v>10</v>
      </c>
      <c r="E30" s="32">
        <f>D30*10/C30</f>
        <v>0.54054054054054057</v>
      </c>
      <c r="F30" s="32">
        <f>E30*19</f>
        <v>10.27027027027027</v>
      </c>
      <c r="H30" s="50" t="s">
        <v>84</v>
      </c>
      <c r="I30" s="35" t="s">
        <v>85</v>
      </c>
      <c r="J30" s="35" t="s">
        <v>86</v>
      </c>
      <c r="K30" s="35" t="s">
        <v>87</v>
      </c>
      <c r="L30" s="35" t="s">
        <v>88</v>
      </c>
      <c r="M30" s="35" t="s">
        <v>89</v>
      </c>
      <c r="N30" s="35" t="s">
        <v>90</v>
      </c>
      <c r="O30" s="35" t="s">
        <v>91</v>
      </c>
      <c r="P30" s="35" t="s">
        <v>92</v>
      </c>
      <c r="Q30" s="35" t="s">
        <v>93</v>
      </c>
      <c r="R30" s="35" t="s">
        <v>94</v>
      </c>
      <c r="S30" s="35" t="s">
        <v>95</v>
      </c>
      <c r="T30" s="35" t="s">
        <v>96</v>
      </c>
    </row>
    <row r="31" spans="2:20" ht="14.1" x14ac:dyDescent="0.5">
      <c r="B31" s="32" t="s">
        <v>46</v>
      </c>
      <c r="C31" s="32">
        <v>226.9</v>
      </c>
      <c r="D31" s="32">
        <v>1</v>
      </c>
      <c r="E31" s="32">
        <f>D31*10/C31</f>
        <v>4.4072278536800354E-2</v>
      </c>
      <c r="F31" s="32">
        <f>E31*19</f>
        <v>0.83737329219920675</v>
      </c>
      <c r="H31" s="50" t="s">
        <v>97</v>
      </c>
      <c r="I31" s="35" t="s">
        <v>85</v>
      </c>
      <c r="J31" s="35" t="s">
        <v>86</v>
      </c>
      <c r="K31" s="35" t="s">
        <v>87</v>
      </c>
      <c r="L31" s="35" t="s">
        <v>88</v>
      </c>
      <c r="M31" s="35" t="s">
        <v>89</v>
      </c>
      <c r="N31" s="35" t="s">
        <v>90</v>
      </c>
      <c r="O31" s="35" t="s">
        <v>91</v>
      </c>
      <c r="P31" s="35" t="s">
        <v>92</v>
      </c>
      <c r="Q31" s="35" t="s">
        <v>93</v>
      </c>
      <c r="R31" s="35" t="s">
        <v>94</v>
      </c>
      <c r="S31" s="35" t="s">
        <v>95</v>
      </c>
      <c r="T31" s="35" t="s">
        <v>96</v>
      </c>
    </row>
    <row r="32" spans="2:20" ht="14.4" x14ac:dyDescent="0.55000000000000004">
      <c r="B32" s="51" t="s">
        <v>44</v>
      </c>
      <c r="C32" s="32">
        <v>100000000</v>
      </c>
      <c r="D32" s="32">
        <v>250000</v>
      </c>
      <c r="E32" s="32">
        <f>D32*10/C32</f>
        <v>2.5000000000000001E-2</v>
      </c>
      <c r="F32" s="32">
        <f>E32*19</f>
        <v>0.47500000000000003</v>
      </c>
      <c r="H32" s="50" t="s">
        <v>98</v>
      </c>
      <c r="I32" s="35" t="s">
        <v>85</v>
      </c>
      <c r="J32" s="35" t="s">
        <v>86</v>
      </c>
      <c r="K32" s="35" t="s">
        <v>87</v>
      </c>
      <c r="L32" s="35" t="s">
        <v>88</v>
      </c>
      <c r="M32" s="35" t="s">
        <v>89</v>
      </c>
      <c r="N32" s="35" t="s">
        <v>90</v>
      </c>
      <c r="O32" s="35" t="s">
        <v>91</v>
      </c>
      <c r="P32" s="35" t="s">
        <v>92</v>
      </c>
      <c r="Q32" s="35" t="s">
        <v>93</v>
      </c>
      <c r="R32" s="35" t="s">
        <v>94</v>
      </c>
      <c r="S32" s="35" t="s">
        <v>95</v>
      </c>
      <c r="T32" s="35" t="s">
        <v>96</v>
      </c>
    </row>
    <row r="33" spans="2:20" ht="14.1" x14ac:dyDescent="0.5">
      <c r="B33" s="32" t="s">
        <v>60</v>
      </c>
      <c r="C33" s="32">
        <v>222</v>
      </c>
      <c r="D33" s="32">
        <v>25</v>
      </c>
      <c r="E33" s="52">
        <f>D33*10/C33</f>
        <v>1.1261261261261262</v>
      </c>
      <c r="H33" s="50" t="s">
        <v>99</v>
      </c>
      <c r="I33" s="35" t="s">
        <v>100</v>
      </c>
      <c r="J33" s="35" t="s">
        <v>101</v>
      </c>
      <c r="K33" s="35" t="s">
        <v>102</v>
      </c>
      <c r="L33" s="35" t="s">
        <v>103</v>
      </c>
      <c r="M33" s="35" t="s">
        <v>104</v>
      </c>
      <c r="N33" s="32" t="s">
        <v>105</v>
      </c>
      <c r="O33" s="32" t="s">
        <v>106</v>
      </c>
      <c r="P33" s="32" t="s">
        <v>107</v>
      </c>
      <c r="Q33" s="32" t="s">
        <v>108</v>
      </c>
      <c r="R33" s="32" t="s">
        <v>109</v>
      </c>
      <c r="S33" s="32" t="s">
        <v>110</v>
      </c>
      <c r="T33" s="32" t="s">
        <v>111</v>
      </c>
    </row>
    <row r="34" spans="2:20" ht="14.1" x14ac:dyDescent="0.5">
      <c r="B34" s="32" t="s">
        <v>64</v>
      </c>
      <c r="C34" s="32">
        <v>456</v>
      </c>
      <c r="D34" s="32">
        <v>25</v>
      </c>
      <c r="E34" s="52">
        <f>D34*10/C34</f>
        <v>0.54824561403508776</v>
      </c>
      <c r="H34" s="50" t="s">
        <v>112</v>
      </c>
      <c r="I34" s="35" t="s">
        <v>100</v>
      </c>
      <c r="J34" s="35" t="s">
        <v>101</v>
      </c>
      <c r="K34" s="35" t="s">
        <v>102</v>
      </c>
      <c r="L34" s="35" t="s">
        <v>103</v>
      </c>
      <c r="M34" s="35" t="s">
        <v>104</v>
      </c>
      <c r="N34" s="32" t="s">
        <v>105</v>
      </c>
      <c r="O34" s="32" t="s">
        <v>106</v>
      </c>
      <c r="P34" s="32" t="s">
        <v>107</v>
      </c>
      <c r="Q34" s="32" t="s">
        <v>108</v>
      </c>
      <c r="R34" s="32" t="s">
        <v>109</v>
      </c>
      <c r="S34" s="32" t="s">
        <v>110</v>
      </c>
      <c r="T34" s="32" t="s">
        <v>111</v>
      </c>
    </row>
    <row r="35" spans="2:20" ht="14.1" x14ac:dyDescent="0.5">
      <c r="B35" s="32" t="s">
        <v>6</v>
      </c>
      <c r="E35" s="32">
        <f>2.5-SUM(E29:E34)</f>
        <v>0.11589529658843745</v>
      </c>
      <c r="F35" s="32">
        <f>E35*19</f>
        <v>2.2020106351803115</v>
      </c>
      <c r="H35" s="50" t="s">
        <v>113</v>
      </c>
      <c r="I35" s="35" t="s">
        <v>100</v>
      </c>
      <c r="J35" s="35" t="s">
        <v>101</v>
      </c>
      <c r="K35" s="35" t="s">
        <v>102</v>
      </c>
      <c r="L35" s="35" t="s">
        <v>103</v>
      </c>
      <c r="M35" s="35" t="s">
        <v>104</v>
      </c>
      <c r="N35" s="32" t="s">
        <v>105</v>
      </c>
      <c r="O35" s="32" t="s">
        <v>106</v>
      </c>
      <c r="P35" s="32" t="s">
        <v>107</v>
      </c>
      <c r="Q35" s="32" t="s">
        <v>108</v>
      </c>
      <c r="R35" s="32" t="s">
        <v>109</v>
      </c>
      <c r="S35" s="32" t="s">
        <v>110</v>
      </c>
      <c r="T35" s="32" t="s">
        <v>111</v>
      </c>
    </row>
    <row r="36" spans="2:20" ht="14.1" x14ac:dyDescent="0.5">
      <c r="D36" s="32" t="s">
        <v>35</v>
      </c>
      <c r="E36" s="53">
        <f>SUM(E29:E35)</f>
        <v>2.5</v>
      </c>
      <c r="H36" s="50" t="s">
        <v>114</v>
      </c>
      <c r="I36" s="32" t="s">
        <v>115</v>
      </c>
      <c r="J36" s="32" t="s">
        <v>115</v>
      </c>
      <c r="K36" s="32" t="s">
        <v>115</v>
      </c>
      <c r="L36" s="32" t="s">
        <v>116</v>
      </c>
      <c r="M36" s="32" t="s">
        <v>116</v>
      </c>
      <c r="N36" s="32" t="s">
        <v>116</v>
      </c>
      <c r="O36" s="32" t="s">
        <v>117</v>
      </c>
      <c r="P36" s="32" t="s">
        <v>117</v>
      </c>
      <c r="Q36" s="32" t="s">
        <v>117</v>
      </c>
    </row>
    <row r="37" spans="2:20" ht="14.1" x14ac:dyDescent="0.5">
      <c r="F37" s="32">
        <f>2.5-E33-E34</f>
        <v>0.82562825983878607</v>
      </c>
      <c r="H37" s="50" t="s">
        <v>118</v>
      </c>
      <c r="I37" s="32" t="s">
        <v>119</v>
      </c>
      <c r="J37" s="32" t="s">
        <v>119</v>
      </c>
      <c r="K37" s="32" t="s">
        <v>119</v>
      </c>
      <c r="L37" s="32" t="s">
        <v>120</v>
      </c>
      <c r="M37" s="32" t="s">
        <v>120</v>
      </c>
      <c r="N37" s="32" t="s">
        <v>120</v>
      </c>
    </row>
    <row r="39" spans="2:20" ht="14.1" x14ac:dyDescent="0.45">
      <c r="I39" s="49">
        <v>1</v>
      </c>
      <c r="J39" s="49">
        <v>2</v>
      </c>
      <c r="K39" s="49">
        <v>3</v>
      </c>
      <c r="L39" s="49">
        <v>4</v>
      </c>
      <c r="M39" s="49">
        <v>5</v>
      </c>
      <c r="N39" s="49">
        <v>6</v>
      </c>
      <c r="O39" s="49">
        <v>7</v>
      </c>
      <c r="P39" s="49">
        <v>8</v>
      </c>
      <c r="Q39" s="49">
        <v>9</v>
      </c>
      <c r="R39" s="49">
        <v>10</v>
      </c>
      <c r="S39" s="49">
        <v>11</v>
      </c>
      <c r="T39" s="49">
        <v>12</v>
      </c>
    </row>
    <row r="40" spans="2:20" ht="14.1" x14ac:dyDescent="0.5">
      <c r="H40" s="50" t="s">
        <v>84</v>
      </c>
      <c r="I40" s="54" t="s">
        <v>121</v>
      </c>
      <c r="J40" s="54" t="s">
        <v>122</v>
      </c>
      <c r="K40" s="54" t="s">
        <v>123</v>
      </c>
      <c r="L40" s="54" t="s">
        <v>124</v>
      </c>
      <c r="M40" s="54" t="s">
        <v>125</v>
      </c>
      <c r="N40" s="54" t="s">
        <v>126</v>
      </c>
      <c r="O40" s="54" t="s">
        <v>127</v>
      </c>
      <c r="P40" s="54" t="s">
        <v>128</v>
      </c>
      <c r="Q40" s="54" t="s">
        <v>129</v>
      </c>
      <c r="R40" s="54" t="s">
        <v>130</v>
      </c>
      <c r="S40" s="54" t="s">
        <v>131</v>
      </c>
      <c r="T40" s="54" t="s">
        <v>132</v>
      </c>
    </row>
    <row r="41" spans="2:20" ht="14.1" x14ac:dyDescent="0.5">
      <c r="H41" s="50" t="s">
        <v>97</v>
      </c>
      <c r="I41" s="54" t="s">
        <v>121</v>
      </c>
      <c r="J41" s="54" t="s">
        <v>122</v>
      </c>
      <c r="K41" s="54" t="s">
        <v>123</v>
      </c>
      <c r="L41" s="54" t="s">
        <v>124</v>
      </c>
      <c r="M41" s="54" t="s">
        <v>125</v>
      </c>
      <c r="N41" s="54" t="s">
        <v>126</v>
      </c>
      <c r="O41" s="54" t="s">
        <v>127</v>
      </c>
      <c r="P41" s="54" t="s">
        <v>128</v>
      </c>
      <c r="Q41" s="54" t="s">
        <v>129</v>
      </c>
      <c r="R41" s="54" t="s">
        <v>130</v>
      </c>
      <c r="S41" s="54" t="s">
        <v>131</v>
      </c>
      <c r="T41" s="54" t="s">
        <v>132</v>
      </c>
    </row>
    <row r="42" spans="2:20" ht="14.1" x14ac:dyDescent="0.5">
      <c r="H42" s="50" t="s">
        <v>98</v>
      </c>
      <c r="I42" s="54" t="s">
        <v>121</v>
      </c>
      <c r="J42" s="54" t="s">
        <v>122</v>
      </c>
      <c r="K42" s="54" t="s">
        <v>123</v>
      </c>
      <c r="L42" s="54" t="s">
        <v>124</v>
      </c>
      <c r="M42" s="54" t="s">
        <v>125</v>
      </c>
      <c r="N42" s="54" t="s">
        <v>126</v>
      </c>
      <c r="O42" s="54" t="s">
        <v>127</v>
      </c>
      <c r="P42" s="54" t="s">
        <v>128</v>
      </c>
      <c r="Q42" s="54" t="s">
        <v>129</v>
      </c>
      <c r="R42" s="54" t="s">
        <v>130</v>
      </c>
      <c r="S42" s="54" t="s">
        <v>131</v>
      </c>
      <c r="T42" s="54" t="s">
        <v>132</v>
      </c>
    </row>
    <row r="43" spans="2:20" ht="14.1" x14ac:dyDescent="0.5">
      <c r="H43" s="50" t="s">
        <v>99</v>
      </c>
      <c r="I43" s="54" t="s">
        <v>133</v>
      </c>
      <c r="J43" s="54" t="s">
        <v>134</v>
      </c>
      <c r="K43" s="54" t="s">
        <v>135</v>
      </c>
      <c r="L43" s="54" t="s">
        <v>136</v>
      </c>
      <c r="M43" s="54" t="s">
        <v>137</v>
      </c>
      <c r="N43" s="32" t="s">
        <v>138</v>
      </c>
    </row>
    <row r="44" spans="2:20" ht="14.1" x14ac:dyDescent="0.5">
      <c r="H44" s="50" t="s">
        <v>112</v>
      </c>
      <c r="I44" s="54" t="s">
        <v>133</v>
      </c>
      <c r="J44" s="54" t="s">
        <v>134</v>
      </c>
      <c r="K44" s="54" t="s">
        <v>135</v>
      </c>
      <c r="L44" s="54" t="s">
        <v>136</v>
      </c>
      <c r="M44" s="54" t="s">
        <v>137</v>
      </c>
      <c r="N44" s="32" t="s">
        <v>138</v>
      </c>
    </row>
    <row r="45" spans="2:20" ht="14.1" x14ac:dyDescent="0.5">
      <c r="H45" s="50" t="s">
        <v>113</v>
      </c>
      <c r="I45" s="54" t="s">
        <v>133</v>
      </c>
      <c r="J45" s="54" t="s">
        <v>134</v>
      </c>
      <c r="K45" s="54" t="s">
        <v>135</v>
      </c>
      <c r="L45" s="54" t="s">
        <v>136</v>
      </c>
      <c r="M45" s="54" t="s">
        <v>137</v>
      </c>
      <c r="N45" s="32" t="s">
        <v>138</v>
      </c>
    </row>
    <row r="46" spans="2:20" ht="14.1" x14ac:dyDescent="0.5">
      <c r="H46" s="50" t="s">
        <v>114</v>
      </c>
    </row>
    <row r="47" spans="2:20" ht="14.1" x14ac:dyDescent="0.5">
      <c r="H47" s="5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92EA-0530-4EB1-9B95-1E22DFD86B42}">
  <dimension ref="A1:T28"/>
  <sheetViews>
    <sheetView workbookViewId="0">
      <selection sqref="A1:XFD1048576"/>
    </sheetView>
  </sheetViews>
  <sheetFormatPr defaultRowHeight="14.4" x14ac:dyDescent="0.55000000000000004"/>
  <sheetData>
    <row r="1" spans="1:20" x14ac:dyDescent="0.55000000000000004">
      <c r="A1" t="s">
        <v>139</v>
      </c>
      <c r="B1" t="s">
        <v>50</v>
      </c>
      <c r="C1">
        <v>199.76</v>
      </c>
      <c r="G1" s="2" t="s">
        <v>37</v>
      </c>
      <c r="H1" s="2" t="s">
        <v>140</v>
      </c>
      <c r="K1" s="2" t="s">
        <v>37</v>
      </c>
      <c r="L1" s="2" t="s">
        <v>141</v>
      </c>
    </row>
    <row r="2" spans="1:20" x14ac:dyDescent="0.55000000000000004">
      <c r="A2" t="s">
        <v>52</v>
      </c>
      <c r="B2" t="s">
        <v>54</v>
      </c>
      <c r="C2">
        <v>200</v>
      </c>
      <c r="G2" s="55">
        <v>1</v>
      </c>
      <c r="H2" s="55">
        <v>0</v>
      </c>
      <c r="K2" s="55">
        <v>7</v>
      </c>
      <c r="L2" s="55">
        <v>0</v>
      </c>
    </row>
    <row r="3" spans="1:20" x14ac:dyDescent="0.55000000000000004">
      <c r="A3" t="s">
        <v>56</v>
      </c>
      <c r="B3" t="s">
        <v>58</v>
      </c>
      <c r="C3">
        <v>471</v>
      </c>
      <c r="F3" t="s">
        <v>142</v>
      </c>
      <c r="G3" s="55">
        <v>2</v>
      </c>
      <c r="H3" s="55">
        <v>0.1</v>
      </c>
      <c r="J3" t="s">
        <v>143</v>
      </c>
      <c r="K3" s="55">
        <v>8</v>
      </c>
      <c r="L3" s="55">
        <v>0.1</v>
      </c>
    </row>
    <row r="4" spans="1:20" x14ac:dyDescent="0.55000000000000004">
      <c r="A4" t="s">
        <v>60</v>
      </c>
      <c r="C4">
        <v>222</v>
      </c>
      <c r="F4" t="s">
        <v>144</v>
      </c>
      <c r="G4" s="55">
        <v>3</v>
      </c>
      <c r="H4" s="55">
        <v>1</v>
      </c>
      <c r="J4" t="s">
        <v>145</v>
      </c>
      <c r="K4" s="55">
        <v>9</v>
      </c>
      <c r="L4" s="55">
        <v>1</v>
      </c>
    </row>
    <row r="5" spans="1:20" x14ac:dyDescent="0.55000000000000004">
      <c r="A5" t="s">
        <v>64</v>
      </c>
      <c r="B5" t="s">
        <v>66</v>
      </c>
      <c r="C5">
        <v>456</v>
      </c>
      <c r="F5" t="s">
        <v>146</v>
      </c>
      <c r="G5" s="55">
        <v>4</v>
      </c>
      <c r="H5" s="55">
        <v>10</v>
      </c>
      <c r="J5" t="s">
        <v>147</v>
      </c>
      <c r="K5" s="55">
        <v>10</v>
      </c>
      <c r="L5" s="55">
        <v>10</v>
      </c>
    </row>
    <row r="6" spans="1:20" x14ac:dyDescent="0.55000000000000004">
      <c r="A6" t="s">
        <v>148</v>
      </c>
      <c r="B6" t="s">
        <v>48</v>
      </c>
      <c r="C6">
        <v>226.9</v>
      </c>
      <c r="F6" t="s">
        <v>149</v>
      </c>
      <c r="G6" s="55">
        <v>5</v>
      </c>
      <c r="H6" s="55">
        <v>100</v>
      </c>
      <c r="J6" t="s">
        <v>150</v>
      </c>
      <c r="K6" s="55">
        <v>11</v>
      </c>
      <c r="L6" s="55">
        <v>100</v>
      </c>
    </row>
    <row r="7" spans="1:20" x14ac:dyDescent="0.55000000000000004">
      <c r="A7" t="s">
        <v>39</v>
      </c>
      <c r="C7">
        <v>200</v>
      </c>
      <c r="G7" s="55">
        <v>6</v>
      </c>
      <c r="H7" s="2" t="s">
        <v>151</v>
      </c>
      <c r="J7" t="s">
        <v>152</v>
      </c>
      <c r="K7" s="55">
        <v>12</v>
      </c>
      <c r="L7" s="55">
        <v>1000</v>
      </c>
    </row>
    <row r="8" spans="1:20" x14ac:dyDescent="0.55000000000000004">
      <c r="G8" s="55"/>
      <c r="K8" s="55">
        <v>13</v>
      </c>
      <c r="L8" t="s">
        <v>153</v>
      </c>
    </row>
    <row r="9" spans="1:20" x14ac:dyDescent="0.55000000000000004">
      <c r="A9" t="s">
        <v>30</v>
      </c>
      <c r="B9" t="s">
        <v>31</v>
      </c>
      <c r="C9" t="s">
        <v>32</v>
      </c>
      <c r="D9" t="s">
        <v>33</v>
      </c>
      <c r="H9" s="2" t="s">
        <v>154</v>
      </c>
      <c r="K9" s="55">
        <v>14</v>
      </c>
      <c r="L9" s="2" t="s">
        <v>155</v>
      </c>
    </row>
    <row r="10" spans="1:20" x14ac:dyDescent="0.55000000000000004">
      <c r="A10" t="s">
        <v>2</v>
      </c>
      <c r="B10">
        <f>C1</f>
        <v>199.76</v>
      </c>
      <c r="C10">
        <v>2</v>
      </c>
      <c r="D10">
        <f t="shared" ref="D10:D12" si="0">C10*10/B10</f>
        <v>0.10012014417300762</v>
      </c>
      <c r="E10">
        <f>D10*7</f>
        <v>0.7008410092110533</v>
      </c>
    </row>
    <row r="11" spans="1:20" x14ac:dyDescent="0.55000000000000004">
      <c r="A11" s="2" t="s">
        <v>39</v>
      </c>
      <c r="B11">
        <v>200</v>
      </c>
      <c r="C11">
        <v>10</v>
      </c>
      <c r="D11">
        <f t="shared" si="0"/>
        <v>0.5</v>
      </c>
      <c r="E11">
        <f t="shared" ref="E11:E14" si="1">D11*7</f>
        <v>3.5</v>
      </c>
    </row>
    <row r="12" spans="1:20" ht="14.7" thickBot="1" x14ac:dyDescent="0.6">
      <c r="A12" s="2" t="s">
        <v>46</v>
      </c>
      <c r="B12">
        <f>C6</f>
        <v>226.9</v>
      </c>
      <c r="C12">
        <v>1</v>
      </c>
      <c r="D12">
        <f t="shared" si="0"/>
        <v>4.4072278536800354E-2</v>
      </c>
      <c r="E12">
        <f t="shared" si="1"/>
        <v>0.30850594975760248</v>
      </c>
      <c r="G12" s="28" t="s">
        <v>42</v>
      </c>
      <c r="H12" s="56" t="s">
        <v>156</v>
      </c>
      <c r="I12" s="56"/>
      <c r="J12" s="56"/>
      <c r="K12" s="56" t="s">
        <v>157</v>
      </c>
      <c r="L12" s="56"/>
      <c r="M12" s="56"/>
      <c r="N12" s="4" t="s">
        <v>158</v>
      </c>
      <c r="O12" s="4" t="s">
        <v>159</v>
      </c>
      <c r="P12" s="56" t="s">
        <v>160</v>
      </c>
      <c r="Q12" s="57"/>
      <c r="R12" s="57"/>
      <c r="S12" s="4" t="s">
        <v>161</v>
      </c>
      <c r="T12" s="4" t="s">
        <v>159</v>
      </c>
    </row>
    <row r="13" spans="1:20" ht="15.3" x14ac:dyDescent="0.55000000000000004">
      <c r="A13" s="2" t="s">
        <v>52</v>
      </c>
      <c r="B13" s="58">
        <f>C2</f>
        <v>200</v>
      </c>
      <c r="C13">
        <v>10</v>
      </c>
      <c r="D13">
        <f>C13*10/B13</f>
        <v>0.5</v>
      </c>
      <c r="E13">
        <f t="shared" si="1"/>
        <v>3.5</v>
      </c>
      <c r="G13" s="59">
        <v>1</v>
      </c>
      <c r="H13" s="60">
        <v>759</v>
      </c>
      <c r="I13" s="61">
        <v>772</v>
      </c>
      <c r="J13" s="62">
        <v>718</v>
      </c>
      <c r="K13" s="9">
        <f>H13-AVERAGE($H$19:$J$19)</f>
        <v>422</v>
      </c>
      <c r="L13" s="10">
        <f t="shared" ref="L13:M19" si="2">I13-AVERAGE($H$19:$J$19)</f>
        <v>435</v>
      </c>
      <c r="M13" s="11">
        <f t="shared" si="2"/>
        <v>381</v>
      </c>
      <c r="N13" s="9">
        <f>AVERAGE(K13:M13)</f>
        <v>412.66666666666669</v>
      </c>
      <c r="O13" s="63">
        <f t="shared" ref="O13:O18" si="3">STDEV(K13:M13)</f>
        <v>28.183919765237292</v>
      </c>
      <c r="P13" s="9">
        <f>K13/AVERAGE($K$13:$M$13)</f>
        <v>1.0226171243941842</v>
      </c>
      <c r="Q13" s="10">
        <f t="shared" ref="Q13:R17" si="4">L13/AVERAGE($K$13:$M$13)</f>
        <v>1.054119547657512</v>
      </c>
      <c r="R13" s="11">
        <f t="shared" si="4"/>
        <v>0.92326332794830368</v>
      </c>
      <c r="S13">
        <f>AVERAGE(P13:R13)</f>
        <v>1</v>
      </c>
      <c r="T13">
        <f>STDEV(P13:R13)</f>
        <v>6.829705920493688E-2</v>
      </c>
    </row>
    <row r="14" spans="1:20" x14ac:dyDescent="0.55000000000000004">
      <c r="A14" s="2" t="s">
        <v>56</v>
      </c>
      <c r="B14" s="5">
        <f>C3</f>
        <v>471</v>
      </c>
      <c r="C14">
        <v>5</v>
      </c>
      <c r="D14">
        <f>C14*10/B14</f>
        <v>0.10615711252653928</v>
      </c>
      <c r="E14">
        <f t="shared" si="1"/>
        <v>0.743099787685775</v>
      </c>
      <c r="G14" s="59">
        <v>2</v>
      </c>
      <c r="H14" s="64">
        <v>906</v>
      </c>
      <c r="I14" s="65">
        <v>835</v>
      </c>
      <c r="J14" s="66">
        <v>906</v>
      </c>
      <c r="K14" s="12">
        <f>H14-AVERAGE($H$19:$J$19)</f>
        <v>569</v>
      </c>
      <c r="L14">
        <f t="shared" si="2"/>
        <v>498</v>
      </c>
      <c r="M14" s="13">
        <f t="shared" si="2"/>
        <v>569</v>
      </c>
      <c r="N14" s="12">
        <f t="shared" ref="N14:N18" si="5">AVERAGE(K14:M14)</f>
        <v>545.33333333333337</v>
      </c>
      <c r="O14" s="67">
        <f t="shared" si="3"/>
        <v>40.991869112463434</v>
      </c>
      <c r="P14" s="12">
        <f t="shared" ref="P14:P17" si="6">K14/AVERAGE($K$13:$M$13)</f>
        <v>1.3788368336025847</v>
      </c>
      <c r="Q14">
        <f t="shared" si="4"/>
        <v>1.2067851373182552</v>
      </c>
      <c r="R14" s="13">
        <f t="shared" si="4"/>
        <v>1.3788368336025847</v>
      </c>
      <c r="S14">
        <f t="shared" ref="S14:S26" si="7">AVERAGE(P14:R14)</f>
        <v>1.3214862681744748</v>
      </c>
      <c r="T14">
        <f>STDEV(P14:R14)</f>
        <v>9.9334093164289358E-2</v>
      </c>
    </row>
    <row r="15" spans="1:20" x14ac:dyDescent="0.55000000000000004">
      <c r="A15" s="28" t="s">
        <v>42</v>
      </c>
      <c r="B15" s="29">
        <f>1000000</f>
        <v>1000000</v>
      </c>
      <c r="C15" s="30">
        <v>100000</v>
      </c>
      <c r="D15" s="31">
        <f>C15*10/B15</f>
        <v>1</v>
      </c>
      <c r="G15" s="59">
        <v>3</v>
      </c>
      <c r="H15" s="64">
        <v>1627</v>
      </c>
      <c r="I15" s="65">
        <v>1577</v>
      </c>
      <c r="J15" s="66">
        <v>2463</v>
      </c>
      <c r="K15" s="12">
        <f t="shared" ref="K15:K19" si="8">H15-AVERAGE($H$19:$J$19)</f>
        <v>1290</v>
      </c>
      <c r="L15">
        <f t="shared" si="2"/>
        <v>1240</v>
      </c>
      <c r="M15" s="13">
        <f t="shared" si="2"/>
        <v>2126</v>
      </c>
      <c r="N15" s="12">
        <f t="shared" si="5"/>
        <v>1552</v>
      </c>
      <c r="O15" s="67">
        <f t="shared" si="3"/>
        <v>497.72683271047384</v>
      </c>
      <c r="P15" s="12">
        <f t="shared" si="6"/>
        <v>3.1260096930533114</v>
      </c>
      <c r="Q15">
        <f t="shared" si="4"/>
        <v>3.0048465266558964</v>
      </c>
      <c r="R15" s="13">
        <f t="shared" si="4"/>
        <v>5.1518578352180935</v>
      </c>
      <c r="S15">
        <f t="shared" si="7"/>
        <v>3.7609046849757668</v>
      </c>
      <c r="T15">
        <f>STDEV(P15:R15)</f>
        <v>1.2061231810431527</v>
      </c>
    </row>
    <row r="16" spans="1:20" x14ac:dyDescent="0.55000000000000004">
      <c r="A16" s="2" t="s">
        <v>6</v>
      </c>
      <c r="D16">
        <v>0.25</v>
      </c>
      <c r="E16">
        <f>D16*7</f>
        <v>1.75</v>
      </c>
      <c r="G16" s="59">
        <v>4</v>
      </c>
      <c r="H16" s="64">
        <v>3670</v>
      </c>
      <c r="I16" s="65">
        <v>3702</v>
      </c>
      <c r="J16" s="66">
        <v>3363</v>
      </c>
      <c r="K16" s="12">
        <f t="shared" si="8"/>
        <v>3333</v>
      </c>
      <c r="L16">
        <f t="shared" si="2"/>
        <v>3365</v>
      </c>
      <c r="M16" s="13">
        <f t="shared" si="2"/>
        <v>3026</v>
      </c>
      <c r="N16" s="12">
        <f t="shared" si="5"/>
        <v>3241.3333333333335</v>
      </c>
      <c r="O16" s="67">
        <f t="shared" si="3"/>
        <v>187.16926385850144</v>
      </c>
      <c r="P16" s="12">
        <f t="shared" si="6"/>
        <v>8.0767366720516964</v>
      </c>
      <c r="Q16">
        <f t="shared" si="4"/>
        <v>8.1542810985460417</v>
      </c>
      <c r="R16" s="13">
        <f t="shared" si="4"/>
        <v>7.3327948303715669</v>
      </c>
      <c r="S16">
        <f t="shared" si="7"/>
        <v>7.8546042003231022</v>
      </c>
      <c r="T16">
        <f>STDEV(P16:R16)</f>
        <v>0.45356041322738638</v>
      </c>
    </row>
    <row r="17" spans="1:20" x14ac:dyDescent="0.55000000000000004">
      <c r="C17" s="4" t="s">
        <v>35</v>
      </c>
      <c r="D17">
        <f>SUM(D10:D16)</f>
        <v>2.5003495352363472</v>
      </c>
      <c r="G17" s="59">
        <v>5</v>
      </c>
      <c r="H17" s="64">
        <v>760</v>
      </c>
      <c r="I17" s="65">
        <v>805</v>
      </c>
      <c r="J17" s="66">
        <v>726</v>
      </c>
      <c r="K17" s="12">
        <f t="shared" si="8"/>
        <v>423</v>
      </c>
      <c r="L17">
        <f t="shared" si="2"/>
        <v>468</v>
      </c>
      <c r="M17" s="13">
        <f t="shared" si="2"/>
        <v>389</v>
      </c>
      <c r="N17" s="12">
        <f t="shared" si="5"/>
        <v>426.66666666666669</v>
      </c>
      <c r="O17" s="67">
        <f t="shared" si="3"/>
        <v>39.627431576287321</v>
      </c>
      <c r="P17" s="12">
        <f t="shared" si="6"/>
        <v>1.0250403877221324</v>
      </c>
      <c r="Q17">
        <f t="shared" si="4"/>
        <v>1.1340872374798061</v>
      </c>
      <c r="R17" s="13">
        <f t="shared" si="4"/>
        <v>0.9426494345718901</v>
      </c>
      <c r="S17">
        <f t="shared" si="7"/>
        <v>1.0339256865912763</v>
      </c>
      <c r="T17">
        <f>STDEV(P17:R17)</f>
        <v>9.6027701719597722E-2</v>
      </c>
    </row>
    <row r="18" spans="1:20" x14ac:dyDescent="0.55000000000000004">
      <c r="G18" s="59">
        <v>6</v>
      </c>
      <c r="H18" s="64">
        <v>787</v>
      </c>
      <c r="I18" s="65">
        <v>796</v>
      </c>
      <c r="J18" s="66">
        <v>757</v>
      </c>
      <c r="K18" s="12">
        <f t="shared" si="8"/>
        <v>450</v>
      </c>
      <c r="L18">
        <f t="shared" si="2"/>
        <v>459</v>
      </c>
      <c r="M18" s="13">
        <f t="shared" si="2"/>
        <v>420</v>
      </c>
      <c r="N18" s="12">
        <f t="shared" si="5"/>
        <v>443</v>
      </c>
      <c r="O18" s="67">
        <f t="shared" si="3"/>
        <v>20.420577856662138</v>
      </c>
      <c r="P18" s="12"/>
      <c r="R18" s="13"/>
    </row>
    <row r="19" spans="1:20" x14ac:dyDescent="0.55000000000000004">
      <c r="A19" t="s">
        <v>30</v>
      </c>
      <c r="B19" t="s">
        <v>31</v>
      </c>
      <c r="C19" t="s">
        <v>32</v>
      </c>
      <c r="D19" t="s">
        <v>33</v>
      </c>
      <c r="H19" s="64">
        <v>333</v>
      </c>
      <c r="I19" s="65">
        <v>321</v>
      </c>
      <c r="J19" s="66">
        <v>357</v>
      </c>
      <c r="K19" s="12">
        <f t="shared" si="8"/>
        <v>-4</v>
      </c>
      <c r="L19">
        <f t="shared" si="2"/>
        <v>-16</v>
      </c>
      <c r="M19" s="13">
        <f t="shared" si="2"/>
        <v>20</v>
      </c>
      <c r="N19" s="12"/>
      <c r="O19" s="13"/>
      <c r="P19" s="12"/>
      <c r="R19" s="13"/>
    </row>
    <row r="20" spans="1:20" x14ac:dyDescent="0.55000000000000004">
      <c r="A20" t="s">
        <v>2</v>
      </c>
      <c r="B20">
        <f>C1</f>
        <v>199.76</v>
      </c>
      <c r="C20">
        <v>2</v>
      </c>
      <c r="D20">
        <f t="shared" ref="D20:D22" si="9">C20*10/B20</f>
        <v>0.10012014417300762</v>
      </c>
      <c r="E20">
        <f>D20*8</f>
        <v>0.80096115338406093</v>
      </c>
      <c r="G20" s="28" t="s">
        <v>44</v>
      </c>
      <c r="H20" s="68" t="s">
        <v>156</v>
      </c>
      <c r="I20" s="56"/>
      <c r="J20" s="69"/>
      <c r="K20" s="68" t="s">
        <v>157</v>
      </c>
      <c r="L20" s="56"/>
      <c r="M20" s="69"/>
      <c r="N20" s="70" t="s">
        <v>158</v>
      </c>
      <c r="O20" s="71" t="s">
        <v>159</v>
      </c>
      <c r="P20" s="68" t="s">
        <v>160</v>
      </c>
      <c r="Q20" s="57"/>
      <c r="R20" s="72"/>
      <c r="T20" s="4" t="s">
        <v>159</v>
      </c>
    </row>
    <row r="21" spans="1:20" x14ac:dyDescent="0.55000000000000004">
      <c r="A21" s="2" t="s">
        <v>39</v>
      </c>
      <c r="B21">
        <v>200</v>
      </c>
      <c r="C21">
        <v>10</v>
      </c>
      <c r="D21">
        <f t="shared" si="9"/>
        <v>0.5</v>
      </c>
      <c r="E21">
        <f t="shared" ref="E21:E26" si="10">D21*8</f>
        <v>4</v>
      </c>
      <c r="H21" s="64">
        <v>595</v>
      </c>
      <c r="I21" s="65">
        <v>541</v>
      </c>
      <c r="J21" s="66">
        <v>585</v>
      </c>
      <c r="K21" s="12">
        <f>H21-AVERAGE($H$19:$J$19)</f>
        <v>258</v>
      </c>
      <c r="L21">
        <f t="shared" ref="L21:M28" si="11">I21-AVERAGE($H$19:$J$19)</f>
        <v>204</v>
      </c>
      <c r="M21" s="13">
        <f t="shared" si="11"/>
        <v>248</v>
      </c>
      <c r="N21" s="12">
        <f>AVERAGE(K21:M21)</f>
        <v>236.66666666666666</v>
      </c>
      <c r="O21" s="67">
        <f t="shared" ref="O21:O27" si="12">STDEV(K21:M21)</f>
        <v>28.728615235220325</v>
      </c>
      <c r="P21" s="12">
        <f>K21/AVERAGE($K$21:$M$21)</f>
        <v>1.0901408450704226</v>
      </c>
      <c r="Q21">
        <f t="shared" ref="Q21:R26" si="13">L21/AVERAGE($K$21:$M$21)</f>
        <v>0.86197183098591557</v>
      </c>
      <c r="R21" s="13">
        <f t="shared" si="13"/>
        <v>1.0478873239436619</v>
      </c>
      <c r="S21">
        <f t="shared" si="7"/>
        <v>1</v>
      </c>
      <c r="T21">
        <f t="shared" ref="T21:T26" si="14">STDEV(P21:R21)</f>
        <v>0.12138851507839571</v>
      </c>
    </row>
    <row r="22" spans="1:20" x14ac:dyDescent="0.55000000000000004">
      <c r="A22" s="2" t="s">
        <v>46</v>
      </c>
      <c r="B22">
        <f>C6</f>
        <v>226.9</v>
      </c>
      <c r="C22">
        <v>1</v>
      </c>
      <c r="D22">
        <f t="shared" si="9"/>
        <v>4.4072278536800354E-2</v>
      </c>
      <c r="E22">
        <f t="shared" si="10"/>
        <v>0.35257822829440283</v>
      </c>
      <c r="H22" s="64">
        <v>593</v>
      </c>
      <c r="I22" s="65">
        <v>680</v>
      </c>
      <c r="J22" s="66">
        <v>682</v>
      </c>
      <c r="K22" s="12">
        <f>H22-AVERAGE($H$19:$J$19)</f>
        <v>256</v>
      </c>
      <c r="L22">
        <f t="shared" si="11"/>
        <v>343</v>
      </c>
      <c r="M22" s="13">
        <f t="shared" si="11"/>
        <v>345</v>
      </c>
      <c r="N22" s="12">
        <f t="shared" ref="N22:N27" si="15">AVERAGE(K22:M22)</f>
        <v>314.66666666666669</v>
      </c>
      <c r="O22" s="67">
        <f t="shared" si="12"/>
        <v>50.816663933530144</v>
      </c>
      <c r="P22" s="12">
        <f t="shared" ref="P22:P26" si="16">K22/AVERAGE($K$21:$M$21)</f>
        <v>1.0816901408450705</v>
      </c>
      <c r="Q22">
        <f t="shared" si="13"/>
        <v>1.4492957746478874</v>
      </c>
      <c r="R22" s="13">
        <f t="shared" si="13"/>
        <v>1.4577464788732395</v>
      </c>
      <c r="S22">
        <f t="shared" si="7"/>
        <v>1.3295774647887326</v>
      </c>
      <c r="T22">
        <f t="shared" si="14"/>
        <v>0.21471829831069006</v>
      </c>
    </row>
    <row r="23" spans="1:20" ht="15.3" x14ac:dyDescent="0.55000000000000004">
      <c r="A23" s="2" t="s">
        <v>60</v>
      </c>
      <c r="B23" s="58">
        <f>C4</f>
        <v>222</v>
      </c>
      <c r="C23">
        <v>10</v>
      </c>
      <c r="D23">
        <f>C23*10/B23</f>
        <v>0.45045045045045046</v>
      </c>
      <c r="E23">
        <f t="shared" si="10"/>
        <v>3.6036036036036037</v>
      </c>
      <c r="H23" s="64">
        <v>1029</v>
      </c>
      <c r="I23" s="65">
        <v>700</v>
      </c>
      <c r="J23" s="66">
        <v>1080</v>
      </c>
      <c r="K23" s="12">
        <f t="shared" ref="K23:K28" si="17">H23-AVERAGE($H$19:$J$19)</f>
        <v>692</v>
      </c>
      <c r="L23">
        <f t="shared" si="11"/>
        <v>363</v>
      </c>
      <c r="M23" s="13">
        <f t="shared" si="11"/>
        <v>743</v>
      </c>
      <c r="N23" s="12">
        <f t="shared" si="15"/>
        <v>599.33333333333337</v>
      </c>
      <c r="O23" s="67">
        <f t="shared" si="12"/>
        <v>206.25308078507183</v>
      </c>
      <c r="P23" s="12">
        <f t="shared" si="16"/>
        <v>2.9239436619718311</v>
      </c>
      <c r="Q23">
        <f t="shared" si="13"/>
        <v>1.5338028169014084</v>
      </c>
      <c r="R23" s="13">
        <f t="shared" si="13"/>
        <v>3.1394366197183099</v>
      </c>
      <c r="S23">
        <f t="shared" si="7"/>
        <v>2.5323943661971833</v>
      </c>
      <c r="T23">
        <f t="shared" si="14"/>
        <v>0.87149189064114729</v>
      </c>
    </row>
    <row r="24" spans="1:20" x14ac:dyDescent="0.55000000000000004">
      <c r="A24" s="2" t="s">
        <v>64</v>
      </c>
      <c r="B24" s="5">
        <f>C5</f>
        <v>456</v>
      </c>
      <c r="C24">
        <v>10</v>
      </c>
      <c r="D24">
        <f>C24*10/B24</f>
        <v>0.21929824561403508</v>
      </c>
      <c r="E24">
        <f t="shared" si="10"/>
        <v>1.7543859649122806</v>
      </c>
      <c r="H24" s="64">
        <v>1153</v>
      </c>
      <c r="I24" s="65">
        <v>1046</v>
      </c>
      <c r="J24" s="66">
        <v>1103</v>
      </c>
      <c r="K24" s="12">
        <f t="shared" si="17"/>
        <v>816</v>
      </c>
      <c r="L24">
        <f t="shared" si="11"/>
        <v>709</v>
      </c>
      <c r="M24" s="13">
        <f t="shared" si="11"/>
        <v>766</v>
      </c>
      <c r="N24" s="12">
        <f t="shared" si="15"/>
        <v>763.66666666666663</v>
      </c>
      <c r="O24" s="67">
        <f t="shared" si="12"/>
        <v>53.53814839283605</v>
      </c>
      <c r="P24" s="12">
        <f t="shared" si="16"/>
        <v>3.4478873239436623</v>
      </c>
      <c r="Q24">
        <f t="shared" si="13"/>
        <v>2.9957746478873242</v>
      </c>
      <c r="R24" s="13">
        <f t="shared" si="13"/>
        <v>3.2366197183098593</v>
      </c>
      <c r="S24">
        <f t="shared" si="7"/>
        <v>3.2267605633802816</v>
      </c>
      <c r="T24">
        <f t="shared" si="14"/>
        <v>0.22621752842043405</v>
      </c>
    </row>
    <row r="25" spans="1:20" x14ac:dyDescent="0.55000000000000004">
      <c r="A25" s="28" t="s">
        <v>44</v>
      </c>
      <c r="B25" s="29">
        <f>100000000/2</f>
        <v>50000000</v>
      </c>
      <c r="C25" s="30">
        <v>1000000</v>
      </c>
      <c r="D25" s="31">
        <f>C25*10/B25</f>
        <v>0.2</v>
      </c>
      <c r="E25">
        <f t="shared" si="10"/>
        <v>1.6</v>
      </c>
      <c r="H25" s="64">
        <v>1848</v>
      </c>
      <c r="I25" s="65">
        <v>1672</v>
      </c>
      <c r="J25" s="66">
        <v>1689</v>
      </c>
      <c r="K25" s="12">
        <f t="shared" si="17"/>
        <v>1511</v>
      </c>
      <c r="L25">
        <f t="shared" si="11"/>
        <v>1335</v>
      </c>
      <c r="M25" s="13">
        <f t="shared" si="11"/>
        <v>1352</v>
      </c>
      <c r="N25" s="12">
        <f t="shared" si="15"/>
        <v>1399.3333333333333</v>
      </c>
      <c r="O25" s="67">
        <f t="shared" si="12"/>
        <v>97.079005626002029</v>
      </c>
      <c r="P25" s="12">
        <f t="shared" si="16"/>
        <v>6.3845070422535217</v>
      </c>
      <c r="Q25">
        <f t="shared" si="13"/>
        <v>5.640845070422535</v>
      </c>
      <c r="R25" s="13">
        <f t="shared" si="13"/>
        <v>5.7126760563380286</v>
      </c>
      <c r="S25">
        <f t="shared" si="7"/>
        <v>5.9126760563380287</v>
      </c>
      <c r="T25">
        <f t="shared" si="14"/>
        <v>0.41019298151831873</v>
      </c>
    </row>
    <row r="26" spans="1:20" x14ac:dyDescent="0.55000000000000004">
      <c r="A26" s="2" t="s">
        <v>6</v>
      </c>
      <c r="B26" s="4" t="s">
        <v>162</v>
      </c>
      <c r="D26">
        <v>0.99</v>
      </c>
      <c r="E26">
        <f t="shared" si="10"/>
        <v>7.92</v>
      </c>
      <c r="H26" s="64">
        <v>2911</v>
      </c>
      <c r="I26" s="65">
        <v>2516</v>
      </c>
      <c r="J26" s="66">
        <v>1969</v>
      </c>
      <c r="K26" s="12">
        <f t="shared" si="17"/>
        <v>2574</v>
      </c>
      <c r="L26">
        <f t="shared" si="11"/>
        <v>2179</v>
      </c>
      <c r="M26" s="13">
        <f t="shared" si="11"/>
        <v>1632</v>
      </c>
      <c r="N26" s="12">
        <f t="shared" si="15"/>
        <v>2128.3333333333335</v>
      </c>
      <c r="O26" s="67">
        <f t="shared" si="12"/>
        <v>473.0394627653522</v>
      </c>
      <c r="P26" s="12">
        <f t="shared" si="16"/>
        <v>10.876056338028169</v>
      </c>
      <c r="Q26">
        <f t="shared" si="13"/>
        <v>9.2070422535211272</v>
      </c>
      <c r="R26" s="13">
        <f t="shared" si="13"/>
        <v>6.8957746478873245</v>
      </c>
      <c r="S26">
        <f t="shared" si="7"/>
        <v>8.9929577464788739</v>
      </c>
      <c r="T26">
        <f t="shared" si="14"/>
        <v>1.9987582933747354</v>
      </c>
    </row>
    <row r="27" spans="1:20" ht="14.7" thickBot="1" x14ac:dyDescent="0.6">
      <c r="C27" s="4" t="s">
        <v>35</v>
      </c>
      <c r="D27">
        <f>SUM(D20:D26)</f>
        <v>2.5039411187742937</v>
      </c>
      <c r="H27" s="64">
        <v>1027</v>
      </c>
      <c r="I27" s="65">
        <v>1018</v>
      </c>
      <c r="J27" s="66">
        <v>1135</v>
      </c>
      <c r="K27" s="12">
        <f t="shared" si="17"/>
        <v>690</v>
      </c>
      <c r="L27">
        <f t="shared" si="11"/>
        <v>681</v>
      </c>
      <c r="M27" s="13">
        <f t="shared" si="11"/>
        <v>798</v>
      </c>
      <c r="N27" s="18">
        <f t="shared" si="15"/>
        <v>723</v>
      </c>
      <c r="O27" s="73">
        <f t="shared" si="12"/>
        <v>65.107603242632109</v>
      </c>
      <c r="P27" s="18"/>
      <c r="Q27" s="20"/>
      <c r="R27" s="22"/>
    </row>
    <row r="28" spans="1:20" ht="14.7" thickBot="1" x14ac:dyDescent="0.6">
      <c r="H28" s="74">
        <v>333</v>
      </c>
      <c r="I28" s="75">
        <v>321</v>
      </c>
      <c r="J28" s="76">
        <v>357</v>
      </c>
      <c r="K28" s="18">
        <f t="shared" si="17"/>
        <v>-4</v>
      </c>
      <c r="L28" s="20">
        <f t="shared" si="11"/>
        <v>-16</v>
      </c>
      <c r="M28" s="22">
        <f t="shared" si="11"/>
        <v>20</v>
      </c>
    </row>
  </sheetData>
  <mergeCells count="6">
    <mergeCell ref="H12:J12"/>
    <mergeCell ref="K12:M12"/>
    <mergeCell ref="P12:R12"/>
    <mergeCell ref="H20:J20"/>
    <mergeCell ref="K20:M20"/>
    <mergeCell ref="P20:R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0283-0E86-417F-90E5-FDA20F0614A3}">
  <dimension ref="A4:J15"/>
  <sheetViews>
    <sheetView workbookViewId="0">
      <selection sqref="A1:XFD1048576"/>
    </sheetView>
  </sheetViews>
  <sheetFormatPr defaultRowHeight="14.4" x14ac:dyDescent="0.55000000000000004"/>
  <sheetData>
    <row r="4" spans="1:10" x14ac:dyDescent="0.55000000000000004">
      <c r="A4" s="59" t="s">
        <v>163</v>
      </c>
      <c r="B4" s="59"/>
      <c r="C4" s="59" t="s">
        <v>31</v>
      </c>
      <c r="D4" s="59" t="s">
        <v>32</v>
      </c>
      <c r="E4" s="59" t="s">
        <v>33</v>
      </c>
      <c r="H4">
        <v>20</v>
      </c>
      <c r="J4">
        <f>LOG10(H4)</f>
        <v>1.3010299956639813</v>
      </c>
    </row>
    <row r="5" spans="1:10" x14ac:dyDescent="0.55000000000000004">
      <c r="A5" s="2" t="s">
        <v>2</v>
      </c>
      <c r="B5" s="2" t="s">
        <v>3</v>
      </c>
      <c r="C5" s="2">
        <v>353.9</v>
      </c>
      <c r="D5" s="2">
        <v>4</v>
      </c>
      <c r="E5" s="2">
        <f>10*D5/C5</f>
        <v>0.11302627860977678</v>
      </c>
      <c r="F5">
        <f>E5*9</f>
        <v>1.017236507487991</v>
      </c>
      <c r="H5">
        <v>10</v>
      </c>
      <c r="J5">
        <f t="shared" ref="J5:J11" si="0">LOG10(H5)</f>
        <v>1</v>
      </c>
    </row>
    <row r="6" spans="1:10" x14ac:dyDescent="0.55000000000000004">
      <c r="A6" s="2" t="s">
        <v>52</v>
      </c>
      <c r="B6" s="2" t="s">
        <v>53</v>
      </c>
      <c r="C6" s="2">
        <v>169.17</v>
      </c>
      <c r="D6" s="2">
        <v>10</v>
      </c>
      <c r="E6" s="2">
        <f t="shared" ref="E6:E10" si="1">10*D6/C6</f>
        <v>0.59112135721463621</v>
      </c>
      <c r="F6">
        <f t="shared" ref="F6:F11" si="2">E6*9</f>
        <v>5.3200922149317256</v>
      </c>
      <c r="H6">
        <v>5</v>
      </c>
      <c r="J6">
        <f t="shared" si="0"/>
        <v>0.69897000433601886</v>
      </c>
    </row>
    <row r="7" spans="1:10" x14ac:dyDescent="0.55000000000000004">
      <c r="A7" s="2" t="s">
        <v>56</v>
      </c>
      <c r="B7" s="2" t="s">
        <v>57</v>
      </c>
      <c r="C7" s="2">
        <v>257.7</v>
      </c>
      <c r="D7" s="2">
        <v>5</v>
      </c>
      <c r="E7" s="2">
        <f t="shared" si="1"/>
        <v>0.19402405898331393</v>
      </c>
      <c r="F7">
        <f t="shared" si="2"/>
        <v>1.7462165308498254</v>
      </c>
      <c r="H7">
        <v>1</v>
      </c>
      <c r="J7">
        <f t="shared" si="0"/>
        <v>0</v>
      </c>
    </row>
    <row r="8" spans="1:10" x14ac:dyDescent="0.55000000000000004">
      <c r="A8" s="2" t="s">
        <v>46</v>
      </c>
      <c r="B8" s="2"/>
      <c r="C8" s="2">
        <v>263.60000000000002</v>
      </c>
      <c r="D8" s="2">
        <v>20</v>
      </c>
      <c r="E8" s="2">
        <f t="shared" si="1"/>
        <v>0.75872534142640358</v>
      </c>
      <c r="H8">
        <v>0.1</v>
      </c>
      <c r="J8">
        <f t="shared" si="0"/>
        <v>-1</v>
      </c>
    </row>
    <row r="9" spans="1:10" x14ac:dyDescent="0.55000000000000004">
      <c r="A9" s="2" t="s">
        <v>39</v>
      </c>
      <c r="B9" s="2" t="s">
        <v>164</v>
      </c>
      <c r="C9" s="2">
        <v>352</v>
      </c>
      <c r="D9" s="2">
        <v>10</v>
      </c>
      <c r="E9" s="2">
        <f t="shared" si="1"/>
        <v>0.28409090909090912</v>
      </c>
      <c r="F9">
        <f t="shared" si="2"/>
        <v>2.5568181818181821</v>
      </c>
      <c r="H9">
        <v>0.01</v>
      </c>
      <c r="J9">
        <f t="shared" si="0"/>
        <v>-2</v>
      </c>
    </row>
    <row r="10" spans="1:10" x14ac:dyDescent="0.55000000000000004">
      <c r="A10" s="2" t="s">
        <v>42</v>
      </c>
      <c r="C10" s="16">
        <f>1000000</f>
        <v>1000000</v>
      </c>
      <c r="D10" s="17">
        <v>10000</v>
      </c>
      <c r="E10" s="2">
        <f t="shared" si="1"/>
        <v>0.1</v>
      </c>
      <c r="F10">
        <f t="shared" si="2"/>
        <v>0.9</v>
      </c>
      <c r="H10">
        <v>1E-3</v>
      </c>
      <c r="J10">
        <f t="shared" si="0"/>
        <v>-3</v>
      </c>
    </row>
    <row r="11" spans="1:10" x14ac:dyDescent="0.55000000000000004">
      <c r="A11" s="2" t="s">
        <v>6</v>
      </c>
      <c r="B11" s="2"/>
      <c r="C11" s="2"/>
      <c r="D11" s="2"/>
      <c r="E11">
        <v>0.46</v>
      </c>
      <c r="F11">
        <f t="shared" si="2"/>
        <v>4.1400000000000006</v>
      </c>
      <c r="H11">
        <v>0</v>
      </c>
      <c r="J11" t="e">
        <f t="shared" si="0"/>
        <v>#NUM!</v>
      </c>
    </row>
    <row r="12" spans="1:10" x14ac:dyDescent="0.55000000000000004">
      <c r="A12" s="59"/>
      <c r="B12" s="59"/>
      <c r="C12" s="59"/>
      <c r="D12" s="59"/>
      <c r="E12" s="2">
        <f>SUM(E5:E11)</f>
        <v>2.5009879453250399</v>
      </c>
      <c r="H12" t="s">
        <v>155</v>
      </c>
    </row>
    <row r="15" spans="1:10" x14ac:dyDescent="0.55000000000000004">
      <c r="E15">
        <f>2.5-E8</f>
        <v>1.7412746585735963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84B9-B411-428C-85EF-7A3245BDCC0D}">
  <dimension ref="A1:I18"/>
  <sheetViews>
    <sheetView workbookViewId="0">
      <selection sqref="A1:XFD1048576"/>
    </sheetView>
  </sheetViews>
  <sheetFormatPr defaultRowHeight="14.4" x14ac:dyDescent="0.55000000000000004"/>
  <cols>
    <col min="1" max="1" width="14.1015625" customWidth="1"/>
  </cols>
  <sheetData>
    <row r="1" spans="1:9" x14ac:dyDescent="0.55000000000000004">
      <c r="A1" s="59" t="s">
        <v>163</v>
      </c>
      <c r="B1" s="59"/>
      <c r="C1" s="59" t="s">
        <v>31</v>
      </c>
      <c r="D1" s="59" t="s">
        <v>32</v>
      </c>
      <c r="E1" s="59" t="s">
        <v>33</v>
      </c>
    </row>
    <row r="2" spans="1:9" x14ac:dyDescent="0.55000000000000004">
      <c r="A2" s="2" t="s">
        <v>2</v>
      </c>
      <c r="B2" s="2" t="s">
        <v>3</v>
      </c>
      <c r="C2" s="2">
        <v>353.9</v>
      </c>
      <c r="D2" s="2">
        <v>4</v>
      </c>
      <c r="E2" s="2">
        <f t="shared" ref="E2" si="0">10*D2/C2</f>
        <v>0.11302627860977678</v>
      </c>
      <c r="F2">
        <f>8*E2</f>
        <v>0.90421022887821423</v>
      </c>
    </row>
    <row r="3" spans="1:9" x14ac:dyDescent="0.55000000000000004">
      <c r="A3" s="2" t="s">
        <v>60</v>
      </c>
      <c r="B3" s="2" t="s">
        <v>61</v>
      </c>
      <c r="C3">
        <v>214</v>
      </c>
      <c r="D3" s="2">
        <v>5</v>
      </c>
      <c r="E3" s="2">
        <f>10*D3/C3</f>
        <v>0.23364485981308411</v>
      </c>
      <c r="F3">
        <f t="shared" ref="F3:F8" si="1">8*E3</f>
        <v>1.8691588785046729</v>
      </c>
      <c r="I3">
        <v>2</v>
      </c>
    </row>
    <row r="4" spans="1:9" x14ac:dyDescent="0.55000000000000004">
      <c r="A4" s="2" t="s">
        <v>64</v>
      </c>
      <c r="B4" s="2" t="s">
        <v>165</v>
      </c>
      <c r="C4">
        <v>222.8</v>
      </c>
      <c r="D4" s="2">
        <v>10</v>
      </c>
      <c r="E4" s="2">
        <f>10*D4/C4</f>
        <v>0.44883303411131059</v>
      </c>
      <c r="F4">
        <f t="shared" si="1"/>
        <v>3.5906642728904847</v>
      </c>
      <c r="I4">
        <v>1</v>
      </c>
    </row>
    <row r="5" spans="1:9" x14ac:dyDescent="0.55000000000000004">
      <c r="A5" s="28" t="s">
        <v>46</v>
      </c>
      <c r="B5" s="28" t="s">
        <v>47</v>
      </c>
      <c r="C5" s="28">
        <v>26.36</v>
      </c>
      <c r="D5" s="28">
        <v>2</v>
      </c>
      <c r="E5" s="28">
        <f t="shared" ref="E5:E7" si="2">10*D5/C5</f>
        <v>0.75872534142640369</v>
      </c>
      <c r="I5">
        <v>0.5</v>
      </c>
    </row>
    <row r="6" spans="1:9" x14ac:dyDescent="0.55000000000000004">
      <c r="A6" s="2" t="s">
        <v>39</v>
      </c>
      <c r="B6" s="2" t="s">
        <v>164</v>
      </c>
      <c r="C6" s="2">
        <v>357</v>
      </c>
      <c r="D6" s="2">
        <v>10</v>
      </c>
      <c r="E6" s="2">
        <f t="shared" si="2"/>
        <v>0.28011204481792717</v>
      </c>
      <c r="F6">
        <f t="shared" si="1"/>
        <v>2.2408963585434174</v>
      </c>
      <c r="I6">
        <v>0.1</v>
      </c>
    </row>
    <row r="7" spans="1:9" x14ac:dyDescent="0.55000000000000004">
      <c r="A7" s="2" t="s">
        <v>44</v>
      </c>
      <c r="C7" s="4">
        <v>50000000</v>
      </c>
      <c r="D7">
        <v>1000000</v>
      </c>
      <c r="E7" s="2">
        <f t="shared" si="2"/>
        <v>0.2</v>
      </c>
      <c r="F7">
        <f t="shared" si="1"/>
        <v>1.6</v>
      </c>
      <c r="I7">
        <v>0.01</v>
      </c>
    </row>
    <row r="8" spans="1:9" x14ac:dyDescent="0.55000000000000004">
      <c r="A8" s="2" t="s">
        <v>6</v>
      </c>
      <c r="B8" s="2"/>
      <c r="C8" s="2"/>
      <c r="D8" s="2"/>
      <c r="E8" s="2">
        <v>0.47</v>
      </c>
      <c r="F8">
        <f t="shared" si="1"/>
        <v>3.76</v>
      </c>
      <c r="I8">
        <v>1E-3</v>
      </c>
    </row>
    <row r="9" spans="1:9" x14ac:dyDescent="0.55000000000000004">
      <c r="E9" s="2">
        <f>SUM(E2:E8)</f>
        <v>2.5043415587785027</v>
      </c>
      <c r="I9">
        <v>0</v>
      </c>
    </row>
    <row r="11" spans="1:9" x14ac:dyDescent="0.55000000000000004">
      <c r="A11" s="59" t="s">
        <v>163</v>
      </c>
      <c r="B11" s="59"/>
      <c r="C11" s="59" t="s">
        <v>31</v>
      </c>
      <c r="D11" s="59" t="s">
        <v>32</v>
      </c>
      <c r="E11" s="59" t="s">
        <v>33</v>
      </c>
    </row>
    <row r="12" spans="1:9" x14ac:dyDescent="0.55000000000000004">
      <c r="A12" s="2" t="s">
        <v>2</v>
      </c>
      <c r="B12" s="2" t="s">
        <v>3</v>
      </c>
      <c r="C12" s="2">
        <v>353.9</v>
      </c>
      <c r="D12" s="2">
        <v>4</v>
      </c>
      <c r="E12" s="2">
        <f t="shared" ref="E12" si="3">10*D12/C12</f>
        <v>0.11302627860977678</v>
      </c>
      <c r="F12">
        <f>7*E12</f>
        <v>0.79118395026843746</v>
      </c>
    </row>
    <row r="13" spans="1:9" x14ac:dyDescent="0.55000000000000004">
      <c r="A13" s="2" t="s">
        <v>7</v>
      </c>
      <c r="B13" s="2" t="s">
        <v>8</v>
      </c>
      <c r="C13">
        <v>427.6</v>
      </c>
      <c r="D13" s="2">
        <v>5</v>
      </c>
      <c r="E13" s="2">
        <f>10*D13/C13</f>
        <v>0.11693171188026193</v>
      </c>
      <c r="F13">
        <f t="shared" ref="F13:F17" si="4">7*E13</f>
        <v>0.81852198316183344</v>
      </c>
    </row>
    <row r="14" spans="1:9" x14ac:dyDescent="0.55000000000000004">
      <c r="A14" s="2" t="s">
        <v>10</v>
      </c>
      <c r="B14" s="2" t="s">
        <v>11</v>
      </c>
      <c r="C14">
        <v>297.7</v>
      </c>
      <c r="D14" s="2">
        <v>5</v>
      </c>
      <c r="E14" s="2">
        <f>10*D14/C14</f>
        <v>0.16795431642593214</v>
      </c>
      <c r="F14">
        <f t="shared" si="4"/>
        <v>1.1756802149815251</v>
      </c>
    </row>
    <row r="15" spans="1:9" x14ac:dyDescent="0.55000000000000004">
      <c r="A15" s="28" t="s">
        <v>46</v>
      </c>
      <c r="B15" s="28" t="s">
        <v>47</v>
      </c>
      <c r="C15" s="28">
        <v>26.36</v>
      </c>
      <c r="D15" s="28">
        <v>2</v>
      </c>
      <c r="E15" s="28">
        <f t="shared" ref="E15:E16" si="5">10*D15/C15</f>
        <v>0.75872534142640369</v>
      </c>
    </row>
    <row r="16" spans="1:9" x14ac:dyDescent="0.55000000000000004">
      <c r="A16" s="2" t="s">
        <v>39</v>
      </c>
      <c r="B16" s="2" t="s">
        <v>164</v>
      </c>
      <c r="C16" s="2">
        <v>357</v>
      </c>
      <c r="D16" s="2">
        <v>10</v>
      </c>
      <c r="E16" s="2">
        <f t="shared" si="5"/>
        <v>0.28011204481792717</v>
      </c>
      <c r="F16">
        <f t="shared" si="4"/>
        <v>1.9607843137254903</v>
      </c>
    </row>
    <row r="17" spans="1:6" x14ac:dyDescent="0.55000000000000004">
      <c r="A17" s="2" t="s">
        <v>6</v>
      </c>
      <c r="B17" s="2"/>
      <c r="C17" s="2"/>
      <c r="D17" s="2"/>
      <c r="E17" s="2">
        <v>1.0640000000000001</v>
      </c>
      <c r="F17">
        <f t="shared" si="4"/>
        <v>7.4480000000000004</v>
      </c>
    </row>
    <row r="18" spans="1:6" x14ac:dyDescent="0.55000000000000004">
      <c r="E18" s="2">
        <f>SUM(E12:E17)</f>
        <v>2.5007496931603019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531F-59C0-40F4-8FA1-3A5BEA0B0549}">
  <dimension ref="A1:M30"/>
  <sheetViews>
    <sheetView topLeftCell="G1" workbookViewId="0">
      <selection sqref="A1:XFD1048576"/>
    </sheetView>
  </sheetViews>
  <sheetFormatPr defaultRowHeight="14.4" x14ac:dyDescent="0.55000000000000004"/>
  <cols>
    <col min="1" max="1" width="14.1015625" customWidth="1"/>
  </cols>
  <sheetData>
    <row r="1" spans="1:9" x14ac:dyDescent="0.55000000000000004">
      <c r="A1" s="59" t="s">
        <v>163</v>
      </c>
      <c r="B1" s="59"/>
      <c r="C1" s="59" t="s">
        <v>31</v>
      </c>
      <c r="D1" s="59" t="s">
        <v>32</v>
      </c>
      <c r="E1" s="59" t="s">
        <v>33</v>
      </c>
    </row>
    <row r="2" spans="1:9" x14ac:dyDescent="0.55000000000000004">
      <c r="A2" s="2" t="s">
        <v>2</v>
      </c>
      <c r="B2" s="2" t="s">
        <v>3</v>
      </c>
      <c r="C2" s="2">
        <v>353.9</v>
      </c>
      <c r="D2" s="2">
        <v>4</v>
      </c>
      <c r="E2" s="2">
        <f t="shared" ref="E2" si="0">10*D2/C2</f>
        <v>0.11302627860977678</v>
      </c>
      <c r="F2">
        <f>8*E2</f>
        <v>0.90421022887821423</v>
      </c>
      <c r="I2" s="2" t="s">
        <v>166</v>
      </c>
    </row>
    <row r="3" spans="1:9" x14ac:dyDescent="0.55000000000000004">
      <c r="A3" s="2" t="s">
        <v>60</v>
      </c>
      <c r="B3" s="2" t="s">
        <v>61</v>
      </c>
      <c r="C3">
        <v>132.80000000000001</v>
      </c>
      <c r="D3" s="2">
        <v>5</v>
      </c>
      <c r="E3" s="2">
        <f>10*D3/C3</f>
        <v>0.37650602409638551</v>
      </c>
      <c r="F3">
        <f t="shared" ref="F3:F8" si="1">8*E3</f>
        <v>3.012048192771084</v>
      </c>
      <c r="I3">
        <v>2</v>
      </c>
    </row>
    <row r="4" spans="1:9" x14ac:dyDescent="0.55000000000000004">
      <c r="A4" s="2" t="s">
        <v>64</v>
      </c>
      <c r="B4" s="2" t="s">
        <v>165</v>
      </c>
      <c r="C4">
        <v>158</v>
      </c>
      <c r="D4" s="2">
        <v>10</v>
      </c>
      <c r="E4" s="2">
        <f>10*D4/C4</f>
        <v>0.63291139240506333</v>
      </c>
      <c r="F4">
        <f t="shared" si="1"/>
        <v>5.0632911392405067</v>
      </c>
      <c r="I4">
        <v>1</v>
      </c>
    </row>
    <row r="5" spans="1:9" x14ac:dyDescent="0.55000000000000004">
      <c r="A5" s="28" t="s">
        <v>46</v>
      </c>
      <c r="B5" s="28" t="s">
        <v>47</v>
      </c>
      <c r="C5" s="28">
        <v>26.36</v>
      </c>
      <c r="D5" s="28">
        <v>2</v>
      </c>
      <c r="E5" s="28">
        <f t="shared" ref="E5:E7" si="2">10*D5/C5</f>
        <v>0.75872534142640369</v>
      </c>
      <c r="I5">
        <v>0.5</v>
      </c>
    </row>
    <row r="6" spans="1:9" x14ac:dyDescent="0.55000000000000004">
      <c r="A6" s="2" t="s">
        <v>39</v>
      </c>
      <c r="B6" s="2" t="s">
        <v>164</v>
      </c>
      <c r="C6" s="2">
        <v>357</v>
      </c>
      <c r="D6" s="2">
        <v>10</v>
      </c>
      <c r="E6" s="2">
        <f t="shared" si="2"/>
        <v>0.28011204481792717</v>
      </c>
      <c r="F6">
        <f t="shared" si="1"/>
        <v>2.2408963585434174</v>
      </c>
      <c r="I6">
        <v>0.1</v>
      </c>
    </row>
    <row r="7" spans="1:9" x14ac:dyDescent="0.55000000000000004">
      <c r="A7" s="2" t="s">
        <v>44</v>
      </c>
      <c r="C7" s="4">
        <v>50000000</v>
      </c>
      <c r="D7">
        <v>1000000</v>
      </c>
      <c r="E7" s="2">
        <f t="shared" si="2"/>
        <v>0.2</v>
      </c>
      <c r="F7">
        <f t="shared" si="1"/>
        <v>1.6</v>
      </c>
      <c r="I7">
        <v>0.01</v>
      </c>
    </row>
    <row r="8" spans="1:9" x14ac:dyDescent="0.55000000000000004">
      <c r="A8" s="2" t="s">
        <v>6</v>
      </c>
      <c r="B8" s="2"/>
      <c r="C8" s="2"/>
      <c r="D8" s="2"/>
      <c r="E8" s="2">
        <v>0.14000000000000001</v>
      </c>
      <c r="F8">
        <f t="shared" si="1"/>
        <v>1.1200000000000001</v>
      </c>
      <c r="I8">
        <v>1E-3</v>
      </c>
    </row>
    <row r="9" spans="1:9" x14ac:dyDescent="0.55000000000000004">
      <c r="E9" s="2">
        <f>SUM(E2:E8)</f>
        <v>2.5012810813555566</v>
      </c>
      <c r="I9">
        <v>0</v>
      </c>
    </row>
    <row r="11" spans="1:9" x14ac:dyDescent="0.55000000000000004">
      <c r="A11" s="59" t="s">
        <v>163</v>
      </c>
      <c r="B11" s="59"/>
      <c r="C11" s="59" t="s">
        <v>31</v>
      </c>
      <c r="D11" s="59" t="s">
        <v>32</v>
      </c>
      <c r="E11" s="59" t="s">
        <v>33</v>
      </c>
      <c r="H11" s="59" t="s">
        <v>167</v>
      </c>
    </row>
    <row r="12" spans="1:9" x14ac:dyDescent="0.55000000000000004">
      <c r="A12" s="2" t="s">
        <v>2</v>
      </c>
      <c r="B12" s="2" t="s">
        <v>3</v>
      </c>
      <c r="C12" s="2">
        <v>353.9</v>
      </c>
      <c r="D12" s="2">
        <v>4</v>
      </c>
      <c r="E12" s="2">
        <f t="shared" ref="E12" si="3">10*D12/C12</f>
        <v>0.11302627860977678</v>
      </c>
      <c r="F12">
        <f>8*E12</f>
        <v>0.90421022887821423</v>
      </c>
      <c r="H12">
        <f>15*7.5</f>
        <v>112.5</v>
      </c>
    </row>
    <row r="13" spans="1:9" x14ac:dyDescent="0.55000000000000004">
      <c r="A13" s="2" t="s">
        <v>52</v>
      </c>
      <c r="B13" s="2" t="s">
        <v>53</v>
      </c>
      <c r="C13" s="2">
        <v>169.17</v>
      </c>
      <c r="D13" s="2">
        <v>5</v>
      </c>
      <c r="E13" s="2">
        <f>10*D13/C13</f>
        <v>0.29556067860731811</v>
      </c>
      <c r="F13">
        <f t="shared" ref="F13:F18" si="4">8*E13</f>
        <v>2.3644854288585448</v>
      </c>
    </row>
    <row r="14" spans="1:9" x14ac:dyDescent="0.55000000000000004">
      <c r="A14" s="2" t="s">
        <v>56</v>
      </c>
      <c r="B14" s="2" t="s">
        <v>57</v>
      </c>
      <c r="C14" s="2">
        <v>257.7</v>
      </c>
      <c r="D14" s="2">
        <v>5</v>
      </c>
      <c r="E14" s="2">
        <f>10*D14/C14</f>
        <v>0.19402405898331393</v>
      </c>
      <c r="F14">
        <f t="shared" si="4"/>
        <v>1.5521924718665114</v>
      </c>
    </row>
    <row r="15" spans="1:9" x14ac:dyDescent="0.55000000000000004">
      <c r="A15" s="28" t="s">
        <v>46</v>
      </c>
      <c r="B15" s="28" t="s">
        <v>47</v>
      </c>
      <c r="C15" s="28">
        <v>26.36</v>
      </c>
      <c r="D15" s="28">
        <v>2</v>
      </c>
      <c r="E15" s="28">
        <f t="shared" ref="E15:E17" si="5">10*D15/C15</f>
        <v>0.75872534142640369</v>
      </c>
    </row>
    <row r="16" spans="1:9" x14ac:dyDescent="0.55000000000000004">
      <c r="A16" s="2" t="s">
        <v>39</v>
      </c>
      <c r="B16" s="2" t="s">
        <v>164</v>
      </c>
      <c r="C16" s="2">
        <v>357</v>
      </c>
      <c r="D16" s="2">
        <v>10</v>
      </c>
      <c r="E16" s="2">
        <f t="shared" si="5"/>
        <v>0.28011204481792717</v>
      </c>
      <c r="F16">
        <f t="shared" si="4"/>
        <v>2.2408963585434174</v>
      </c>
    </row>
    <row r="17" spans="1:13" x14ac:dyDescent="0.55000000000000004">
      <c r="A17" s="2" t="s">
        <v>42</v>
      </c>
      <c r="C17" s="16">
        <f>1000000</f>
        <v>1000000</v>
      </c>
      <c r="D17" s="17">
        <v>10000</v>
      </c>
      <c r="E17" s="2">
        <f t="shared" si="5"/>
        <v>0.1</v>
      </c>
      <c r="F17">
        <f t="shared" si="4"/>
        <v>0.8</v>
      </c>
    </row>
    <row r="18" spans="1:13" x14ac:dyDescent="0.55000000000000004">
      <c r="A18" s="2" t="s">
        <v>6</v>
      </c>
      <c r="B18" s="2"/>
      <c r="C18" s="2"/>
      <c r="D18" s="2"/>
      <c r="E18" s="2">
        <v>0.76</v>
      </c>
      <c r="F18">
        <f t="shared" si="4"/>
        <v>6.08</v>
      </c>
    </row>
    <row r="19" spans="1:13" x14ac:dyDescent="0.55000000000000004">
      <c r="E19" s="2">
        <f>SUM(E12:E18)</f>
        <v>2.5014484024447396</v>
      </c>
    </row>
    <row r="22" spans="1:13" x14ac:dyDescent="0.55000000000000004">
      <c r="B22" s="77">
        <v>1</v>
      </c>
      <c r="C22" s="77">
        <v>2</v>
      </c>
      <c r="D22" s="77">
        <v>3</v>
      </c>
      <c r="E22" s="77">
        <v>4</v>
      </c>
      <c r="F22" s="77">
        <v>5</v>
      </c>
      <c r="G22" s="77">
        <v>6</v>
      </c>
      <c r="H22" s="77">
        <v>7</v>
      </c>
      <c r="I22" s="77">
        <v>8</v>
      </c>
      <c r="J22" s="77">
        <v>9</v>
      </c>
      <c r="K22" s="77">
        <v>10</v>
      </c>
      <c r="L22" s="77">
        <v>11</v>
      </c>
      <c r="M22" s="77">
        <v>12</v>
      </c>
    </row>
    <row r="23" spans="1:13" x14ac:dyDescent="0.55000000000000004">
      <c r="A23" s="59" t="s">
        <v>84</v>
      </c>
      <c r="B23" s="2" t="s">
        <v>168</v>
      </c>
      <c r="C23" s="2" t="s">
        <v>169</v>
      </c>
      <c r="D23" s="2" t="s">
        <v>170</v>
      </c>
      <c r="E23" s="2" t="s">
        <v>171</v>
      </c>
      <c r="F23" s="2" t="s">
        <v>172</v>
      </c>
      <c r="G23" s="2" t="s">
        <v>173</v>
      </c>
      <c r="H23" s="2" t="s">
        <v>174</v>
      </c>
      <c r="I23" s="2"/>
      <c r="J23" s="2"/>
      <c r="K23" s="2"/>
      <c r="L23" s="2"/>
      <c r="M23" s="2"/>
    </row>
    <row r="24" spans="1:13" x14ac:dyDescent="0.55000000000000004">
      <c r="A24" s="59" t="s">
        <v>97</v>
      </c>
      <c r="B24" s="2" t="s">
        <v>168</v>
      </c>
      <c r="C24" s="2" t="s">
        <v>169</v>
      </c>
      <c r="D24" s="2" t="s">
        <v>170</v>
      </c>
      <c r="E24" s="2" t="s">
        <v>171</v>
      </c>
      <c r="F24" s="2" t="s">
        <v>172</v>
      </c>
      <c r="G24" s="2" t="s">
        <v>173</v>
      </c>
      <c r="H24" s="2" t="s">
        <v>174</v>
      </c>
      <c r="I24" s="2"/>
      <c r="J24" s="2"/>
      <c r="K24" s="2"/>
      <c r="L24" s="2"/>
      <c r="M24" s="2"/>
    </row>
    <row r="25" spans="1:13" x14ac:dyDescent="0.55000000000000004">
      <c r="A25" s="59" t="s">
        <v>98</v>
      </c>
      <c r="B25" s="2" t="s">
        <v>168</v>
      </c>
      <c r="C25" s="2" t="s">
        <v>169</v>
      </c>
      <c r="D25" s="2" t="s">
        <v>170</v>
      </c>
      <c r="E25" s="2" t="s">
        <v>171</v>
      </c>
      <c r="F25" s="2" t="s">
        <v>172</v>
      </c>
      <c r="G25" s="2" t="s">
        <v>173</v>
      </c>
      <c r="H25" s="2" t="s">
        <v>174</v>
      </c>
      <c r="I25" s="2"/>
      <c r="J25" s="2"/>
      <c r="K25" s="2"/>
      <c r="L25" s="2"/>
      <c r="M25" s="2"/>
    </row>
    <row r="26" spans="1:13" x14ac:dyDescent="0.55000000000000004">
      <c r="A26" s="59" t="s">
        <v>99</v>
      </c>
      <c r="B26" s="2" t="s">
        <v>175</v>
      </c>
      <c r="C26" s="2" t="s">
        <v>176</v>
      </c>
      <c r="D26" s="2" t="s">
        <v>177</v>
      </c>
      <c r="E26" s="2" t="s">
        <v>178</v>
      </c>
      <c r="F26" s="2" t="s">
        <v>179</v>
      </c>
      <c r="G26" s="2"/>
      <c r="H26" s="2" t="s">
        <v>180</v>
      </c>
      <c r="I26" s="2"/>
      <c r="J26" s="2"/>
      <c r="K26" s="2"/>
      <c r="L26" s="2"/>
      <c r="M26" s="2"/>
    </row>
    <row r="27" spans="1:13" x14ac:dyDescent="0.55000000000000004">
      <c r="A27" s="59" t="s">
        <v>112</v>
      </c>
      <c r="B27" s="2" t="s">
        <v>175</v>
      </c>
      <c r="C27" s="2" t="s">
        <v>176</v>
      </c>
      <c r="D27" s="2" t="s">
        <v>177</v>
      </c>
      <c r="E27" s="2" t="s">
        <v>178</v>
      </c>
      <c r="F27" s="2" t="s">
        <v>179</v>
      </c>
      <c r="G27" s="2"/>
      <c r="H27" s="2" t="s">
        <v>180</v>
      </c>
      <c r="I27" s="2"/>
      <c r="J27" s="2"/>
      <c r="K27" s="2"/>
      <c r="L27" s="2"/>
      <c r="M27" s="2"/>
    </row>
    <row r="28" spans="1:13" x14ac:dyDescent="0.55000000000000004">
      <c r="A28" s="59" t="s">
        <v>113</v>
      </c>
      <c r="B28" s="2" t="s">
        <v>175</v>
      </c>
      <c r="C28" s="2" t="s">
        <v>176</v>
      </c>
      <c r="D28" s="2" t="s">
        <v>177</v>
      </c>
      <c r="E28" s="2" t="s">
        <v>178</v>
      </c>
      <c r="F28" s="2" t="s">
        <v>179</v>
      </c>
      <c r="G28" s="2"/>
      <c r="H28" s="2" t="s">
        <v>180</v>
      </c>
      <c r="I28" s="2"/>
      <c r="J28" s="2"/>
      <c r="K28" s="2"/>
      <c r="L28" s="2"/>
      <c r="M28" s="2"/>
    </row>
    <row r="29" spans="1:13" x14ac:dyDescent="0.55000000000000004">
      <c r="A29" s="59" t="s">
        <v>114</v>
      </c>
      <c r="B29" s="2"/>
      <c r="C29" s="2"/>
      <c r="D29" s="2"/>
      <c r="G29" s="2"/>
      <c r="H29" s="2"/>
      <c r="I29" s="2"/>
      <c r="J29" s="2"/>
    </row>
    <row r="30" spans="1:13" x14ac:dyDescent="0.55000000000000004">
      <c r="A30" s="59" t="s">
        <v>118</v>
      </c>
      <c r="B30" s="2"/>
      <c r="C30" s="2"/>
      <c r="D30" s="2"/>
      <c r="E30" s="2"/>
      <c r="F30" s="2"/>
      <c r="G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569C-CDC7-47FB-B784-22EC11B6E5D3}">
  <dimension ref="A1:O33"/>
  <sheetViews>
    <sheetView workbookViewId="0">
      <selection sqref="A1:XFD1048576"/>
    </sheetView>
  </sheetViews>
  <sheetFormatPr defaultRowHeight="14.4" x14ac:dyDescent="0.55000000000000004"/>
  <cols>
    <col min="1" max="12" width="16.15625" customWidth="1"/>
  </cols>
  <sheetData>
    <row r="1" spans="1:11" x14ac:dyDescent="0.55000000000000004">
      <c r="A1" s="59" t="s">
        <v>181</v>
      </c>
      <c r="B1" s="78" t="s">
        <v>46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  <c r="I1" s="2" t="s">
        <v>2</v>
      </c>
      <c r="J1" s="2" t="s">
        <v>188</v>
      </c>
      <c r="K1" s="2" t="s">
        <v>189</v>
      </c>
    </row>
    <row r="2" spans="1:11" x14ac:dyDescent="0.55000000000000004">
      <c r="A2" t="s">
        <v>190</v>
      </c>
      <c r="B2">
        <v>1.4999999999999999E-2</v>
      </c>
      <c r="C2" s="2">
        <v>0.2</v>
      </c>
      <c r="D2">
        <v>0.2</v>
      </c>
      <c r="I2">
        <v>4</v>
      </c>
      <c r="J2">
        <v>4</v>
      </c>
      <c r="K2">
        <v>10</v>
      </c>
    </row>
    <row r="3" spans="1:11" x14ac:dyDescent="0.55000000000000004">
      <c r="A3" t="s">
        <v>191</v>
      </c>
      <c r="B3">
        <v>0</v>
      </c>
      <c r="C3" s="2">
        <v>0.2</v>
      </c>
      <c r="D3">
        <v>0.2</v>
      </c>
      <c r="I3">
        <v>4</v>
      </c>
      <c r="J3">
        <v>4</v>
      </c>
      <c r="K3">
        <v>10</v>
      </c>
    </row>
    <row r="4" spans="1:11" x14ac:dyDescent="0.55000000000000004">
      <c r="A4" t="s">
        <v>192</v>
      </c>
      <c r="B4">
        <v>1.4999999999999999E-2</v>
      </c>
      <c r="C4" s="2">
        <v>0.2</v>
      </c>
      <c r="D4">
        <v>0.2</v>
      </c>
      <c r="E4">
        <v>0.2</v>
      </c>
      <c r="F4">
        <v>0.2</v>
      </c>
      <c r="I4">
        <v>4</v>
      </c>
      <c r="J4">
        <v>4</v>
      </c>
      <c r="K4">
        <v>10</v>
      </c>
    </row>
    <row r="5" spans="1:11" x14ac:dyDescent="0.55000000000000004">
      <c r="A5" t="s">
        <v>193</v>
      </c>
      <c r="B5">
        <v>0</v>
      </c>
      <c r="C5" s="2">
        <v>0.2</v>
      </c>
      <c r="D5">
        <v>0.2</v>
      </c>
      <c r="E5">
        <v>0.2</v>
      </c>
      <c r="F5">
        <v>0.2</v>
      </c>
      <c r="I5">
        <v>4</v>
      </c>
      <c r="J5">
        <v>4</v>
      </c>
      <c r="K5">
        <v>10</v>
      </c>
    </row>
    <row r="6" spans="1:11" x14ac:dyDescent="0.55000000000000004">
      <c r="A6" t="s">
        <v>194</v>
      </c>
      <c r="B6">
        <v>1.4999999999999999E-2</v>
      </c>
      <c r="C6" s="2">
        <v>0.1</v>
      </c>
      <c r="D6">
        <v>0.1</v>
      </c>
      <c r="E6">
        <v>0.1</v>
      </c>
      <c r="F6">
        <v>0.1</v>
      </c>
      <c r="I6">
        <v>4</v>
      </c>
      <c r="J6">
        <v>4</v>
      </c>
      <c r="K6">
        <v>10</v>
      </c>
    </row>
    <row r="7" spans="1:11" x14ac:dyDescent="0.55000000000000004">
      <c r="A7" t="s">
        <v>195</v>
      </c>
      <c r="B7">
        <v>0</v>
      </c>
      <c r="C7" s="2">
        <v>0.1</v>
      </c>
      <c r="D7">
        <v>0.1</v>
      </c>
      <c r="E7">
        <v>0.1</v>
      </c>
      <c r="F7">
        <v>0.1</v>
      </c>
      <c r="I7">
        <v>4</v>
      </c>
      <c r="J7">
        <v>4</v>
      </c>
      <c r="K7">
        <v>10</v>
      </c>
    </row>
    <row r="8" spans="1:11" x14ac:dyDescent="0.55000000000000004">
      <c r="A8" t="s">
        <v>196</v>
      </c>
      <c r="B8">
        <v>1.4999999999999999E-2</v>
      </c>
      <c r="C8" s="2">
        <v>0.2</v>
      </c>
      <c r="D8">
        <v>0.2</v>
      </c>
      <c r="E8">
        <v>0.2</v>
      </c>
      <c r="F8">
        <v>0.2</v>
      </c>
      <c r="G8">
        <v>0.2</v>
      </c>
      <c r="H8">
        <v>0.2</v>
      </c>
      <c r="I8">
        <v>4</v>
      </c>
      <c r="J8">
        <v>4</v>
      </c>
      <c r="K8">
        <v>10</v>
      </c>
    </row>
    <row r="9" spans="1:11" x14ac:dyDescent="0.55000000000000004">
      <c r="A9" t="s">
        <v>197</v>
      </c>
      <c r="B9">
        <v>0</v>
      </c>
      <c r="C9" s="2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4</v>
      </c>
      <c r="J9">
        <v>4</v>
      </c>
      <c r="K9">
        <v>10</v>
      </c>
    </row>
    <row r="10" spans="1:11" x14ac:dyDescent="0.55000000000000004">
      <c r="A10" t="s">
        <v>198</v>
      </c>
      <c r="B10">
        <v>1.4999999999999999E-2</v>
      </c>
      <c r="C10" s="2">
        <v>6.7000000000000004E-2</v>
      </c>
      <c r="D10" s="2">
        <v>6.7000000000000004E-2</v>
      </c>
      <c r="E10" s="2">
        <v>6.7000000000000004E-2</v>
      </c>
      <c r="F10" s="2">
        <v>6.7000000000000004E-2</v>
      </c>
      <c r="G10" s="2">
        <v>6.7000000000000004E-2</v>
      </c>
      <c r="H10" s="2">
        <v>6.7000000000000004E-2</v>
      </c>
      <c r="I10">
        <v>4</v>
      </c>
      <c r="J10">
        <v>4</v>
      </c>
      <c r="K10">
        <v>10</v>
      </c>
    </row>
    <row r="11" spans="1:11" x14ac:dyDescent="0.55000000000000004">
      <c r="A11" t="s">
        <v>199</v>
      </c>
      <c r="B11">
        <v>0</v>
      </c>
      <c r="C11" s="2">
        <v>6.7000000000000004E-2</v>
      </c>
      <c r="D11" s="2">
        <v>6.7000000000000004E-2</v>
      </c>
      <c r="E11" s="2">
        <v>6.7000000000000004E-2</v>
      </c>
      <c r="F11" s="2">
        <v>6.7000000000000004E-2</v>
      </c>
      <c r="G11" s="2">
        <v>6.7000000000000004E-2</v>
      </c>
      <c r="H11" s="2">
        <v>6.7000000000000004E-2</v>
      </c>
      <c r="I11">
        <v>4</v>
      </c>
      <c r="J11">
        <v>4</v>
      </c>
      <c r="K11">
        <v>10</v>
      </c>
    </row>
    <row r="12" spans="1:11" x14ac:dyDescent="0.55000000000000004">
      <c r="A12" t="s">
        <v>200</v>
      </c>
      <c r="B12">
        <v>4.4999999999999998E-2</v>
      </c>
      <c r="C12" s="2">
        <v>0.1</v>
      </c>
      <c r="D12">
        <v>0.1</v>
      </c>
      <c r="I12">
        <v>4</v>
      </c>
      <c r="J12">
        <v>4</v>
      </c>
      <c r="K12">
        <v>10</v>
      </c>
    </row>
    <row r="13" spans="1:11" x14ac:dyDescent="0.55000000000000004">
      <c r="A13" t="s">
        <v>201</v>
      </c>
      <c r="B13">
        <v>0</v>
      </c>
      <c r="C13" s="2">
        <v>0.1</v>
      </c>
      <c r="D13">
        <v>0.1</v>
      </c>
      <c r="I13">
        <v>4</v>
      </c>
      <c r="J13">
        <v>4</v>
      </c>
      <c r="K13">
        <v>10</v>
      </c>
    </row>
    <row r="14" spans="1:11" x14ac:dyDescent="0.55000000000000004">
      <c r="A14" t="s">
        <v>202</v>
      </c>
      <c r="B14">
        <v>4.4999999999999998E-2</v>
      </c>
      <c r="C14" s="2">
        <v>0.1</v>
      </c>
      <c r="D14">
        <v>0.1</v>
      </c>
      <c r="E14" s="2">
        <v>0.1</v>
      </c>
      <c r="F14">
        <v>0.1</v>
      </c>
      <c r="I14">
        <v>4</v>
      </c>
      <c r="J14">
        <v>4</v>
      </c>
      <c r="K14">
        <v>10</v>
      </c>
    </row>
    <row r="15" spans="1:11" x14ac:dyDescent="0.55000000000000004">
      <c r="A15" t="s">
        <v>203</v>
      </c>
      <c r="B15">
        <v>0</v>
      </c>
      <c r="C15" s="2">
        <v>0.1</v>
      </c>
      <c r="D15">
        <v>0.1</v>
      </c>
      <c r="E15" s="2">
        <v>0.1</v>
      </c>
      <c r="F15">
        <v>0.1</v>
      </c>
      <c r="I15">
        <v>4</v>
      </c>
      <c r="J15">
        <v>4</v>
      </c>
      <c r="K15">
        <v>10</v>
      </c>
    </row>
    <row r="16" spans="1:11" x14ac:dyDescent="0.55000000000000004">
      <c r="A16" t="s">
        <v>204</v>
      </c>
      <c r="B16">
        <v>4.4999999999999998E-2</v>
      </c>
      <c r="C16" s="2">
        <v>0.05</v>
      </c>
      <c r="D16" s="2">
        <v>0.05</v>
      </c>
      <c r="E16" s="2">
        <v>0.05</v>
      </c>
      <c r="F16" s="2">
        <v>0.05</v>
      </c>
      <c r="I16">
        <v>4</v>
      </c>
      <c r="J16">
        <v>4</v>
      </c>
      <c r="K16">
        <v>10</v>
      </c>
    </row>
    <row r="17" spans="1:15" x14ac:dyDescent="0.55000000000000004">
      <c r="A17" t="s">
        <v>205</v>
      </c>
      <c r="B17">
        <v>0</v>
      </c>
      <c r="C17" s="2">
        <v>0.05</v>
      </c>
      <c r="D17" s="2">
        <v>0.05</v>
      </c>
      <c r="E17" s="2">
        <v>0.05</v>
      </c>
      <c r="F17" s="2">
        <v>0.05</v>
      </c>
      <c r="I17">
        <v>4</v>
      </c>
      <c r="J17">
        <v>4</v>
      </c>
      <c r="K17">
        <v>10</v>
      </c>
    </row>
    <row r="18" spans="1:15" x14ac:dyDescent="0.55000000000000004">
      <c r="A18" t="s">
        <v>206</v>
      </c>
      <c r="B18">
        <v>4.4999999999999998E-2</v>
      </c>
      <c r="C18" s="2">
        <v>0.1</v>
      </c>
      <c r="D18">
        <v>0.1</v>
      </c>
      <c r="E18" s="2">
        <v>0.1</v>
      </c>
      <c r="F18">
        <v>0.1</v>
      </c>
      <c r="G18">
        <v>0.1</v>
      </c>
      <c r="H18">
        <v>0.1</v>
      </c>
      <c r="I18">
        <v>4</v>
      </c>
      <c r="J18">
        <v>4</v>
      </c>
      <c r="K18">
        <v>10</v>
      </c>
    </row>
    <row r="19" spans="1:15" x14ac:dyDescent="0.55000000000000004">
      <c r="A19" t="s">
        <v>207</v>
      </c>
      <c r="B19">
        <v>0</v>
      </c>
      <c r="C19" s="2">
        <v>0.1</v>
      </c>
      <c r="D19">
        <v>0.1</v>
      </c>
      <c r="E19" s="2">
        <v>0.1</v>
      </c>
      <c r="F19">
        <v>0.1</v>
      </c>
      <c r="G19">
        <v>0.1</v>
      </c>
      <c r="H19">
        <v>0.1</v>
      </c>
      <c r="I19">
        <v>4</v>
      </c>
      <c r="J19">
        <v>4</v>
      </c>
      <c r="K19">
        <v>10</v>
      </c>
    </row>
    <row r="20" spans="1:15" x14ac:dyDescent="0.55000000000000004">
      <c r="A20" t="s">
        <v>208</v>
      </c>
      <c r="B20">
        <v>4.4999999999999998E-2</v>
      </c>
      <c r="C20" s="2">
        <v>3.3000000000000002E-2</v>
      </c>
      <c r="D20" s="2">
        <v>3.3000000000000002E-2</v>
      </c>
      <c r="E20" s="2">
        <v>3.3000000000000002E-2</v>
      </c>
      <c r="F20" s="2">
        <v>3.3000000000000002E-2</v>
      </c>
      <c r="G20" s="2">
        <v>3.3000000000000002E-2</v>
      </c>
      <c r="H20" s="2">
        <v>3.3000000000000002E-2</v>
      </c>
      <c r="I20">
        <v>4</v>
      </c>
      <c r="J20">
        <v>4</v>
      </c>
      <c r="K20">
        <v>10</v>
      </c>
    </row>
    <row r="21" spans="1:15" x14ac:dyDescent="0.55000000000000004">
      <c r="A21" t="s">
        <v>209</v>
      </c>
      <c r="B21">
        <v>0</v>
      </c>
      <c r="C21" s="2">
        <v>3.3000000000000002E-2</v>
      </c>
      <c r="D21" s="2">
        <v>3.3000000000000002E-2</v>
      </c>
      <c r="E21" s="2">
        <v>3.3000000000000002E-2</v>
      </c>
      <c r="F21" s="2">
        <v>3.3000000000000002E-2</v>
      </c>
      <c r="G21" s="2">
        <v>3.3000000000000002E-2</v>
      </c>
      <c r="H21" s="2">
        <v>3.3000000000000002E-2</v>
      </c>
      <c r="I21">
        <v>4</v>
      </c>
      <c r="J21">
        <v>4</v>
      </c>
      <c r="K21">
        <v>10</v>
      </c>
    </row>
    <row r="24" spans="1:15" x14ac:dyDescent="0.55000000000000004">
      <c r="A24" s="59" t="s">
        <v>210</v>
      </c>
    </row>
    <row r="25" spans="1:15" x14ac:dyDescent="0.55000000000000004">
      <c r="A25" t="s">
        <v>211</v>
      </c>
      <c r="D25" s="77">
        <v>1</v>
      </c>
      <c r="E25" s="77">
        <v>2</v>
      </c>
      <c r="F25" s="77">
        <v>3</v>
      </c>
      <c r="G25" s="77">
        <v>4</v>
      </c>
      <c r="H25" s="77">
        <v>5</v>
      </c>
      <c r="I25" s="77">
        <v>6</v>
      </c>
      <c r="J25" s="77">
        <v>7</v>
      </c>
      <c r="K25" s="77">
        <v>8</v>
      </c>
      <c r="L25" s="77">
        <v>9</v>
      </c>
      <c r="M25" s="77">
        <v>10</v>
      </c>
      <c r="N25" s="77">
        <v>11</v>
      </c>
      <c r="O25" s="77">
        <v>12</v>
      </c>
    </row>
    <row r="26" spans="1:15" x14ac:dyDescent="0.55000000000000004">
      <c r="A26" t="s">
        <v>212</v>
      </c>
      <c r="C26" s="59" t="s">
        <v>84</v>
      </c>
      <c r="D26" t="s">
        <v>190</v>
      </c>
      <c r="E26" t="s">
        <v>191</v>
      </c>
      <c r="F26" t="s">
        <v>192</v>
      </c>
      <c r="G26" t="s">
        <v>193</v>
      </c>
      <c r="H26" t="s">
        <v>194</v>
      </c>
      <c r="I26" t="s">
        <v>195</v>
      </c>
      <c r="J26" t="s">
        <v>196</v>
      </c>
      <c r="K26" t="s">
        <v>197</v>
      </c>
      <c r="L26" t="s">
        <v>198</v>
      </c>
      <c r="M26" t="s">
        <v>199</v>
      </c>
      <c r="N26" t="s">
        <v>200</v>
      </c>
      <c r="O26" t="s">
        <v>201</v>
      </c>
    </row>
    <row r="27" spans="1:15" x14ac:dyDescent="0.55000000000000004">
      <c r="A27" t="s">
        <v>213</v>
      </c>
      <c r="C27" s="59" t="s">
        <v>97</v>
      </c>
      <c r="D27" t="s">
        <v>190</v>
      </c>
      <c r="E27" t="s">
        <v>191</v>
      </c>
      <c r="F27" t="s">
        <v>192</v>
      </c>
      <c r="G27" t="s">
        <v>193</v>
      </c>
      <c r="H27" t="s">
        <v>194</v>
      </c>
      <c r="I27" t="s">
        <v>195</v>
      </c>
      <c r="J27" t="s">
        <v>196</v>
      </c>
      <c r="K27" t="s">
        <v>197</v>
      </c>
      <c r="L27" t="s">
        <v>198</v>
      </c>
      <c r="M27" t="s">
        <v>199</v>
      </c>
      <c r="N27" t="s">
        <v>200</v>
      </c>
      <c r="O27" t="s">
        <v>201</v>
      </c>
    </row>
    <row r="28" spans="1:15" x14ac:dyDescent="0.55000000000000004">
      <c r="A28" t="s">
        <v>214</v>
      </c>
      <c r="C28" s="59" t="s">
        <v>98</v>
      </c>
      <c r="D28" t="s">
        <v>190</v>
      </c>
      <c r="E28" t="s">
        <v>191</v>
      </c>
      <c r="F28" t="s">
        <v>192</v>
      </c>
      <c r="G28" t="s">
        <v>193</v>
      </c>
      <c r="H28" t="s">
        <v>194</v>
      </c>
      <c r="I28" t="s">
        <v>195</v>
      </c>
      <c r="J28" t="s">
        <v>196</v>
      </c>
      <c r="K28" t="s">
        <v>197</v>
      </c>
      <c r="L28" t="s">
        <v>198</v>
      </c>
      <c r="M28" t="s">
        <v>199</v>
      </c>
      <c r="N28" t="s">
        <v>200</v>
      </c>
      <c r="O28" t="s">
        <v>201</v>
      </c>
    </row>
    <row r="29" spans="1:15" x14ac:dyDescent="0.55000000000000004">
      <c r="C29" s="59" t="s">
        <v>99</v>
      </c>
      <c r="D29" t="s">
        <v>202</v>
      </c>
      <c r="E29" t="s">
        <v>203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55000000000000004">
      <c r="C30" s="59" t="s">
        <v>112</v>
      </c>
      <c r="D30" t="s">
        <v>202</v>
      </c>
      <c r="E30" t="s">
        <v>203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55000000000000004">
      <c r="C31" s="59" t="s">
        <v>113</v>
      </c>
      <c r="D31" t="s">
        <v>202</v>
      </c>
      <c r="E31" t="s">
        <v>203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55000000000000004">
      <c r="C32" s="59" t="s">
        <v>114</v>
      </c>
      <c r="D32" s="2"/>
      <c r="E32" s="2"/>
      <c r="F32" s="2"/>
      <c r="I32" s="2"/>
      <c r="J32" s="2"/>
      <c r="K32" s="2"/>
      <c r="L32" s="2"/>
    </row>
    <row r="33" spans="3:9" x14ac:dyDescent="0.55000000000000004">
      <c r="C33" s="59" t="s">
        <v>118</v>
      </c>
      <c r="D33" s="2"/>
      <c r="E33" s="2"/>
      <c r="F33" s="2"/>
      <c r="G33" s="2"/>
      <c r="H33" s="2"/>
      <c r="I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E4B3-9239-47E2-842A-7C4196E56242}">
  <dimension ref="A1:N17"/>
  <sheetViews>
    <sheetView tabSelected="1" workbookViewId="0">
      <selection sqref="A1:N17"/>
    </sheetView>
  </sheetViews>
  <sheetFormatPr defaultRowHeight="14.4" x14ac:dyDescent="0.55000000000000004"/>
  <sheetData>
    <row r="1" spans="1:14" x14ac:dyDescent="0.55000000000000004">
      <c r="A1" s="59" t="s">
        <v>181</v>
      </c>
      <c r="B1" s="78" t="s">
        <v>46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  <c r="I1" s="2" t="s">
        <v>215</v>
      </c>
      <c r="J1" s="2" t="s">
        <v>216</v>
      </c>
      <c r="K1" s="2" t="s">
        <v>2</v>
      </c>
      <c r="L1" s="2" t="s">
        <v>188</v>
      </c>
      <c r="M1" s="2" t="s">
        <v>189</v>
      </c>
      <c r="N1" s="2" t="s">
        <v>39</v>
      </c>
    </row>
    <row r="2" spans="1:14" x14ac:dyDescent="0.55000000000000004">
      <c r="A2" t="s">
        <v>190</v>
      </c>
      <c r="B2">
        <v>1.4999999999999999E-2</v>
      </c>
      <c r="C2" s="2">
        <v>0.2</v>
      </c>
      <c r="D2">
        <v>0.2</v>
      </c>
      <c r="K2">
        <v>4</v>
      </c>
      <c r="L2">
        <v>4</v>
      </c>
      <c r="M2">
        <v>10</v>
      </c>
    </row>
    <row r="3" spans="1:14" x14ac:dyDescent="0.55000000000000004">
      <c r="A3" t="s">
        <v>191</v>
      </c>
      <c r="B3">
        <v>0</v>
      </c>
      <c r="C3" s="2">
        <v>0.2</v>
      </c>
      <c r="D3">
        <v>0.2</v>
      </c>
      <c r="K3">
        <v>4</v>
      </c>
      <c r="L3">
        <v>4</v>
      </c>
      <c r="M3">
        <v>10</v>
      </c>
    </row>
    <row r="4" spans="1:14" x14ac:dyDescent="0.55000000000000004">
      <c r="A4" t="s">
        <v>192</v>
      </c>
      <c r="B4">
        <v>1.4999999999999999E-2</v>
      </c>
      <c r="C4" s="2">
        <v>0.2</v>
      </c>
      <c r="D4">
        <v>0.2</v>
      </c>
      <c r="E4">
        <v>0.2</v>
      </c>
      <c r="F4">
        <v>0.2</v>
      </c>
      <c r="K4">
        <v>4</v>
      </c>
      <c r="L4">
        <v>4</v>
      </c>
      <c r="M4">
        <v>10</v>
      </c>
    </row>
    <row r="5" spans="1:14" x14ac:dyDescent="0.55000000000000004">
      <c r="A5" t="s">
        <v>193</v>
      </c>
      <c r="B5">
        <v>0</v>
      </c>
      <c r="C5" s="2">
        <v>0.2</v>
      </c>
      <c r="D5">
        <v>0.2</v>
      </c>
      <c r="E5">
        <v>0.2</v>
      </c>
      <c r="F5">
        <v>0.2</v>
      </c>
      <c r="K5">
        <v>4</v>
      </c>
      <c r="L5">
        <v>4</v>
      </c>
      <c r="M5">
        <v>10</v>
      </c>
    </row>
    <row r="6" spans="1:14" x14ac:dyDescent="0.55000000000000004">
      <c r="A6" t="s">
        <v>194</v>
      </c>
      <c r="B6">
        <v>1.4999999999999999E-2</v>
      </c>
      <c r="C6" s="2">
        <v>0.1</v>
      </c>
      <c r="D6">
        <v>0.1</v>
      </c>
      <c r="E6">
        <v>0.1</v>
      </c>
      <c r="F6">
        <v>0.1</v>
      </c>
      <c r="K6">
        <v>4</v>
      </c>
      <c r="L6">
        <v>4</v>
      </c>
      <c r="M6">
        <v>10</v>
      </c>
    </row>
    <row r="7" spans="1:14" x14ac:dyDescent="0.55000000000000004">
      <c r="A7" t="s">
        <v>195</v>
      </c>
      <c r="B7">
        <v>0</v>
      </c>
      <c r="C7" s="2">
        <v>0.1</v>
      </c>
      <c r="D7">
        <v>0.1</v>
      </c>
      <c r="E7">
        <v>0.1</v>
      </c>
      <c r="F7">
        <v>0.1</v>
      </c>
      <c r="K7">
        <v>4</v>
      </c>
      <c r="L7">
        <v>4</v>
      </c>
      <c r="M7">
        <v>10</v>
      </c>
    </row>
    <row r="8" spans="1:14" x14ac:dyDescent="0.55000000000000004">
      <c r="A8" t="s">
        <v>196</v>
      </c>
      <c r="B8">
        <v>1.4999999999999999E-2</v>
      </c>
      <c r="C8" s="2">
        <v>0.2</v>
      </c>
      <c r="D8">
        <v>0.2</v>
      </c>
      <c r="E8">
        <v>0.2</v>
      </c>
      <c r="F8">
        <v>0.2</v>
      </c>
      <c r="G8">
        <v>0.2</v>
      </c>
      <c r="H8">
        <v>0.2</v>
      </c>
      <c r="K8">
        <v>4</v>
      </c>
      <c r="L8">
        <v>4</v>
      </c>
      <c r="M8">
        <v>10</v>
      </c>
    </row>
    <row r="9" spans="1:14" x14ac:dyDescent="0.55000000000000004">
      <c r="A9" t="s">
        <v>197</v>
      </c>
      <c r="B9">
        <v>0</v>
      </c>
      <c r="C9" s="2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K9">
        <v>4</v>
      </c>
      <c r="L9">
        <v>4</v>
      </c>
      <c r="M9">
        <v>10</v>
      </c>
    </row>
    <row r="10" spans="1:14" x14ac:dyDescent="0.55000000000000004">
      <c r="A10" t="s">
        <v>198</v>
      </c>
      <c r="B10">
        <v>1.4999999999999999E-2</v>
      </c>
      <c r="C10" s="2">
        <v>6.7000000000000004E-2</v>
      </c>
      <c r="D10" s="2">
        <v>6.7000000000000004E-2</v>
      </c>
      <c r="E10" s="2">
        <v>6.7000000000000004E-2</v>
      </c>
      <c r="F10" s="2">
        <v>6.7000000000000004E-2</v>
      </c>
      <c r="G10" s="2">
        <v>6.7000000000000004E-2</v>
      </c>
      <c r="H10" s="2">
        <v>6.7000000000000004E-2</v>
      </c>
      <c r="K10">
        <v>4</v>
      </c>
      <c r="L10">
        <v>4</v>
      </c>
      <c r="M10">
        <v>10</v>
      </c>
    </row>
    <row r="11" spans="1:14" x14ac:dyDescent="0.55000000000000004">
      <c r="A11" t="s">
        <v>199</v>
      </c>
      <c r="B11">
        <v>0</v>
      </c>
      <c r="C11" s="2">
        <v>6.7000000000000004E-2</v>
      </c>
      <c r="D11" s="2">
        <v>6.7000000000000004E-2</v>
      </c>
      <c r="E11" s="2">
        <v>6.7000000000000004E-2</v>
      </c>
      <c r="F11" s="2">
        <v>6.7000000000000004E-2</v>
      </c>
      <c r="G11" s="2">
        <v>6.7000000000000004E-2</v>
      </c>
      <c r="H11" s="2">
        <v>6.7000000000000004E-2</v>
      </c>
      <c r="K11">
        <v>4</v>
      </c>
      <c r="L11">
        <v>4</v>
      </c>
      <c r="M11">
        <v>10</v>
      </c>
    </row>
    <row r="12" spans="1:14" x14ac:dyDescent="0.55000000000000004">
      <c r="A12" t="s">
        <v>217</v>
      </c>
      <c r="B12">
        <v>1.4999999999999999E-2</v>
      </c>
      <c r="C12" s="2">
        <v>0.2</v>
      </c>
      <c r="D12">
        <v>0.2</v>
      </c>
      <c r="E12">
        <v>0.2</v>
      </c>
      <c r="F12">
        <v>0.2</v>
      </c>
      <c r="G12" s="2">
        <v>0.2</v>
      </c>
      <c r="H12" s="2">
        <v>0.2</v>
      </c>
      <c r="I12" s="2">
        <v>0.2</v>
      </c>
      <c r="J12" s="2">
        <v>0.2</v>
      </c>
      <c r="K12">
        <v>4</v>
      </c>
      <c r="L12">
        <v>4</v>
      </c>
      <c r="M12">
        <v>10</v>
      </c>
    </row>
    <row r="13" spans="1:14" x14ac:dyDescent="0.55000000000000004">
      <c r="A13" t="s">
        <v>218</v>
      </c>
      <c r="B13">
        <v>0</v>
      </c>
      <c r="C13" s="2">
        <v>0.2</v>
      </c>
      <c r="D13">
        <v>0.2</v>
      </c>
      <c r="E13">
        <v>0.2</v>
      </c>
      <c r="F13">
        <v>0.2</v>
      </c>
      <c r="G13" s="2">
        <v>0.2</v>
      </c>
      <c r="H13" s="2">
        <v>0.2</v>
      </c>
      <c r="I13" s="2">
        <v>0.2</v>
      </c>
      <c r="J13" s="2">
        <v>0.2</v>
      </c>
      <c r="K13">
        <v>4</v>
      </c>
      <c r="L13">
        <v>4</v>
      </c>
      <c r="M13">
        <v>10</v>
      </c>
    </row>
    <row r="14" spans="1:14" x14ac:dyDescent="0.55000000000000004">
      <c r="A14" t="s">
        <v>219</v>
      </c>
      <c r="B14">
        <v>1.4999999999999999E-2</v>
      </c>
      <c r="C14" s="2">
        <v>0.05</v>
      </c>
      <c r="D14" s="2">
        <v>0.05</v>
      </c>
      <c r="E14" s="2">
        <v>0.05</v>
      </c>
      <c r="F14" s="2">
        <v>0.05</v>
      </c>
      <c r="G14" s="2">
        <v>0.05</v>
      </c>
      <c r="H14" s="2">
        <v>0.05</v>
      </c>
      <c r="I14" s="2">
        <v>0.05</v>
      </c>
      <c r="J14" s="2">
        <v>0.05</v>
      </c>
      <c r="K14">
        <v>4</v>
      </c>
      <c r="L14">
        <v>4</v>
      </c>
      <c r="M14">
        <v>10</v>
      </c>
    </row>
    <row r="15" spans="1:14" x14ac:dyDescent="0.55000000000000004">
      <c r="A15" t="s">
        <v>220</v>
      </c>
      <c r="B15">
        <v>0</v>
      </c>
      <c r="C15" s="2">
        <v>0.05</v>
      </c>
      <c r="D15" s="2">
        <v>0.05</v>
      </c>
      <c r="E15" s="2">
        <v>0.05</v>
      </c>
      <c r="F15" s="2">
        <v>0.05</v>
      </c>
      <c r="G15" s="2">
        <v>0.05</v>
      </c>
      <c r="H15" s="2">
        <v>0.05</v>
      </c>
      <c r="I15" s="2">
        <v>0.05</v>
      </c>
      <c r="J15" s="2">
        <v>0.05</v>
      </c>
      <c r="K15">
        <v>4</v>
      </c>
      <c r="L15">
        <v>4</v>
      </c>
      <c r="M15">
        <v>10</v>
      </c>
    </row>
    <row r="16" spans="1:14" x14ac:dyDescent="0.55000000000000004">
      <c r="A16" t="s">
        <v>221</v>
      </c>
      <c r="B16">
        <v>1.4999999999999999E-2</v>
      </c>
      <c r="C16" s="2"/>
      <c r="D16" s="2"/>
      <c r="E16" s="2"/>
      <c r="F16" s="2"/>
      <c r="K16">
        <v>4</v>
      </c>
      <c r="L16">
        <v>4</v>
      </c>
      <c r="N16">
        <v>10</v>
      </c>
    </row>
    <row r="17" spans="1:14" x14ac:dyDescent="0.55000000000000004">
      <c r="A17" t="s">
        <v>222</v>
      </c>
      <c r="B17">
        <v>0</v>
      </c>
      <c r="C17" s="2"/>
      <c r="D17" s="2"/>
      <c r="E17" s="2"/>
      <c r="F17" s="2"/>
      <c r="K17">
        <v>4</v>
      </c>
      <c r="L17">
        <v>4</v>
      </c>
      <c r="N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022322_synzip_phase</vt:lpstr>
      <vt:lpstr>022322_aba_ga_titration</vt:lpstr>
      <vt:lpstr>022822_inducer_titration</vt:lpstr>
      <vt:lpstr>051222_da9_titrate</vt:lpstr>
      <vt:lpstr>051822_SYNZIP_GA_da9_titrate</vt:lpstr>
      <vt:lpstr>052422_GA_ABA_Da9_titrate</vt:lpstr>
      <vt:lpstr>061622_fans_ECHO</vt:lpstr>
      <vt:lpstr>062222_Fans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2022-08-29T23:05:30Z</dcterms:created>
  <dcterms:modified xsi:type="dcterms:W3CDTF">2022-08-29T23:14:14Z</dcterms:modified>
</cp:coreProperties>
</file>