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 2" sheetId="1" r:id="rId4"/>
    <sheet state="visible" name="Figure 3" sheetId="2" r:id="rId5"/>
    <sheet state="visible" name="Figure 4" sheetId="3" r:id="rId6"/>
    <sheet state="visible" name="Figure 5" sheetId="4" r:id="rId7"/>
    <sheet state="visible" name="Figure 6" sheetId="5" r:id="rId8"/>
    <sheet state="visible" name="Figure S2 " sheetId="6" r:id="rId9"/>
    <sheet state="visible" name="Figure S3 " sheetId="7" r:id="rId10"/>
    <sheet state="visible" name="Figure S4" sheetId="8" r:id="rId11"/>
    <sheet state="visible" name="Figure S5 " sheetId="9" r:id="rId12"/>
    <sheet state="visible" name="Figure S6 " sheetId="10" r:id="rId13"/>
    <sheet state="visible" name="Figure S7 " sheetId="11" r:id="rId14"/>
    <sheet state="visible" name="Figure S8 " sheetId="12" r:id="rId15"/>
    <sheet state="visible" name="Figure S9" sheetId="13" r:id="rId16"/>
    <sheet state="visible" name="Figure S10" sheetId="14" r:id="rId17"/>
    <sheet state="visible" name="Figure S11" sheetId="15" r:id="rId18"/>
    <sheet state="visible" name="Figure S12" sheetId="16" r:id="rId19"/>
    <sheet state="visible" name="Figure S13" sheetId="17" r:id="rId20"/>
    <sheet state="visible" name="Figure S14" sheetId="18" r:id="rId21"/>
    <sheet state="visible" name="Figure S15" sheetId="19" r:id="rId22"/>
  </sheets>
  <definedNames/>
  <calcPr/>
</workbook>
</file>

<file path=xl/sharedStrings.xml><?xml version="1.0" encoding="utf-8"?>
<sst xmlns="http://schemas.openxmlformats.org/spreadsheetml/2006/main" count="331" uniqueCount="182">
  <si>
    <t>2B</t>
  </si>
  <si>
    <t>spike:</t>
  </si>
  <si>
    <t>malate</t>
  </si>
  <si>
    <t>-</t>
  </si>
  <si>
    <t>measure:</t>
  </si>
  <si>
    <t>fumurate</t>
  </si>
  <si>
    <t>succinate</t>
  </si>
  <si>
    <t>glyoxylate</t>
  </si>
  <si>
    <t>2C</t>
  </si>
  <si>
    <t>Spike:</t>
  </si>
  <si>
    <t>pyruvate</t>
  </si>
  <si>
    <t>Measure:</t>
  </si>
  <si>
    <t>Glycine</t>
  </si>
  <si>
    <t>Serine</t>
  </si>
  <si>
    <t>3A</t>
  </si>
  <si>
    <t>Fdh</t>
  </si>
  <si>
    <t>Peak Area</t>
  </si>
  <si>
    <t>Concentration</t>
  </si>
  <si>
    <t>+ FDH</t>
  </si>
  <si>
    <t>- FDH</t>
  </si>
  <si>
    <t>Mdh</t>
  </si>
  <si>
    <t>3B</t>
  </si>
  <si>
    <t>Stdev</t>
  </si>
  <si>
    <t>no enzyme</t>
  </si>
  <si>
    <t>pyc</t>
  </si>
  <si>
    <t>HCT</t>
  </si>
  <si>
    <t>pyc + HCT</t>
  </si>
  <si>
    <t>diluted, no enzyme</t>
  </si>
  <si>
    <t>diluted, pyc</t>
  </si>
  <si>
    <t>diluted, HCT</t>
  </si>
  <si>
    <t>diluted, pyc + HCT</t>
  </si>
  <si>
    <t>4A</t>
  </si>
  <si>
    <t>B. sub</t>
  </si>
  <si>
    <t>E. coli</t>
  </si>
  <si>
    <t>M. smeg</t>
  </si>
  <si>
    <t>L. pneu</t>
  </si>
  <si>
    <t>No enzyme</t>
  </si>
  <si>
    <t>Relative activity</t>
  </si>
  <si>
    <t>ser, fe</t>
  </si>
  <si>
    <t>ser, fe, dtt</t>
  </si>
  <si>
    <t>ser, fe, aa</t>
  </si>
  <si>
    <t>+ Enzyme</t>
  </si>
  <si>
    <t>- Enzyme</t>
  </si>
  <si>
    <t>4C</t>
  </si>
  <si>
    <t>220720 TdcB</t>
  </si>
  <si>
    <t>peak area</t>
  </si>
  <si>
    <t>No enzyme, no serine</t>
  </si>
  <si>
    <t>TdcB, no serine</t>
  </si>
  <si>
    <t>No enzyme, with serine</t>
  </si>
  <si>
    <t>TdcB, with serine</t>
  </si>
  <si>
    <t>AVG</t>
  </si>
  <si>
    <t>DEV</t>
  </si>
  <si>
    <t>Peak Areas</t>
  </si>
  <si>
    <t>+ AMP</t>
  </si>
  <si>
    <t>- AMP</t>
  </si>
  <si>
    <t>E coli</t>
  </si>
  <si>
    <t>D. disco</t>
  </si>
  <si>
    <t>Y = 2627101*X + 473521</t>
  </si>
  <si>
    <t>5A</t>
  </si>
  <si>
    <t>glyA</t>
  </si>
  <si>
    <t>5B</t>
  </si>
  <si>
    <t>Gly -&gt; Mal</t>
  </si>
  <si>
    <t>+ Pathway</t>
  </si>
  <si>
    <t>-Pathway</t>
  </si>
  <si>
    <t>Pyruvate</t>
  </si>
  <si>
    <t>Avg</t>
  </si>
  <si>
    <t>Std</t>
  </si>
  <si>
    <t>Delta</t>
  </si>
  <si>
    <t>uM malate through pathway</t>
  </si>
  <si>
    <t>vol</t>
  </si>
  <si>
    <t>umol malate</t>
  </si>
  <si>
    <t>ug CO2</t>
  </si>
  <si>
    <t>ng CO2</t>
  </si>
  <si>
    <t>% yield</t>
  </si>
  <si>
    <t>err</t>
  </si>
  <si>
    <t>Pyc: 1075 ± 36 μM, 578 ± 113 μM, 50% pathway-dependent conversion</t>
  </si>
  <si>
    <t>0 uM of “leftover” carbon</t>
  </si>
  <si>
    <t>Sda: 273 ± 60 μM, 24 ± 8 μM, 25% conversion from pathway</t>
  </si>
  <si>
    <t>727 uM of “leftover” carbon</t>
  </si>
  <si>
    <t>glyA: 117 ± 6 μM, 62 ± 3 μM, 5% pathway-dependent conversion</t>
  </si>
  <si>
    <t>883 uM of “leftover” carbon</t>
  </si>
  <si>
    <t>6A</t>
  </si>
  <si>
    <t>5,10-CH2-THF</t>
  </si>
  <si>
    <t>- Pathway</t>
  </si>
  <si>
    <t>6B</t>
  </si>
  <si>
    <t>"max"</t>
  </si>
  <si>
    <t>Diff</t>
  </si>
  <si>
    <t>+ pathway</t>
  </si>
  <si>
    <t>- pathway</t>
  </si>
  <si>
    <t>ng CO2 fixed</t>
  </si>
  <si>
    <t>CO2 fixation efficiency</t>
  </si>
  <si>
    <t>2 mol co2/mol malate</t>
  </si>
  <si>
    <t>88g co2/mol malate</t>
  </si>
  <si>
    <t>.000088 g co2/umol malate</t>
  </si>
  <si>
    <t>S1</t>
  </si>
  <si>
    <t>Kinetic-Mdh</t>
  </si>
  <si>
    <t>+ Mdh</t>
  </si>
  <si>
    <t>- Mdh</t>
  </si>
  <si>
    <t>Relative amounts</t>
  </si>
  <si>
    <t>EF-Tu</t>
  </si>
  <si>
    <t>EF-G</t>
  </si>
  <si>
    <t>RNAP β subunit</t>
  </si>
  <si>
    <t>RNAP α subunit</t>
  </si>
  <si>
    <t>IF-1</t>
  </si>
  <si>
    <t>IF-2</t>
  </si>
  <si>
    <t>IF-3</t>
  </si>
  <si>
    <t>Citrate synthase</t>
  </si>
  <si>
    <t>Aconitase</t>
  </si>
  <si>
    <t>Succ.-CoA synthetase α</t>
  </si>
  <si>
    <t>Succ.-CoA synthetase β</t>
  </si>
  <si>
    <t>S2</t>
  </si>
  <si>
    <t>Dilution-Mdh</t>
  </si>
  <si>
    <t>mdh</t>
  </si>
  <si>
    <t>no mdh</t>
  </si>
  <si>
    <t>10x</t>
  </si>
  <si>
    <t>50x</t>
  </si>
  <si>
    <t>200x</t>
  </si>
  <si>
    <t>Kinetic pyc</t>
  </si>
  <si>
    <t>10x dilution, -HCT</t>
  </si>
  <si>
    <t>200x dilution, -HCT</t>
  </si>
  <si>
    <t>200x dilution, + HCT</t>
  </si>
  <si>
    <t>+ Pyc</t>
  </si>
  <si>
    <t>- Pyc</t>
  </si>
  <si>
    <t>S4</t>
  </si>
  <si>
    <t>Kinetic Pyc</t>
  </si>
  <si>
    <t>Citrate</t>
  </si>
  <si>
    <t>20x + Pyc</t>
  </si>
  <si>
    <t>20x - Pyc</t>
  </si>
  <si>
    <t>S6</t>
  </si>
  <si>
    <t>Top</t>
  </si>
  <si>
    <t>+ ICL</t>
  </si>
  <si>
    <t>- ICL</t>
  </si>
  <si>
    <t>+ MS</t>
  </si>
  <si>
    <t>- MS</t>
  </si>
  <si>
    <t>Bottom</t>
  </si>
  <si>
    <t>rTCA + shunt</t>
  </si>
  <si>
    <t>rTCA</t>
  </si>
  <si>
    <t>Empty</t>
  </si>
  <si>
    <t>S9</t>
  </si>
  <si>
    <t>TdcB dilution</t>
  </si>
  <si>
    <t>Pyruvate 4 hours</t>
  </si>
  <si>
    <t>- TdcB, - Pyc</t>
  </si>
  <si>
    <t>+ TdcB, - Pyc</t>
  </si>
  <si>
    <t>- TdcB, + Pyc</t>
  </si>
  <si>
    <t>+ TdcB, + Pyc</t>
  </si>
  <si>
    <t>Pyruvate 8 hours</t>
  </si>
  <si>
    <t>Malate 8 hours</t>
  </si>
  <si>
    <t>Time (hrs)</t>
  </si>
  <si>
    <t>ppk ATP regeneration</t>
  </si>
  <si>
    <t>- ppk</t>
  </si>
  <si>
    <t>+ ppk</t>
  </si>
  <si>
    <t>ppk Module 3</t>
  </si>
  <si>
    <t>No pathway</t>
  </si>
  <si>
    <t>sds + rTCA</t>
  </si>
  <si>
    <t>sds + rTCA + ppk</t>
  </si>
  <si>
    <t>NADPH fdh</t>
  </si>
  <si>
    <t>fdh_cm_nadp</t>
  </si>
  <si>
    <t>fdh_sn_nadp</t>
  </si>
  <si>
    <t>neg_nadp</t>
  </si>
  <si>
    <t>TdcB</t>
  </si>
  <si>
    <t>GFP</t>
  </si>
  <si>
    <t>Full pathway buffer</t>
  </si>
  <si>
    <t>1 step buffer</t>
  </si>
  <si>
    <t>B1</t>
  </si>
  <si>
    <t>B2</t>
  </si>
  <si>
    <t>B3</t>
  </si>
  <si>
    <t>B4</t>
  </si>
  <si>
    <t>TdcB, GFP</t>
  </si>
  <si>
    <t>Peak area</t>
  </si>
  <si>
    <t>avg</t>
  </si>
  <si>
    <t>std</t>
  </si>
  <si>
    <t>weight</t>
  </si>
  <si>
    <t>t test between .5 and 2.5</t>
  </si>
  <si>
    <t>Pyc</t>
  </si>
  <si>
    <t>9413.19*</t>
  </si>
  <si>
    <t>2086.3*</t>
  </si>
  <si>
    <t>42237.28*</t>
  </si>
  <si>
    <t>34401.92*</t>
  </si>
  <si>
    <t>40162.45*</t>
  </si>
  <si>
    <t>42877.63*</t>
  </si>
  <si>
    <t>45652.71*</t>
  </si>
  <si>
    <t>55246.72*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</si>
</sst>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sz val="9.0"/>
      <color rgb="FF1155CC"/>
      <name val="&quot;Google Sans Mono&quot;"/>
    </font>
    <font>
      <i/>
      <sz val="12.0"/>
      <color rgb="FF0000FF"/>
      <name val="Arial"/>
    </font>
    <font>
      <b/>
      <sz val="12.0"/>
      <color theme="1"/>
      <name val="Arial"/>
      <scheme val="minor"/>
    </font>
    <font/>
    <font>
      <i/>
      <sz val="12.0"/>
      <color theme="1"/>
      <name val="Arial"/>
    </font>
    <font>
      <sz val="11.0"/>
      <color theme="1"/>
      <name val="Calibri"/>
    </font>
    <font>
      <sz val="12.0"/>
      <color rgb="FF0000FF"/>
      <name val="Arial"/>
    </font>
    <font>
      <color rgb="FF000000"/>
      <name val="Arial"/>
      <scheme val="minor"/>
    </font>
    <font>
      <sz val="12.0"/>
      <color rgb="FF000000"/>
      <name val="Calibri"/>
    </font>
    <font>
      <sz val="12.0"/>
      <color rgb="FF000000"/>
      <name val="Arial"/>
    </font>
    <font>
      <sz val="12.0"/>
      <color rgb="FF000000"/>
      <name val="Barlow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8F9"/>
        <bgColor rgb="FFF9F8F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2" fontId="5" numFmtId="0" xfId="0" applyFill="1" applyFont="1"/>
    <xf borderId="0" fillId="0" fontId="6" numFmtId="0" xfId="0" applyAlignment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5" fillId="0" fontId="8" numFmtId="0" xfId="0" applyBorder="1" applyFont="1"/>
    <xf quotePrefix="1" borderId="4" fillId="0" fontId="2" numFmtId="0" xfId="0" applyAlignment="1" applyBorder="1" applyFont="1">
      <alignment horizontal="left"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6" fillId="0" fontId="3" numFmtId="0" xfId="0" applyAlignment="1" applyBorder="1" applyFont="1">
      <alignment readingOrder="0"/>
    </xf>
    <xf borderId="7" fillId="0" fontId="2" numFmtId="0" xfId="0" applyAlignment="1" applyBorder="1" applyFont="1">
      <alignment horizontal="right" readingOrder="0" shrinkToFit="0" vertical="bottom" wrapText="0"/>
    </xf>
    <xf borderId="7" fillId="0" fontId="3" numFmtId="0" xfId="0" applyBorder="1" applyFont="1"/>
    <xf borderId="8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5" fillId="0" fontId="3" numFmtId="0" xfId="0" applyBorder="1" applyFont="1"/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2" numFmtId="21" xfId="0" applyAlignment="1" applyFont="1" applyNumberFormat="1">
      <alignment horizontal="right" readingOrder="0" shrinkToFit="0" vertical="bottom" wrapText="0"/>
    </xf>
    <xf quotePrefix="1" borderId="0" fillId="0" fontId="3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quotePrefix="1" borderId="0" fillId="0" fontId="2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  <xf quotePrefix="1" borderId="0" fillId="0" fontId="2" numFmtId="0" xfId="0" applyAlignment="1" applyFont="1">
      <alignment horizontal="left" readingOrder="0" shrinkToFit="0" vertical="bottom" wrapText="0"/>
    </xf>
    <xf quotePrefix="1"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2" numFmtId="46" xfId="0" applyAlignment="1" applyFont="1" applyNumberFormat="1">
      <alignment horizontal="right" readingOrder="0" shrinkToFit="0" vertical="bottom" wrapText="0"/>
    </xf>
    <xf borderId="6" fillId="0" fontId="3" numFmtId="0" xfId="0" applyBorder="1" applyFont="1"/>
    <xf borderId="0" fillId="0" fontId="6" numFmtId="0" xfId="0" applyAlignment="1" applyFont="1">
      <alignment horizontal="left" readingOrder="0" shrinkToFit="0" vertical="bottom" wrapText="0"/>
    </xf>
    <xf borderId="4" fillId="0" fontId="3" numFmtId="0" xfId="0" applyBorder="1" applyFont="1"/>
    <xf borderId="4" fillId="0" fontId="2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horizontal="left" readingOrder="0" shrinkToFit="0" vertical="bottom" wrapText="0"/>
    </xf>
    <xf borderId="0" fillId="0" fontId="3" numFmtId="21" xfId="0" applyAlignment="1" applyFont="1" applyNumberFormat="1">
      <alignment readingOrder="0"/>
    </xf>
    <xf borderId="7" fillId="0" fontId="2" numFmtId="0" xfId="0" applyAlignment="1" applyBorder="1" applyFont="1">
      <alignment horizontal="left" readingOrder="0"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11" xfId="0" applyFont="1" applyNumberFormat="1"/>
    <xf borderId="0" fillId="0" fontId="3" numFmtId="11" xfId="0" applyAlignment="1" applyFont="1" applyNumberFormat="1">
      <alignment readingOrder="0"/>
    </xf>
    <xf borderId="0" fillId="3" fontId="15" numFmtId="0" xfId="0" applyAlignment="1" applyFill="1" applyFont="1">
      <alignment readingOrder="0"/>
    </xf>
    <xf borderId="0" fillId="0" fontId="12" numFmtId="0" xfId="0" applyFont="1"/>
    <xf borderId="0" fillId="0" fontId="16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/>
      <c r="C2" s="2"/>
      <c r="D2" s="1"/>
      <c r="E2" s="1"/>
    </row>
    <row r="3">
      <c r="A3" s="1" t="s">
        <v>1</v>
      </c>
      <c r="B3" s="1" t="s">
        <v>2</v>
      </c>
      <c r="C3" s="1" t="s">
        <v>1</v>
      </c>
      <c r="D3" s="1" t="s">
        <v>3</v>
      </c>
      <c r="F3" s="1" t="s">
        <v>1</v>
      </c>
      <c r="G3" s="1" t="s">
        <v>2</v>
      </c>
      <c r="H3" s="1" t="s">
        <v>1</v>
      </c>
      <c r="I3" s="1" t="s">
        <v>3</v>
      </c>
      <c r="K3" s="1" t="s">
        <v>1</v>
      </c>
      <c r="L3" s="1" t="s">
        <v>2</v>
      </c>
      <c r="M3" s="1" t="s">
        <v>1</v>
      </c>
      <c r="N3" s="1" t="s">
        <v>3</v>
      </c>
    </row>
    <row r="4">
      <c r="A4" s="1" t="s">
        <v>4</v>
      </c>
      <c r="B4" s="1" t="s">
        <v>5</v>
      </c>
      <c r="C4" s="1" t="s">
        <v>4</v>
      </c>
      <c r="D4" s="1" t="s">
        <v>5</v>
      </c>
      <c r="F4" s="1" t="s">
        <v>4</v>
      </c>
      <c r="G4" s="1" t="s">
        <v>6</v>
      </c>
      <c r="H4" s="1" t="s">
        <v>4</v>
      </c>
      <c r="I4" s="1" t="s">
        <v>6</v>
      </c>
      <c r="K4" s="1" t="s">
        <v>4</v>
      </c>
      <c r="L4" s="1" t="s">
        <v>7</v>
      </c>
      <c r="M4" s="1" t="s">
        <v>4</v>
      </c>
      <c r="N4" s="1" t="s">
        <v>7</v>
      </c>
    </row>
    <row r="6">
      <c r="A6" s="3">
        <v>6013398.0</v>
      </c>
      <c r="B6" s="3">
        <v>5829142.0</v>
      </c>
      <c r="C6" s="3">
        <v>259472.0</v>
      </c>
      <c r="D6" s="3">
        <v>189596.0</v>
      </c>
      <c r="F6" s="3">
        <v>417071.1</v>
      </c>
      <c r="G6" s="3">
        <v>408012.61</v>
      </c>
      <c r="H6" s="3">
        <v>208140.7</v>
      </c>
      <c r="I6" s="3">
        <v>202638.56</v>
      </c>
      <c r="K6" s="3">
        <v>609680.38</v>
      </c>
      <c r="L6" s="3">
        <v>900541.18</v>
      </c>
      <c r="M6" s="3">
        <v>340322.0</v>
      </c>
      <c r="N6" s="3">
        <v>418213.0</v>
      </c>
    </row>
    <row r="7">
      <c r="A7" s="3">
        <v>4487696.0</v>
      </c>
      <c r="B7" s="3">
        <v>5009484.0</v>
      </c>
      <c r="C7" s="3">
        <v>244209.0</v>
      </c>
      <c r="D7" s="3">
        <v>193530.0</v>
      </c>
      <c r="F7" s="3">
        <v>322312.53</v>
      </c>
      <c r="G7" s="3">
        <v>316727.99</v>
      </c>
      <c r="H7" s="3">
        <v>197096.25</v>
      </c>
      <c r="I7" s="3">
        <v>143191.21</v>
      </c>
      <c r="K7" s="3">
        <v>1778753.36</v>
      </c>
      <c r="L7" s="3">
        <v>1642028.42</v>
      </c>
      <c r="M7" s="3">
        <v>461977.0</v>
      </c>
      <c r="N7" s="3">
        <v>249503.0</v>
      </c>
    </row>
    <row r="8">
      <c r="A8" s="3">
        <v>4748367.0</v>
      </c>
      <c r="B8" s="3">
        <v>4695993.0</v>
      </c>
      <c r="C8" s="4"/>
      <c r="D8" s="4"/>
      <c r="F8" s="3">
        <v>258725.35</v>
      </c>
      <c r="G8" s="3">
        <v>257372.1</v>
      </c>
      <c r="H8" s="3">
        <v>43496.19</v>
      </c>
      <c r="I8" s="3">
        <v>28181.5</v>
      </c>
      <c r="K8" s="3">
        <v>1726556.88</v>
      </c>
      <c r="L8" s="3">
        <v>1755879.43</v>
      </c>
      <c r="M8" s="4"/>
      <c r="N8" s="4"/>
    </row>
    <row r="9">
      <c r="A9" s="3">
        <v>4920358.0</v>
      </c>
      <c r="B9" s="3">
        <v>4977307.0</v>
      </c>
      <c r="C9" s="3">
        <v>113373.0</v>
      </c>
      <c r="D9" s="3">
        <v>100486.0</v>
      </c>
      <c r="F9" s="3">
        <v>234099.17</v>
      </c>
      <c r="G9" s="3">
        <v>254550.25</v>
      </c>
      <c r="H9" s="3">
        <v>38496.65</v>
      </c>
      <c r="I9" s="3">
        <v>45858.69</v>
      </c>
      <c r="K9" s="3">
        <v>1852497.85</v>
      </c>
      <c r="L9" s="3">
        <v>1611529.1</v>
      </c>
      <c r="M9" s="3">
        <v>114952.0</v>
      </c>
      <c r="N9" s="3">
        <v>117630.0</v>
      </c>
    </row>
    <row r="10">
      <c r="A10" s="3">
        <v>4959463.0</v>
      </c>
      <c r="B10" s="3">
        <v>4218076.0</v>
      </c>
      <c r="C10" s="4"/>
      <c r="D10" s="4"/>
      <c r="F10" s="3">
        <v>272775.65</v>
      </c>
      <c r="G10" s="3">
        <v>288933.4</v>
      </c>
      <c r="H10" s="3">
        <v>54083.09</v>
      </c>
      <c r="I10" s="3">
        <v>49242.75</v>
      </c>
      <c r="K10" s="3">
        <v>1705032.07</v>
      </c>
      <c r="L10" s="3">
        <v>1479060.02</v>
      </c>
      <c r="M10" s="3">
        <v>0.0</v>
      </c>
      <c r="N10" s="3">
        <v>0.0</v>
      </c>
    </row>
    <row r="11">
      <c r="A11" s="3">
        <v>5759889.0</v>
      </c>
      <c r="B11" s="3">
        <v>4813094.0</v>
      </c>
      <c r="C11" s="3">
        <v>297778.0</v>
      </c>
      <c r="D11" s="3">
        <v>287321.0</v>
      </c>
      <c r="F11" s="3">
        <v>426153.51</v>
      </c>
      <c r="G11" s="3">
        <v>421554.99</v>
      </c>
      <c r="H11" s="3">
        <v>97750.37</v>
      </c>
      <c r="I11" s="3">
        <v>98427.1</v>
      </c>
      <c r="K11" s="3">
        <v>1752621.51</v>
      </c>
      <c r="L11" s="3">
        <v>1867726.97</v>
      </c>
    </row>
    <row r="14">
      <c r="A14" s="3">
        <v>0.18654816</v>
      </c>
      <c r="B14" s="3">
        <v>0.1809045</v>
      </c>
      <c r="C14" s="3">
        <v>0.01030856</v>
      </c>
      <c r="D14" s="3">
        <v>0.00816829</v>
      </c>
      <c r="F14" s="3">
        <v>0.16212735</v>
      </c>
      <c r="G14" s="3">
        <v>0.15848188</v>
      </c>
      <c r="H14" s="3">
        <v>0.07804606</v>
      </c>
      <c r="I14" s="3">
        <v>0.0758318</v>
      </c>
      <c r="J14" s="5">
        <f t="shared" ref="J14:J19" si="1">AVERAGE(H14:I14)</f>
        <v>0.07693893</v>
      </c>
      <c r="K14" s="3">
        <v>0.18818002</v>
      </c>
      <c r="L14" s="3">
        <v>0.30523312</v>
      </c>
      <c r="M14" s="3">
        <v>-0.0548936</v>
      </c>
      <c r="N14" s="3">
        <v>-0.0431756</v>
      </c>
    </row>
    <row r="15">
      <c r="A15" s="3">
        <v>0.13981674</v>
      </c>
      <c r="B15" s="3">
        <v>0.15579882</v>
      </c>
      <c r="C15" s="3">
        <v>0.00984106</v>
      </c>
      <c r="D15" s="3">
        <v>0.00828879</v>
      </c>
      <c r="F15" s="3">
        <v>0.12399301</v>
      </c>
      <c r="G15" s="3">
        <v>0.12174559</v>
      </c>
      <c r="H15" s="3">
        <v>0.07360137</v>
      </c>
      <c r="I15" s="3">
        <v>0.051908</v>
      </c>
      <c r="J15" s="5">
        <f t="shared" si="1"/>
        <v>0.062754685</v>
      </c>
      <c r="K15" s="3">
        <v>0.65865805</v>
      </c>
      <c r="L15" s="3">
        <v>0.6036349</v>
      </c>
      <c r="M15" s="3">
        <v>-0.0498542</v>
      </c>
      <c r="N15" s="3">
        <v>-0.0499088</v>
      </c>
    </row>
    <row r="16">
      <c r="A16" s="3">
        <v>0.14780095</v>
      </c>
      <c r="B16" s="3">
        <v>0.14619676</v>
      </c>
      <c r="C16" s="3">
        <v>0.00236107</v>
      </c>
      <c r="D16" s="3">
        <v>0.00236107</v>
      </c>
      <c r="F16" s="3">
        <v>0.09840319</v>
      </c>
      <c r="G16" s="3">
        <v>0.09785859</v>
      </c>
      <c r="H16" s="3">
        <v>0.01178705</v>
      </c>
      <c r="I16" s="3">
        <v>0.00562385</v>
      </c>
      <c r="J16" s="5">
        <f t="shared" si="1"/>
        <v>0.00870545</v>
      </c>
      <c r="K16" s="3">
        <v>0.63765226</v>
      </c>
      <c r="L16" s="3">
        <v>0.64945274</v>
      </c>
      <c r="M16" s="3">
        <v>-0.0529355</v>
      </c>
      <c r="N16" s="3">
        <v>-0.0571778</v>
      </c>
    </row>
    <row r="17">
      <c r="A17" s="3">
        <v>0.15306894</v>
      </c>
      <c r="B17" s="3">
        <v>0.15481326</v>
      </c>
      <c r="C17" s="3">
        <v>0.00583362</v>
      </c>
      <c r="D17" s="3">
        <v>0.0054389</v>
      </c>
      <c r="F17" s="3">
        <v>0.08849271</v>
      </c>
      <c r="G17" s="3">
        <v>0.09672298</v>
      </c>
      <c r="H17" s="3">
        <v>0.00977505</v>
      </c>
      <c r="I17" s="3">
        <v>0.01273781</v>
      </c>
      <c r="J17" s="5">
        <f t="shared" si="1"/>
        <v>0.01125643</v>
      </c>
      <c r="K17" s="3">
        <v>0.68833555</v>
      </c>
      <c r="L17" s="3">
        <v>0.59136085</v>
      </c>
      <c r="M17" s="3">
        <v>-0.0571778</v>
      </c>
      <c r="N17" s="3">
        <v>-0.0571778</v>
      </c>
    </row>
    <row r="18">
      <c r="A18" s="3">
        <v>0.15426671</v>
      </c>
      <c r="B18" s="3">
        <v>0.13155843</v>
      </c>
      <c r="C18" s="3">
        <v>0.00236107</v>
      </c>
      <c r="D18" s="3">
        <v>0.00236107</v>
      </c>
      <c r="F18" s="3">
        <v>0.10405755</v>
      </c>
      <c r="G18" s="3">
        <v>0.11056002</v>
      </c>
      <c r="H18" s="3">
        <v>0.01604761</v>
      </c>
      <c r="I18" s="3">
        <v>0.01409968</v>
      </c>
      <c r="J18" s="5">
        <f t="shared" si="1"/>
        <v>0.015073645</v>
      </c>
      <c r="K18" s="3">
        <v>0.62898989</v>
      </c>
      <c r="L18" s="3">
        <v>0.53805041</v>
      </c>
      <c r="M18" s="3">
        <v>-0.0490363</v>
      </c>
      <c r="N18" s="3">
        <v>-0.0468677</v>
      </c>
    </row>
    <row r="19">
      <c r="A19" s="3">
        <v>0.17878332</v>
      </c>
      <c r="B19" s="3">
        <v>0.1497835</v>
      </c>
      <c r="C19" s="3">
        <v>0.01148185</v>
      </c>
      <c r="D19" s="3">
        <v>0.01116156</v>
      </c>
      <c r="F19" s="3">
        <v>0.16578245</v>
      </c>
      <c r="G19" s="3">
        <v>0.16393184</v>
      </c>
      <c r="H19" s="3">
        <v>0.03362093</v>
      </c>
      <c r="I19" s="3">
        <v>0.03389327</v>
      </c>
      <c r="J19" s="5">
        <f t="shared" si="1"/>
        <v>0.0337571</v>
      </c>
      <c r="K19" s="3">
        <v>0.64814163</v>
      </c>
      <c r="L19" s="3">
        <v>0.69446431</v>
      </c>
      <c r="M19" s="3">
        <v>-0.0408899</v>
      </c>
      <c r="N19" s="3">
        <v>-0.0363126</v>
      </c>
    </row>
    <row r="21">
      <c r="A21" s="1" t="s">
        <v>8</v>
      </c>
    </row>
    <row r="22">
      <c r="A22" s="1" t="s">
        <v>1</v>
      </c>
      <c r="B22" s="1" t="s">
        <v>2</v>
      </c>
      <c r="C22" s="1" t="s">
        <v>1</v>
      </c>
      <c r="D22" s="1" t="s">
        <v>3</v>
      </c>
      <c r="F22" s="1" t="s">
        <v>9</v>
      </c>
      <c r="G22" s="1" t="s">
        <v>10</v>
      </c>
      <c r="H22" s="1" t="s">
        <v>9</v>
      </c>
      <c r="I22" s="1" t="s">
        <v>3</v>
      </c>
    </row>
    <row r="23">
      <c r="A23" s="1" t="s">
        <v>4</v>
      </c>
      <c r="B23" s="1" t="s">
        <v>10</v>
      </c>
      <c r="C23" s="1" t="s">
        <v>4</v>
      </c>
      <c r="D23" s="1" t="s">
        <v>10</v>
      </c>
      <c r="F23" s="6" t="s">
        <v>11</v>
      </c>
      <c r="G23" s="6" t="s">
        <v>2</v>
      </c>
      <c r="H23" s="6" t="s">
        <v>11</v>
      </c>
      <c r="I23" s="6" t="s">
        <v>2</v>
      </c>
    </row>
    <row r="25">
      <c r="A25" s="3">
        <v>505581.54</v>
      </c>
      <c r="B25" s="3">
        <v>517672.0</v>
      </c>
      <c r="C25" s="3">
        <v>5675.92</v>
      </c>
      <c r="D25" s="3">
        <v>34793.47</v>
      </c>
      <c r="F25" s="3">
        <v>2321052.33</v>
      </c>
      <c r="G25" s="3">
        <v>2531047.97</v>
      </c>
      <c r="H25" s="7">
        <v>0.0</v>
      </c>
      <c r="I25" s="7">
        <v>0.0</v>
      </c>
    </row>
    <row r="26">
      <c r="A26" s="3">
        <v>406051.67</v>
      </c>
      <c r="B26" s="3">
        <v>407396.64</v>
      </c>
      <c r="C26" s="3">
        <v>18198.16</v>
      </c>
      <c r="D26" s="3">
        <v>18062.61</v>
      </c>
      <c r="F26" s="3">
        <v>1716453.09</v>
      </c>
      <c r="G26" s="3">
        <v>1740530.86</v>
      </c>
      <c r="H26" s="7">
        <v>0.0</v>
      </c>
      <c r="I26" s="7">
        <v>0.0</v>
      </c>
    </row>
    <row r="27">
      <c r="A27" s="3">
        <v>404677.43</v>
      </c>
      <c r="B27" s="3">
        <v>437222.48</v>
      </c>
      <c r="C27" s="3">
        <v>10541.61</v>
      </c>
      <c r="D27" s="3">
        <v>0.0</v>
      </c>
      <c r="F27" s="3">
        <v>942809.74</v>
      </c>
      <c r="G27" s="3">
        <v>856501.46</v>
      </c>
      <c r="H27" s="7">
        <v>0.0</v>
      </c>
      <c r="I27" s="7">
        <v>0.0</v>
      </c>
    </row>
    <row r="28">
      <c r="A28" s="3">
        <v>355992.91</v>
      </c>
      <c r="B28" s="3">
        <v>360581.44</v>
      </c>
      <c r="C28" s="4"/>
      <c r="D28" s="4"/>
      <c r="F28" s="3">
        <v>1018497.21</v>
      </c>
      <c r="G28" s="3">
        <v>1509849.17</v>
      </c>
      <c r="H28" s="7">
        <v>0.0</v>
      </c>
      <c r="I28" s="7">
        <v>0.0</v>
      </c>
    </row>
    <row r="29">
      <c r="A29" s="3">
        <v>409526.46</v>
      </c>
      <c r="B29" s="3">
        <v>419753.81</v>
      </c>
      <c r="C29" s="3">
        <v>20230.53</v>
      </c>
      <c r="D29" s="3">
        <v>25619.22</v>
      </c>
      <c r="F29" s="3">
        <v>1726697.02</v>
      </c>
      <c r="G29" s="3">
        <v>1753708.89</v>
      </c>
      <c r="H29" s="7">
        <v>0.0</v>
      </c>
      <c r="I29" s="7">
        <v>0.0</v>
      </c>
    </row>
    <row r="30">
      <c r="A30" s="3">
        <v>686415.67</v>
      </c>
      <c r="B30" s="3">
        <v>671920.17</v>
      </c>
      <c r="C30" s="3">
        <v>40473.24</v>
      </c>
      <c r="D30" s="3">
        <v>51847.28</v>
      </c>
      <c r="F30" s="3">
        <v>2598192.55</v>
      </c>
      <c r="G30" s="3">
        <v>2384691.01</v>
      </c>
      <c r="H30" s="7">
        <v>0.0</v>
      </c>
      <c r="I30" s="7">
        <v>0.0</v>
      </c>
    </row>
    <row r="33">
      <c r="A33" s="5">
        <f t="shared" ref="A33:D33" si="2">(A25+18732)/673731</f>
        <v>0.7782238609</v>
      </c>
      <c r="B33" s="5">
        <f t="shared" si="2"/>
        <v>0.796169391</v>
      </c>
      <c r="C33" s="5">
        <f t="shared" si="2"/>
        <v>0.0362279901</v>
      </c>
      <c r="D33" s="5">
        <f t="shared" si="2"/>
        <v>0.07944635173</v>
      </c>
      <c r="F33" s="5">
        <f t="shared" ref="F33:I33" si="3">(F25-180994)/3116110</f>
        <v>0.6867723957</v>
      </c>
      <c r="G33" s="5">
        <f t="shared" si="3"/>
        <v>0.7541627125</v>
      </c>
      <c r="H33" s="8">
        <f t="shared" si="3"/>
        <v>-0.05808331542</v>
      </c>
      <c r="I33" s="8">
        <f t="shared" si="3"/>
        <v>-0.05808331542</v>
      </c>
    </row>
    <row r="34">
      <c r="A34" s="5">
        <f t="shared" ref="A34:D34" si="4">(A26+18732)/673731</f>
        <v>0.6304944703</v>
      </c>
      <c r="B34" s="5">
        <f t="shared" si="4"/>
        <v>0.6324907715</v>
      </c>
      <c r="C34" s="5">
        <f t="shared" si="4"/>
        <v>0.05481439922</v>
      </c>
      <c r="D34" s="5">
        <f t="shared" si="4"/>
        <v>0.05461320616</v>
      </c>
      <c r="F34" s="5">
        <f t="shared" ref="F34:I34" si="5">(F26-180994)/3116110</f>
        <v>0.4927486802</v>
      </c>
      <c r="G34" s="5">
        <f t="shared" si="5"/>
        <v>0.500475548</v>
      </c>
      <c r="H34" s="8">
        <f t="shared" si="5"/>
        <v>-0.05808331542</v>
      </c>
      <c r="I34" s="8">
        <f t="shared" si="5"/>
        <v>-0.05808331542</v>
      </c>
    </row>
    <row r="35">
      <c r="A35" s="5">
        <f t="shared" ref="A35:D35" si="6">(A27+18732)/673731</f>
        <v>0.6284547245</v>
      </c>
      <c r="B35" s="5">
        <f t="shared" si="6"/>
        <v>0.6767604281</v>
      </c>
      <c r="C35" s="5">
        <f t="shared" si="6"/>
        <v>0.04344999711</v>
      </c>
      <c r="D35" s="5">
        <f t="shared" si="6"/>
        <v>0.02780338147</v>
      </c>
      <c r="F35" s="5">
        <f t="shared" ref="F35:I35" si="7">(F27-180994)/3116110</f>
        <v>0.2444765236</v>
      </c>
      <c r="G35" s="5">
        <f t="shared" si="7"/>
        <v>0.2167790803</v>
      </c>
      <c r="H35" s="8">
        <f t="shared" si="7"/>
        <v>-0.05808331542</v>
      </c>
      <c r="I35" s="8">
        <f t="shared" si="7"/>
        <v>-0.05808331542</v>
      </c>
    </row>
    <row r="36">
      <c r="A36" s="5">
        <f t="shared" ref="A36:D36" si="8">(A28+18732)/673731</f>
        <v>0.5561936589</v>
      </c>
      <c r="B36" s="5">
        <f t="shared" si="8"/>
        <v>0.5630042851</v>
      </c>
      <c r="C36" s="5">
        <f t="shared" si="8"/>
        <v>0.02780338147</v>
      </c>
      <c r="D36" s="5">
        <f t="shared" si="8"/>
        <v>0.02780338147</v>
      </c>
      <c r="F36" s="5">
        <f t="shared" ref="F36:I36" si="9">(F28-180994)/3116110</f>
        <v>0.2687656116</v>
      </c>
      <c r="G36" s="5">
        <f t="shared" si="9"/>
        <v>0.4264468103</v>
      </c>
      <c r="H36" s="8">
        <f t="shared" si="9"/>
        <v>-0.05808331542</v>
      </c>
      <c r="I36" s="8">
        <f t="shared" si="9"/>
        <v>-0.05808331542</v>
      </c>
    </row>
    <row r="37">
      <c r="A37" s="5">
        <f t="shared" ref="A37:D37" si="10">(A29+18732)/673731</f>
        <v>0.6356520035</v>
      </c>
      <c r="B37" s="5">
        <f t="shared" si="10"/>
        <v>0.6508321719</v>
      </c>
      <c r="C37" s="5">
        <f t="shared" si="10"/>
        <v>0.05783098893</v>
      </c>
      <c r="D37" s="5">
        <f t="shared" si="10"/>
        <v>0.06582927014</v>
      </c>
      <c r="F37" s="5">
        <f t="shared" ref="F37:I37" si="11">(F29-180994)/3116110</f>
        <v>0.4960360899</v>
      </c>
      <c r="G37" s="5">
        <f t="shared" si="11"/>
        <v>0.5047045483</v>
      </c>
      <c r="H37" s="8">
        <f t="shared" si="11"/>
        <v>-0.05808331542</v>
      </c>
      <c r="I37" s="8">
        <f t="shared" si="11"/>
        <v>-0.05808331542</v>
      </c>
    </row>
    <row r="38">
      <c r="A38" s="5">
        <f t="shared" ref="A38:D38" si="12">(A30+18732)/673731</f>
        <v>1.046630881</v>
      </c>
      <c r="B38" s="5">
        <f t="shared" si="12"/>
        <v>1.025115617</v>
      </c>
      <c r="C38" s="5">
        <f t="shared" si="12"/>
        <v>0.08787667482</v>
      </c>
      <c r="D38" s="5">
        <f t="shared" si="12"/>
        <v>0.1047588429</v>
      </c>
      <c r="F38" s="5">
        <f t="shared" ref="F38:I38" si="13">(F30-180994)/3116110</f>
        <v>0.7757102766</v>
      </c>
      <c r="G38" s="5">
        <f t="shared" si="13"/>
        <v>0.7071948712</v>
      </c>
      <c r="H38" s="8">
        <f t="shared" si="13"/>
        <v>-0.05808331542</v>
      </c>
      <c r="I38" s="8">
        <f t="shared" si="13"/>
        <v>-0.05808331542</v>
      </c>
    </row>
    <row r="41">
      <c r="A41" s="1" t="s">
        <v>9</v>
      </c>
      <c r="B41" s="1" t="s">
        <v>12</v>
      </c>
      <c r="C41" s="1" t="s">
        <v>9</v>
      </c>
      <c r="D41" s="1" t="s">
        <v>3</v>
      </c>
      <c r="F41" s="1" t="s">
        <v>9</v>
      </c>
      <c r="G41" s="1" t="s">
        <v>13</v>
      </c>
      <c r="H41" s="1" t="s">
        <v>9</v>
      </c>
      <c r="I41" s="1" t="s">
        <v>3</v>
      </c>
    </row>
    <row r="42">
      <c r="A42" s="6" t="s">
        <v>11</v>
      </c>
      <c r="B42" s="6" t="s">
        <v>13</v>
      </c>
      <c r="C42" s="6" t="s">
        <v>11</v>
      </c>
      <c r="D42" s="6" t="s">
        <v>13</v>
      </c>
      <c r="F42" s="1" t="s">
        <v>11</v>
      </c>
      <c r="G42" s="1" t="s">
        <v>12</v>
      </c>
      <c r="H42" s="6" t="s">
        <v>11</v>
      </c>
      <c r="I42" s="6" t="s">
        <v>12</v>
      </c>
    </row>
    <row r="43">
      <c r="A43" s="3">
        <v>101676.5</v>
      </c>
      <c r="B43" s="3">
        <v>107916.59</v>
      </c>
      <c r="C43" s="3">
        <v>0.0</v>
      </c>
      <c r="D43" s="3">
        <v>0.0</v>
      </c>
      <c r="F43" s="3">
        <v>557622.65</v>
      </c>
      <c r="G43" s="3">
        <v>647288.91</v>
      </c>
      <c r="H43" s="3">
        <v>0.0</v>
      </c>
      <c r="I43" s="3">
        <v>0.0</v>
      </c>
    </row>
    <row r="44">
      <c r="A44" s="9"/>
      <c r="B44" s="3">
        <v>97150.39</v>
      </c>
      <c r="C44" s="3">
        <v>0.0</v>
      </c>
      <c r="D44" s="3">
        <v>0.0</v>
      </c>
      <c r="F44" s="3">
        <v>108290.04</v>
      </c>
      <c r="G44" s="3">
        <v>578301.59</v>
      </c>
      <c r="H44" s="3">
        <v>0.0</v>
      </c>
      <c r="I44" s="3">
        <v>0.0</v>
      </c>
    </row>
    <row r="45">
      <c r="A45" s="3">
        <v>88283.71</v>
      </c>
      <c r="B45" s="3">
        <v>93341.72</v>
      </c>
      <c r="C45" s="3">
        <v>0.0</v>
      </c>
      <c r="D45" s="3">
        <v>0.0</v>
      </c>
      <c r="F45" s="3">
        <v>253924.88</v>
      </c>
      <c r="G45" s="3">
        <v>465366.98</v>
      </c>
      <c r="H45" s="3">
        <v>0.0</v>
      </c>
      <c r="I45" s="3">
        <v>0.0</v>
      </c>
    </row>
    <row r="46">
      <c r="A46" s="3">
        <v>86212.23</v>
      </c>
      <c r="B46" s="3">
        <v>87268.58</v>
      </c>
      <c r="C46" s="3">
        <v>0.0</v>
      </c>
      <c r="D46" s="3">
        <v>0.0</v>
      </c>
      <c r="F46" s="3">
        <v>269558.5</v>
      </c>
      <c r="G46" s="3">
        <v>434607.51</v>
      </c>
      <c r="H46" s="3">
        <v>0.0</v>
      </c>
      <c r="I46" s="3">
        <v>0.0</v>
      </c>
    </row>
    <row r="47">
      <c r="A47" s="3">
        <v>92384.83</v>
      </c>
      <c r="B47" s="3">
        <v>89869.54</v>
      </c>
      <c r="C47" s="3">
        <v>0.0</v>
      </c>
      <c r="D47" s="3">
        <v>0.0</v>
      </c>
      <c r="F47" s="3">
        <v>232031.38</v>
      </c>
      <c r="G47" s="3">
        <v>395463.81</v>
      </c>
      <c r="H47" s="3">
        <v>0.0</v>
      </c>
      <c r="I47" s="3">
        <v>0.0</v>
      </c>
    </row>
    <row r="48">
      <c r="A48" s="3">
        <v>0.0</v>
      </c>
      <c r="B48" s="3">
        <v>0.0</v>
      </c>
      <c r="C48" s="3">
        <v>0.0</v>
      </c>
      <c r="D48" s="3">
        <v>0.0</v>
      </c>
      <c r="F48" s="3">
        <v>472811.86</v>
      </c>
      <c r="G48" s="3">
        <v>489315.48</v>
      </c>
      <c r="H48" s="3">
        <v>0.0</v>
      </c>
      <c r="I48" s="3">
        <v>0.0</v>
      </c>
    </row>
    <row r="50">
      <c r="A50" s="5">
        <f t="shared" ref="A50:D50" si="14">((A43-44972)/1943043)*1000</f>
        <v>29.18334798</v>
      </c>
      <c r="B50" s="5">
        <f t="shared" si="14"/>
        <v>32.39485179</v>
      </c>
      <c r="C50" s="5">
        <f t="shared" si="14"/>
        <v>-23.14513884</v>
      </c>
      <c r="D50" s="5">
        <f t="shared" si="14"/>
        <v>-23.14513884</v>
      </c>
      <c r="F50" s="5">
        <f t="shared" ref="F50:I50" si="15">((F43-1257)/1005581)*1000</f>
        <v>553.2778066</v>
      </c>
      <c r="G50" s="5">
        <f t="shared" si="15"/>
        <v>642.4464165</v>
      </c>
      <c r="H50" s="5">
        <f t="shared" si="15"/>
        <v>-1.250023618</v>
      </c>
      <c r="I50" s="5">
        <f t="shared" si="15"/>
        <v>-1.250023618</v>
      </c>
    </row>
    <row r="51">
      <c r="B51" s="5">
        <f t="shared" ref="B51:D51" si="16">((B44-44972)/1943043)*1000</f>
        <v>26.85395537</v>
      </c>
      <c r="C51" s="5">
        <f t="shared" si="16"/>
        <v>-23.14513884</v>
      </c>
      <c r="D51" s="5">
        <f t="shared" si="16"/>
        <v>-23.14513884</v>
      </c>
      <c r="F51" s="5">
        <f t="shared" ref="F51:I51" si="17">((F44-1257)/1005581)*1000</f>
        <v>106.4390039</v>
      </c>
      <c r="G51" s="5">
        <f t="shared" si="17"/>
        <v>573.8419779</v>
      </c>
      <c r="H51" s="5">
        <f t="shared" si="17"/>
        <v>-1.250023618</v>
      </c>
      <c r="I51" s="5">
        <f t="shared" si="17"/>
        <v>-1.250023618</v>
      </c>
    </row>
    <row r="52">
      <c r="A52" s="5">
        <f t="shared" ref="A52:D52" si="18">((A45-44972)/1943043)*1000</f>
        <v>22.29065955</v>
      </c>
      <c r="B52" s="5">
        <f t="shared" si="18"/>
        <v>24.89379803</v>
      </c>
      <c r="C52" s="5">
        <f t="shared" si="18"/>
        <v>-23.14513884</v>
      </c>
      <c r="D52" s="5">
        <f t="shared" si="18"/>
        <v>-23.14513884</v>
      </c>
      <c r="F52" s="5">
        <f t="shared" ref="F52:I52" si="19">((F45-1257)/1005581)*1000</f>
        <v>251.2655669</v>
      </c>
      <c r="G52" s="5">
        <f t="shared" si="19"/>
        <v>461.5341579</v>
      </c>
      <c r="H52" s="5">
        <f t="shared" si="19"/>
        <v>-1.250023618</v>
      </c>
      <c r="I52" s="5">
        <f t="shared" si="19"/>
        <v>-1.250023618</v>
      </c>
    </row>
    <row r="53">
      <c r="A53" s="5">
        <f t="shared" ref="A53:D53" si="20">((A46-44972)/1943043)*1000</f>
        <v>21.22455859</v>
      </c>
      <c r="B53" s="5">
        <f t="shared" si="20"/>
        <v>21.76821614</v>
      </c>
      <c r="C53" s="5">
        <f t="shared" si="20"/>
        <v>-23.14513884</v>
      </c>
      <c r="D53" s="5">
        <f t="shared" si="20"/>
        <v>-23.14513884</v>
      </c>
      <c r="F53" s="5">
        <f t="shared" ref="F53:I53" si="21">((F46-1257)/1005581)*1000</f>
        <v>266.8124199</v>
      </c>
      <c r="G53" s="5">
        <f t="shared" si="21"/>
        <v>430.9454037</v>
      </c>
      <c r="H53" s="5">
        <f t="shared" si="21"/>
        <v>-1.250023618</v>
      </c>
      <c r="I53" s="5">
        <f t="shared" si="21"/>
        <v>-1.250023618</v>
      </c>
    </row>
    <row r="54">
      <c r="A54" s="5">
        <f t="shared" ref="A54:D54" si="22">((A47-44972)/1943043)*1000</f>
        <v>24.40132823</v>
      </c>
      <c r="B54" s="5">
        <f t="shared" si="22"/>
        <v>23.1068175</v>
      </c>
      <c r="C54" s="5">
        <f t="shared" si="22"/>
        <v>-23.14513884</v>
      </c>
      <c r="D54" s="5">
        <f t="shared" si="22"/>
        <v>-23.14513884</v>
      </c>
      <c r="F54" s="5">
        <f t="shared" ref="F54:I54" si="23">((F47-1257)/1005581)*1000</f>
        <v>229.4935764</v>
      </c>
      <c r="G54" s="5">
        <f t="shared" si="23"/>
        <v>392.0189522</v>
      </c>
      <c r="H54" s="5">
        <f t="shared" si="23"/>
        <v>-1.250023618</v>
      </c>
      <c r="I54" s="5">
        <f t="shared" si="23"/>
        <v>-1.250023618</v>
      </c>
    </row>
    <row r="55">
      <c r="A55" s="5">
        <f t="shared" ref="A55:D55" si="24">((A48-44972)/1943043)*1000</f>
        <v>-23.14513884</v>
      </c>
      <c r="B55" s="5">
        <f t="shared" si="24"/>
        <v>-23.14513884</v>
      </c>
      <c r="C55" s="5">
        <f t="shared" si="24"/>
        <v>-23.14513884</v>
      </c>
      <c r="D55" s="5">
        <f t="shared" si="24"/>
        <v>-23.14513884</v>
      </c>
      <c r="F55" s="5">
        <f t="shared" ref="F55:I55" si="25">((F48-1257)/1005581)*1000</f>
        <v>468.9377186</v>
      </c>
      <c r="G55" s="5">
        <f t="shared" si="25"/>
        <v>485.3497431</v>
      </c>
      <c r="H55" s="5">
        <f t="shared" si="25"/>
        <v>-1.250023618</v>
      </c>
      <c r="I55" s="5">
        <f t="shared" si="25"/>
        <v>-1.250023618</v>
      </c>
    </row>
    <row r="57">
      <c r="A57" s="1" t="s">
        <v>1</v>
      </c>
      <c r="B57" s="1" t="s">
        <v>2</v>
      </c>
      <c r="D57" s="1" t="s">
        <v>1</v>
      </c>
      <c r="E57" s="1" t="s">
        <v>3</v>
      </c>
    </row>
    <row r="58">
      <c r="A58" s="1" t="s">
        <v>4</v>
      </c>
      <c r="B58" s="1" t="s">
        <v>2</v>
      </c>
      <c r="D58" s="1" t="s">
        <v>4</v>
      </c>
      <c r="E58" s="1" t="s">
        <v>2</v>
      </c>
    </row>
    <row r="60">
      <c r="A60" s="3">
        <v>217242.78</v>
      </c>
      <c r="B60" s="3">
        <v>225313.11</v>
      </c>
      <c r="D60" s="7">
        <v>0.0</v>
      </c>
      <c r="E60" s="7">
        <v>0.0</v>
      </c>
      <c r="G60" s="5">
        <f t="shared" ref="G60:H60" si="26">((A60-180994)/3116110)*1000</f>
        <v>11.63270231</v>
      </c>
      <c r="H60" s="5">
        <f t="shared" si="26"/>
        <v>14.22257558</v>
      </c>
    </row>
    <row r="61">
      <c r="A61" s="3">
        <v>153040.89</v>
      </c>
      <c r="B61" s="3">
        <v>141337.17</v>
      </c>
      <c r="D61" s="3">
        <v>0.0</v>
      </c>
      <c r="E61" s="3">
        <v>0.0</v>
      </c>
      <c r="G61" s="5">
        <f t="shared" ref="G61:H61" si="27">((A61-180994)/3116110)*1000</f>
        <v>-8.97051452</v>
      </c>
      <c r="H61" s="5">
        <f t="shared" si="27"/>
        <v>-12.72638963</v>
      </c>
    </row>
    <row r="62">
      <c r="A62" s="3">
        <v>115498.11</v>
      </c>
      <c r="B62" s="3">
        <v>116236.1</v>
      </c>
      <c r="D62" s="3">
        <v>0.0</v>
      </c>
      <c r="E62" s="3">
        <v>0.0</v>
      </c>
      <c r="G62" s="5">
        <f t="shared" ref="G62:H62" si="28">((A62-180994)/3116110)*1000</f>
        <v>-21.01847817</v>
      </c>
      <c r="H62" s="5">
        <f t="shared" si="28"/>
        <v>-20.78164763</v>
      </c>
    </row>
    <row r="63">
      <c r="A63" s="3">
        <v>93093.8</v>
      </c>
      <c r="B63" s="3">
        <v>105338.04</v>
      </c>
      <c r="D63" s="3">
        <v>0.0</v>
      </c>
      <c r="E63" s="3">
        <v>0.0</v>
      </c>
      <c r="G63" s="5">
        <f t="shared" ref="G63:H63" si="29">((A63-180994)/3116110)*1000</f>
        <v>-28.208311</v>
      </c>
      <c r="H63" s="5">
        <f t="shared" si="29"/>
        <v>-24.27897603</v>
      </c>
    </row>
    <row r="64">
      <c r="A64" s="3">
        <v>135178.52</v>
      </c>
      <c r="B64" s="3">
        <v>148710.67</v>
      </c>
      <c r="D64" s="3">
        <v>0.0</v>
      </c>
      <c r="E64" s="3">
        <v>0.0</v>
      </c>
      <c r="G64" s="5">
        <f t="shared" ref="G64:H64" si="30">((A64-180994)/3116110)*1000</f>
        <v>-14.70278007</v>
      </c>
      <c r="H64" s="5">
        <f t="shared" si="30"/>
        <v>-10.36013812</v>
      </c>
    </row>
    <row r="65">
      <c r="A65" s="3">
        <v>287463.54</v>
      </c>
      <c r="B65" s="3">
        <v>266829.14</v>
      </c>
      <c r="D65" s="3">
        <v>0.0</v>
      </c>
      <c r="E65" s="3">
        <v>0.0</v>
      </c>
      <c r="G65" s="5">
        <f t="shared" ref="G65:H65" si="31">((A65-180994)/3116110)*1000</f>
        <v>34.16745237</v>
      </c>
      <c r="H65" s="5">
        <f t="shared" si="31"/>
        <v>27.54560654</v>
      </c>
    </row>
    <row r="66">
      <c r="A66" s="5">
        <f t="shared" ref="A66:B66" si="32">(A60-180994)/3116110</f>
        <v>0.01163270231</v>
      </c>
      <c r="B66" s="5">
        <f t="shared" si="32"/>
        <v>0.01422257558</v>
      </c>
    </row>
    <row r="67">
      <c r="A67" s="5">
        <f t="shared" ref="A67:B67" si="33">(A61-180994)/3116110</f>
        <v>-0.00897051452</v>
      </c>
      <c r="B67" s="5">
        <f t="shared" si="33"/>
        <v>-0.01272638963</v>
      </c>
    </row>
    <row r="68">
      <c r="A68" s="5">
        <f t="shared" ref="A68:B68" si="34">(A62-180994)/3116110</f>
        <v>-0.02101847817</v>
      </c>
      <c r="B68" s="5">
        <f t="shared" si="34"/>
        <v>-0.02078164763</v>
      </c>
    </row>
    <row r="69">
      <c r="A69" s="5">
        <f t="shared" ref="A69:B69" si="35">(A63-180994)/3116110</f>
        <v>-0.028208311</v>
      </c>
      <c r="B69" s="5">
        <f t="shared" si="35"/>
        <v>-0.02427897603</v>
      </c>
    </row>
    <row r="70">
      <c r="A70" s="5">
        <f t="shared" ref="A70:B70" si="36">(A64-180994)/3116110</f>
        <v>-0.01470278007</v>
      </c>
      <c r="B70" s="5">
        <f t="shared" si="36"/>
        <v>-0.01036013812</v>
      </c>
    </row>
    <row r="71">
      <c r="A71" s="5">
        <f t="shared" ref="A71:B71" si="37">(A65-180994)/3116110</f>
        <v>0.03416745237</v>
      </c>
      <c r="B71" s="5">
        <f t="shared" si="37"/>
        <v>0.02754560654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123</v>
      </c>
      <c r="B1" s="23" t="s">
        <v>124</v>
      </c>
      <c r="C1" s="23">
        <v>220902.0</v>
      </c>
      <c r="D1" s="24"/>
      <c r="E1" s="24"/>
      <c r="F1" s="24"/>
    </row>
    <row r="2">
      <c r="E2" s="7" t="s">
        <v>125</v>
      </c>
      <c r="H2" s="7" t="s">
        <v>6</v>
      </c>
    </row>
    <row r="3">
      <c r="E3" s="15" t="s">
        <v>126</v>
      </c>
      <c r="F3" s="15" t="s">
        <v>127</v>
      </c>
      <c r="H3" s="15" t="s">
        <v>126</v>
      </c>
      <c r="I3" s="15" t="s">
        <v>127</v>
      </c>
    </row>
    <row r="4">
      <c r="E4" s="3">
        <v>101394.0</v>
      </c>
      <c r="F4" s="3">
        <v>128266.5</v>
      </c>
      <c r="H4" s="3">
        <v>46121.71</v>
      </c>
      <c r="I4" s="3">
        <v>28260.06</v>
      </c>
    </row>
    <row r="5">
      <c r="E5" s="3">
        <v>287816.6</v>
      </c>
      <c r="F5" s="3">
        <v>84960.91</v>
      </c>
      <c r="H5" s="3">
        <v>49053.78</v>
      </c>
      <c r="I5" s="3">
        <v>63189.12</v>
      </c>
    </row>
    <row r="6">
      <c r="E6" s="3">
        <v>407463.9</v>
      </c>
      <c r="F6" s="3">
        <v>54113.08</v>
      </c>
      <c r="H6" s="3">
        <v>195774.8</v>
      </c>
      <c r="I6" s="3">
        <v>80678.7</v>
      </c>
    </row>
    <row r="7">
      <c r="E7" s="3">
        <v>5639495.0</v>
      </c>
      <c r="F7" s="3">
        <v>48136.25</v>
      </c>
      <c r="H7" s="3">
        <v>499949.7</v>
      </c>
      <c r="I7" s="3">
        <v>37667.04</v>
      </c>
    </row>
    <row r="8">
      <c r="F8" s="3"/>
    </row>
    <row r="9">
      <c r="E9" s="3">
        <v>0.02726084</v>
      </c>
      <c r="F9" s="3">
        <v>0.02766022</v>
      </c>
      <c r="H9" s="3">
        <v>-0.0855843</v>
      </c>
      <c r="I9" s="3">
        <v>-0.1573577</v>
      </c>
    </row>
    <row r="10">
      <c r="E10" s="3">
        <v>0.03003149</v>
      </c>
      <c r="F10" s="3">
        <v>0.02701661</v>
      </c>
      <c r="H10" s="3">
        <v>-0.0738024</v>
      </c>
      <c r="I10" s="3">
        <v>-0.0170025</v>
      </c>
    </row>
    <row r="11">
      <c r="E11" s="3">
        <v>0.03180971</v>
      </c>
      <c r="F11" s="3">
        <v>0.02655814</v>
      </c>
      <c r="H11" s="3">
        <v>0.51576536</v>
      </c>
      <c r="I11" s="3">
        <v>0.05327571</v>
      </c>
    </row>
    <row r="12">
      <c r="E12" s="3">
        <v>0.10956914</v>
      </c>
      <c r="F12" s="3">
        <v>0.02646931</v>
      </c>
      <c r="H12" s="3">
        <v>1.73802871</v>
      </c>
      <c r="I12" s="3">
        <v>-0.1195577</v>
      </c>
    </row>
    <row r="14">
      <c r="A14" s="19"/>
      <c r="B14" s="21"/>
      <c r="C14" s="21"/>
      <c r="D14" s="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128</v>
      </c>
      <c r="B1" s="23" t="s">
        <v>25</v>
      </c>
      <c r="C1" s="23">
        <v>220715.0</v>
      </c>
      <c r="D1" s="24"/>
      <c r="E1" s="24"/>
      <c r="F1" s="24"/>
      <c r="G1" s="24"/>
      <c r="H1" s="24"/>
      <c r="I1" s="13"/>
    </row>
    <row r="2">
      <c r="A2" s="48"/>
      <c r="I2" s="25"/>
    </row>
    <row r="3">
      <c r="A3" s="48"/>
      <c r="B3" s="27">
        <v>10.0</v>
      </c>
      <c r="C3" s="3">
        <v>332310.2</v>
      </c>
      <c r="D3" s="3">
        <v>214744.0</v>
      </c>
      <c r="E3" s="3">
        <v>169190.3</v>
      </c>
      <c r="F3" s="4"/>
      <c r="G3" s="4">
        <f t="shared" ref="G3:I3" si="1">((C3-18589)/4228479)*1000</f>
        <v>74.19244603</v>
      </c>
      <c r="H3" s="4">
        <f t="shared" si="1"/>
        <v>46.38902073</v>
      </c>
      <c r="I3" s="4">
        <f t="shared" si="1"/>
        <v>35.61595079</v>
      </c>
    </row>
    <row r="4">
      <c r="A4" s="48"/>
      <c r="B4" s="27">
        <v>1.0</v>
      </c>
      <c r="C4" s="3">
        <v>5170.91</v>
      </c>
      <c r="D4" s="3">
        <v>3509.71</v>
      </c>
      <c r="E4" s="3">
        <v>2904.88</v>
      </c>
      <c r="G4" s="4">
        <f t="shared" ref="G4:I4" si="2">((C4-18589)/4228479)*1000</f>
        <v>-3.173266321</v>
      </c>
      <c r="H4" s="4">
        <f t="shared" si="2"/>
        <v>-3.56612626</v>
      </c>
      <c r="I4" s="4">
        <f t="shared" si="2"/>
        <v>-3.709163508</v>
      </c>
    </row>
    <row r="5">
      <c r="A5" s="48"/>
      <c r="B5" s="27">
        <v>0.1</v>
      </c>
      <c r="C5" s="3">
        <v>1313.81</v>
      </c>
      <c r="D5" s="3">
        <v>2752.02</v>
      </c>
      <c r="E5" s="3">
        <v>246.74</v>
      </c>
      <c r="F5" s="4"/>
      <c r="G5" s="4">
        <f t="shared" ref="G5:I5" si="3">((C5-18589)/4228479)*1000</f>
        <v>-4.085438286</v>
      </c>
      <c r="H5" s="4">
        <f t="shared" si="3"/>
        <v>-3.745313622</v>
      </c>
      <c r="I5" s="4">
        <f t="shared" si="3"/>
        <v>-4.337791438</v>
      </c>
    </row>
    <row r="6">
      <c r="A6" s="46"/>
      <c r="B6" s="52">
        <v>0.0</v>
      </c>
      <c r="C6" s="20">
        <v>0.0</v>
      </c>
      <c r="D6" s="20">
        <v>0.0</v>
      </c>
      <c r="E6" s="20">
        <v>0.0</v>
      </c>
      <c r="F6" s="53"/>
      <c r="G6" s="4">
        <f t="shared" ref="G6:I6" si="4">((C6-18589)/4228479)*1000</f>
        <v>-4.396143389</v>
      </c>
      <c r="H6" s="4">
        <f t="shared" si="4"/>
        <v>-4.396143389</v>
      </c>
      <c r="I6" s="4">
        <f t="shared" si="4"/>
        <v>-4.396143389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129</v>
      </c>
      <c r="B1" s="3"/>
      <c r="C1" s="3"/>
      <c r="D1" s="3"/>
    </row>
    <row r="2">
      <c r="A2" s="42" t="s">
        <v>130</v>
      </c>
      <c r="B2" s="3">
        <v>0.48670167</v>
      </c>
      <c r="C2" s="3">
        <v>0.70018826</v>
      </c>
      <c r="D2" s="3">
        <v>0.515928</v>
      </c>
    </row>
    <row r="3">
      <c r="A3" s="27" t="s">
        <v>131</v>
      </c>
      <c r="B3" s="3">
        <v>0.27366735</v>
      </c>
      <c r="C3" s="3">
        <v>0.32680611</v>
      </c>
      <c r="D3" s="3">
        <v>0.15536224</v>
      </c>
    </row>
    <row r="4">
      <c r="A4" s="42" t="s">
        <v>132</v>
      </c>
      <c r="B4" s="3">
        <v>2.26823537</v>
      </c>
      <c r="C4" s="3">
        <v>2.05821525</v>
      </c>
      <c r="D4" s="3">
        <v>2.23428959</v>
      </c>
    </row>
    <row r="5">
      <c r="A5" s="27" t="s">
        <v>133</v>
      </c>
      <c r="B5" s="3">
        <v>0.83355434</v>
      </c>
      <c r="C5" s="3">
        <v>0.7398491</v>
      </c>
      <c r="D5" s="3">
        <v>0.54233045</v>
      </c>
    </row>
    <row r="6">
      <c r="A6" s="7"/>
    </row>
    <row r="7">
      <c r="A7" s="7" t="s">
        <v>134</v>
      </c>
    </row>
    <row r="8">
      <c r="A8" s="15" t="s">
        <v>135</v>
      </c>
      <c r="C8" s="15" t="s">
        <v>136</v>
      </c>
      <c r="E8" s="15" t="s">
        <v>137</v>
      </c>
    </row>
    <row r="9">
      <c r="A9" s="3">
        <v>102.0923331</v>
      </c>
      <c r="B9" s="3">
        <v>113.360327</v>
      </c>
      <c r="C9" s="3">
        <v>223.5033937</v>
      </c>
      <c r="D9" s="3">
        <v>196.87297</v>
      </c>
      <c r="E9" s="3">
        <v>33.5579103</v>
      </c>
      <c r="F9" s="3">
        <v>36.0397547</v>
      </c>
      <c r="G9" s="28"/>
    </row>
    <row r="10">
      <c r="G10" s="9"/>
      <c r="H10" s="9"/>
    </row>
    <row r="12">
      <c r="A12" s="27"/>
      <c r="B12" s="3"/>
      <c r="C12" s="3"/>
      <c r="D12" s="3"/>
      <c r="E12" s="54"/>
      <c r="F12" s="54"/>
      <c r="G12" s="4"/>
      <c r="H12" s="4"/>
      <c r="I12" s="4"/>
      <c r="J12" s="4"/>
      <c r="K12" s="4"/>
      <c r="L12" s="4"/>
      <c r="M12" s="4"/>
    </row>
    <row r="13">
      <c r="E13" s="54"/>
      <c r="F13" s="54"/>
      <c r="G13" s="4"/>
      <c r="H13" s="4"/>
      <c r="I13" s="4"/>
      <c r="J13" s="4"/>
      <c r="K13" s="4"/>
      <c r="L13" s="4"/>
      <c r="M13" s="4"/>
    </row>
    <row r="14">
      <c r="E14" s="54"/>
      <c r="F14" s="54"/>
      <c r="G14" s="4"/>
      <c r="H14" s="4"/>
      <c r="I14" s="4"/>
      <c r="J14" s="4"/>
      <c r="K14" s="4"/>
      <c r="L14" s="4"/>
      <c r="M14" s="4"/>
    </row>
    <row r="15">
      <c r="H15" s="4"/>
      <c r="I15" s="4"/>
      <c r="J15" s="4"/>
      <c r="K15" s="4"/>
      <c r="L15" s="4"/>
      <c r="M15" s="4"/>
    </row>
    <row r="16">
      <c r="E16" s="4"/>
      <c r="F16" s="4"/>
      <c r="G16" s="4"/>
      <c r="K16" s="4"/>
      <c r="L16" s="4"/>
      <c r="M16" s="4"/>
    </row>
    <row r="17">
      <c r="E17" s="4"/>
      <c r="F17" s="4"/>
      <c r="G17" s="4"/>
    </row>
  </sheetData>
  <mergeCells count="4">
    <mergeCell ref="A8:B8"/>
    <mergeCell ref="C8:D8"/>
    <mergeCell ref="E8:F8"/>
    <mergeCell ref="G9:H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138</v>
      </c>
      <c r="B1" s="23" t="s">
        <v>139</v>
      </c>
      <c r="C1" s="23">
        <v>220715.0</v>
      </c>
      <c r="D1" s="24"/>
      <c r="E1" s="24"/>
      <c r="F1" s="24"/>
      <c r="G1" s="24"/>
      <c r="H1" s="13"/>
    </row>
    <row r="2">
      <c r="A2" s="48"/>
      <c r="H2" s="25"/>
    </row>
    <row r="3">
      <c r="A3" s="48"/>
      <c r="H3" s="25"/>
    </row>
    <row r="4">
      <c r="A4" s="49" t="s">
        <v>114</v>
      </c>
      <c r="B4" s="3">
        <v>150267.4</v>
      </c>
      <c r="C4" s="3">
        <v>134181.2</v>
      </c>
      <c r="D4" s="3">
        <v>115223.3</v>
      </c>
      <c r="E4" s="3">
        <v>124367.2</v>
      </c>
      <c r="F4" s="3">
        <v>103993.7</v>
      </c>
      <c r="G4" s="3">
        <v>105242.3</v>
      </c>
      <c r="H4" s="25"/>
    </row>
    <row r="5">
      <c r="A5" s="49" t="s">
        <v>116</v>
      </c>
      <c r="B5" s="3">
        <v>19237.66</v>
      </c>
      <c r="C5" s="3">
        <v>0.0</v>
      </c>
      <c r="D5" s="3">
        <v>0.0</v>
      </c>
      <c r="E5" s="3">
        <v>108190.1</v>
      </c>
      <c r="F5" s="3">
        <v>104867.1</v>
      </c>
      <c r="G5" s="3">
        <v>109454.1</v>
      </c>
      <c r="H5" s="25"/>
    </row>
    <row r="6">
      <c r="A6" s="48"/>
      <c r="H6" s="25"/>
    </row>
    <row r="7">
      <c r="A7" s="48"/>
      <c r="H7" s="25"/>
    </row>
    <row r="8">
      <c r="A8" s="49" t="s">
        <v>114</v>
      </c>
      <c r="B8" s="3">
        <v>250.841063</v>
      </c>
      <c r="C8" s="3">
        <v>226.964768</v>
      </c>
      <c r="D8" s="3">
        <v>198.826089</v>
      </c>
      <c r="E8" s="3">
        <v>212.398123</v>
      </c>
      <c r="F8" s="3">
        <v>182.158309</v>
      </c>
      <c r="G8" s="3">
        <v>184.011571</v>
      </c>
      <c r="H8" s="25"/>
    </row>
    <row r="9">
      <c r="A9" s="49" t="s">
        <v>116</v>
      </c>
      <c r="B9" s="3">
        <v>56.3572999</v>
      </c>
      <c r="C9" s="3">
        <v>27.8033815</v>
      </c>
      <c r="D9" s="3">
        <v>27.8033815</v>
      </c>
      <c r="E9" s="3">
        <v>188.386908</v>
      </c>
      <c r="F9" s="3">
        <v>183.454673</v>
      </c>
      <c r="G9" s="3">
        <v>190.263028</v>
      </c>
      <c r="H9" s="25"/>
    </row>
    <row r="10">
      <c r="A10" s="46"/>
      <c r="B10" s="21">
        <f>average(B9:D9)</f>
        <v>37.3213543</v>
      </c>
      <c r="C10" s="21">
        <f>stdev(B9:D9)</f>
        <v>16.48561247</v>
      </c>
      <c r="D10" s="21"/>
      <c r="E10" s="21">
        <f>average(E9:G9)</f>
        <v>187.368203</v>
      </c>
      <c r="F10" s="21">
        <f>stdev(E9:G9)</f>
        <v>3.516638218</v>
      </c>
      <c r="G10" s="21">
        <f>E10/B10</f>
        <v>5.020402033</v>
      </c>
      <c r="H10" s="2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140</v>
      </c>
    </row>
    <row r="2">
      <c r="A2" s="27" t="s">
        <v>141</v>
      </c>
      <c r="B2" s="3">
        <v>492.6256</v>
      </c>
      <c r="C2" s="3">
        <v>430.696</v>
      </c>
      <c r="D2" s="3">
        <v>856.8106</v>
      </c>
    </row>
    <row r="3">
      <c r="A3" s="42" t="s">
        <v>142</v>
      </c>
      <c r="B3" s="3">
        <v>1225.119</v>
      </c>
      <c r="C3" s="3">
        <v>653.0925</v>
      </c>
      <c r="D3" s="3">
        <v>775.5947</v>
      </c>
    </row>
    <row r="4">
      <c r="A4" s="27" t="s">
        <v>143</v>
      </c>
      <c r="B4" s="3">
        <v>0.0</v>
      </c>
      <c r="C4" s="3">
        <v>0.0</v>
      </c>
      <c r="D4" s="3">
        <v>0.0</v>
      </c>
    </row>
    <row r="5">
      <c r="A5" s="42" t="s">
        <v>144</v>
      </c>
      <c r="B5" s="3">
        <v>64.78414</v>
      </c>
      <c r="C5" s="3">
        <v>60.30837</v>
      </c>
      <c r="D5" s="3">
        <v>0.0</v>
      </c>
    </row>
    <row r="7">
      <c r="A7" s="7" t="s">
        <v>145</v>
      </c>
    </row>
    <row r="8">
      <c r="A8" s="27" t="s">
        <v>141</v>
      </c>
      <c r="B8" s="3">
        <v>0.0</v>
      </c>
      <c r="C8" s="3">
        <v>0.0</v>
      </c>
      <c r="D8" s="3">
        <v>0.0</v>
      </c>
    </row>
    <row r="9">
      <c r="A9" s="42" t="s">
        <v>142</v>
      </c>
      <c r="B9" s="3">
        <v>185.6974</v>
      </c>
      <c r="C9" s="3">
        <v>0.0</v>
      </c>
      <c r="D9" s="3">
        <v>0.0</v>
      </c>
    </row>
    <row r="10">
      <c r="A10" s="27" t="s">
        <v>143</v>
      </c>
      <c r="B10" s="3">
        <v>0.0</v>
      </c>
      <c r="C10" s="3">
        <v>0.0</v>
      </c>
      <c r="D10" s="3">
        <v>0.0</v>
      </c>
    </row>
    <row r="11">
      <c r="A11" s="42" t="s">
        <v>144</v>
      </c>
      <c r="B11" s="3">
        <v>175.9671</v>
      </c>
      <c r="C11" s="3">
        <v>194.6686</v>
      </c>
      <c r="D11" s="3">
        <v>527.1271</v>
      </c>
    </row>
    <row r="13">
      <c r="A13" s="7" t="s">
        <v>146</v>
      </c>
    </row>
    <row r="14">
      <c r="A14" s="27" t="s">
        <v>141</v>
      </c>
      <c r="B14" s="3">
        <v>-50.432792</v>
      </c>
      <c r="C14" s="3">
        <v>-28.3426</v>
      </c>
      <c r="D14" s="3">
        <v>-18.0823</v>
      </c>
    </row>
    <row r="15">
      <c r="A15" s="42" t="s">
        <v>142</v>
      </c>
      <c r="B15" s="3">
        <v>-14.449407</v>
      </c>
      <c r="C15" s="3">
        <v>-11.9488</v>
      </c>
      <c r="D15" s="3">
        <v>-18.2302</v>
      </c>
    </row>
    <row r="16">
      <c r="A16" s="27" t="s">
        <v>143</v>
      </c>
      <c r="B16" s="3">
        <v>0.8051218</v>
      </c>
      <c r="C16" s="3">
        <v>-3.8379</v>
      </c>
      <c r="D16" s="3">
        <v>50.97745</v>
      </c>
    </row>
    <row r="17">
      <c r="A17" s="42" t="s">
        <v>144</v>
      </c>
      <c r="B17" s="3">
        <v>91.340725</v>
      </c>
      <c r="C17" s="3">
        <v>137.6295</v>
      </c>
      <c r="D17" s="3">
        <v>174.6092</v>
      </c>
    </row>
    <row r="20">
      <c r="A20" s="15" t="s">
        <v>147</v>
      </c>
      <c r="B20" s="36" t="s">
        <v>62</v>
      </c>
      <c r="E20" s="15" t="s">
        <v>83</v>
      </c>
    </row>
    <row r="21">
      <c r="A21" s="3">
        <v>10.0</v>
      </c>
      <c r="B21" s="3">
        <v>125.6838</v>
      </c>
      <c r="C21" s="3">
        <v>101.3668</v>
      </c>
      <c r="D21" s="3">
        <v>108.5668</v>
      </c>
      <c r="E21" s="3">
        <v>7.923891</v>
      </c>
      <c r="F21" s="3">
        <v>-6.19917</v>
      </c>
      <c r="G21" s="3">
        <v>28.77374</v>
      </c>
    </row>
    <row r="22">
      <c r="A22" s="3">
        <v>15.0</v>
      </c>
      <c r="B22" s="3">
        <v>58.33766</v>
      </c>
      <c r="C22" s="3">
        <v>59.80554</v>
      </c>
      <c r="D22" s="3">
        <v>37.0356</v>
      </c>
      <c r="E22" s="3">
        <v>1.780653</v>
      </c>
      <c r="F22" s="3">
        <v>5.244894</v>
      </c>
      <c r="G22" s="3">
        <v>2.201265</v>
      </c>
    </row>
    <row r="23">
      <c r="A23" s="3">
        <v>20.0</v>
      </c>
      <c r="B23" s="3">
        <v>-36.7565</v>
      </c>
      <c r="C23" s="3">
        <v>-1.61051</v>
      </c>
      <c r="D23" s="3">
        <v>-15.7607</v>
      </c>
      <c r="E23" s="3">
        <v>-45.211</v>
      </c>
      <c r="F23" s="3">
        <v>-29.7008</v>
      </c>
      <c r="G23" s="3">
        <v>-21.4947</v>
      </c>
    </row>
  </sheetData>
  <mergeCells count="2">
    <mergeCell ref="B20:D20"/>
    <mergeCell ref="E20:G2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148</v>
      </c>
      <c r="C1" s="7">
        <v>221215.0</v>
      </c>
    </row>
    <row r="3">
      <c r="A3" s="27" t="s">
        <v>149</v>
      </c>
      <c r="B3" s="3">
        <v>178.2094707</v>
      </c>
      <c r="C3" s="3">
        <v>242.9727725</v>
      </c>
      <c r="D3" s="3">
        <v>269.53368</v>
      </c>
      <c r="E3" s="4"/>
      <c r="F3" s="3">
        <v>1180046.38</v>
      </c>
      <c r="G3" s="3">
        <v>1452596.13</v>
      </c>
      <c r="H3" s="3">
        <v>1564375.0</v>
      </c>
    </row>
    <row r="4">
      <c r="A4" s="42" t="s">
        <v>150</v>
      </c>
      <c r="B4" s="3">
        <v>738.0853997</v>
      </c>
      <c r="C4" s="3">
        <v>745.5791586</v>
      </c>
      <c r="D4" s="4"/>
      <c r="F4" s="3">
        <v>3536227.12</v>
      </c>
      <c r="G4" s="3">
        <v>3567763.84</v>
      </c>
    </row>
    <row r="6">
      <c r="A6" s="7" t="s">
        <v>151</v>
      </c>
      <c r="C6" s="7">
        <v>230417.0</v>
      </c>
    </row>
    <row r="7">
      <c r="A7" s="27" t="s">
        <v>152</v>
      </c>
      <c r="B7" s="3">
        <v>448102.11</v>
      </c>
      <c r="C7" s="3">
        <v>477305.24</v>
      </c>
      <c r="D7" s="3">
        <v>472802.29</v>
      </c>
      <c r="F7" s="5">
        <f t="shared" ref="F7:H7" si="1">((B7-180994)/3116110)*1000</f>
        <v>85.71844704</v>
      </c>
      <c r="G7" s="5">
        <f t="shared" si="1"/>
        <v>95.09010914</v>
      </c>
      <c r="H7" s="5">
        <f t="shared" si="1"/>
        <v>93.64505425</v>
      </c>
    </row>
    <row r="8">
      <c r="A8" s="27" t="s">
        <v>153</v>
      </c>
      <c r="B8" s="3">
        <v>885752.02</v>
      </c>
      <c r="C8" s="3">
        <v>960473.23</v>
      </c>
      <c r="D8" s="3">
        <v>827132.4</v>
      </c>
      <c r="F8" s="5">
        <f t="shared" ref="F8:H8" si="2">((B8-180994)/3116110)*1000</f>
        <v>226.1659633</v>
      </c>
      <c r="G8" s="5">
        <f t="shared" si="2"/>
        <v>250.144966</v>
      </c>
      <c r="H8" s="5">
        <f t="shared" si="2"/>
        <v>207.3541691</v>
      </c>
    </row>
    <row r="9">
      <c r="A9" s="27" t="s">
        <v>154</v>
      </c>
      <c r="B9" s="3">
        <v>698475.23</v>
      </c>
      <c r="C9" s="3">
        <v>814511.44</v>
      </c>
      <c r="D9" s="3">
        <v>744349.31</v>
      </c>
      <c r="E9" s="4"/>
      <c r="F9" s="5">
        <f t="shared" ref="F9:H9" si="3">((B9-180994)/3116110)*1000</f>
        <v>166.0664193</v>
      </c>
      <c r="G9" s="5">
        <f t="shared" si="3"/>
        <v>203.3039398</v>
      </c>
      <c r="H9" s="5">
        <f t="shared" si="3"/>
        <v>180.7880049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155</v>
      </c>
      <c r="C1" s="7">
        <v>230621.0</v>
      </c>
    </row>
    <row r="3">
      <c r="A3" s="27" t="s">
        <v>156</v>
      </c>
      <c r="B3" s="3">
        <v>268640.63</v>
      </c>
      <c r="C3" s="3">
        <v>248204.79</v>
      </c>
      <c r="E3" s="5">
        <f t="shared" ref="E3:F3" si="1">((B3-235860)/4778633)*1000</f>
        <v>6.859834183</v>
      </c>
      <c r="F3" s="5">
        <f t="shared" si="1"/>
        <v>2.58333084</v>
      </c>
    </row>
    <row r="4">
      <c r="A4" s="27" t="s">
        <v>157</v>
      </c>
      <c r="B4" s="3">
        <v>261350.95</v>
      </c>
      <c r="C4" s="3">
        <v>264792.41</v>
      </c>
      <c r="E4" s="5">
        <f t="shared" ref="E4:F4" si="2">((B4-235860)/4778633)*1000</f>
        <v>5.334360266</v>
      </c>
      <c r="F4" s="5">
        <f t="shared" si="2"/>
        <v>6.054536936</v>
      </c>
    </row>
    <row r="5">
      <c r="A5" s="27" t="s">
        <v>158</v>
      </c>
      <c r="B5" s="3">
        <v>324303.99</v>
      </c>
      <c r="C5" s="3">
        <v>314581.48</v>
      </c>
      <c r="E5" s="5">
        <f t="shared" ref="E5:F5" si="3">((B5-235860)/4778633)*1000</f>
        <v>18.50821982</v>
      </c>
      <c r="F5" s="5">
        <f t="shared" si="3"/>
        <v>16.47364006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220919.0</v>
      </c>
    </row>
    <row r="2">
      <c r="B2" s="15" t="s">
        <v>159</v>
      </c>
      <c r="E2" s="15" t="s">
        <v>160</v>
      </c>
    </row>
    <row r="3">
      <c r="A3" s="27" t="s">
        <v>161</v>
      </c>
      <c r="B3" s="3">
        <v>46.29021</v>
      </c>
      <c r="C3" s="3">
        <v>141.4998</v>
      </c>
      <c r="D3" s="3">
        <v>203.6396</v>
      </c>
      <c r="E3" s="3">
        <v>107.9233</v>
      </c>
      <c r="F3" s="3">
        <v>106.4927</v>
      </c>
      <c r="G3" s="3">
        <v>141.6166</v>
      </c>
    </row>
    <row r="4">
      <c r="A4" s="27" t="s">
        <v>162</v>
      </c>
      <c r="B4" s="3">
        <v>659.6525</v>
      </c>
      <c r="C4" s="3">
        <v>803.1902</v>
      </c>
      <c r="D4" s="3">
        <v>796.7685</v>
      </c>
      <c r="E4" s="3">
        <v>96.23922</v>
      </c>
      <c r="F4" s="3">
        <v>120.4453</v>
      </c>
      <c r="G4" s="3">
        <v>119.7462</v>
      </c>
    </row>
    <row r="7">
      <c r="A7" s="28"/>
      <c r="B7" s="15" t="s">
        <v>159</v>
      </c>
      <c r="E7" s="15" t="s">
        <v>160</v>
      </c>
    </row>
    <row r="8">
      <c r="A8" s="27" t="s">
        <v>161</v>
      </c>
      <c r="B8" s="55">
        <v>1526.71</v>
      </c>
      <c r="C8" s="3">
        <v>29251.75</v>
      </c>
      <c r="D8" s="3">
        <v>47346.85</v>
      </c>
      <c r="E8" s="3">
        <v>19474.26</v>
      </c>
      <c r="F8" s="3">
        <v>19057.66</v>
      </c>
      <c r="G8" s="3">
        <v>29285.74</v>
      </c>
    </row>
    <row r="9">
      <c r="A9" s="27" t="s">
        <v>162</v>
      </c>
      <c r="B9" s="3">
        <v>180137.8</v>
      </c>
      <c r="C9" s="3">
        <v>221936.0</v>
      </c>
      <c r="D9" s="3">
        <v>220066.0</v>
      </c>
      <c r="E9" s="3">
        <v>16071.86</v>
      </c>
      <c r="F9" s="3">
        <v>23120.67</v>
      </c>
      <c r="G9" s="3">
        <v>22917.09</v>
      </c>
    </row>
    <row r="11">
      <c r="A11" s="7">
        <v>220923.0</v>
      </c>
    </row>
    <row r="12">
      <c r="A12" s="28"/>
      <c r="B12" s="15" t="s">
        <v>159</v>
      </c>
      <c r="E12" s="15" t="s">
        <v>160</v>
      </c>
    </row>
    <row r="13">
      <c r="A13" s="27" t="s">
        <v>163</v>
      </c>
      <c r="B13" s="3">
        <v>77.80524</v>
      </c>
      <c r="C13" s="3">
        <v>83.21172</v>
      </c>
      <c r="D13" s="3">
        <v>91.61572</v>
      </c>
      <c r="E13" s="3">
        <v>21.26192</v>
      </c>
      <c r="F13" s="3">
        <v>-30.9546</v>
      </c>
      <c r="G13" s="3">
        <v>-15.189</v>
      </c>
    </row>
    <row r="14">
      <c r="A14" s="27" t="s">
        <v>164</v>
      </c>
      <c r="B14" s="3">
        <v>-88.3769</v>
      </c>
      <c r="C14" s="3">
        <v>-74.0411</v>
      </c>
      <c r="D14" s="3">
        <v>-63.3882</v>
      </c>
      <c r="E14" s="3">
        <v>-113.777</v>
      </c>
      <c r="F14" s="3">
        <v>-102.264</v>
      </c>
      <c r="G14" s="3">
        <v>-115.409</v>
      </c>
    </row>
    <row r="15">
      <c r="A15" s="27" t="s">
        <v>165</v>
      </c>
      <c r="B15" s="3">
        <v>59.06214</v>
      </c>
      <c r="C15" s="3">
        <v>70.30019</v>
      </c>
      <c r="D15" s="3">
        <v>69.9995</v>
      </c>
      <c r="E15" s="3">
        <v>15.89988</v>
      </c>
      <c r="F15" s="3">
        <v>-27.249</v>
      </c>
      <c r="G15" s="3">
        <v>19.1853</v>
      </c>
    </row>
    <row r="16">
      <c r="A16" s="27" t="s">
        <v>166</v>
      </c>
      <c r="B16" s="3">
        <v>-58.2457</v>
      </c>
      <c r="C16" s="3">
        <v>-37.6922</v>
      </c>
      <c r="D16" s="3">
        <v>-45.6975</v>
      </c>
      <c r="E16" s="3">
        <v>-97.0</v>
      </c>
      <c r="F16" s="3">
        <v>-98.6</v>
      </c>
      <c r="G16" s="3">
        <v>-58.9484</v>
      </c>
    </row>
    <row r="17">
      <c r="B17" s="15" t="s">
        <v>159</v>
      </c>
      <c r="E17" s="15" t="s">
        <v>160</v>
      </c>
      <c r="H17" s="15"/>
      <c r="K17" s="15"/>
    </row>
    <row r="18">
      <c r="A18" s="15" t="s">
        <v>163</v>
      </c>
      <c r="B18" s="3">
        <v>95283.19</v>
      </c>
      <c r="C18" s="3">
        <v>97026.78</v>
      </c>
      <c r="D18" s="3">
        <v>99737.07</v>
      </c>
      <c r="E18" s="3">
        <v>77047.97</v>
      </c>
      <c r="F18" s="3">
        <v>60208.13</v>
      </c>
      <c r="G18" s="3">
        <v>65292.54</v>
      </c>
      <c r="H18" s="3"/>
      <c r="I18" s="3"/>
      <c r="J18" s="3"/>
      <c r="K18" s="3"/>
      <c r="L18" s="3"/>
      <c r="M18" s="3"/>
    </row>
    <row r="19">
      <c r="A19" s="15" t="s">
        <v>164</v>
      </c>
      <c r="B19" s="3">
        <v>41689.46</v>
      </c>
      <c r="C19" s="3">
        <v>46312.76</v>
      </c>
      <c r="D19" s="3">
        <v>49748.3</v>
      </c>
      <c r="E19" s="3">
        <v>33497.93</v>
      </c>
      <c r="F19" s="3">
        <v>37210.85</v>
      </c>
      <c r="G19" s="3">
        <v>32971.7</v>
      </c>
      <c r="H19" s="3"/>
      <c r="I19" s="3"/>
      <c r="J19" s="3"/>
      <c r="K19" s="3"/>
      <c r="L19" s="3"/>
      <c r="M19" s="3"/>
    </row>
    <row r="20">
      <c r="A20" s="15" t="s">
        <v>165</v>
      </c>
      <c r="B20" s="3">
        <v>89238.54</v>
      </c>
      <c r="C20" s="3">
        <v>92862.81</v>
      </c>
      <c r="D20" s="3">
        <v>92765.84</v>
      </c>
      <c r="E20" s="3">
        <v>75318.71</v>
      </c>
      <c r="F20" s="3">
        <v>61403.21</v>
      </c>
      <c r="G20" s="3">
        <v>76378.26</v>
      </c>
    </row>
    <row r="21">
      <c r="A21" s="15" t="s">
        <v>166</v>
      </c>
      <c r="B21" s="3">
        <v>51406.75</v>
      </c>
      <c r="C21" s="3">
        <v>58035.28</v>
      </c>
      <c r="D21" s="3">
        <v>55453.55</v>
      </c>
      <c r="E21" s="3">
        <v>4864.09</v>
      </c>
      <c r="F21" s="3">
        <v>3750.71</v>
      </c>
      <c r="G21" s="3">
        <v>51180.13</v>
      </c>
    </row>
  </sheetData>
  <mergeCells count="10">
    <mergeCell ref="E17:G17"/>
    <mergeCell ref="H17:J17"/>
    <mergeCell ref="K17:M17"/>
    <mergeCell ref="B2:D2"/>
    <mergeCell ref="E2:G2"/>
    <mergeCell ref="B7:D7"/>
    <mergeCell ref="E7:G7"/>
    <mergeCell ref="B12:D12"/>
    <mergeCell ref="E12:G12"/>
    <mergeCell ref="B17:D17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6" t="s">
        <v>167</v>
      </c>
      <c r="E2" s="56" t="s">
        <v>160</v>
      </c>
      <c r="H2" s="56" t="s">
        <v>159</v>
      </c>
    </row>
    <row r="3">
      <c r="A3" s="27" t="s">
        <v>168</v>
      </c>
      <c r="B3" s="3">
        <v>40364.21</v>
      </c>
      <c r="C3" s="3">
        <v>39440.68</v>
      </c>
      <c r="D3" s="3">
        <v>24889.91</v>
      </c>
      <c r="E3" s="3">
        <v>16071.86</v>
      </c>
      <c r="F3" s="3">
        <v>23120.67</v>
      </c>
      <c r="G3" s="3">
        <v>22917.09</v>
      </c>
      <c r="H3" s="3">
        <v>180137.8</v>
      </c>
      <c r="I3" s="3">
        <v>221936.0</v>
      </c>
      <c r="J3" s="3">
        <v>220066.0</v>
      </c>
    </row>
    <row r="4">
      <c r="A4" s="27" t="s">
        <v>17</v>
      </c>
      <c r="B4" s="3">
        <v>179.6607</v>
      </c>
      <c r="C4" s="3">
        <v>176.4893</v>
      </c>
      <c r="D4" s="3">
        <v>126.521</v>
      </c>
      <c r="E4" s="3">
        <v>96.23922</v>
      </c>
      <c r="F4" s="3">
        <v>120.4453</v>
      </c>
      <c r="G4" s="3">
        <v>119.7462</v>
      </c>
      <c r="H4" s="3">
        <v>659.6525</v>
      </c>
      <c r="I4" s="3">
        <v>803.1902</v>
      </c>
      <c r="J4" s="3">
        <v>796.7685</v>
      </c>
    </row>
    <row r="7">
      <c r="B7" s="3"/>
      <c r="C7" s="3"/>
      <c r="D7" s="3"/>
      <c r="E7" s="3"/>
      <c r="F7" s="3"/>
      <c r="G7" s="3"/>
      <c r="H7" s="55"/>
      <c r="I7" s="3"/>
      <c r="J7" s="3"/>
    </row>
  </sheetData>
  <mergeCells count="3">
    <mergeCell ref="B2:D2"/>
    <mergeCell ref="E2:G2"/>
    <mergeCell ref="H2:J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7" t="s">
        <v>20</v>
      </c>
      <c r="M2" s="7" t="s">
        <v>169</v>
      </c>
      <c r="N2" s="7" t="s">
        <v>170</v>
      </c>
      <c r="P2" s="7" t="s">
        <v>171</v>
      </c>
    </row>
    <row r="3">
      <c r="B3" s="7" t="s">
        <v>17</v>
      </c>
      <c r="E3" s="7" t="s">
        <v>16</v>
      </c>
      <c r="M3" s="5">
        <f t="shared" ref="M3:M6" si="1">AVERAGE(B4:D4)/1000</f>
        <v>0.1235142626</v>
      </c>
      <c r="N3" s="5">
        <f t="shared" ref="N3:N6" si="2">STDEV(B4:D4)/1000</f>
        <v>0.03370197797</v>
      </c>
      <c r="O3" s="5">
        <f t="shared" ref="O3:O6" si="3">N3/M3</f>
        <v>0.2728589984</v>
      </c>
      <c r="P3" s="57">
        <f t="shared" ref="P3:P6" si="4">(Q$3-O3+1)/(Q$3-Q$4+1)</f>
        <v>0.897244494</v>
      </c>
      <c r="Q3" s="7">
        <v>1.65470326463765</v>
      </c>
    </row>
    <row r="4">
      <c r="A4" s="27">
        <v>0.0</v>
      </c>
      <c r="B4" s="3">
        <v>85.49969974</v>
      </c>
      <c r="C4" s="3">
        <v>149.7321666</v>
      </c>
      <c r="D4" s="3">
        <v>135.3109214</v>
      </c>
      <c r="E4" s="3">
        <v>194348.48</v>
      </c>
      <c r="F4" s="3">
        <v>412546.17</v>
      </c>
      <c r="G4" s="3">
        <v>363557.2</v>
      </c>
      <c r="M4" s="5">
        <f t="shared" si="1"/>
        <v>0.1695888941</v>
      </c>
      <c r="N4" s="5">
        <f t="shared" si="2"/>
        <v>0.009477590742</v>
      </c>
      <c r="O4" s="5">
        <f t="shared" si="3"/>
        <v>0.05588568044</v>
      </c>
      <c r="P4" s="57">
        <f t="shared" si="4"/>
        <v>0.9789786853</v>
      </c>
      <c r="Q4" s="58">
        <v>8.20525799205686E-5</v>
      </c>
    </row>
    <row r="5">
      <c r="A5" s="27">
        <v>0.5</v>
      </c>
      <c r="B5" s="3">
        <v>166.5564439</v>
      </c>
      <c r="C5" s="3">
        <v>161.9986429</v>
      </c>
      <c r="D5" s="3">
        <v>180.2115955</v>
      </c>
      <c r="E5" s="3">
        <v>469698.24</v>
      </c>
      <c r="F5" s="3">
        <v>454215.39</v>
      </c>
      <c r="G5" s="3">
        <v>516084.79</v>
      </c>
      <c r="M5" s="5">
        <f t="shared" si="1"/>
        <v>0.2445043931</v>
      </c>
      <c r="N5" s="5">
        <f t="shared" si="2"/>
        <v>0.049658882</v>
      </c>
      <c r="O5" s="5">
        <f t="shared" si="3"/>
        <v>0.2031001627</v>
      </c>
      <c r="P5" s="57">
        <f t="shared" si="4"/>
        <v>0.9235227575</v>
      </c>
    </row>
    <row r="6">
      <c r="A6" s="27">
        <v>1.0</v>
      </c>
      <c r="B6" s="3">
        <v>273.2231557</v>
      </c>
      <c r="C6" s="3">
        <v>273.1267412</v>
      </c>
      <c r="D6" s="3">
        <v>187.1632823</v>
      </c>
      <c r="E6" s="3">
        <v>832045.06</v>
      </c>
      <c r="F6" s="3">
        <v>831717.54</v>
      </c>
      <c r="G6" s="3">
        <v>539699.67</v>
      </c>
      <c r="I6" s="7" t="s">
        <v>172</v>
      </c>
      <c r="M6" s="5">
        <f t="shared" si="1"/>
        <v>0.2216829575</v>
      </c>
      <c r="N6" s="5">
        <f t="shared" si="2"/>
        <v>0.03460979882</v>
      </c>
      <c r="O6" s="5">
        <f t="shared" si="3"/>
        <v>0.1561229569</v>
      </c>
      <c r="P6" s="57">
        <f t="shared" si="4"/>
        <v>0.9412191451</v>
      </c>
    </row>
    <row r="7">
      <c r="A7" s="27">
        <v>2.5</v>
      </c>
      <c r="B7" s="3">
        <v>182.5197056</v>
      </c>
      <c r="C7" s="3">
        <v>234.371257</v>
      </c>
      <c r="D7" s="3">
        <v>248.1579099</v>
      </c>
      <c r="E7" s="3">
        <v>523925.44</v>
      </c>
      <c r="F7" s="3">
        <v>700065.16</v>
      </c>
      <c r="G7" s="3">
        <v>746898.42</v>
      </c>
      <c r="I7" s="59">
        <v>0.0657</v>
      </c>
    </row>
    <row r="8">
      <c r="A8" s="27"/>
    </row>
    <row r="9">
      <c r="A9" s="7" t="s">
        <v>173</v>
      </c>
      <c r="M9" s="5">
        <f t="shared" ref="M9:M12" si="5">AVERAGE(B10:D10)/1000</f>
        <v>0.08271193604</v>
      </c>
      <c r="N9" s="5">
        <f t="shared" ref="N9:N12" si="6">STDEV(B10:D10)/1000</f>
        <v>0.03945801555</v>
      </c>
      <c r="O9" s="5">
        <f t="shared" ref="O9:O12" si="7">N9/M9</f>
        <v>0.4770534634</v>
      </c>
      <c r="P9" s="57">
        <f t="shared" ref="P9:P12" si="8">(Q$3-O9+1)/(Q$3-Q$4+1)</f>
        <v>0.8203241168</v>
      </c>
    </row>
    <row r="10">
      <c r="A10" s="27">
        <v>0.0</v>
      </c>
      <c r="B10" s="3">
        <v>71.38921696</v>
      </c>
      <c r="C10" s="3">
        <v>126.5934737</v>
      </c>
      <c r="D10" s="3">
        <v>50.15311746</v>
      </c>
      <c r="E10" s="3">
        <v>146415.17</v>
      </c>
      <c r="F10" s="3">
        <v>333944.03</v>
      </c>
      <c r="G10" s="3">
        <v>74276.14</v>
      </c>
      <c r="M10" s="5">
        <f t="shared" si="5"/>
        <v>0.07546211264</v>
      </c>
      <c r="N10" s="5">
        <f t="shared" si="6"/>
        <v>0.03151764645</v>
      </c>
      <c r="O10" s="5">
        <f t="shared" si="7"/>
        <v>0.4176618617</v>
      </c>
      <c r="P10" s="57">
        <f t="shared" si="8"/>
        <v>0.8426970269</v>
      </c>
    </row>
    <row r="11">
      <c r="A11" s="27">
        <v>0.5</v>
      </c>
      <c r="B11" s="3">
        <v>108.9701972</v>
      </c>
      <c r="C11" s="3">
        <v>46.40895496</v>
      </c>
      <c r="D11" s="3">
        <v>71.00718575</v>
      </c>
      <c r="E11" s="3">
        <v>274077.76</v>
      </c>
      <c r="F11" s="3">
        <v>61557.22</v>
      </c>
      <c r="G11" s="3">
        <v>145117.41</v>
      </c>
      <c r="I11" s="7" t="s">
        <v>172</v>
      </c>
      <c r="M11" s="5">
        <f t="shared" si="5"/>
        <v>0.1613331145</v>
      </c>
      <c r="N11" s="5">
        <f t="shared" si="6"/>
        <v>0.04229097366</v>
      </c>
      <c r="O11" s="5">
        <f t="shared" si="7"/>
        <v>0.2621344897</v>
      </c>
      <c r="P11" s="57">
        <f t="shared" si="8"/>
        <v>0.9012844334</v>
      </c>
    </row>
    <row r="12">
      <c r="A12" s="27">
        <v>1.0</v>
      </c>
      <c r="B12" s="3">
        <v>126.4816721</v>
      </c>
      <c r="C12" s="3">
        <v>208.382461</v>
      </c>
      <c r="D12" s="3">
        <v>149.1352105</v>
      </c>
      <c r="E12" s="3">
        <v>333564.24</v>
      </c>
      <c r="F12" s="3">
        <v>611781.22</v>
      </c>
      <c r="G12" s="3">
        <v>410518.31</v>
      </c>
      <c r="I12" s="59">
        <v>0.0457</v>
      </c>
      <c r="M12" s="5">
        <f t="shared" si="5"/>
        <v>0.2498151487</v>
      </c>
      <c r="N12" s="5">
        <f t="shared" si="6"/>
        <v>0.1006243394</v>
      </c>
      <c r="O12" s="5">
        <f t="shared" si="7"/>
        <v>0.4027951866</v>
      </c>
      <c r="P12" s="57">
        <f t="shared" si="8"/>
        <v>0.8482973269</v>
      </c>
    </row>
    <row r="13">
      <c r="A13" s="27">
        <v>2.5</v>
      </c>
      <c r="B13" s="3">
        <v>205.7473948</v>
      </c>
      <c r="C13" s="3">
        <v>364.9553223</v>
      </c>
      <c r="D13" s="3">
        <v>178.7427289</v>
      </c>
      <c r="E13" s="3">
        <v>602829.9</v>
      </c>
      <c r="F13" s="3">
        <v>1143659.23</v>
      </c>
      <c r="G13" s="3">
        <v>511095.05</v>
      </c>
    </row>
    <row r="15">
      <c r="A15" s="38" t="s">
        <v>159</v>
      </c>
      <c r="B15" s="60"/>
      <c r="C15" s="60"/>
      <c r="D15" s="60"/>
      <c r="E15" s="60"/>
      <c r="F15" s="60"/>
      <c r="G15" s="60"/>
      <c r="M15" s="61">
        <v>0.002468</v>
      </c>
      <c r="N15" s="5">
        <f t="shared" ref="N15:N18" si="9">STDEV(B16:D16)/1000</f>
        <v>0.004324619395</v>
      </c>
      <c r="O15" s="5">
        <f t="shared" ref="O15:O18" si="10">N15/M15</f>
        <v>1.752276902</v>
      </c>
      <c r="P15" s="57">
        <f t="shared" ref="P15:P18" si="11">(Q$3-O15+1)/(Q$3-Q$4+1)</f>
        <v>0.3399454349</v>
      </c>
    </row>
    <row r="16">
      <c r="A16" s="62">
        <v>0.0</v>
      </c>
      <c r="B16" s="55">
        <v>-8.0657846</v>
      </c>
      <c r="C16" s="55">
        <v>-14.18172</v>
      </c>
      <c r="D16" s="55"/>
      <c r="E16" s="55" t="s">
        <v>174</v>
      </c>
      <c r="F16" s="55" t="s">
        <v>175</v>
      </c>
      <c r="G16" s="55"/>
      <c r="M16" s="5">
        <f t="shared" ref="M16:M18" si="12">AVERAGE(B17:D17)/1000</f>
        <v>0.01606310515</v>
      </c>
      <c r="N16" s="5">
        <f t="shared" si="9"/>
        <v>0.004624738069</v>
      </c>
      <c r="O16" s="5">
        <f t="shared" si="10"/>
        <v>0.2879105893</v>
      </c>
      <c r="P16" s="57">
        <f t="shared" si="11"/>
        <v>0.891574536</v>
      </c>
    </row>
    <row r="17">
      <c r="A17" s="62">
        <v>0.5</v>
      </c>
      <c r="B17" s="55">
        <v>19.3332888</v>
      </c>
      <c r="C17" s="55">
        <v>12.7929215</v>
      </c>
      <c r="D17" s="55"/>
      <c r="E17" s="55" t="s">
        <v>176</v>
      </c>
      <c r="F17" s="55" t="s">
        <v>177</v>
      </c>
      <c r="G17" s="55"/>
      <c r="M17" s="5">
        <f t="shared" si="12"/>
        <v>0.018734591</v>
      </c>
      <c r="N17" s="5">
        <f t="shared" si="9"/>
        <v>0.001602606184</v>
      </c>
      <c r="O17" s="5">
        <f t="shared" si="10"/>
        <v>0.08554262987</v>
      </c>
      <c r="P17" s="57">
        <f t="shared" si="11"/>
        <v>0.9678068657</v>
      </c>
    </row>
    <row r="18">
      <c r="A18" s="62">
        <v>1.0</v>
      </c>
      <c r="B18" s="55">
        <v>17.6013773</v>
      </c>
      <c r="C18" s="55">
        <v>19.8678047</v>
      </c>
      <c r="D18" s="55"/>
      <c r="E18" s="55" t="s">
        <v>178</v>
      </c>
      <c r="F18" s="55" t="s">
        <v>179</v>
      </c>
      <c r="G18" s="55"/>
      <c r="I18" s="7" t="s">
        <v>172</v>
      </c>
      <c r="M18" s="5">
        <f t="shared" si="12"/>
        <v>0.02618840985</v>
      </c>
      <c r="N18" s="5">
        <f t="shared" si="9"/>
        <v>0.00566276248</v>
      </c>
      <c r="O18" s="5">
        <f t="shared" si="10"/>
        <v>0.2162316274</v>
      </c>
      <c r="P18" s="57">
        <f t="shared" si="11"/>
        <v>0.9185761141</v>
      </c>
    </row>
    <row r="19">
      <c r="A19" s="62">
        <v>2.5</v>
      </c>
      <c r="B19" s="55">
        <v>22.1842321</v>
      </c>
      <c r="C19" s="55">
        <v>30.1925876</v>
      </c>
      <c r="D19" s="55"/>
      <c r="E19" s="55" t="s">
        <v>180</v>
      </c>
      <c r="F19" s="55" t="s">
        <v>181</v>
      </c>
      <c r="G19" s="55"/>
      <c r="I19" s="59">
        <v>0.1893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14</v>
      </c>
      <c r="B1" s="11" t="s">
        <v>15</v>
      </c>
      <c r="C1" s="11">
        <v>230630.0</v>
      </c>
      <c r="D1" s="12"/>
      <c r="E1" s="12"/>
      <c r="F1" s="12"/>
      <c r="G1" s="13"/>
    </row>
    <row r="2">
      <c r="A2" s="14"/>
      <c r="B2" s="7" t="s">
        <v>16</v>
      </c>
      <c r="C2" s="15"/>
      <c r="D2" s="15"/>
      <c r="E2" s="15" t="s">
        <v>17</v>
      </c>
      <c r="G2" s="16"/>
    </row>
    <row r="3">
      <c r="A3" s="17" t="s">
        <v>18</v>
      </c>
      <c r="B3" s="3">
        <v>6604811.0</v>
      </c>
      <c r="C3" s="3">
        <v>6246713.0</v>
      </c>
      <c r="E3" s="3">
        <f t="shared" ref="E3:F3" si="1">(B3-211001)/7610507</f>
        <v>0.8401293107</v>
      </c>
      <c r="F3" s="3">
        <f t="shared" si="1"/>
        <v>0.7930762037</v>
      </c>
      <c r="G3" s="18"/>
    </row>
    <row r="4">
      <c r="A4" s="19" t="s">
        <v>19</v>
      </c>
      <c r="B4" s="20">
        <v>0.0</v>
      </c>
      <c r="C4" s="20">
        <v>0.0</v>
      </c>
      <c r="D4" s="21"/>
      <c r="E4" s="20">
        <f t="shared" ref="E4:F4" si="2">(B4-211001)/7610507</f>
        <v>-0.02772495972</v>
      </c>
      <c r="F4" s="20">
        <f t="shared" si="2"/>
        <v>-0.02772495972</v>
      </c>
      <c r="G4" s="22"/>
    </row>
    <row r="5">
      <c r="A5" s="7"/>
      <c r="B5" s="7"/>
      <c r="C5" s="1"/>
    </row>
    <row r="6">
      <c r="A6" s="10" t="s">
        <v>14</v>
      </c>
      <c r="B6" s="23" t="s">
        <v>20</v>
      </c>
      <c r="C6" s="11">
        <v>220511.0</v>
      </c>
      <c r="D6" s="24"/>
      <c r="E6" s="24"/>
      <c r="F6" s="24"/>
      <c r="G6" s="13"/>
    </row>
    <row r="7">
      <c r="B7" s="7" t="s">
        <v>16</v>
      </c>
      <c r="E7" s="7" t="s">
        <v>17</v>
      </c>
    </row>
    <row r="8">
      <c r="A8" s="17" t="s">
        <v>18</v>
      </c>
      <c r="B8" s="3">
        <v>3260305.0</v>
      </c>
      <c r="E8" s="3">
        <v>1013.091</v>
      </c>
      <c r="G8" s="25"/>
    </row>
    <row r="9">
      <c r="A9" s="19" t="s">
        <v>19</v>
      </c>
      <c r="B9" s="20">
        <v>202682.5</v>
      </c>
      <c r="C9" s="21"/>
      <c r="D9" s="21"/>
      <c r="E9" s="20">
        <v>68.21338</v>
      </c>
      <c r="F9" s="21"/>
      <c r="G9" s="22"/>
    </row>
    <row r="11">
      <c r="A11" s="26" t="s">
        <v>21</v>
      </c>
    </row>
    <row r="12">
      <c r="B12" s="7" t="s">
        <v>16</v>
      </c>
      <c r="F12" s="7" t="s">
        <v>17</v>
      </c>
      <c r="I12" s="7" t="s">
        <v>22</v>
      </c>
    </row>
    <row r="13">
      <c r="A13" s="27" t="s">
        <v>23</v>
      </c>
      <c r="B13" s="3">
        <v>1237328.25</v>
      </c>
      <c r="C13" s="3">
        <v>968998.03</v>
      </c>
      <c r="D13" s="3">
        <v>1211959.89</v>
      </c>
      <c r="F13" s="3">
        <v>0.33899132</v>
      </c>
      <c r="G13" s="3">
        <v>0.25288068</v>
      </c>
      <c r="H13" s="3">
        <v>0.33085029</v>
      </c>
      <c r="I13" s="5">
        <f t="shared" ref="I13:I20" si="3">stdev(F13:H13)</f>
        <v>0.04754047184</v>
      </c>
      <c r="J13" s="7">
        <v>0.0</v>
      </c>
      <c r="K13" s="7">
        <v>0.0</v>
      </c>
      <c r="L13" s="5" t="str">
        <f t="shared" ref="L13:L20" si="4">J13/K13</f>
        <v>#DIV/0!</v>
      </c>
    </row>
    <row r="14">
      <c r="A14" s="27" t="s">
        <v>24</v>
      </c>
      <c r="B14" s="3">
        <v>1296265.53</v>
      </c>
      <c r="C14" s="3">
        <v>898635.37</v>
      </c>
      <c r="D14" s="3">
        <v>884073.97</v>
      </c>
      <c r="F14" s="3">
        <v>0.35790506</v>
      </c>
      <c r="G14" s="3">
        <v>0.2303004</v>
      </c>
      <c r="H14" s="3">
        <v>0.22562746</v>
      </c>
      <c r="I14" s="5">
        <f t="shared" si="3"/>
        <v>0.07505792106</v>
      </c>
      <c r="J14" s="5">
        <f>AVERAGE(F15:H15)</f>
        <v>0.42221611</v>
      </c>
      <c r="K14" s="7">
        <v>0.16769446</v>
      </c>
      <c r="L14" s="5">
        <f t="shared" si="4"/>
        <v>2.517770176</v>
      </c>
    </row>
    <row r="15">
      <c r="A15" s="27" t="s">
        <v>25</v>
      </c>
      <c r="B15" s="3">
        <v>1416035.73</v>
      </c>
      <c r="C15" s="3">
        <v>1267383.17</v>
      </c>
      <c r="D15" s="3">
        <v>1806578.62</v>
      </c>
      <c r="F15" s="3">
        <v>0.39634086</v>
      </c>
      <c r="G15" s="3">
        <v>0.34863634</v>
      </c>
      <c r="H15" s="3">
        <v>0.52167113</v>
      </c>
      <c r="I15" s="5">
        <f t="shared" si="3"/>
        <v>0.0893722891</v>
      </c>
      <c r="J15" s="5">
        <f>AVERAGE(G19:H19)</f>
        <v>0.04962373</v>
      </c>
      <c r="K15" s="7">
        <v>0.00800178</v>
      </c>
      <c r="L15" s="5">
        <f t="shared" si="4"/>
        <v>6.201586397</v>
      </c>
    </row>
    <row r="16">
      <c r="A16" s="27" t="s">
        <v>26</v>
      </c>
      <c r="B16" s="3">
        <v>1316507.35</v>
      </c>
      <c r="C16" s="3">
        <v>1302322.59</v>
      </c>
      <c r="D16" s="3">
        <v>1179782.2</v>
      </c>
      <c r="F16" s="3">
        <v>0.36440092</v>
      </c>
      <c r="G16" s="3">
        <v>0.35984885</v>
      </c>
      <c r="H16" s="3">
        <v>0.32052405</v>
      </c>
      <c r="I16" s="5">
        <f t="shared" si="3"/>
        <v>0.0241258539</v>
      </c>
      <c r="J16" s="5">
        <f t="shared" ref="J16:J17" si="5">AVERAGE(F13:H13)</f>
        <v>0.3075740967</v>
      </c>
      <c r="K16" s="7">
        <v>0.11162127</v>
      </c>
      <c r="L16" s="5">
        <f t="shared" si="4"/>
        <v>2.755515115</v>
      </c>
    </row>
    <row r="17">
      <c r="A17" s="27" t="s">
        <v>27</v>
      </c>
      <c r="B17" s="4"/>
      <c r="C17" s="4"/>
      <c r="D17" s="4"/>
      <c r="F17" s="3">
        <v>-0.0580833</v>
      </c>
      <c r="G17" s="3">
        <v>-0.0580833</v>
      </c>
      <c r="H17" s="3">
        <v>-0.0580833</v>
      </c>
      <c r="I17" s="5">
        <f t="shared" si="3"/>
        <v>0</v>
      </c>
      <c r="J17" s="5">
        <f t="shared" si="5"/>
        <v>0.27127764</v>
      </c>
      <c r="K17" s="7">
        <v>0.0938681</v>
      </c>
      <c r="L17" s="5">
        <f t="shared" si="4"/>
        <v>2.889987546</v>
      </c>
    </row>
    <row r="18">
      <c r="A18" s="27" t="s">
        <v>28</v>
      </c>
      <c r="B18" s="4"/>
      <c r="C18" s="4"/>
      <c r="D18" s="4"/>
      <c r="F18" s="3">
        <v>-0.0580833</v>
      </c>
      <c r="G18" s="3">
        <v>-0.0580833</v>
      </c>
      <c r="H18" s="3">
        <v>-0.0580833</v>
      </c>
      <c r="I18" s="5">
        <f t="shared" si="3"/>
        <v>0</v>
      </c>
      <c r="J18" s="7">
        <v>0.0</v>
      </c>
      <c r="K18" s="7">
        <v>0.0</v>
      </c>
      <c r="L18" s="5" t="str">
        <f t="shared" si="4"/>
        <v>#DIV/0!</v>
      </c>
    </row>
    <row r="19">
      <c r="A19" s="27" t="s">
        <v>29</v>
      </c>
      <c r="B19" s="9"/>
      <c r="C19" s="3">
        <v>359077.0</v>
      </c>
      <c r="D19" s="3">
        <v>312177.0</v>
      </c>
      <c r="F19" s="3"/>
      <c r="G19" s="3">
        <v>0.05714914</v>
      </c>
      <c r="H19" s="3">
        <v>0.04209832</v>
      </c>
      <c r="I19" s="5">
        <f t="shared" si="3"/>
        <v>0.01064253688</v>
      </c>
      <c r="J19" s="5">
        <f>AVERAGE(F16:H16)</f>
        <v>0.34825794</v>
      </c>
      <c r="K19" s="7">
        <v>0.13152037</v>
      </c>
      <c r="L19" s="5">
        <f t="shared" si="4"/>
        <v>2.647939175</v>
      </c>
    </row>
    <row r="20">
      <c r="A20" s="27" t="s">
        <v>30</v>
      </c>
      <c r="B20" s="3">
        <v>531512.85</v>
      </c>
      <c r="C20" s="3">
        <v>637125.27</v>
      </c>
      <c r="D20" s="3">
        <v>538151.75</v>
      </c>
      <c r="F20" s="3">
        <v>0.11248603</v>
      </c>
      <c r="G20" s="3">
        <v>0.14637842</v>
      </c>
      <c r="H20" s="3">
        <v>0.11461654</v>
      </c>
      <c r="I20" s="5">
        <f t="shared" si="3"/>
        <v>0.01898266838</v>
      </c>
      <c r="J20" s="5">
        <f>AVERAGE(F20:H20)</f>
        <v>0.1244936633</v>
      </c>
      <c r="K20" s="7">
        <v>0.02006847</v>
      </c>
      <c r="L20" s="5">
        <f t="shared" si="4"/>
        <v>6.20344567</v>
      </c>
    </row>
    <row r="22">
      <c r="F22" s="5">
        <f>average(F13:H13)</f>
        <v>0.3075740967</v>
      </c>
      <c r="G22" s="5">
        <f>F22/F23</f>
        <v>6.198125306</v>
      </c>
    </row>
    <row r="23">
      <c r="F23" s="5">
        <f>average(G19:H19)</f>
        <v>0.04962373</v>
      </c>
      <c r="G23" s="5">
        <f>(sqrt((I13/F22)^2+(I19/F23)^2))*G22</f>
        <v>1.638530631</v>
      </c>
    </row>
  </sheetData>
  <mergeCells count="1"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31</v>
      </c>
    </row>
    <row r="2">
      <c r="B2" s="7" t="s">
        <v>16</v>
      </c>
      <c r="H2" s="7" t="s">
        <v>17</v>
      </c>
    </row>
    <row r="3">
      <c r="A3" s="28"/>
      <c r="B3" s="29" t="s">
        <v>32</v>
      </c>
      <c r="C3" s="29" t="s">
        <v>33</v>
      </c>
      <c r="D3" s="29" t="s">
        <v>34</v>
      </c>
      <c r="E3" s="29" t="s">
        <v>35</v>
      </c>
      <c r="F3" s="29" t="s">
        <v>36</v>
      </c>
    </row>
    <row r="4">
      <c r="A4" s="30">
        <v>1.1574074074074073E-5</v>
      </c>
      <c r="B4" s="3">
        <v>38646.14</v>
      </c>
      <c r="C4" s="3">
        <v>50357.78</v>
      </c>
      <c r="D4" s="3">
        <v>42819.43</v>
      </c>
      <c r="E4" s="3">
        <v>34843.41</v>
      </c>
      <c r="F4" s="3">
        <v>34761.07</v>
      </c>
      <c r="H4" s="5">
        <f t="shared" ref="H4:L4" si="1">((B4+18732)/673731)*1000</f>
        <v>85.1647616</v>
      </c>
      <c r="I4" s="5">
        <f t="shared" si="1"/>
        <v>102.5480199</v>
      </c>
      <c r="J4" s="5">
        <f t="shared" si="1"/>
        <v>91.35905873</v>
      </c>
      <c r="K4" s="5">
        <f t="shared" si="1"/>
        <v>79.52047627</v>
      </c>
      <c r="L4" s="5">
        <f t="shared" si="1"/>
        <v>79.39826132</v>
      </c>
    </row>
    <row r="5">
      <c r="A5" s="30">
        <v>6.944444444444445E-4</v>
      </c>
      <c r="B5" s="3">
        <v>45485.02</v>
      </c>
      <c r="C5" s="3">
        <v>56149.67</v>
      </c>
      <c r="D5" s="3">
        <v>42766.21</v>
      </c>
      <c r="E5" s="3">
        <v>50030.51</v>
      </c>
      <c r="F5" s="3">
        <v>43524.56</v>
      </c>
      <c r="H5" s="5">
        <f t="shared" ref="H5:L5" si="2">((B5+18732)/673731)*1000</f>
        <v>95.3155191</v>
      </c>
      <c r="I5" s="5">
        <f t="shared" si="2"/>
        <v>111.1447596</v>
      </c>
      <c r="J5" s="5">
        <f t="shared" si="2"/>
        <v>91.28006578</v>
      </c>
      <c r="K5" s="5">
        <f t="shared" si="2"/>
        <v>102.0622622</v>
      </c>
      <c r="L5" s="5">
        <f t="shared" si="2"/>
        <v>92.40566339</v>
      </c>
    </row>
    <row r="6">
      <c r="A6" s="30">
        <v>0.003472222222222222</v>
      </c>
      <c r="B6" s="3">
        <v>92651.38</v>
      </c>
      <c r="C6" s="3">
        <v>85766.1</v>
      </c>
      <c r="D6" s="3">
        <v>80457.01</v>
      </c>
      <c r="E6" s="3">
        <v>89525.07</v>
      </c>
      <c r="F6" s="3">
        <v>74845.85</v>
      </c>
      <c r="H6" s="5">
        <f t="shared" ref="H6:L6" si="3">((B6+18732)/673731)*1000</f>
        <v>165.3232225</v>
      </c>
      <c r="I6" s="5">
        <f t="shared" si="3"/>
        <v>155.1035948</v>
      </c>
      <c r="J6" s="5">
        <f t="shared" si="3"/>
        <v>147.2234616</v>
      </c>
      <c r="K6" s="5">
        <f t="shared" si="3"/>
        <v>160.6829283</v>
      </c>
      <c r="L6" s="5">
        <f t="shared" si="3"/>
        <v>138.8949744</v>
      </c>
    </row>
    <row r="7">
      <c r="A7" s="30">
        <v>0.006944444444444444</v>
      </c>
      <c r="B7" s="3">
        <v>140949.3</v>
      </c>
      <c r="C7" s="3">
        <v>135773.7</v>
      </c>
      <c r="D7" s="3">
        <v>157455.2</v>
      </c>
      <c r="E7" s="3">
        <v>134520.9</v>
      </c>
      <c r="F7" s="3">
        <v>133320.9</v>
      </c>
      <c r="H7" s="5">
        <f t="shared" ref="H7:L7" si="4">((B7+18732)/673731)*1000</f>
        <v>237.0104686</v>
      </c>
      <c r="I7" s="5">
        <f t="shared" si="4"/>
        <v>229.3284709</v>
      </c>
      <c r="J7" s="5">
        <f t="shared" si="4"/>
        <v>261.5097123</v>
      </c>
      <c r="K7" s="5">
        <f t="shared" si="4"/>
        <v>227.468975</v>
      </c>
      <c r="L7" s="5">
        <f t="shared" si="4"/>
        <v>225.6878487</v>
      </c>
    </row>
    <row r="8">
      <c r="A8" s="30">
        <v>0.020833333333333332</v>
      </c>
      <c r="B8" s="3">
        <v>286911.6</v>
      </c>
      <c r="C8" s="3">
        <v>239423.7</v>
      </c>
      <c r="D8" s="3">
        <v>254935.7</v>
      </c>
      <c r="E8" s="3">
        <v>281134.3</v>
      </c>
      <c r="F8" s="3">
        <v>221751.2</v>
      </c>
      <c r="H8" s="5">
        <f t="shared" ref="H8:L8" si="5">((B8+18732)/673731)*1000</f>
        <v>453.6582108</v>
      </c>
      <c r="I8" s="5">
        <f t="shared" si="5"/>
        <v>383.1732546</v>
      </c>
      <c r="J8" s="5">
        <f t="shared" si="5"/>
        <v>406.1972805</v>
      </c>
      <c r="K8" s="5">
        <f t="shared" si="5"/>
        <v>445.0831266</v>
      </c>
      <c r="L8" s="5">
        <f t="shared" si="5"/>
        <v>356.9424592</v>
      </c>
    </row>
    <row r="9">
      <c r="A9" s="30">
        <v>0.041666666666666664</v>
      </c>
      <c r="B9" s="3">
        <v>318114.9</v>
      </c>
      <c r="C9" s="3">
        <v>302074.9</v>
      </c>
      <c r="D9" s="3">
        <v>305345.2</v>
      </c>
      <c r="E9" s="3">
        <v>319858.4</v>
      </c>
      <c r="F9" s="3">
        <v>345332.2</v>
      </c>
      <c r="H9" s="5">
        <f t="shared" ref="H9:L9" si="6">((B9+18732)/673731)*1000</f>
        <v>499.9723925</v>
      </c>
      <c r="I9" s="5">
        <f t="shared" si="6"/>
        <v>476.1646711</v>
      </c>
      <c r="J9" s="5">
        <f t="shared" si="6"/>
        <v>481.0186855</v>
      </c>
      <c r="K9" s="5">
        <f t="shared" si="6"/>
        <v>502.5602206</v>
      </c>
      <c r="L9" s="5">
        <f t="shared" si="6"/>
        <v>540.3702665</v>
      </c>
    </row>
    <row r="10">
      <c r="A10" s="30">
        <v>0.08333333333333333</v>
      </c>
      <c r="B10" s="3">
        <v>349123.9</v>
      </c>
      <c r="C10" s="3">
        <v>306935.5</v>
      </c>
      <c r="D10" s="3">
        <v>352712.7</v>
      </c>
      <c r="E10" s="3">
        <v>346276.7</v>
      </c>
      <c r="F10" s="3">
        <v>349705.6</v>
      </c>
      <c r="H10" s="5">
        <f t="shared" ref="H10:L10" si="7">((B10+18732)/673731)*1000</f>
        <v>545.9981803</v>
      </c>
      <c r="I10" s="5">
        <f t="shared" si="7"/>
        <v>483.3791231</v>
      </c>
      <c r="J10" s="5">
        <f t="shared" si="7"/>
        <v>551.3249353</v>
      </c>
      <c r="K10" s="5">
        <f t="shared" si="7"/>
        <v>541.7721613</v>
      </c>
      <c r="L10" s="5">
        <f t="shared" si="7"/>
        <v>546.8615813</v>
      </c>
    </row>
    <row r="11">
      <c r="A11" s="30">
        <v>0.16666666666666666</v>
      </c>
      <c r="B11" s="3">
        <v>308381.1</v>
      </c>
      <c r="C11" s="3">
        <v>332828.4</v>
      </c>
      <c r="D11" s="3">
        <v>312633.0</v>
      </c>
      <c r="E11" s="3">
        <v>278747.2</v>
      </c>
      <c r="F11" s="3">
        <v>335473.5</v>
      </c>
      <c r="H11" s="5">
        <f t="shared" ref="H11:L11" si="8">((B11+18732)/673731)*1000</f>
        <v>485.5247866</v>
      </c>
      <c r="I11" s="5">
        <f t="shared" si="8"/>
        <v>521.8112273</v>
      </c>
      <c r="J11" s="5">
        <f t="shared" si="8"/>
        <v>491.8357623</v>
      </c>
      <c r="K11" s="5">
        <f t="shared" si="8"/>
        <v>441.5400212</v>
      </c>
      <c r="L11" s="5">
        <f t="shared" si="8"/>
        <v>525.737275</v>
      </c>
    </row>
    <row r="13">
      <c r="G13" s="1" t="s">
        <v>37</v>
      </c>
      <c r="H13" s="5">
        <f t="shared" ref="H13:L13" si="9">(H11/$L$11)</f>
        <v>0.9235121984</v>
      </c>
      <c r="I13" s="5">
        <f t="shared" si="9"/>
        <v>0.9925323012</v>
      </c>
      <c r="J13" s="5">
        <f t="shared" si="9"/>
        <v>0.9355162469</v>
      </c>
      <c r="K13" s="5">
        <f t="shared" si="9"/>
        <v>0.8398491836</v>
      </c>
      <c r="L13" s="5">
        <f t="shared" si="9"/>
        <v>1</v>
      </c>
    </row>
    <row r="14">
      <c r="A14" s="7"/>
      <c r="G14" s="7"/>
    </row>
    <row r="15">
      <c r="A15" s="7" t="s">
        <v>16</v>
      </c>
      <c r="E15" s="7" t="s">
        <v>17</v>
      </c>
    </row>
    <row r="16">
      <c r="A16" s="15" t="s">
        <v>38</v>
      </c>
      <c r="B16" s="15" t="s">
        <v>39</v>
      </c>
      <c r="C16" s="15" t="s">
        <v>40</v>
      </c>
      <c r="D16" s="31" t="s">
        <v>41</v>
      </c>
      <c r="E16" s="15" t="s">
        <v>38</v>
      </c>
      <c r="F16" s="15" t="s">
        <v>39</v>
      </c>
      <c r="G16" s="15" t="s">
        <v>40</v>
      </c>
      <c r="H16" s="31" t="s">
        <v>41</v>
      </c>
    </row>
    <row r="17">
      <c r="A17" s="3">
        <v>150101.0</v>
      </c>
      <c r="B17" s="3">
        <v>117103.8</v>
      </c>
      <c r="C17" s="3">
        <v>176711.2</v>
      </c>
      <c r="E17" s="5">
        <f t="shared" ref="E17:G17" si="10">((A17+18732)/673731)*1000</f>
        <v>250.5940798</v>
      </c>
      <c r="F17" s="5">
        <f t="shared" si="10"/>
        <v>201.6172627</v>
      </c>
      <c r="G17" s="5">
        <f t="shared" si="10"/>
        <v>290.0908523</v>
      </c>
    </row>
    <row r="18">
      <c r="A18" s="3">
        <v>173738.5</v>
      </c>
      <c r="B18" s="3">
        <v>175420.2</v>
      </c>
      <c r="C18" s="3">
        <v>195317.4</v>
      </c>
      <c r="E18" s="5">
        <f t="shared" ref="E18:G18" si="11">((A18+18732)/673731)*1000</f>
        <v>285.6785572</v>
      </c>
      <c r="F18" s="5">
        <f t="shared" si="11"/>
        <v>288.1746572</v>
      </c>
      <c r="G18" s="5">
        <f t="shared" si="11"/>
        <v>317.7075123</v>
      </c>
    </row>
    <row r="19">
      <c r="A19" s="9"/>
      <c r="B19" s="3">
        <v>316645.4</v>
      </c>
      <c r="C19" s="3">
        <v>282388.2</v>
      </c>
      <c r="F19" s="5">
        <f t="shared" ref="F19:G19" si="12">((B19+18732)/673731)*1000</f>
        <v>497.791255</v>
      </c>
      <c r="G19" s="5">
        <f t="shared" si="12"/>
        <v>446.9442552</v>
      </c>
    </row>
    <row r="20">
      <c r="A20" s="3">
        <v>284801.4</v>
      </c>
      <c r="B20" s="3">
        <v>352829.7</v>
      </c>
      <c r="C20" s="3">
        <v>288217.9</v>
      </c>
      <c r="E20" s="5">
        <f t="shared" ref="E20:G20" si="13">((A20+18732)/673731)*1000</f>
        <v>450.5261002</v>
      </c>
      <c r="F20" s="5">
        <f t="shared" si="13"/>
        <v>551.4985951</v>
      </c>
      <c r="G20" s="5">
        <f t="shared" si="13"/>
        <v>455.5971152</v>
      </c>
    </row>
    <row r="21">
      <c r="A21" s="3">
        <v>317636.0</v>
      </c>
      <c r="B21" s="3">
        <v>361934.1</v>
      </c>
      <c r="C21" s="3">
        <v>234587.9</v>
      </c>
      <c r="E21" s="5">
        <f t="shared" ref="E21:G21" si="14">((A21+18732)/673731)*1000</f>
        <v>499.2615747</v>
      </c>
      <c r="F21" s="5">
        <f t="shared" si="14"/>
        <v>565.0120003</v>
      </c>
      <c r="G21" s="5">
        <f t="shared" si="14"/>
        <v>375.9956125</v>
      </c>
    </row>
    <row r="22">
      <c r="A22" s="3">
        <v>263128.9</v>
      </c>
      <c r="B22" s="3">
        <v>313744.7</v>
      </c>
      <c r="C22" s="3">
        <v>297779.4</v>
      </c>
      <c r="E22" s="5">
        <f t="shared" ref="E22:G22" si="15">((A22+18732)/673731)*1000</f>
        <v>418.3582172</v>
      </c>
      <c r="F22" s="5">
        <f t="shared" si="15"/>
        <v>493.4858274</v>
      </c>
      <c r="G22" s="5">
        <f t="shared" si="15"/>
        <v>469.7889811</v>
      </c>
    </row>
    <row r="23">
      <c r="D23" s="1" t="s">
        <v>37</v>
      </c>
      <c r="E23" s="5">
        <f t="shared" ref="E23:G23" si="16">E22/$E$31</f>
        <v>0.7083161748</v>
      </c>
      <c r="F23" s="5">
        <f t="shared" si="16"/>
        <v>0.8355136323</v>
      </c>
      <c r="G23" s="5">
        <f t="shared" si="16"/>
        <v>0.7953928485</v>
      </c>
    </row>
    <row r="24">
      <c r="A24" s="15"/>
      <c r="B24" s="15"/>
      <c r="C24" s="15"/>
    </row>
    <row r="25">
      <c r="A25" s="15" t="s">
        <v>38</v>
      </c>
      <c r="B25" s="15" t="s">
        <v>39</v>
      </c>
      <c r="C25" s="15" t="s">
        <v>40</v>
      </c>
      <c r="D25" s="7" t="s">
        <v>42</v>
      </c>
      <c r="E25" s="15" t="s">
        <v>38</v>
      </c>
      <c r="F25" s="15" t="s">
        <v>39</v>
      </c>
      <c r="G25" s="15" t="s">
        <v>40</v>
      </c>
      <c r="H25" s="7" t="s">
        <v>42</v>
      </c>
    </row>
    <row r="26">
      <c r="A26" s="3">
        <v>126540.63</v>
      </c>
      <c r="B26" s="3">
        <v>166831.2</v>
      </c>
      <c r="C26" s="3">
        <v>129474.1</v>
      </c>
      <c r="E26" s="5">
        <f t="shared" ref="E26:G26" si="17">((A26+18732)/673731)*1000</f>
        <v>215.6240844</v>
      </c>
      <c r="F26" s="5">
        <f t="shared" si="17"/>
        <v>275.4262458</v>
      </c>
      <c r="G26" s="5">
        <f t="shared" si="17"/>
        <v>219.9781515</v>
      </c>
    </row>
    <row r="27">
      <c r="A27" s="3">
        <v>186297.0</v>
      </c>
      <c r="B27" s="3">
        <v>249310.68</v>
      </c>
      <c r="C27" s="3">
        <v>281642.21</v>
      </c>
      <c r="E27" s="5">
        <f t="shared" ref="E27:G27" si="18">((A27+18732)/673731)*1000</f>
        <v>304.318786</v>
      </c>
      <c r="F27" s="5">
        <f t="shared" si="18"/>
        <v>397.8482213</v>
      </c>
      <c r="G27" s="5">
        <f t="shared" si="18"/>
        <v>445.8370032</v>
      </c>
    </row>
    <row r="28">
      <c r="A28" s="3">
        <v>285987.04</v>
      </c>
      <c r="B28" s="3">
        <v>370446.88</v>
      </c>
      <c r="C28" s="3">
        <v>355044.26</v>
      </c>
      <c r="F28" s="5">
        <f t="shared" ref="F28:G28" si="19">((B28+18732)/673731)*1000</f>
        <v>577.6472806</v>
      </c>
      <c r="G28" s="5">
        <f t="shared" si="19"/>
        <v>554.7856043</v>
      </c>
    </row>
    <row r="29">
      <c r="A29" s="3">
        <v>370031.93</v>
      </c>
      <c r="B29" s="3">
        <v>406475.22</v>
      </c>
      <c r="C29" s="3">
        <v>360377.23</v>
      </c>
      <c r="E29" s="5">
        <f t="shared" ref="E29:G29" si="20">((A29+18732)/673731)*1000</f>
        <v>577.031382</v>
      </c>
      <c r="F29" s="5">
        <f t="shared" si="20"/>
        <v>631.1231337</v>
      </c>
      <c r="G29" s="5">
        <f t="shared" si="20"/>
        <v>562.7011819</v>
      </c>
    </row>
    <row r="30">
      <c r="A30" s="3">
        <v>411207.03</v>
      </c>
      <c r="B30" s="3">
        <v>420746.5</v>
      </c>
      <c r="C30" s="3">
        <v>350680.68</v>
      </c>
      <c r="E30" s="5">
        <f t="shared" ref="E30:G30" si="21">((A30+18732)/673731)*1000</f>
        <v>638.1464264</v>
      </c>
      <c r="F30" s="5">
        <f t="shared" si="21"/>
        <v>652.3055938</v>
      </c>
      <c r="G30" s="5">
        <f t="shared" si="21"/>
        <v>548.3088651</v>
      </c>
    </row>
    <row r="31">
      <c r="A31" s="3">
        <v>379198.91</v>
      </c>
      <c r="B31" s="3">
        <v>322876.33</v>
      </c>
      <c r="C31" s="3">
        <v>329263.71</v>
      </c>
      <c r="E31" s="5">
        <f t="shared" ref="E31:G31" si="22">((A31+18732)/673731)*1000</f>
        <v>590.6376729</v>
      </c>
      <c r="F31" s="5">
        <f t="shared" si="22"/>
        <v>507.0396494</v>
      </c>
      <c r="G31" s="5">
        <f t="shared" si="22"/>
        <v>516.5202581</v>
      </c>
    </row>
    <row r="32">
      <c r="D32" s="1" t="s">
        <v>37</v>
      </c>
      <c r="E32" s="5">
        <f t="shared" ref="E32:G32" si="23">E31/$E$31</f>
        <v>1</v>
      </c>
      <c r="F32" s="5">
        <f t="shared" si="23"/>
        <v>0.8584614098</v>
      </c>
      <c r="G32" s="5">
        <f t="shared" si="23"/>
        <v>0.8745128897</v>
      </c>
    </row>
    <row r="34">
      <c r="A34" s="26" t="s">
        <v>43</v>
      </c>
    </row>
    <row r="35">
      <c r="A35" s="7" t="s">
        <v>44</v>
      </c>
    </row>
    <row r="36">
      <c r="A36" s="7" t="s">
        <v>45</v>
      </c>
      <c r="D36" s="7" t="s">
        <v>17</v>
      </c>
    </row>
    <row r="37">
      <c r="A37" s="32" t="s">
        <v>46</v>
      </c>
      <c r="B37" s="32" t="s">
        <v>47</v>
      </c>
      <c r="D37" s="32" t="s">
        <v>46</v>
      </c>
      <c r="E37" s="32" t="s">
        <v>47</v>
      </c>
    </row>
    <row r="38">
      <c r="A38" s="33"/>
      <c r="B38" s="34">
        <v>14667.36</v>
      </c>
      <c r="D38" s="33"/>
      <c r="E38" s="34">
        <f t="shared" ref="E38:E40" si="24">(B38-11941)/409.76</f>
        <v>6.653553299</v>
      </c>
    </row>
    <row r="39">
      <c r="A39" s="35"/>
      <c r="B39" s="34">
        <v>20436.88</v>
      </c>
      <c r="D39" s="35"/>
      <c r="E39" s="34">
        <f t="shared" si="24"/>
        <v>20.73379539</v>
      </c>
      <c r="H39" s="3"/>
      <c r="I39" s="3"/>
      <c r="J39" s="3"/>
      <c r="K39" s="3"/>
    </row>
    <row r="40">
      <c r="A40" s="35"/>
      <c r="B40" s="34">
        <v>20608.75</v>
      </c>
      <c r="D40" s="35"/>
      <c r="E40" s="34">
        <f t="shared" si="24"/>
        <v>21.15323604</v>
      </c>
      <c r="H40" s="3"/>
      <c r="I40" s="3"/>
      <c r="J40" s="3"/>
      <c r="K40" s="3"/>
    </row>
    <row r="41">
      <c r="A41" s="32" t="s">
        <v>48</v>
      </c>
      <c r="B41" s="32" t="s">
        <v>49</v>
      </c>
      <c r="D41" s="32" t="s">
        <v>48</v>
      </c>
      <c r="E41" s="32" t="s">
        <v>49</v>
      </c>
    </row>
    <row r="42">
      <c r="A42" s="34">
        <v>37385.26</v>
      </c>
      <c r="B42" s="34">
        <v>124800.1</v>
      </c>
      <c r="D42" s="34">
        <f t="shared" ref="D42:E42" si="25">(A42-11941)/409.76</f>
        <v>62.09551933</v>
      </c>
      <c r="E42" s="34">
        <f t="shared" si="25"/>
        <v>275.4273233</v>
      </c>
    </row>
    <row r="43">
      <c r="A43" s="34">
        <v>33879.28</v>
      </c>
      <c r="B43" s="34">
        <v>175617.47</v>
      </c>
      <c r="D43" s="34">
        <f t="shared" ref="D43:E43" si="26">(A43-11941)/409.76</f>
        <v>53.5393401</v>
      </c>
      <c r="E43" s="34">
        <f t="shared" si="26"/>
        <v>399.4447237</v>
      </c>
    </row>
    <row r="44">
      <c r="A44" s="34">
        <v>44083.21</v>
      </c>
      <c r="B44" s="34">
        <v>207134.13</v>
      </c>
      <c r="D44" s="34">
        <f t="shared" ref="D44:E44" si="27">(A44-11941)/409.76</f>
        <v>78.44155115</v>
      </c>
      <c r="E44" s="34">
        <f t="shared" si="27"/>
        <v>476.3596496</v>
      </c>
    </row>
    <row r="45">
      <c r="C45" s="7" t="s">
        <v>50</v>
      </c>
      <c r="D45" s="5">
        <f t="shared" ref="D45:E45" si="28">average(D42:D44)</f>
        <v>64.69213686</v>
      </c>
      <c r="E45" s="5">
        <f t="shared" si="28"/>
        <v>383.7438989</v>
      </c>
      <c r="F45" s="5">
        <f>average(E45/D45)</f>
        <v>5.931847632</v>
      </c>
    </row>
    <row r="46">
      <c r="A46" s="26" t="s">
        <v>43</v>
      </c>
      <c r="C46" s="7" t="s">
        <v>51</v>
      </c>
      <c r="D46" s="5">
        <f t="shared" ref="D46:E46" si="29">STDEV(D42:D44)</f>
        <v>12.65254305</v>
      </c>
      <c r="E46" s="5">
        <f t="shared" si="29"/>
        <v>101.3821328</v>
      </c>
    </row>
    <row r="47">
      <c r="A47" s="7">
        <v>231031.0</v>
      </c>
    </row>
    <row r="48">
      <c r="B48" s="7" t="s">
        <v>52</v>
      </c>
      <c r="G48" s="7" t="s">
        <v>17</v>
      </c>
    </row>
    <row r="49">
      <c r="B49" s="36" t="s">
        <v>53</v>
      </c>
      <c r="D49" s="15" t="s">
        <v>54</v>
      </c>
      <c r="G49" s="36" t="s">
        <v>53</v>
      </c>
      <c r="I49" s="15" t="s">
        <v>54</v>
      </c>
    </row>
    <row r="50">
      <c r="A50" s="7" t="s">
        <v>55</v>
      </c>
      <c r="B50" s="37">
        <v>512670.02</v>
      </c>
      <c r="C50" s="37">
        <v>709956.88</v>
      </c>
      <c r="D50" s="37">
        <v>236805.61</v>
      </c>
      <c r="E50" s="37">
        <v>291807.93</v>
      </c>
      <c r="G50" s="38"/>
      <c r="H50" s="3">
        <v>1.08157244</v>
      </c>
      <c r="I50" s="3">
        <v>0.3792873</v>
      </c>
      <c r="J50" s="3">
        <v>0.4609257</v>
      </c>
    </row>
    <row r="51">
      <c r="A51" s="7" t="s">
        <v>56</v>
      </c>
      <c r="B51" s="37">
        <v>630908.5</v>
      </c>
      <c r="C51" s="37">
        <v>642077.2</v>
      </c>
      <c r="D51" s="37">
        <v>1657679.91</v>
      </c>
      <c r="E51" s="37">
        <v>1681640.0</v>
      </c>
      <c r="G51" s="3">
        <v>0.96424315</v>
      </c>
      <c r="H51" s="3">
        <v>0.98082054</v>
      </c>
      <c r="I51" s="3">
        <v>2.48825111</v>
      </c>
      <c r="J51" s="3">
        <v>2.5238144</v>
      </c>
    </row>
    <row r="52">
      <c r="A52" s="7" t="s">
        <v>36</v>
      </c>
      <c r="B52" s="37">
        <v>205431.97</v>
      </c>
      <c r="C52" s="37">
        <v>254954.47</v>
      </c>
      <c r="D52" s="37">
        <v>229412.56</v>
      </c>
      <c r="E52" s="37">
        <v>254505.04</v>
      </c>
      <c r="G52" s="3">
        <v>0.33272028</v>
      </c>
      <c r="H52" s="3">
        <v>0.40622514</v>
      </c>
      <c r="I52" s="3">
        <v>0.368314</v>
      </c>
      <c r="J52" s="3">
        <v>0.40555806</v>
      </c>
    </row>
    <row r="54">
      <c r="G54" s="39">
        <v>230503.0</v>
      </c>
      <c r="H54" s="40" t="s">
        <v>57</v>
      </c>
    </row>
    <row r="55">
      <c r="G55" s="5">
        <f t="shared" ref="G55:J55" si="30">((B50-473521)/2627101)*1000</f>
        <v>14.90198512</v>
      </c>
      <c r="H55" s="5">
        <f t="shared" si="30"/>
        <v>89.99877812</v>
      </c>
      <c r="I55" s="5">
        <f t="shared" si="30"/>
        <v>-90.10517296</v>
      </c>
      <c r="J55" s="5">
        <f t="shared" si="30"/>
        <v>-69.16866538</v>
      </c>
    </row>
    <row r="56">
      <c r="G56" s="5">
        <f t="shared" ref="G56:J56" si="31">((B51-473521)/2627101)*1000</f>
        <v>59.90919268</v>
      </c>
      <c r="H56" s="5">
        <f t="shared" si="31"/>
        <v>64.16053285</v>
      </c>
      <c r="I56" s="5">
        <f t="shared" si="31"/>
        <v>450.7473866</v>
      </c>
      <c r="J56" s="5">
        <f t="shared" si="31"/>
        <v>459.8677401</v>
      </c>
    </row>
    <row r="57">
      <c r="G57" s="5">
        <f t="shared" ref="G57:J57" si="32">((B52-473521)/2627101)*1000</f>
        <v>-102.0474774</v>
      </c>
      <c r="H57" s="5">
        <f t="shared" si="32"/>
        <v>-83.19685083</v>
      </c>
      <c r="I57" s="5">
        <f t="shared" si="32"/>
        <v>-92.91932057</v>
      </c>
      <c r="J57" s="5">
        <f t="shared" si="32"/>
        <v>-83.36792533</v>
      </c>
    </row>
    <row r="60">
      <c r="H60" s="40"/>
    </row>
    <row r="61">
      <c r="G61" s="5">
        <f t="shared" ref="G61:J61" si="33">((B50-219238)/1117410)*1000</f>
        <v>262.6001378</v>
      </c>
      <c r="H61" s="5">
        <f t="shared" si="33"/>
        <v>439.1574087</v>
      </c>
      <c r="I61" s="5">
        <f t="shared" si="33"/>
        <v>15.72172255</v>
      </c>
      <c r="J61" s="5">
        <f t="shared" si="33"/>
        <v>64.94476513</v>
      </c>
    </row>
    <row r="62">
      <c r="G62" s="5">
        <f t="shared" ref="G62:J62" si="34">((B51-219238)/1117410)*1000</f>
        <v>368.4149059</v>
      </c>
      <c r="H62" s="5">
        <f t="shared" si="34"/>
        <v>378.4100733</v>
      </c>
      <c r="I62" s="5">
        <f t="shared" si="34"/>
        <v>1287.300015</v>
      </c>
      <c r="J62" s="5">
        <f t="shared" si="34"/>
        <v>1308.742539</v>
      </c>
    </row>
    <row r="63">
      <c r="G63" s="5">
        <f t="shared" ref="G63:J63" si="35">((B52-219238)/1117410)*1000</f>
        <v>-12.35538433</v>
      </c>
      <c r="H63" s="5">
        <f t="shared" si="35"/>
        <v>31.96362123</v>
      </c>
      <c r="I63" s="5">
        <f t="shared" si="35"/>
        <v>9.105485006</v>
      </c>
      <c r="J63" s="5">
        <f t="shared" si="35"/>
        <v>31.56141434</v>
      </c>
    </row>
  </sheetData>
  <mergeCells count="4">
    <mergeCell ref="B49:C49"/>
    <mergeCell ref="D49:E49"/>
    <mergeCell ref="G49:H49"/>
    <mergeCell ref="I49:J4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58</v>
      </c>
    </row>
    <row r="2">
      <c r="A2" s="7">
        <v>230821.0</v>
      </c>
      <c r="B2" s="7" t="s">
        <v>16</v>
      </c>
      <c r="E2" s="7" t="s">
        <v>17</v>
      </c>
    </row>
    <row r="3">
      <c r="A3" s="27" t="s">
        <v>59</v>
      </c>
      <c r="B3" s="3">
        <v>624417.68</v>
      </c>
      <c r="C3" s="3">
        <v>511634.86</v>
      </c>
      <c r="D3" s="4"/>
      <c r="E3" s="3">
        <v>298.215726</v>
      </c>
      <c r="F3" s="3">
        <v>240.171268</v>
      </c>
      <c r="G3" s="4"/>
      <c r="H3" s="4"/>
    </row>
    <row r="4">
      <c r="A4" s="27" t="s">
        <v>36</v>
      </c>
      <c r="B4" s="3">
        <v>178370.72</v>
      </c>
      <c r="C4" s="3">
        <v>162676.78</v>
      </c>
      <c r="E4" s="3">
        <v>68.6545736</v>
      </c>
      <c r="F4" s="3">
        <v>60.5775789</v>
      </c>
    </row>
    <row r="5">
      <c r="A5" s="27"/>
    </row>
    <row r="7">
      <c r="A7" s="1" t="s">
        <v>60</v>
      </c>
      <c r="B7" s="7" t="s">
        <v>61</v>
      </c>
      <c r="C7" s="7">
        <v>230425.0</v>
      </c>
    </row>
    <row r="8">
      <c r="B8" s="31" t="s">
        <v>62</v>
      </c>
      <c r="F8" s="31" t="s">
        <v>63</v>
      </c>
    </row>
    <row r="9">
      <c r="A9" s="27" t="s">
        <v>64</v>
      </c>
      <c r="B9" s="3">
        <v>1033.812991</v>
      </c>
      <c r="C9" s="3">
        <v>1100.789446</v>
      </c>
      <c r="D9" s="3">
        <v>1089.403134</v>
      </c>
      <c r="F9" s="3">
        <v>458.1783056</v>
      </c>
      <c r="G9" s="3">
        <v>593.372827</v>
      </c>
      <c r="H9" s="3">
        <v>682.3741781</v>
      </c>
    </row>
    <row r="10">
      <c r="A10" s="27" t="s">
        <v>13</v>
      </c>
      <c r="B10" s="3">
        <v>208.6906431</v>
      </c>
      <c r="C10" s="3">
        <v>284.7758905</v>
      </c>
      <c r="D10" s="3">
        <v>326.9752993</v>
      </c>
      <c r="F10" s="3">
        <v>21.42158011</v>
      </c>
      <c r="G10" s="3">
        <v>17.92427097</v>
      </c>
      <c r="H10" s="3">
        <v>32.69204232</v>
      </c>
    </row>
    <row r="11">
      <c r="A11" s="27" t="s">
        <v>12</v>
      </c>
      <c r="B11" s="3">
        <v>123.0553479</v>
      </c>
      <c r="C11" s="3">
        <v>113.0370879</v>
      </c>
      <c r="D11" s="3">
        <v>113.8977764</v>
      </c>
      <c r="F11" s="3">
        <v>60.97762916</v>
      </c>
      <c r="G11" s="3">
        <v>59.42473148</v>
      </c>
      <c r="H11" s="3">
        <v>65.91102368</v>
      </c>
    </row>
    <row r="13">
      <c r="B13" s="7" t="s">
        <v>65</v>
      </c>
      <c r="C13" s="7" t="s">
        <v>66</v>
      </c>
      <c r="F13" s="7" t="s">
        <v>65</v>
      </c>
      <c r="G13" s="7" t="s">
        <v>66</v>
      </c>
      <c r="I13" s="7" t="s">
        <v>67</v>
      </c>
    </row>
    <row r="14">
      <c r="A14" s="27" t="s">
        <v>64</v>
      </c>
      <c r="B14" s="5">
        <f t="shared" ref="B14:B16" si="1">average(B9:D9)</f>
        <v>1074.668524</v>
      </c>
      <c r="C14" s="5">
        <f t="shared" ref="C14:C16" si="2">stdev(B9:D9)</f>
        <v>35.83703304</v>
      </c>
      <c r="F14" s="5">
        <f t="shared" ref="F14:F16" si="3">average(F9:H9)</f>
        <v>577.9751036</v>
      </c>
      <c r="G14" s="5">
        <f t="shared" ref="G14:G16" si="4">stdev(F9:H9)</f>
        <v>112.8882843</v>
      </c>
      <c r="I14" s="5">
        <f t="shared" ref="I14:I16" si="5">B14-F14</f>
        <v>496.6934201</v>
      </c>
    </row>
    <row r="15">
      <c r="A15" s="27" t="s">
        <v>13</v>
      </c>
      <c r="B15" s="5">
        <f t="shared" si="1"/>
        <v>273.480611</v>
      </c>
      <c r="C15" s="5">
        <f t="shared" si="2"/>
        <v>59.94582953</v>
      </c>
      <c r="F15" s="5">
        <f t="shared" si="3"/>
        <v>24.01263113</v>
      </c>
      <c r="G15" s="5">
        <f t="shared" si="4"/>
        <v>7.717313439</v>
      </c>
      <c r="I15" s="5">
        <f t="shared" si="5"/>
        <v>249.4679798</v>
      </c>
    </row>
    <row r="16">
      <c r="A16" s="27" t="s">
        <v>12</v>
      </c>
      <c r="B16" s="5">
        <f t="shared" si="1"/>
        <v>116.6634041</v>
      </c>
      <c r="C16" s="5">
        <f t="shared" si="2"/>
        <v>5.552288326</v>
      </c>
      <c r="F16" s="5">
        <f t="shared" si="3"/>
        <v>62.10446144</v>
      </c>
      <c r="G16" s="5">
        <f t="shared" si="4"/>
        <v>3.386784591</v>
      </c>
      <c r="I16" s="5">
        <f t="shared" si="5"/>
        <v>54.55894263</v>
      </c>
    </row>
    <row r="19">
      <c r="A19" s="7" t="s">
        <v>68</v>
      </c>
      <c r="B19" s="7" t="s">
        <v>69</v>
      </c>
      <c r="C19" s="7" t="s">
        <v>70</v>
      </c>
      <c r="D19" s="7" t="s">
        <v>71</v>
      </c>
      <c r="E19" s="7" t="s">
        <v>72</v>
      </c>
      <c r="F19" s="7" t="s">
        <v>73</v>
      </c>
      <c r="H19" s="7" t="s">
        <v>74</v>
      </c>
    </row>
    <row r="20">
      <c r="A20" s="5">
        <f>1075-578</f>
        <v>497</v>
      </c>
      <c r="B20" s="5">
        <f t="shared" ref="B20:B23" si="6">25*10^-6</f>
        <v>0.000025</v>
      </c>
      <c r="C20" s="5">
        <f t="shared" ref="C20:C23" si="7">A20*B20</f>
        <v>0.012425</v>
      </c>
      <c r="D20" s="5">
        <f t="shared" ref="D20:D21" si="8">C20*44</f>
        <v>0.5467</v>
      </c>
      <c r="E20" s="5">
        <f t="shared" ref="E20:E23" si="9">D20*1000</f>
        <v>546.7</v>
      </c>
      <c r="F20" s="5">
        <f t="shared" ref="F20:F21" si="10">D20/$D$23</f>
        <v>0.497</v>
      </c>
      <c r="H20" s="5">
        <f>sqrt(36^2+113^2)</f>
        <v>118.5959527</v>
      </c>
      <c r="I20" s="5">
        <f t="shared" ref="I20:I22" si="11">H20*B20</f>
        <v>0.002964898818</v>
      </c>
      <c r="J20" s="5">
        <f t="shared" ref="J20:J22" si="12">(I20*44)*1000</f>
        <v>130.455548</v>
      </c>
      <c r="K20" s="5">
        <f t="shared" ref="K20:K22" si="13">J20/$E$23</f>
        <v>0.1185959527</v>
      </c>
    </row>
    <row r="21">
      <c r="A21" s="5">
        <f>273-24</f>
        <v>249</v>
      </c>
      <c r="B21" s="5">
        <f t="shared" si="6"/>
        <v>0.000025</v>
      </c>
      <c r="C21" s="5">
        <f t="shared" si="7"/>
        <v>0.006225</v>
      </c>
      <c r="D21" s="5">
        <f t="shared" si="8"/>
        <v>0.2739</v>
      </c>
      <c r="E21" s="5">
        <f t="shared" si="9"/>
        <v>273.9</v>
      </c>
      <c r="F21" s="5">
        <f t="shared" si="10"/>
        <v>0.249</v>
      </c>
      <c r="H21" s="5">
        <f>sqrt(60^2+8^2)</f>
        <v>60.5309838</v>
      </c>
      <c r="I21" s="5">
        <f t="shared" si="11"/>
        <v>0.001513274595</v>
      </c>
      <c r="J21" s="5">
        <f t="shared" si="12"/>
        <v>66.58408218</v>
      </c>
      <c r="K21" s="5">
        <f t="shared" si="13"/>
        <v>0.0605309838</v>
      </c>
    </row>
    <row r="22">
      <c r="A22" s="5">
        <f>117-62</f>
        <v>55</v>
      </c>
      <c r="B22" s="5">
        <f t="shared" si="6"/>
        <v>0.000025</v>
      </c>
      <c r="C22" s="5">
        <f t="shared" si="7"/>
        <v>0.001375</v>
      </c>
      <c r="D22" s="5">
        <f>C22*44*2</f>
        <v>0.121</v>
      </c>
      <c r="E22" s="5">
        <f t="shared" si="9"/>
        <v>121</v>
      </c>
      <c r="F22" s="5">
        <f>D22/($D$23*2)</f>
        <v>0.055</v>
      </c>
      <c r="H22" s="5">
        <f>sqrt(6^2+3^2)</f>
        <v>6.708203932</v>
      </c>
      <c r="I22" s="5">
        <f t="shared" si="11"/>
        <v>0.0001677050983</v>
      </c>
      <c r="J22" s="5">
        <f t="shared" si="12"/>
        <v>7.379024326</v>
      </c>
      <c r="K22" s="5">
        <f t="shared" si="13"/>
        <v>0.006708203932</v>
      </c>
    </row>
    <row r="23">
      <c r="A23" s="7">
        <v>1000.0</v>
      </c>
      <c r="B23" s="5">
        <f t="shared" si="6"/>
        <v>0.000025</v>
      </c>
      <c r="C23" s="5">
        <f t="shared" si="7"/>
        <v>0.025</v>
      </c>
      <c r="D23" s="5">
        <f>C23*44</f>
        <v>1.1</v>
      </c>
      <c r="E23" s="5">
        <f t="shared" si="9"/>
        <v>1100</v>
      </c>
      <c r="F23" s="5">
        <f>D23/$D$23</f>
        <v>1</v>
      </c>
    </row>
    <row r="26">
      <c r="A26" s="41" t="s">
        <v>75</v>
      </c>
    </row>
    <row r="27">
      <c r="A27" s="41" t="s">
        <v>76</v>
      </c>
    </row>
    <row r="28">
      <c r="A28" s="41" t="s">
        <v>77</v>
      </c>
    </row>
    <row r="29">
      <c r="A29" s="41" t="s">
        <v>78</v>
      </c>
    </row>
    <row r="30">
      <c r="A30" s="41" t="s">
        <v>79</v>
      </c>
    </row>
    <row r="31">
      <c r="A31" s="41" t="s">
        <v>80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81</v>
      </c>
    </row>
    <row r="2">
      <c r="A2" s="7">
        <v>23610.0</v>
      </c>
      <c r="B2" s="7" t="s">
        <v>82</v>
      </c>
      <c r="F2" s="7" t="s">
        <v>65</v>
      </c>
      <c r="G2" s="7" t="s">
        <v>22</v>
      </c>
    </row>
    <row r="3">
      <c r="A3" s="42" t="s">
        <v>62</v>
      </c>
      <c r="B3" s="3">
        <v>153.4366926</v>
      </c>
      <c r="C3" s="3">
        <v>218.2448614</v>
      </c>
      <c r="D3" s="3">
        <v>163.7056342</v>
      </c>
      <c r="E3" s="4"/>
      <c r="F3" s="5">
        <f t="shared" ref="F3:F4" si="1">average(B3:D3)</f>
        <v>178.4623961</v>
      </c>
      <c r="G3" s="5">
        <f t="shared" ref="G3:G4" si="2">stdev(B3:D3)</f>
        <v>34.83311932</v>
      </c>
    </row>
    <row r="4">
      <c r="A4" s="27" t="s">
        <v>83</v>
      </c>
      <c r="B4" s="3">
        <v>106.7144125</v>
      </c>
      <c r="C4" s="3">
        <v>108.2441666</v>
      </c>
      <c r="D4" s="3">
        <v>116.4496177</v>
      </c>
      <c r="F4" s="5">
        <f t="shared" si="1"/>
        <v>110.4693989</v>
      </c>
      <c r="G4" s="5">
        <f t="shared" si="2"/>
        <v>5.235198112</v>
      </c>
    </row>
    <row r="7">
      <c r="A7" s="7" t="s">
        <v>84</v>
      </c>
      <c r="B7" s="7">
        <v>230503.0</v>
      </c>
      <c r="I7" s="7" t="s">
        <v>65</v>
      </c>
      <c r="J7" s="7" t="s">
        <v>22</v>
      </c>
      <c r="K7" s="7" t="s">
        <v>85</v>
      </c>
    </row>
    <row r="8">
      <c r="A8" s="42" t="s">
        <v>62</v>
      </c>
      <c r="B8" s="3">
        <v>31.24823</v>
      </c>
      <c r="C8" s="3">
        <v>91.87278</v>
      </c>
      <c r="D8" s="3">
        <v>108.5522</v>
      </c>
      <c r="E8" s="3">
        <v>35.8632</v>
      </c>
      <c r="F8" s="3">
        <v>24.17442</v>
      </c>
      <c r="G8" s="3">
        <v>92.75242</v>
      </c>
      <c r="I8" s="5">
        <v>64.07720833333333</v>
      </c>
      <c r="J8" s="5">
        <v>37.52037061003978</v>
      </c>
      <c r="K8" s="7">
        <v>1000.0</v>
      </c>
    </row>
    <row r="11">
      <c r="A11" s="27" t="s">
        <v>83</v>
      </c>
      <c r="B11" s="3">
        <v>8.929377</v>
      </c>
      <c r="C11" s="3">
        <v>-0.40488</v>
      </c>
      <c r="D11" s="3">
        <v>3.45456</v>
      </c>
      <c r="E11" s="3">
        <v>-7.33774</v>
      </c>
      <c r="F11" s="3">
        <v>-16.6302</v>
      </c>
      <c r="G11" s="3">
        <v>-58.0833</v>
      </c>
      <c r="I11" s="5">
        <v>-11.678697166666666</v>
      </c>
      <c r="J11" s="5">
        <v>24.403096526422548</v>
      </c>
    </row>
    <row r="12">
      <c r="H12" s="7" t="s">
        <v>86</v>
      </c>
      <c r="I12" s="5">
        <f>I8-I11</f>
        <v>75.7559055</v>
      </c>
      <c r="J12" s="5">
        <f>sqrt(J8^2+J11^2)</f>
        <v>44.75812028</v>
      </c>
    </row>
    <row r="14">
      <c r="B14" s="43" t="s">
        <v>87</v>
      </c>
      <c r="H14" s="43" t="s">
        <v>88</v>
      </c>
      <c r="N14" s="7" t="s">
        <v>85</v>
      </c>
    </row>
    <row r="15">
      <c r="A15" s="7" t="s">
        <v>70</v>
      </c>
      <c r="B15" s="5">
        <f t="shared" ref="B15:G15" si="3">(B8*0.00025)</f>
        <v>0.0078120575</v>
      </c>
      <c r="C15" s="5">
        <f t="shared" si="3"/>
        <v>0.022968195</v>
      </c>
      <c r="D15" s="5">
        <f t="shared" si="3"/>
        <v>0.02713805</v>
      </c>
      <c r="E15" s="5">
        <f t="shared" si="3"/>
        <v>0.0089658</v>
      </c>
      <c r="F15" s="5">
        <f t="shared" si="3"/>
        <v>0.006043605</v>
      </c>
      <c r="G15" s="5">
        <f t="shared" si="3"/>
        <v>0.023188105</v>
      </c>
      <c r="H15" s="5">
        <f t="shared" ref="H15:M15" si="4">(B11*0.00025)</f>
        <v>0.00223234425</v>
      </c>
      <c r="I15" s="5">
        <f t="shared" si="4"/>
        <v>-0.00010122</v>
      </c>
      <c r="J15" s="5">
        <f t="shared" si="4"/>
        <v>0.00086364</v>
      </c>
      <c r="K15" s="5">
        <f t="shared" si="4"/>
        <v>-0.001834435</v>
      </c>
      <c r="L15" s="5">
        <f t="shared" si="4"/>
        <v>-0.00415755</v>
      </c>
      <c r="M15" s="5">
        <f t="shared" si="4"/>
        <v>-0.014520825</v>
      </c>
      <c r="N15" s="5">
        <f>K8*0.00025</f>
        <v>0.25</v>
      </c>
    </row>
    <row r="16">
      <c r="A16" s="7" t="s">
        <v>89</v>
      </c>
      <c r="B16" s="5">
        <f t="shared" ref="B16:N16" si="5">((B15)*0.000088)*10^9</f>
        <v>687.46106</v>
      </c>
      <c r="C16" s="5">
        <f t="shared" si="5"/>
        <v>2021.20116</v>
      </c>
      <c r="D16" s="5">
        <f t="shared" si="5"/>
        <v>2388.1484</v>
      </c>
      <c r="E16" s="5">
        <f t="shared" si="5"/>
        <v>788.9904</v>
      </c>
      <c r="F16" s="5">
        <f t="shared" si="5"/>
        <v>531.83724</v>
      </c>
      <c r="G16" s="5">
        <f t="shared" si="5"/>
        <v>2040.55324</v>
      </c>
      <c r="H16" s="5">
        <f t="shared" si="5"/>
        <v>196.446294</v>
      </c>
      <c r="I16" s="5">
        <f t="shared" si="5"/>
        <v>-8.90736</v>
      </c>
      <c r="J16" s="5">
        <f t="shared" si="5"/>
        <v>76.00032</v>
      </c>
      <c r="K16" s="5">
        <f t="shared" si="5"/>
        <v>-161.43028</v>
      </c>
      <c r="L16" s="5">
        <f t="shared" si="5"/>
        <v>-365.8644</v>
      </c>
      <c r="M16" s="5">
        <f t="shared" si="5"/>
        <v>-1277.8326</v>
      </c>
      <c r="N16" s="5">
        <f t="shared" si="5"/>
        <v>22000</v>
      </c>
    </row>
    <row r="17">
      <c r="A17" s="7" t="s">
        <v>90</v>
      </c>
      <c r="B17" s="5">
        <f t="shared" ref="B17:N17" si="6">(B16/$N$16)*100</f>
        <v>3.124823</v>
      </c>
      <c r="C17" s="5">
        <f t="shared" si="6"/>
        <v>9.187278</v>
      </c>
      <c r="D17" s="5">
        <f t="shared" si="6"/>
        <v>10.85522</v>
      </c>
      <c r="E17" s="5">
        <f t="shared" si="6"/>
        <v>3.58632</v>
      </c>
      <c r="F17" s="5">
        <f t="shared" si="6"/>
        <v>2.417442</v>
      </c>
      <c r="G17" s="5">
        <f t="shared" si="6"/>
        <v>9.275242</v>
      </c>
      <c r="H17" s="5">
        <f t="shared" si="6"/>
        <v>0.8929377</v>
      </c>
      <c r="I17" s="5">
        <f t="shared" si="6"/>
        <v>-0.040488</v>
      </c>
      <c r="J17" s="5">
        <f t="shared" si="6"/>
        <v>0.345456</v>
      </c>
      <c r="K17" s="5">
        <f t="shared" si="6"/>
        <v>-0.733774</v>
      </c>
      <c r="L17" s="5">
        <f t="shared" si="6"/>
        <v>-1.66302</v>
      </c>
      <c r="M17" s="5">
        <f t="shared" si="6"/>
        <v>-5.80833</v>
      </c>
      <c r="N17" s="5">
        <f t="shared" si="6"/>
        <v>100</v>
      </c>
    </row>
    <row r="18">
      <c r="B18" s="5">
        <f>average(B17:G17)</f>
        <v>6.407720833</v>
      </c>
      <c r="H18" s="5">
        <f>average(H17:M17)</f>
        <v>-1.167869717</v>
      </c>
    </row>
    <row r="19">
      <c r="B19" s="7" t="s">
        <v>91</v>
      </c>
    </row>
    <row r="20">
      <c r="B20" s="7" t="s">
        <v>92</v>
      </c>
      <c r="I20" s="5">
        <f>I12*0.00025</f>
        <v>0.01893897638</v>
      </c>
    </row>
    <row r="21">
      <c r="B21" s="7" t="s">
        <v>93</v>
      </c>
      <c r="I21" s="5">
        <f>I20*0.000088*10^9</f>
        <v>1666.629921</v>
      </c>
    </row>
    <row r="22">
      <c r="I22" s="5">
        <f>I21/N16</f>
        <v>0.0757559055</v>
      </c>
    </row>
  </sheetData>
  <mergeCells count="2">
    <mergeCell ref="B14:G14"/>
    <mergeCell ref="H14:M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4"/>
    </row>
    <row r="2">
      <c r="A2" s="44" t="s">
        <v>94</v>
      </c>
      <c r="B2" s="23" t="s">
        <v>95</v>
      </c>
      <c r="C2" s="23">
        <v>220502.0</v>
      </c>
      <c r="D2" s="24"/>
      <c r="E2" s="24"/>
      <c r="F2" s="24"/>
      <c r="G2" s="13"/>
    </row>
    <row r="3">
      <c r="G3" s="25"/>
    </row>
    <row r="4">
      <c r="B4" s="31" t="s">
        <v>96</v>
      </c>
      <c r="C4" s="7" t="s">
        <v>97</v>
      </c>
      <c r="G4" s="25"/>
      <c r="H4" s="30"/>
      <c r="I4" s="3"/>
      <c r="J4" s="3"/>
    </row>
    <row r="5">
      <c r="A5" s="30">
        <v>6.944444444444445E-4</v>
      </c>
      <c r="B5" s="3">
        <v>1335.201</v>
      </c>
      <c r="C5" s="3">
        <v>34.23994</v>
      </c>
      <c r="G5" s="25"/>
      <c r="H5" s="30"/>
      <c r="I5" s="3"/>
      <c r="J5" s="3"/>
    </row>
    <row r="6">
      <c r="A6" s="30">
        <v>0.006944444444444444</v>
      </c>
      <c r="B6" s="3">
        <v>1893.643</v>
      </c>
      <c r="C6" s="3">
        <v>80.09809</v>
      </c>
      <c r="G6" s="25"/>
      <c r="H6" s="30"/>
      <c r="I6" s="3"/>
      <c r="J6" s="3"/>
    </row>
    <row r="7">
      <c r="A7" s="30">
        <v>0.020833333333333332</v>
      </c>
      <c r="B7" s="3">
        <v>1676.475</v>
      </c>
      <c r="C7" s="3">
        <v>255.4531</v>
      </c>
      <c r="G7" s="25"/>
      <c r="H7" s="30"/>
      <c r="I7" s="3"/>
      <c r="J7" s="3"/>
    </row>
    <row r="8">
      <c r="A8" s="30">
        <v>0.041666666666666664</v>
      </c>
      <c r="B8" s="3">
        <v>1436.669</v>
      </c>
      <c r="C8" s="3">
        <v>402.58</v>
      </c>
      <c r="G8" s="25"/>
      <c r="H8" s="30"/>
      <c r="I8" s="3"/>
      <c r="J8" s="3"/>
    </row>
    <row r="9">
      <c r="A9" s="30">
        <v>0.08333333333333333</v>
      </c>
      <c r="B9" s="3">
        <v>1092.368</v>
      </c>
      <c r="C9" s="3">
        <v>790.702</v>
      </c>
      <c r="G9" s="25"/>
      <c r="H9" s="30"/>
      <c r="I9" s="3"/>
      <c r="J9" s="3"/>
    </row>
    <row r="10">
      <c r="A10" s="30">
        <v>0.16666666666666666</v>
      </c>
      <c r="B10" s="3">
        <v>593.012</v>
      </c>
      <c r="C10" s="3">
        <v>1022.195</v>
      </c>
      <c r="G10" s="25"/>
      <c r="H10" s="30"/>
      <c r="I10" s="3"/>
      <c r="J10" s="3"/>
    </row>
    <row r="11">
      <c r="A11" s="45">
        <v>1.0</v>
      </c>
      <c r="B11" s="3">
        <v>52.53726</v>
      </c>
      <c r="C11" s="3">
        <v>826.6354</v>
      </c>
      <c r="G11" s="25"/>
    </row>
    <row r="12">
      <c r="A12" s="46"/>
      <c r="B12" s="21"/>
      <c r="C12" s="21"/>
      <c r="D12" s="21"/>
      <c r="E12" s="21"/>
      <c r="F12" s="21"/>
      <c r="G12" s="22"/>
    </row>
    <row r="31">
      <c r="A31" s="47"/>
      <c r="B31" s="9"/>
      <c r="C31" s="9"/>
    </row>
    <row r="32">
      <c r="A32" s="47"/>
      <c r="B32" s="9"/>
      <c r="C32" s="9"/>
    </row>
    <row r="33">
      <c r="A33" s="47"/>
      <c r="B33" s="9"/>
      <c r="C33" s="9"/>
    </row>
    <row r="34">
      <c r="A34" s="47"/>
      <c r="B34" s="9"/>
      <c r="C34" s="9"/>
    </row>
    <row r="35">
      <c r="A35" s="47"/>
      <c r="B35" s="9"/>
      <c r="C35" s="9"/>
    </row>
    <row r="36">
      <c r="A36" s="47"/>
      <c r="B36" s="9"/>
      <c r="C36" s="9"/>
    </row>
    <row r="37">
      <c r="A37" s="47"/>
      <c r="B37" s="9"/>
      <c r="C37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7" t="s">
        <v>98</v>
      </c>
    </row>
    <row r="3">
      <c r="A3" s="27" t="s">
        <v>99</v>
      </c>
      <c r="B3" s="7">
        <v>90.0</v>
      </c>
      <c r="C3" s="7">
        <v>103.0</v>
      </c>
      <c r="D3" s="4"/>
      <c r="E3" s="4"/>
      <c r="F3" s="4"/>
      <c r="G3" s="4"/>
    </row>
    <row r="4">
      <c r="A4" s="27" t="s">
        <v>100</v>
      </c>
      <c r="B4" s="3">
        <v>86.0</v>
      </c>
      <c r="C4" s="3">
        <v>96.0</v>
      </c>
      <c r="D4" s="4"/>
      <c r="E4" s="4"/>
      <c r="F4" s="4"/>
      <c r="G4" s="4"/>
    </row>
    <row r="5">
      <c r="A5" s="27" t="s">
        <v>101</v>
      </c>
      <c r="B5" s="3">
        <v>66.0</v>
      </c>
      <c r="C5" s="3">
        <v>83.0</v>
      </c>
      <c r="D5" s="4"/>
      <c r="E5" s="4"/>
      <c r="F5" s="4"/>
      <c r="G5" s="4"/>
    </row>
    <row r="6">
      <c r="A6" s="27" t="s">
        <v>102</v>
      </c>
      <c r="B6" s="3">
        <v>31.0</v>
      </c>
      <c r="C6" s="3">
        <v>34.0</v>
      </c>
      <c r="D6" s="4"/>
      <c r="E6" s="4"/>
      <c r="F6" s="4"/>
      <c r="G6" s="4"/>
    </row>
    <row r="7">
      <c r="A7" s="27" t="s">
        <v>103</v>
      </c>
      <c r="B7" s="3">
        <v>5.0</v>
      </c>
      <c r="C7" s="3">
        <v>6.0</v>
      </c>
      <c r="D7" s="4"/>
      <c r="E7" s="4"/>
      <c r="F7" s="4"/>
      <c r="G7" s="4"/>
    </row>
    <row r="8">
      <c r="A8" s="27" t="s">
        <v>104</v>
      </c>
      <c r="B8" s="3">
        <v>38.0</v>
      </c>
      <c r="C8" s="3">
        <v>54.0</v>
      </c>
      <c r="D8" s="4"/>
      <c r="E8" s="4"/>
      <c r="F8" s="4"/>
      <c r="G8" s="4"/>
    </row>
    <row r="9">
      <c r="A9" s="27" t="s">
        <v>105</v>
      </c>
      <c r="B9" s="3">
        <v>11.0</v>
      </c>
      <c r="C9" s="3">
        <v>13.0</v>
      </c>
      <c r="D9" s="4"/>
      <c r="E9" s="4"/>
      <c r="F9" s="4"/>
      <c r="G9" s="4"/>
    </row>
    <row r="10">
      <c r="A10" s="27" t="s">
        <v>20</v>
      </c>
      <c r="B10" s="3">
        <v>32.0</v>
      </c>
      <c r="C10" s="3">
        <v>37.0</v>
      </c>
      <c r="F10" s="4"/>
      <c r="G10" s="4"/>
    </row>
    <row r="11">
      <c r="A11" s="27" t="s">
        <v>106</v>
      </c>
      <c r="B11" s="3">
        <v>22.0</v>
      </c>
      <c r="C11" s="3">
        <v>37.0</v>
      </c>
      <c r="D11" s="4"/>
      <c r="E11" s="4"/>
    </row>
    <row r="12">
      <c r="A12" s="27" t="s">
        <v>107</v>
      </c>
      <c r="B12" s="3">
        <v>81.0</v>
      </c>
      <c r="C12" s="3">
        <v>97.0</v>
      </c>
      <c r="D12" s="4"/>
      <c r="E12" s="4"/>
    </row>
    <row r="13">
      <c r="A13" s="27" t="s">
        <v>108</v>
      </c>
      <c r="B13" s="3">
        <v>26.0</v>
      </c>
      <c r="C13" s="3">
        <v>30.0</v>
      </c>
      <c r="D13" s="4"/>
      <c r="E13" s="4"/>
    </row>
    <row r="14">
      <c r="A14" s="27" t="s">
        <v>109</v>
      </c>
      <c r="B14" s="3">
        <v>44.0</v>
      </c>
      <c r="C14" s="3">
        <v>56.0</v>
      </c>
      <c r="D14" s="4"/>
      <c r="E1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110</v>
      </c>
      <c r="B1" s="23" t="s">
        <v>111</v>
      </c>
      <c r="C1" s="24"/>
      <c r="D1" s="24"/>
      <c r="E1" s="24"/>
      <c r="F1" s="24"/>
      <c r="G1" s="13"/>
    </row>
    <row r="2">
      <c r="A2" s="48"/>
      <c r="B2" s="15" t="s">
        <v>112</v>
      </c>
      <c r="C2" s="15" t="s">
        <v>113</v>
      </c>
      <c r="D2" s="15"/>
      <c r="G2" s="25"/>
    </row>
    <row r="3">
      <c r="A3" s="49" t="s">
        <v>114</v>
      </c>
      <c r="B3" s="3">
        <v>443041.1</v>
      </c>
      <c r="C3" s="3">
        <v>538636.2</v>
      </c>
      <c r="D3" s="3"/>
      <c r="E3" s="5">
        <f t="shared" ref="E3:F3" si="1">((B3-180994)/3116110)*1000</f>
        <v>84.09430347</v>
      </c>
      <c r="F3" s="5">
        <f t="shared" si="1"/>
        <v>114.7720074</v>
      </c>
      <c r="G3" s="25"/>
    </row>
    <row r="4">
      <c r="A4" s="49" t="s">
        <v>115</v>
      </c>
      <c r="B4" s="3">
        <v>472042.6</v>
      </c>
      <c r="C4" s="3">
        <v>397224.3</v>
      </c>
      <c r="D4" s="3"/>
      <c r="E4" s="5">
        <f t="shared" ref="E4:F4" si="2">((B4-180994)/3116110)*1000</f>
        <v>93.4012599</v>
      </c>
      <c r="F4" s="5">
        <f t="shared" si="2"/>
        <v>69.3910998</v>
      </c>
      <c r="G4" s="25"/>
    </row>
    <row r="5">
      <c r="A5" s="50" t="s">
        <v>116</v>
      </c>
      <c r="B5" s="20">
        <v>630634.1</v>
      </c>
      <c r="C5" s="20">
        <v>165504.7</v>
      </c>
      <c r="D5" s="21"/>
      <c r="E5" s="21">
        <f t="shared" ref="E5:F5" si="3">((B5-180994)/3116110)*1000</f>
        <v>144.2953233</v>
      </c>
      <c r="F5" s="21">
        <f t="shared" si="3"/>
        <v>-4.970716695</v>
      </c>
      <c r="G5" s="2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  <col customWidth="1" min="9" max="9" width="17.0"/>
  </cols>
  <sheetData>
    <row r="1">
      <c r="A1" s="7" t="s">
        <v>117</v>
      </c>
    </row>
    <row r="2">
      <c r="B2" s="7" t="s">
        <v>118</v>
      </c>
      <c r="E2" s="7" t="s">
        <v>119</v>
      </c>
      <c r="F2" s="7">
        <v>220902.0</v>
      </c>
      <c r="I2" s="7" t="s">
        <v>120</v>
      </c>
      <c r="J2" s="7">
        <v>220907.0</v>
      </c>
    </row>
    <row r="3">
      <c r="A3" s="28"/>
      <c r="B3" s="36" t="s">
        <v>121</v>
      </c>
      <c r="C3" s="15" t="s">
        <v>122</v>
      </c>
      <c r="E3" s="36" t="s">
        <v>121</v>
      </c>
      <c r="F3" s="15" t="s">
        <v>122</v>
      </c>
      <c r="H3" s="28"/>
      <c r="I3" s="36" t="s">
        <v>121</v>
      </c>
      <c r="L3" s="15" t="s">
        <v>122</v>
      </c>
    </row>
    <row r="4">
      <c r="A4" s="30">
        <v>0.0</v>
      </c>
      <c r="B4" s="3">
        <v>359491.38</v>
      </c>
      <c r="C4" s="3">
        <v>353891.72</v>
      </c>
      <c r="E4" s="3">
        <v>1069523.0</v>
      </c>
      <c r="F4" s="3">
        <v>363809.7</v>
      </c>
      <c r="H4" s="30"/>
      <c r="I4" s="3">
        <v>25890.31</v>
      </c>
      <c r="J4" s="3">
        <v>73435.09</v>
      </c>
      <c r="K4" s="3">
        <v>26128.6</v>
      </c>
      <c r="L4" s="3">
        <v>31289.06</v>
      </c>
      <c r="M4" s="3">
        <v>27096.52</v>
      </c>
      <c r="N4" s="3">
        <v>14516.94</v>
      </c>
    </row>
    <row r="5">
      <c r="A5" s="30">
        <v>0.003472222222222222</v>
      </c>
      <c r="B5" s="3">
        <v>542699.19</v>
      </c>
      <c r="C5" s="3">
        <v>407037.89</v>
      </c>
      <c r="E5" s="15"/>
      <c r="F5" s="15"/>
    </row>
    <row r="6">
      <c r="A6" s="30">
        <v>0.006944444444444444</v>
      </c>
      <c r="B6" s="3">
        <v>572559.53</v>
      </c>
      <c r="C6" s="3">
        <v>549576.7</v>
      </c>
      <c r="E6" s="15"/>
      <c r="F6" s="15"/>
    </row>
    <row r="7">
      <c r="A7" s="51">
        <v>0.020833333333333332</v>
      </c>
      <c r="B7" s="3">
        <v>911610.66</v>
      </c>
      <c r="C7" s="37">
        <v>209109.33</v>
      </c>
      <c r="D7" s="7"/>
      <c r="H7" s="30"/>
      <c r="I7" s="3">
        <v>146017.7</v>
      </c>
      <c r="J7" s="3">
        <v>156667.5</v>
      </c>
      <c r="K7" s="3">
        <v>168392.4</v>
      </c>
      <c r="L7" s="3">
        <v>98114.77</v>
      </c>
      <c r="M7" s="3">
        <v>90736.75</v>
      </c>
      <c r="N7" s="3">
        <v>79483.79</v>
      </c>
    </row>
    <row r="8">
      <c r="A8" s="30">
        <v>0.041666666666666664</v>
      </c>
      <c r="B8" s="3">
        <v>1092178.13</v>
      </c>
      <c r="C8" s="3">
        <v>1010817.67</v>
      </c>
      <c r="D8" s="7"/>
      <c r="E8" s="3">
        <v>1030788.0</v>
      </c>
      <c r="F8" s="3">
        <v>534913.6</v>
      </c>
      <c r="H8" s="30"/>
      <c r="I8" s="3">
        <v>226304.3</v>
      </c>
      <c r="J8" s="3">
        <v>273529.4</v>
      </c>
      <c r="K8" s="3">
        <v>273056.7</v>
      </c>
      <c r="L8" s="3">
        <v>119340.0</v>
      </c>
      <c r="M8" s="3">
        <v>118152.9</v>
      </c>
      <c r="N8" s="3">
        <v>39754.02</v>
      </c>
    </row>
    <row r="9">
      <c r="A9" s="30">
        <v>0.08333333333333333</v>
      </c>
      <c r="B9" s="3">
        <v>1253995.96</v>
      </c>
      <c r="C9" s="3">
        <v>1240479.99</v>
      </c>
      <c r="D9" s="7"/>
      <c r="E9" s="3">
        <v>544997.9</v>
      </c>
      <c r="F9" s="3">
        <v>534828.1</v>
      </c>
      <c r="H9" s="30"/>
      <c r="I9" s="3">
        <v>494359.0</v>
      </c>
      <c r="J9" s="3">
        <v>478597.4</v>
      </c>
      <c r="K9" s="3">
        <v>480349.7</v>
      </c>
      <c r="L9" s="3">
        <v>155328.8</v>
      </c>
      <c r="M9" s="3">
        <v>142160.6</v>
      </c>
      <c r="N9" s="3">
        <v>114908.2</v>
      </c>
    </row>
    <row r="10">
      <c r="A10" s="30">
        <v>0.16666666666666666</v>
      </c>
      <c r="B10" s="3">
        <v>1177824.52</v>
      </c>
      <c r="C10" s="3">
        <v>1239771.04</v>
      </c>
      <c r="D10" s="7"/>
      <c r="E10" s="3">
        <v>119945.2</v>
      </c>
      <c r="F10" s="9">
        <v>0.0</v>
      </c>
      <c r="H10" s="30"/>
      <c r="I10" s="3">
        <v>640554.2</v>
      </c>
      <c r="J10" s="3">
        <v>875156.4</v>
      </c>
      <c r="K10" s="3">
        <v>1012820.0</v>
      </c>
      <c r="L10" s="3">
        <v>229905.7</v>
      </c>
      <c r="M10" s="3">
        <v>234686.7</v>
      </c>
      <c r="N10" s="3">
        <v>218950.4</v>
      </c>
    </row>
    <row r="11">
      <c r="D11" s="7"/>
      <c r="E11" s="3"/>
      <c r="F11" s="3"/>
    </row>
    <row r="12">
      <c r="A12" s="30">
        <v>0.0</v>
      </c>
      <c r="B12" s="3">
        <v>-10.80044333</v>
      </c>
      <c r="C12" s="3">
        <v>-11.67938568</v>
      </c>
      <c r="D12" s="7"/>
      <c r="E12" s="5">
        <f t="shared" ref="E12:F12" si="1">((E4-180994)/3116110)*1000</f>
        <v>285.1404475</v>
      </c>
      <c r="F12" s="5">
        <f t="shared" si="1"/>
        <v>58.66792251</v>
      </c>
      <c r="H12" s="30"/>
      <c r="I12" s="3">
        <v>-49.77478</v>
      </c>
      <c r="J12" s="3">
        <v>-34.517045</v>
      </c>
      <c r="K12" s="3">
        <v>-49.69831</v>
      </c>
      <c r="L12" s="3">
        <v>-48.042251</v>
      </c>
      <c r="M12" s="3">
        <v>-49.387692</v>
      </c>
      <c r="N12" s="3">
        <v>-53.424642</v>
      </c>
    </row>
    <row r="13">
      <c r="A13" s="30">
        <v>0.003472222222222222</v>
      </c>
      <c r="B13" s="3">
        <v>17.95649976</v>
      </c>
      <c r="C13" s="3">
        <v>-3.337375667</v>
      </c>
    </row>
    <row r="14">
      <c r="A14" s="30">
        <v>0.006944444444444444</v>
      </c>
      <c r="B14" s="3">
        <v>22.64348389</v>
      </c>
      <c r="C14" s="3">
        <v>19.03601795</v>
      </c>
    </row>
    <row r="15">
      <c r="A15" s="51">
        <v>0.020833333333333332</v>
      </c>
      <c r="D15" s="7"/>
      <c r="E15" s="5">
        <f t="shared" ref="E15:F15" si="2">((E8-180994)/3116110)*1000</f>
        <v>272.7098851</v>
      </c>
      <c r="F15" s="5">
        <f t="shared" si="2"/>
        <v>113.5773769</v>
      </c>
      <c r="H15" s="30"/>
      <c r="I15" s="3">
        <v>-11.224347</v>
      </c>
      <c r="J15" s="3">
        <v>-7.8066885</v>
      </c>
      <c r="K15" s="3">
        <v>-4.0440164</v>
      </c>
      <c r="L15" s="3">
        <v>-26.597017</v>
      </c>
      <c r="M15" s="3">
        <v>-28.964719</v>
      </c>
      <c r="N15" s="3">
        <v>-32.575939</v>
      </c>
    </row>
    <row r="16">
      <c r="A16" s="30">
        <v>0.041666666666666664</v>
      </c>
      <c r="B16" s="3">
        <v>104.2046494</v>
      </c>
      <c r="C16" s="3">
        <v>91.43402501</v>
      </c>
      <c r="D16" s="7"/>
      <c r="E16" s="5">
        <f t="shared" ref="E16:F16" si="3">((E9-180994)/3116110)*1000</f>
        <v>116.8135592</v>
      </c>
      <c r="F16" s="5">
        <f t="shared" si="3"/>
        <v>113.5499389</v>
      </c>
      <c r="H16" s="30"/>
      <c r="I16" s="3">
        <v>14.5406613</v>
      </c>
      <c r="J16" s="3">
        <v>29.6958066</v>
      </c>
      <c r="K16" s="3">
        <v>29.5441111</v>
      </c>
      <c r="L16" s="3">
        <v>-19.785566</v>
      </c>
      <c r="M16" s="3">
        <v>-20.166522</v>
      </c>
      <c r="N16" s="3">
        <v>-45.325736</v>
      </c>
    </row>
    <row r="17">
      <c r="A17" s="30">
        <v>0.08333333333333333</v>
      </c>
      <c r="B17" s="3">
        <v>129.6041458</v>
      </c>
      <c r="C17" s="3">
        <v>127.4826316</v>
      </c>
      <c r="D17" s="7"/>
      <c r="E17" s="5">
        <f t="shared" ref="E17:F17" si="4">((E10-180994)/3116110)*1000</f>
        <v>-19.59134947</v>
      </c>
      <c r="F17" s="5">
        <f t="shared" si="4"/>
        <v>-58.08331542</v>
      </c>
      <c r="H17" s="30"/>
      <c r="I17" s="3">
        <v>100.562881</v>
      </c>
      <c r="J17" s="3">
        <v>95.50478</v>
      </c>
      <c r="K17" s="3">
        <v>96.0671157</v>
      </c>
      <c r="L17" s="3">
        <v>-8.2362946</v>
      </c>
      <c r="M17" s="3">
        <v>-12.46214</v>
      </c>
      <c r="N17" s="3">
        <v>-21.207788</v>
      </c>
    </row>
    <row r="18">
      <c r="A18" s="30">
        <v>0.16666666666666666</v>
      </c>
      <c r="B18" s="3">
        <v>117.6480084</v>
      </c>
      <c r="C18" s="3">
        <v>127.3713523</v>
      </c>
      <c r="H18" s="30"/>
      <c r="I18" s="3">
        <v>147.478812</v>
      </c>
      <c r="J18" s="3">
        <v>222.765692</v>
      </c>
      <c r="K18" s="3">
        <v>266.943721</v>
      </c>
      <c r="L18" s="3">
        <v>15.6963971</v>
      </c>
      <c r="M18" s="3">
        <v>17.2306818</v>
      </c>
      <c r="N18" s="3">
        <v>12.1806997</v>
      </c>
    </row>
    <row r="19">
      <c r="I19" s="5">
        <f>average(I18:K18)</f>
        <v>212.396075</v>
      </c>
      <c r="J19" s="5">
        <f>stdev(I18:K18)</f>
        <v>60.40374854</v>
      </c>
      <c r="L19" s="5">
        <f>average(L18:N18)</f>
        <v>15.0359262</v>
      </c>
    </row>
  </sheetData>
  <mergeCells count="2">
    <mergeCell ref="I3:K3"/>
    <mergeCell ref="L3:N3"/>
  </mergeCells>
  <drawing r:id="rId1"/>
</worksheet>
</file>